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drawings/drawing25.xml" ContentType="application/vnd.openxmlformats-officedocument.drawing+xml"/>
  <Override PartName="/xl/comments25.xml" ContentType="application/vnd.openxmlformats-officedocument.spreadsheetml.comments+xml"/>
  <Override PartName="/xl/drawings/drawing26.xml" ContentType="application/vnd.openxmlformats-officedocument.drawing+xml"/>
  <Override PartName="/xl/comments26.xml" ContentType="application/vnd.openxmlformats-officedocument.spreadsheetml.comments+xml"/>
  <Override PartName="/xl/drawings/drawing27.xml" ContentType="application/vnd.openxmlformats-officedocument.drawing+xml"/>
  <Override PartName="/xl/comments27.xml" ContentType="application/vnd.openxmlformats-officedocument.spreadsheetml.comments+xml"/>
  <Override PartName="/xl/drawings/drawing28.xml" ContentType="application/vnd.openxmlformats-officedocument.drawing+xml"/>
  <Override PartName="/xl/comments28.xml" ContentType="application/vnd.openxmlformats-officedocument.spreadsheetml.comments+xml"/>
  <Override PartName="/xl/drawings/drawing29.xml" ContentType="application/vnd.openxmlformats-officedocument.drawing+xml"/>
  <Override PartName="/xl/comments29.xml" ContentType="application/vnd.openxmlformats-officedocument.spreadsheetml.comments+xml"/>
  <Override PartName="/xl/drawings/drawing30.xml" ContentType="application/vnd.openxmlformats-officedocument.drawing+xml"/>
  <Override PartName="/xl/comments30.xml" ContentType="application/vnd.openxmlformats-officedocument.spreadsheetml.comments+xml"/>
  <Override PartName="/xl/drawings/drawing31.xml" ContentType="application/vnd.openxmlformats-officedocument.drawing+xml"/>
  <Override PartName="/xl/comments31.xml" ContentType="application/vnd.openxmlformats-officedocument.spreadsheetml.comments+xml"/>
  <Override PartName="/xl/drawings/drawing32.xml" ContentType="application/vnd.openxmlformats-officedocument.drawing+xml"/>
  <Override PartName="/xl/comments32.xml" ContentType="application/vnd.openxmlformats-officedocument.spreadsheetml.comments+xml"/>
  <Override PartName="/xl/drawings/drawing33.xml" ContentType="application/vnd.openxmlformats-officedocument.drawing+xml"/>
  <Override PartName="/xl/comments33.xml" ContentType="application/vnd.openxmlformats-officedocument.spreadsheetml.comments+xml"/>
  <Override PartName="/xl/drawings/drawing34.xml" ContentType="application/vnd.openxmlformats-officedocument.drawing+xml"/>
  <Override PartName="/xl/comments34.xml" ContentType="application/vnd.openxmlformats-officedocument.spreadsheetml.comments+xml"/>
  <Override PartName="/xl/drawings/drawing35.xml" ContentType="application/vnd.openxmlformats-officedocument.drawing+xml"/>
  <Override PartName="/xl/comments35.xml" ContentType="application/vnd.openxmlformats-officedocument.spreadsheetml.comments+xml"/>
  <Override PartName="/xl/drawings/drawing36.xml" ContentType="application/vnd.openxmlformats-officedocument.drawing+xml"/>
  <Override PartName="/xl/comments36.xml" ContentType="application/vnd.openxmlformats-officedocument.spreadsheetml.comments+xml"/>
  <Override PartName="/xl/drawings/drawing37.xml" ContentType="application/vnd.openxmlformats-officedocument.drawing+xml"/>
  <Override PartName="/xl/comments37.xml" ContentType="application/vnd.openxmlformats-officedocument.spreadsheetml.comments+xml"/>
  <Override PartName="/xl/drawings/drawing38.xml" ContentType="application/vnd.openxmlformats-officedocument.drawing+xml"/>
  <Override PartName="/xl/comments38.xml" ContentType="application/vnd.openxmlformats-officedocument.spreadsheetml.comments+xml"/>
  <Override PartName="/xl/drawings/drawing39.xml" ContentType="application/vnd.openxmlformats-officedocument.drawing+xml"/>
  <Override PartName="/xl/comments39.xml" ContentType="application/vnd.openxmlformats-officedocument.spreadsheetml.comments+xml"/>
  <Override PartName="/xl/drawings/drawing40.xml" ContentType="application/vnd.openxmlformats-officedocument.drawing+xml"/>
  <Override PartName="/xl/comments40.xml" ContentType="application/vnd.openxmlformats-officedocument.spreadsheetml.comments+xml"/>
  <Override PartName="/xl/drawings/drawing41.xml" ContentType="application/vnd.openxmlformats-officedocument.drawing+xml"/>
  <Override PartName="/xl/comments41.xml" ContentType="application/vnd.openxmlformats-officedocument.spreadsheetml.comments+xml"/>
  <Override PartName="/xl/drawings/drawing42.xml" ContentType="application/vnd.openxmlformats-officedocument.drawing+xml"/>
  <Override PartName="/xl/comments42.xml" ContentType="application/vnd.openxmlformats-officedocument.spreadsheetml.comments+xml"/>
  <Override PartName="/xl/drawings/drawing43.xml" ContentType="application/vnd.openxmlformats-officedocument.drawing+xml"/>
  <Override PartName="/xl/comments43.xml" ContentType="application/vnd.openxmlformats-officedocument.spreadsheetml.comments+xml"/>
  <Override PartName="/xl/drawings/drawing44.xml" ContentType="application/vnd.openxmlformats-officedocument.drawing+xml"/>
  <Override PartName="/xl/comments44.xml" ContentType="application/vnd.openxmlformats-officedocument.spreadsheetml.comments+xml"/>
  <Override PartName="/xl/drawings/drawing45.xml" ContentType="application/vnd.openxmlformats-officedocument.drawing+xml"/>
  <Override PartName="/xl/comments45.xml" ContentType="application/vnd.openxmlformats-officedocument.spreadsheetml.comments+xml"/>
  <Override PartName="/xl/drawings/drawing46.xml" ContentType="application/vnd.openxmlformats-officedocument.drawing+xml"/>
  <Override PartName="/xl/comments46.xml" ContentType="application/vnd.openxmlformats-officedocument.spreadsheetml.comments+xml"/>
  <Override PartName="/xl/drawings/drawing47.xml" ContentType="application/vnd.openxmlformats-officedocument.drawing+xml"/>
  <Override PartName="/xl/comments47.xml" ContentType="application/vnd.openxmlformats-officedocument.spreadsheetml.comments+xml"/>
  <Override PartName="/xl/drawings/drawing48.xml" ContentType="application/vnd.openxmlformats-officedocument.drawing+xml"/>
  <Override PartName="/xl/comments48.xml" ContentType="application/vnd.openxmlformats-officedocument.spreadsheetml.comments+xml"/>
  <Override PartName="/xl/drawings/drawing49.xml" ContentType="application/vnd.openxmlformats-officedocument.drawing+xml"/>
  <Override PartName="/xl/comments49.xml" ContentType="application/vnd.openxmlformats-officedocument.spreadsheetml.comments+xml"/>
  <Override PartName="/xl/drawings/drawing50.xml" ContentType="application/vnd.openxmlformats-officedocument.drawing+xml"/>
  <Override PartName="/xl/comments50.xml" ContentType="application/vnd.openxmlformats-officedocument.spreadsheetml.comments+xml"/>
  <Override PartName="/xl/drawings/drawing51.xml" ContentType="application/vnd.openxmlformats-officedocument.drawing+xml"/>
  <Override PartName="/xl/comments51.xml" ContentType="application/vnd.openxmlformats-officedocument.spreadsheetml.comments+xml"/>
  <Override PartName="/xl/drawings/drawing52.xml" ContentType="application/vnd.openxmlformats-officedocument.drawing+xml"/>
  <Override PartName="/xl/comments52.xml" ContentType="application/vnd.openxmlformats-officedocument.spreadsheetml.comments+xml"/>
  <Override PartName="/xl/drawings/drawing53.xml" ContentType="application/vnd.openxmlformats-officedocument.drawing+xml"/>
  <Override PartName="/xl/comments53.xml" ContentType="application/vnd.openxmlformats-officedocument.spreadsheetml.comments+xml"/>
  <Override PartName="/xl/drawings/drawing54.xml" ContentType="application/vnd.openxmlformats-officedocument.drawing+xml"/>
  <Override PartName="/xl/comments54.xml" ContentType="application/vnd.openxmlformats-officedocument.spreadsheetml.comments+xml"/>
  <Override PartName="/xl/drawings/drawing55.xml" ContentType="application/vnd.openxmlformats-officedocument.drawing+xml"/>
  <Override PartName="/xl/comments55.xml" ContentType="application/vnd.openxmlformats-officedocument.spreadsheetml.comments+xml"/>
  <Override PartName="/xl/drawings/drawing56.xml" ContentType="application/vnd.openxmlformats-officedocument.drawing+xml"/>
  <Override PartName="/xl/comments56.xml" ContentType="application/vnd.openxmlformats-officedocument.spreadsheetml.comments+xml"/>
  <Override PartName="/xl/drawings/drawing57.xml" ContentType="application/vnd.openxmlformats-officedocument.drawing+xml"/>
  <Override PartName="/xl/comments57.xml" ContentType="application/vnd.openxmlformats-officedocument.spreadsheetml.comments+xml"/>
  <Override PartName="/xl/drawings/drawing58.xml" ContentType="application/vnd.openxmlformats-officedocument.drawing+xml"/>
  <Override PartName="/xl/comments58.xml" ContentType="application/vnd.openxmlformats-officedocument.spreadsheetml.comments+xml"/>
  <Override PartName="/xl/drawings/drawing59.xml" ContentType="application/vnd.openxmlformats-officedocument.drawing+xml"/>
  <Override PartName="/xl/comments59.xml" ContentType="application/vnd.openxmlformats-officedocument.spreadsheetml.comments+xml"/>
  <Override PartName="/xl/drawings/drawing60.xml" ContentType="application/vnd.openxmlformats-officedocument.drawing+xml"/>
  <Override PartName="/xl/comments60.xml" ContentType="application/vnd.openxmlformats-officedocument.spreadsheetml.comments+xml"/>
  <Override PartName="/xl/drawings/drawing61.xml" ContentType="application/vnd.openxmlformats-officedocument.drawing+xml"/>
  <Override PartName="/xl/comments61.xml" ContentType="application/vnd.openxmlformats-officedocument.spreadsheetml.comments+xml"/>
  <Override PartName="/xl/drawings/drawing62.xml" ContentType="application/vnd.openxmlformats-officedocument.drawing+xml"/>
  <Override PartName="/xl/comments62.xml" ContentType="application/vnd.openxmlformats-officedocument.spreadsheetml.comments+xml"/>
  <Override PartName="/xl/drawings/drawing63.xml" ContentType="application/vnd.openxmlformats-officedocument.drawing+xml"/>
  <Override PartName="/xl/comments63.xml" ContentType="application/vnd.openxmlformats-officedocument.spreadsheetml.comments+xml"/>
  <Override PartName="/xl/drawings/drawing64.xml" ContentType="application/vnd.openxmlformats-officedocument.drawing+xml"/>
  <Override PartName="/xl/comments64.xml" ContentType="application/vnd.openxmlformats-officedocument.spreadsheetml.comments+xml"/>
  <Override PartName="/xl/drawings/drawing65.xml" ContentType="application/vnd.openxmlformats-officedocument.drawing+xml"/>
  <Override PartName="/xl/comments65.xml" ContentType="application/vnd.openxmlformats-officedocument.spreadsheetml.comments+xml"/>
  <Override PartName="/xl/drawings/drawing66.xml" ContentType="application/vnd.openxmlformats-officedocument.drawing+xml"/>
  <Override PartName="/xl/comments66.xml" ContentType="application/vnd.openxmlformats-officedocument.spreadsheetml.comments+xml"/>
  <Override PartName="/xl/drawings/drawing67.xml" ContentType="application/vnd.openxmlformats-officedocument.drawing+xml"/>
  <Override PartName="/xl/comments67.xml" ContentType="application/vnd.openxmlformats-officedocument.spreadsheetml.comments+xml"/>
  <Override PartName="/xl/drawings/drawing68.xml" ContentType="application/vnd.openxmlformats-officedocument.drawing+xml"/>
  <Override PartName="/xl/comments68.xml" ContentType="application/vnd.openxmlformats-officedocument.spreadsheetml.comments+xml"/>
  <Override PartName="/xl/drawings/drawing69.xml" ContentType="application/vnd.openxmlformats-officedocument.drawing+xml"/>
  <Override PartName="/xl/comments69.xml" ContentType="application/vnd.openxmlformats-officedocument.spreadsheetml.comments+xml"/>
  <Override PartName="/xl/drawings/drawing70.xml" ContentType="application/vnd.openxmlformats-officedocument.drawing+xml"/>
  <Override PartName="/xl/comments70.xml" ContentType="application/vnd.openxmlformats-officedocument.spreadsheetml.comments+xml"/>
  <Override PartName="/xl/drawings/drawing71.xml" ContentType="application/vnd.openxmlformats-officedocument.drawing+xml"/>
  <Override PartName="/xl/comments71.xml" ContentType="application/vnd.openxmlformats-officedocument.spreadsheetml.comments+xml"/>
  <Override PartName="/xl/drawings/drawing72.xml" ContentType="application/vnd.openxmlformats-officedocument.drawing+xml"/>
  <Override PartName="/xl/comments72.xml" ContentType="application/vnd.openxmlformats-officedocument.spreadsheetml.comments+xml"/>
  <Override PartName="/xl/drawings/drawing73.xml" ContentType="application/vnd.openxmlformats-officedocument.drawing+xml"/>
  <Override PartName="/xl/comments73.xml" ContentType="application/vnd.openxmlformats-officedocument.spreadsheetml.comments+xml"/>
  <Override PartName="/xl/drawings/drawing74.xml" ContentType="application/vnd.openxmlformats-officedocument.drawing+xml"/>
  <Override PartName="/xl/comments74.xml" ContentType="application/vnd.openxmlformats-officedocument.spreadsheetml.comments+xml"/>
  <Override PartName="/xl/drawings/drawing75.xml" ContentType="application/vnd.openxmlformats-officedocument.drawing+xml"/>
  <Override PartName="/xl/comments75.xml" ContentType="application/vnd.openxmlformats-officedocument.spreadsheetml.comments+xml"/>
  <Override PartName="/xl/drawings/drawing76.xml" ContentType="application/vnd.openxmlformats-officedocument.drawing+xml"/>
  <Override PartName="/xl/comments76.xml" ContentType="application/vnd.openxmlformats-officedocument.spreadsheetml.comments+xml"/>
  <Override PartName="/xl/drawings/drawing77.xml" ContentType="application/vnd.openxmlformats-officedocument.drawing+xml"/>
  <Override PartName="/xl/comments77.xml" ContentType="application/vnd.openxmlformats-officedocument.spreadsheetml.comments+xml"/>
  <Override PartName="/xl/drawings/drawing78.xml" ContentType="application/vnd.openxmlformats-officedocument.drawing+xml"/>
  <Override PartName="/xl/comments78.xml" ContentType="application/vnd.openxmlformats-officedocument.spreadsheetml.comments+xml"/>
  <Override PartName="/xl/drawings/drawing79.xml" ContentType="application/vnd.openxmlformats-officedocument.drawing+xml"/>
  <Override PartName="/xl/comments79.xml" ContentType="application/vnd.openxmlformats-officedocument.spreadsheetml.comments+xml"/>
  <Override PartName="/xl/drawings/drawing80.xml" ContentType="application/vnd.openxmlformats-officedocument.drawing+xml"/>
  <Override PartName="/xl/comments80.xml" ContentType="application/vnd.openxmlformats-officedocument.spreadsheetml.comments+xml"/>
  <Override PartName="/xl/drawings/drawing81.xml" ContentType="application/vnd.openxmlformats-officedocument.drawing+xml"/>
  <Override PartName="/xl/comments81.xml" ContentType="application/vnd.openxmlformats-officedocument.spreadsheetml.comments+xml"/>
  <Override PartName="/xl/drawings/drawing82.xml" ContentType="application/vnd.openxmlformats-officedocument.drawing+xml"/>
  <Override PartName="/xl/comments82.xml" ContentType="application/vnd.openxmlformats-officedocument.spreadsheetml.comments+xml"/>
  <Override PartName="/xl/drawings/drawing83.xml" ContentType="application/vnd.openxmlformats-officedocument.drawing+xml"/>
  <Override PartName="/xl/comments83.xml" ContentType="application/vnd.openxmlformats-officedocument.spreadsheetml.comments+xml"/>
  <Override PartName="/xl/drawings/drawing84.xml" ContentType="application/vnd.openxmlformats-officedocument.drawing+xml"/>
  <Override PartName="/xl/comments84.xml" ContentType="application/vnd.openxmlformats-officedocument.spreadsheetml.comments+xml"/>
  <Override PartName="/xl/drawings/drawing85.xml" ContentType="application/vnd.openxmlformats-officedocument.drawing+xml"/>
  <Override PartName="/xl/comments85.xml" ContentType="application/vnd.openxmlformats-officedocument.spreadsheetml.comments+xml"/>
  <Override PartName="/xl/drawings/drawing86.xml" ContentType="application/vnd.openxmlformats-officedocument.drawing+xml"/>
  <Override PartName="/xl/comments86.xml" ContentType="application/vnd.openxmlformats-officedocument.spreadsheetml.comments+xml"/>
  <Override PartName="/xl/drawings/drawing87.xml" ContentType="application/vnd.openxmlformats-officedocument.drawing+xml"/>
  <Override PartName="/xl/comments87.xml" ContentType="application/vnd.openxmlformats-officedocument.spreadsheetml.comments+xml"/>
  <Override PartName="/xl/drawings/drawing88.xml" ContentType="application/vnd.openxmlformats-officedocument.drawing+xml"/>
  <Override PartName="/xl/comments88.xml" ContentType="application/vnd.openxmlformats-officedocument.spreadsheetml.comments+xml"/>
  <Override PartName="/xl/drawings/drawing89.xml" ContentType="application/vnd.openxmlformats-officedocument.drawing+xml"/>
  <Override PartName="/xl/comments89.xml" ContentType="application/vnd.openxmlformats-officedocument.spreadsheetml.comments+xml"/>
  <Override PartName="/xl/drawings/drawing90.xml" ContentType="application/vnd.openxmlformats-officedocument.drawing+xml"/>
  <Override PartName="/xl/comments90.xml" ContentType="application/vnd.openxmlformats-officedocument.spreadsheetml.comments+xml"/>
  <Override PartName="/xl/drawings/drawing91.xml" ContentType="application/vnd.openxmlformats-officedocument.drawing+xml"/>
  <Override PartName="/xl/comments91.xml" ContentType="application/vnd.openxmlformats-officedocument.spreadsheetml.comments+xml"/>
  <Override PartName="/xl/drawings/drawing92.xml" ContentType="application/vnd.openxmlformats-officedocument.drawing+xml"/>
  <Override PartName="/xl/comments92.xml" ContentType="application/vnd.openxmlformats-officedocument.spreadsheetml.comments+xml"/>
  <Override PartName="/xl/drawings/drawing93.xml" ContentType="application/vnd.openxmlformats-officedocument.drawing+xml"/>
  <Override PartName="/xl/comments93.xml" ContentType="application/vnd.openxmlformats-officedocument.spreadsheetml.comments+xml"/>
  <Override PartName="/xl/drawings/drawing94.xml" ContentType="application/vnd.openxmlformats-officedocument.drawing+xml"/>
  <Override PartName="/xl/comments94.xml" ContentType="application/vnd.openxmlformats-officedocument.spreadsheetml.comments+xml"/>
  <Override PartName="/xl/drawings/drawing95.xml" ContentType="application/vnd.openxmlformats-officedocument.drawing+xml"/>
  <Override PartName="/xl/comments95.xml" ContentType="application/vnd.openxmlformats-officedocument.spreadsheetml.comments+xml"/>
  <Override PartName="/xl/drawings/drawing96.xml" ContentType="application/vnd.openxmlformats-officedocument.drawing+xml"/>
  <Override PartName="/xl/comments96.xml" ContentType="application/vnd.openxmlformats-officedocument.spreadsheetml.comments+xml"/>
  <Override PartName="/xl/drawings/drawing97.xml" ContentType="application/vnd.openxmlformats-officedocument.drawing+xml"/>
  <Override PartName="/xl/comments97.xml" ContentType="application/vnd.openxmlformats-officedocument.spreadsheetml.comments+xml"/>
  <Override PartName="/xl/drawings/drawing98.xml" ContentType="application/vnd.openxmlformats-officedocument.drawing+xml"/>
  <Override PartName="/xl/comments98.xml" ContentType="application/vnd.openxmlformats-officedocument.spreadsheetml.comments+xml"/>
  <Override PartName="/xl/drawings/drawing99.xml" ContentType="application/vnd.openxmlformats-officedocument.drawing+xml"/>
  <Override PartName="/xl/comments99.xml" ContentType="application/vnd.openxmlformats-officedocument.spreadsheetml.comments+xml"/>
  <Override PartName="/xl/drawings/drawing100.xml" ContentType="application/vnd.openxmlformats-officedocument.drawing+xml"/>
  <Override PartName="/xl/comments100.xml" ContentType="application/vnd.openxmlformats-officedocument.spreadsheetml.comments+xml"/>
  <Override PartName="/xl/drawings/drawing101.xml" ContentType="application/vnd.openxmlformats-officedocument.drawing+xml"/>
  <Override PartName="/xl/comments101.xml" ContentType="application/vnd.openxmlformats-officedocument.spreadsheetml.comments+xml"/>
  <Override PartName="/xl/drawings/drawing102.xml" ContentType="application/vnd.openxmlformats-officedocument.drawing+xml"/>
  <Override PartName="/xl/comments102.xml" ContentType="application/vnd.openxmlformats-officedocument.spreadsheetml.comments+xml"/>
  <Override PartName="/xl/drawings/drawing103.xml" ContentType="application/vnd.openxmlformats-officedocument.drawing+xml"/>
  <Override PartName="/xl/comments103.xml" ContentType="application/vnd.openxmlformats-officedocument.spreadsheetml.comments+xml"/>
  <Override PartName="/xl/drawings/drawing104.xml" ContentType="application/vnd.openxmlformats-officedocument.drawing+xml"/>
  <Override PartName="/xl/comments104.xml" ContentType="application/vnd.openxmlformats-officedocument.spreadsheetml.comments+xml"/>
  <Override PartName="/xl/drawings/drawing105.xml" ContentType="application/vnd.openxmlformats-officedocument.drawing+xml"/>
  <Override PartName="/xl/comments105.xml" ContentType="application/vnd.openxmlformats-officedocument.spreadsheetml.comments+xml"/>
  <Override PartName="/xl/drawings/drawing106.xml" ContentType="application/vnd.openxmlformats-officedocument.drawing+xml"/>
  <Override PartName="/xl/comments106.xml" ContentType="application/vnd.openxmlformats-officedocument.spreadsheetml.comments+xml"/>
  <Override PartName="/xl/drawings/drawing107.xml" ContentType="application/vnd.openxmlformats-officedocument.drawing+xml"/>
  <Override PartName="/xl/comments107.xml" ContentType="application/vnd.openxmlformats-officedocument.spreadsheetml.comments+xml"/>
  <Override PartName="/xl/drawings/drawing108.xml" ContentType="application/vnd.openxmlformats-officedocument.drawing+xml"/>
  <Override PartName="/xl/comments108.xml" ContentType="application/vnd.openxmlformats-officedocument.spreadsheetml.comments+xml"/>
  <Override PartName="/xl/drawings/drawing109.xml" ContentType="application/vnd.openxmlformats-officedocument.drawing+xml"/>
  <Override PartName="/xl/comments109.xml" ContentType="application/vnd.openxmlformats-officedocument.spreadsheetml.comments+xml"/>
  <Override PartName="/xl/drawings/drawing110.xml" ContentType="application/vnd.openxmlformats-officedocument.drawing+xml"/>
  <Override PartName="/xl/comments110.xml" ContentType="application/vnd.openxmlformats-officedocument.spreadsheetml.comments+xml"/>
  <Override PartName="/xl/drawings/drawing111.xml" ContentType="application/vnd.openxmlformats-officedocument.drawing+xml"/>
  <Override PartName="/xl/comments111.xml" ContentType="application/vnd.openxmlformats-officedocument.spreadsheetml.comments+xml"/>
  <Override PartName="/xl/drawings/drawing112.xml" ContentType="application/vnd.openxmlformats-officedocument.drawing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drawings/drawing113.xml" ContentType="application/vnd.openxmlformats-officedocument.drawing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drawings/drawing114.xml" ContentType="application/vnd.openxmlformats-officedocument.drawing+xml"/>
  <Override PartName="/xl/comments124.xml" ContentType="application/vnd.openxmlformats-officedocument.spreadsheetml.comments+xml"/>
  <Override PartName="/xl/threadedComments/threadedComment1.xml" ContentType="application/vnd.ms-excel.threadedcomments+xml"/>
  <Override PartName="/xl/drawings/drawing115.xml" ContentType="application/vnd.openxmlformats-officedocument.drawing+xml"/>
  <Override PartName="/xl/comments125.xml" ContentType="application/vnd.openxmlformats-officedocument.spreadsheetml.comments+xml"/>
  <Override PartName="/xl/drawings/drawing116.xml" ContentType="application/vnd.openxmlformats-officedocument.drawing+xml"/>
  <Override PartName="/xl/comments126.xml" ContentType="application/vnd.openxmlformats-officedocument.spreadsheetml.comments+xml"/>
  <Override PartName="/xl/drawings/drawing117.xml" ContentType="application/vnd.openxmlformats-officedocument.drawing+xml"/>
  <Override PartName="/xl/comments127.xml" ContentType="application/vnd.openxmlformats-officedocument.spreadsheetml.comments+xml"/>
  <Override PartName="/xl/drawings/drawing118.xml" ContentType="application/vnd.openxmlformats-officedocument.drawing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OWI.net\projects\A225000\A225662\20-Data\GEO\COSPIN\Cospin - EW1\"/>
    </mc:Choice>
  </mc:AlternateContent>
  <xr:revisionPtr revIDLastSave="0" documentId="13_ncr:1_{AA38F227-2912-48D6-B121-26246B020D65}" xr6:coauthVersionLast="45" xr6:coauthVersionMax="45" xr10:uidLastSave="{00000000-0000-0000-0000-000000000000}"/>
  <bookViews>
    <workbookView minimized="1" xWindow="4725" yWindow="6705" windowWidth="13500" windowHeight="7230" tabRatio="772" firstSheet="24" activeTab="25" xr2:uid="{00000000-000D-0000-FFFF-FFFF00000000}"/>
  </bookViews>
  <sheets>
    <sheet name="Zone_2_LE" sheetId="155" state="hidden" r:id="rId1"/>
    <sheet name="EW69_Ak_Pisa" sheetId="200" r:id="rId2"/>
    <sheet name="EW69_Ak_kirsch" sheetId="193" r:id="rId3"/>
    <sheet name="EW69_Ak_kirsch (2015)" sheetId="224" r:id="rId4"/>
    <sheet name="Ak_Pisa_BH-46" sheetId="218" r:id="rId5"/>
    <sheet name="Ak_kirsch_BH-46" sheetId="201" r:id="rId6"/>
    <sheet name="Ak_Pisa_BH-48" sheetId="219" r:id="rId7"/>
    <sheet name="Ak_kirsch_BH-48" sheetId="202" r:id="rId8"/>
    <sheet name="Ak_Pisa_BH-53 (RBB)" sheetId="299" r:id="rId9"/>
    <sheet name="Ak_Pisa_BH-53" sheetId="220" r:id="rId10"/>
    <sheet name="Ak_kirsch_BH-53" sheetId="203" r:id="rId11"/>
    <sheet name="Ak_Pisa_BH-55" sheetId="221" r:id="rId12"/>
    <sheet name="Ak_kirsch_BH-55" sheetId="217" r:id="rId13"/>
    <sheet name="Ak_Pisa_WTG8_ULSF" sheetId="311" r:id="rId14"/>
    <sheet name="Ak_Pisa_WTG8_RBB" sheetId="310" r:id="rId15"/>
    <sheet name="Ak_Pisa_WTG8" sheetId="223" r:id="rId16"/>
    <sheet name="Ak_kirsch_WTG8" sheetId="222" r:id="rId17"/>
    <sheet name="Ak_Pisa_WTG11_ULSF" sheetId="303" r:id="rId18"/>
    <sheet name="Ak_Pisa_WTG11_RBB" sheetId="302" r:id="rId19"/>
    <sheet name="Ak_Pisa_WTG11" sheetId="228" r:id="rId20"/>
    <sheet name="Ak_kirsch_WTG11" sheetId="227" r:id="rId21"/>
    <sheet name="Ak_Pisa_WTG12" sheetId="230" r:id="rId22"/>
    <sheet name="Ak_kirsch_WTG12" sheetId="229" r:id="rId23"/>
    <sheet name="Ak_Pisa_WTG30_ULSF" sheetId="307" r:id="rId24"/>
    <sheet name="Ak_Pisa_WTG30_RBB" sheetId="306" r:id="rId25"/>
    <sheet name="Ak_Pisa_WTG30" sheetId="211" r:id="rId26"/>
    <sheet name="Ak_kirsch_WTG30" sheetId="205" r:id="rId27"/>
    <sheet name="Ak_Pisa_WTG32" sheetId="212" r:id="rId28"/>
    <sheet name="Ak_kirsch_WTG32" sheetId="206" r:id="rId29"/>
    <sheet name="Ak_Pisa_WTG33_ULSF" sheetId="309" r:id="rId30"/>
    <sheet name="Ak_Pisa_WTG33_RBB" sheetId="308" r:id="rId31"/>
    <sheet name="Ak_Pisa_WTG33" sheetId="213" r:id="rId32"/>
    <sheet name="Ak_kirsch_WTG33" sheetId="207" r:id="rId33"/>
    <sheet name="Ak_Pisa_WTG34" sheetId="214" r:id="rId34"/>
    <sheet name="Ak_kirsch_WTG34" sheetId="208" r:id="rId35"/>
    <sheet name="Ak_Pisa_WTG50" sheetId="215" r:id="rId36"/>
    <sheet name="Ak_kirsch_WTG50" sheetId="209" r:id="rId37"/>
    <sheet name="Ak_Pisa_WTG57_ULSF" sheetId="313" r:id="rId38"/>
    <sheet name="Ak_Pisa_WTG57_RBB" sheetId="312" r:id="rId39"/>
    <sheet name="Ak_Pisa_WTG57" sheetId="226" r:id="rId40"/>
    <sheet name="Ak_kirsch_WTG57" sheetId="225" r:id="rId41"/>
    <sheet name="Ak_Pisa_WTG61_ULSF" sheetId="305" r:id="rId42"/>
    <sheet name="Ak_Pisa_WTG61_RBB" sheetId="304" r:id="rId43"/>
    <sheet name="Ak_Pisa_WTG61" sheetId="216" r:id="rId44"/>
    <sheet name="Ak_kirsch_WTG61" sheetId="210" r:id="rId45"/>
    <sheet name="Ak_Pisa_WTG66" sheetId="232" r:id="rId46"/>
    <sheet name="Ak_kirsch_WTG66" sheetId="231" r:id="rId47"/>
    <sheet name="Ak_Pisa_WTG1" sheetId="297" r:id="rId48"/>
    <sheet name="Ak_Pisa_WTG2" sheetId="296" r:id="rId49"/>
    <sheet name="Ak_Pisa_WTG3" sheetId="295" r:id="rId50"/>
    <sheet name="Ak_Pisa_WTG4" sheetId="294" r:id="rId51"/>
    <sheet name="Ak_Pisa_WTG5" sheetId="293" r:id="rId52"/>
    <sheet name="Ak_Pisa_WTG6" sheetId="292" r:id="rId53"/>
    <sheet name="Ak_Pisa_WTG7" sheetId="291" r:id="rId54"/>
    <sheet name="Ak_Pisa_WTG9" sheetId="290" r:id="rId55"/>
    <sheet name="Ak_Pisa_WTG10" sheetId="289" r:id="rId56"/>
    <sheet name="Ak_Pisa_WTG13" sheetId="288" r:id="rId57"/>
    <sheet name="Ak_Pisa_WTG14" sheetId="287" r:id="rId58"/>
    <sheet name="Ak_Pisa_WTG15" sheetId="248" r:id="rId59"/>
    <sheet name="Ak_Pisa_WTG16" sheetId="249" r:id="rId60"/>
    <sheet name="Ak_Pisa_WTG17" sheetId="250" r:id="rId61"/>
    <sheet name="Ak_Pisa_WTG18" sheetId="251" r:id="rId62"/>
    <sheet name="Ak_Pisa_WTG19" sheetId="252" r:id="rId63"/>
    <sheet name="Ak_Pisa_WTG20" sheetId="238" r:id="rId64"/>
    <sheet name="Ak_Pisa_WTG21" sheetId="239" r:id="rId65"/>
    <sheet name="Ak_Pisa_WTG22" sheetId="240" r:id="rId66"/>
    <sheet name="Ak_Pisa_WTG23" sheetId="241" r:id="rId67"/>
    <sheet name="Ak_Pisa_WTG24" sheetId="242" r:id="rId68"/>
    <sheet name="Ak_Pisa_WTG25" sheetId="243" r:id="rId69"/>
    <sheet name="Ak_Pisa_WTG26" sheetId="244" r:id="rId70"/>
    <sheet name="Ak_Pisa_WTG27" sheetId="245" r:id="rId71"/>
    <sheet name="Ak_Pisa_WTG28" sheetId="246" r:id="rId72"/>
    <sheet name="Ak_Pisa_WTG29" sheetId="247" r:id="rId73"/>
    <sheet name="Ak_Pisa_WTG31" sheetId="253" r:id="rId74"/>
    <sheet name="Ak_Pisa_WTG35" sheetId="254" r:id="rId75"/>
    <sheet name="Ak_Pisa_WTG36" sheetId="255" r:id="rId76"/>
    <sheet name="Ak_Pisa_WTG37" sheetId="256" r:id="rId77"/>
    <sheet name="Ak_Pisa_WTG38" sheetId="257" r:id="rId78"/>
    <sheet name="Ak_Pisa_WTG39" sheetId="258" r:id="rId79"/>
    <sheet name="Ak_Pisa_WTG40" sheetId="259" r:id="rId80"/>
    <sheet name="Ak_Pisa_WTG41" sheetId="260" r:id="rId81"/>
    <sheet name="Ak_Pisa_WTG42" sheetId="261" r:id="rId82"/>
    <sheet name="Ak_Pisa_WTG43" sheetId="298" r:id="rId83"/>
    <sheet name="Ak_Pisa_WTG44" sheetId="263" r:id="rId84"/>
    <sheet name="Ak_Pisa_WTG45" sheetId="264" r:id="rId85"/>
    <sheet name="Ak_Pisa_WTG46" sheetId="265" r:id="rId86"/>
    <sheet name="Ak_Pisa_WTG47" sheetId="266" r:id="rId87"/>
    <sheet name="Ak_Pisa_WTG48" sheetId="267" r:id="rId88"/>
    <sheet name="Ak_Pisa_WTG49" sheetId="268" r:id="rId89"/>
    <sheet name="Ak_Pisa_WTG51" sheetId="269" r:id="rId90"/>
    <sheet name="Ak_Pisa_WTG52" sheetId="270" r:id="rId91"/>
    <sheet name="Ak_Pisa_WTG53" sheetId="271" r:id="rId92"/>
    <sheet name="Ak_Pisa_WTG54" sheetId="272" r:id="rId93"/>
    <sheet name="Ak_Pisa_WTG55" sheetId="273" r:id="rId94"/>
    <sheet name="Ak_Pisa_WTG56" sheetId="274" r:id="rId95"/>
    <sheet name="Ak_Pisa_WTG58" sheetId="275" r:id="rId96"/>
    <sheet name="Ak_Pisa_WTG59" sheetId="276" r:id="rId97"/>
    <sheet name="Ak_Pisa_WTG60" sheetId="277" r:id="rId98"/>
    <sheet name="Ak_Pisa_WTG62" sheetId="278" r:id="rId99"/>
    <sheet name="Ak_Pisa_WTG63" sheetId="279" r:id="rId100"/>
    <sheet name="Ak_Pisa_WTG64" sheetId="280" r:id="rId101"/>
    <sheet name="Ak_Pisa_WTG65" sheetId="281" r:id="rId102"/>
    <sheet name="Ak_Pisa_WTG67" sheetId="282" r:id="rId103"/>
    <sheet name="Ak_Pisa_WTG68" sheetId="283" r:id="rId104"/>
    <sheet name="Ak_Pisa_WTG69_ULSF" sheetId="301" r:id="rId105"/>
    <sheet name="Ak_Pisa_WTG69_RBB" sheetId="300" r:id="rId106"/>
    <sheet name="Ak_Pisa_WTG69" sheetId="284" r:id="rId107"/>
    <sheet name="Ak_Pisa_WTG70" sheetId="285" r:id="rId108"/>
    <sheet name="Ak_Pisa_WTG71" sheetId="286" r:id="rId109"/>
    <sheet name="MODEL_EW1_Pisa" sheetId="237" r:id="rId110"/>
    <sheet name="MODEL_EW1_Kirsch" sheetId="233" r:id="rId111"/>
    <sheet name="Location_23" sheetId="192" r:id="rId112"/>
    <sheet name="Location_69_profile " sheetId="190" r:id="rId113"/>
    <sheet name="Location_BH-55 BE" sheetId="194" r:id="rId114"/>
    <sheet name="Location_BH-55 LB" sheetId="195" r:id="rId115"/>
    <sheet name="Location_BH-55 UB" sheetId="196" r:id="rId116"/>
    <sheet name="EW2 zone 4 BE" sheetId="197" r:id="rId117"/>
    <sheet name="EW2 zone 4 LB" sheetId="198" r:id="rId118"/>
    <sheet name="EW2 zone 4 UB" sheetId="199" r:id="rId119"/>
    <sheet name="Z1_L08_BE_PISA" sheetId="175" r:id="rId120"/>
    <sheet name="Z2_L12_BE_PISA" sheetId="178" r:id="rId121"/>
    <sheet name="Z3_L32_BE_PISA" sheetId="181" r:id="rId122"/>
    <sheet name="Z4_L11_BE_PISA" sheetId="180" r:id="rId123"/>
    <sheet name="Z5_L57_BE_PISA" sheetId="179" r:id="rId124"/>
    <sheet name="z2" sheetId="182" r:id="rId125"/>
    <sheet name="z3" sheetId="183" r:id="rId126"/>
    <sheet name="z4" sheetId="184" r:id="rId127"/>
    <sheet name="z5" sheetId="185" r:id="rId128"/>
    <sheet name="Dr list" sheetId="187" r:id="rId129"/>
    <sheet name="zone overview" sheetId="188" r:id="rId130"/>
    <sheet name="Zone_2_HE" sheetId="156" state="hidden" r:id="rId131"/>
    <sheet name="Zone_4_LE" sheetId="157" state="hidden" r:id="rId132"/>
    <sheet name="Zone_4_HE" sheetId="159" state="hidden" r:id="rId133"/>
    <sheet name="Zone_7_LE" sheetId="160" state="hidden" r:id="rId134"/>
    <sheet name="Zone_7_HE" sheetId="161" state="hidden" r:id="rId135"/>
    <sheet name="HS_B4_UB" sheetId="15" state="hidden" r:id="rId136"/>
    <sheet name="HS_E6_obsolete" sheetId="12" state="hidden" r:id="rId137"/>
    <sheet name="HS_E6_UB" sheetId="16" state="hidden" r:id="rId13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2" i="303" l="1"/>
  <c r="L8" i="303"/>
  <c r="L7" i="303"/>
  <c r="L6" i="303"/>
  <c r="L12" i="302"/>
  <c r="L8" i="302"/>
  <c r="L7" i="302"/>
  <c r="L6" i="302"/>
  <c r="AG50" i="313" l="1"/>
  <c r="AG51" i="313" s="1"/>
  <c r="AG52" i="313" s="1"/>
  <c r="AG53" i="313" s="1"/>
  <c r="AG54" i="313" s="1"/>
  <c r="AG55" i="313" s="1"/>
  <c r="AG56" i="313" s="1"/>
  <c r="AG57" i="313" s="1"/>
  <c r="AG41" i="313"/>
  <c r="AG42" i="313" s="1"/>
  <c r="AG43" i="313" s="1"/>
  <c r="AG44" i="313" s="1"/>
  <c r="AG45" i="313" s="1"/>
  <c r="AG46" i="313" s="1"/>
  <c r="AG47" i="313" s="1"/>
  <c r="AH40" i="313"/>
  <c r="AH41" i="313" s="1"/>
  <c r="AH42" i="313" s="1"/>
  <c r="AH43" i="313" s="1"/>
  <c r="AH44" i="313" s="1"/>
  <c r="AH45" i="313" s="1"/>
  <c r="AH46" i="313" s="1"/>
  <c r="AH47" i="313" s="1"/>
  <c r="AG40" i="313"/>
  <c r="AF40" i="313"/>
  <c r="AF41" i="313" s="1"/>
  <c r="AF42" i="313" s="1"/>
  <c r="AF43" i="313" s="1"/>
  <c r="AF44" i="313" s="1"/>
  <c r="R17" i="313"/>
  <c r="AJ17" i="313" s="1"/>
  <c r="AB16" i="313"/>
  <c r="R16" i="313"/>
  <c r="Z16" i="313" s="1"/>
  <c r="G16" i="313"/>
  <c r="R15" i="313"/>
  <c r="L15" i="313"/>
  <c r="R14" i="313"/>
  <c r="L14" i="313"/>
  <c r="R13" i="313"/>
  <c r="AB13" i="313" s="1"/>
  <c r="L13" i="313"/>
  <c r="R12" i="313"/>
  <c r="AJ12" i="313" s="1"/>
  <c r="AB11" i="313"/>
  <c r="R11" i="313"/>
  <c r="Z11" i="313" s="1"/>
  <c r="R10" i="313"/>
  <c r="AJ10" i="313" s="1"/>
  <c r="R9" i="313"/>
  <c r="L9" i="313"/>
  <c r="R8" i="313"/>
  <c r="L8" i="313"/>
  <c r="R7" i="313"/>
  <c r="L7" i="313"/>
  <c r="R6" i="313"/>
  <c r="L6" i="313"/>
  <c r="B4" i="313"/>
  <c r="A1" i="313"/>
  <c r="B5" i="313" s="1"/>
  <c r="AG50" i="312"/>
  <c r="AG51" i="312" s="1"/>
  <c r="AG52" i="312" s="1"/>
  <c r="AF42" i="312"/>
  <c r="AF43" i="312" s="1"/>
  <c r="AF44" i="312" s="1"/>
  <c r="AF45" i="312" s="1"/>
  <c r="AF46" i="312" s="1"/>
  <c r="AF47" i="312" s="1"/>
  <c r="AG41" i="312"/>
  <c r="AG42" i="312" s="1"/>
  <c r="AG43" i="312" s="1"/>
  <c r="AG44" i="312" s="1"/>
  <c r="AG45" i="312" s="1"/>
  <c r="AG46" i="312" s="1"/>
  <c r="AG47" i="312" s="1"/>
  <c r="AF41" i="312"/>
  <c r="AH40" i="312"/>
  <c r="AH41" i="312" s="1"/>
  <c r="AH42" i="312" s="1"/>
  <c r="AH43" i="312" s="1"/>
  <c r="AH44" i="312" s="1"/>
  <c r="AG40" i="312"/>
  <c r="AF40" i="312"/>
  <c r="AB17" i="312"/>
  <c r="R17" i="312"/>
  <c r="AJ17" i="312" s="1"/>
  <c r="AJ16" i="312"/>
  <c r="AB16" i="312"/>
  <c r="R16" i="312"/>
  <c r="Z16" i="312" s="1"/>
  <c r="G16" i="312"/>
  <c r="R15" i="312"/>
  <c r="L15" i="312"/>
  <c r="R14" i="312"/>
  <c r="L14" i="312"/>
  <c r="R13" i="312"/>
  <c r="L13" i="312"/>
  <c r="AB12" i="312"/>
  <c r="R12" i="312"/>
  <c r="AJ12" i="312" s="1"/>
  <c r="AJ11" i="312"/>
  <c r="AB11" i="312"/>
  <c r="R11" i="312"/>
  <c r="Z11" i="312" s="1"/>
  <c r="AB10" i="312"/>
  <c r="R10" i="312"/>
  <c r="AJ10" i="312" s="1"/>
  <c r="R9" i="312"/>
  <c r="L9" i="312"/>
  <c r="R8" i="312"/>
  <c r="L8" i="312"/>
  <c r="R7" i="312"/>
  <c r="L7" i="312"/>
  <c r="R6" i="312"/>
  <c r="L6" i="312"/>
  <c r="B4" i="312"/>
  <c r="A1" i="312"/>
  <c r="B5" i="312" s="1"/>
  <c r="AG50" i="311"/>
  <c r="AG51" i="311" s="1"/>
  <c r="AG52" i="311" s="1"/>
  <c r="AG53" i="311" s="1"/>
  <c r="AG54" i="311" s="1"/>
  <c r="AG55" i="311" s="1"/>
  <c r="AG56" i="311" s="1"/>
  <c r="AG57" i="311" s="1"/>
  <c r="AF41" i="311"/>
  <c r="AF42" i="311" s="1"/>
  <c r="AF43" i="311" s="1"/>
  <c r="AF44" i="311" s="1"/>
  <c r="AF45" i="311" s="1"/>
  <c r="AF46" i="311" s="1"/>
  <c r="AF47" i="311" s="1"/>
  <c r="AF48" i="311" s="1"/>
  <c r="AF49" i="311" s="1"/>
  <c r="AF50" i="311" s="1"/>
  <c r="AF51" i="311" s="1"/>
  <c r="AF52" i="311" s="1"/>
  <c r="AF53" i="311" s="1"/>
  <c r="AF54" i="311" s="1"/>
  <c r="AF55" i="311" s="1"/>
  <c r="AF56" i="311" s="1"/>
  <c r="AF57" i="311" s="1"/>
  <c r="AH40" i="311"/>
  <c r="AH41" i="311" s="1"/>
  <c r="AH42" i="311" s="1"/>
  <c r="AH43" i="311" s="1"/>
  <c r="AH44" i="311" s="1"/>
  <c r="AH45" i="311" s="1"/>
  <c r="AH46" i="311" s="1"/>
  <c r="AH47" i="311" s="1"/>
  <c r="AH48" i="311" s="1"/>
  <c r="AH49" i="311" s="1"/>
  <c r="AH50" i="311" s="1"/>
  <c r="AH51" i="311" s="1"/>
  <c r="AH52" i="311" s="1"/>
  <c r="AH53" i="311" s="1"/>
  <c r="AH54" i="311" s="1"/>
  <c r="AH55" i="311" s="1"/>
  <c r="AH56" i="311" s="1"/>
  <c r="AH57" i="311" s="1"/>
  <c r="AH58" i="311" s="1"/>
  <c r="AH59" i="311" s="1"/>
  <c r="AG40" i="311"/>
  <c r="AG41" i="311" s="1"/>
  <c r="AG42" i="311" s="1"/>
  <c r="AG43" i="311" s="1"/>
  <c r="AG44" i="311" s="1"/>
  <c r="AG45" i="311" s="1"/>
  <c r="AG46" i="311" s="1"/>
  <c r="AG47" i="311" s="1"/>
  <c r="AG48" i="311" s="1"/>
  <c r="AF40" i="311"/>
  <c r="AJ19" i="311"/>
  <c r="AB19" i="311"/>
  <c r="Z19" i="311"/>
  <c r="AJ18" i="311"/>
  <c r="AB18" i="311"/>
  <c r="Z18" i="311"/>
  <c r="AJ17" i="311"/>
  <c r="AB17" i="311"/>
  <c r="Z17" i="311"/>
  <c r="AJ16" i="311"/>
  <c r="AB16" i="311"/>
  <c r="Z16" i="311"/>
  <c r="G16" i="311"/>
  <c r="AJ15" i="311"/>
  <c r="AB15" i="311"/>
  <c r="Z15" i="311"/>
  <c r="AJ14" i="311"/>
  <c r="AB14" i="311"/>
  <c r="Z14" i="311"/>
  <c r="AJ13" i="311"/>
  <c r="AB13" i="311"/>
  <c r="Z13" i="311"/>
  <c r="AJ12" i="311"/>
  <c r="AB12" i="311"/>
  <c r="Z12" i="311"/>
  <c r="R11" i="311"/>
  <c r="AJ11" i="311" s="1"/>
  <c r="L11" i="311"/>
  <c r="R10" i="311"/>
  <c r="AJ10" i="311" s="1"/>
  <c r="L10" i="311"/>
  <c r="AJ9" i="311"/>
  <c r="AB9" i="311"/>
  <c r="Z9" i="311"/>
  <c r="R8" i="311"/>
  <c r="AJ8" i="311" s="1"/>
  <c r="L8" i="311"/>
  <c r="R7" i="311"/>
  <c r="AJ7" i="311" s="1"/>
  <c r="L7" i="311"/>
  <c r="R6" i="311"/>
  <c r="AJ6" i="311" s="1"/>
  <c r="L6" i="311"/>
  <c r="B4" i="311"/>
  <c r="A1" i="311"/>
  <c r="B5" i="311" s="1"/>
  <c r="AG50" i="310"/>
  <c r="AG51" i="310" s="1"/>
  <c r="AG52" i="310" s="1"/>
  <c r="AG53" i="310" s="1"/>
  <c r="AG54" i="310" s="1"/>
  <c r="AG55" i="310" s="1"/>
  <c r="AG41" i="310"/>
  <c r="AG42" i="310" s="1"/>
  <c r="AG43" i="310" s="1"/>
  <c r="AG44" i="310" s="1"/>
  <c r="AG45" i="310" s="1"/>
  <c r="AG46" i="310" s="1"/>
  <c r="AG47" i="310" s="1"/>
  <c r="AF41" i="310"/>
  <c r="AF42" i="310" s="1"/>
  <c r="AF43" i="310" s="1"/>
  <c r="AF44" i="310" s="1"/>
  <c r="AF45" i="310" s="1"/>
  <c r="AF46" i="310" s="1"/>
  <c r="AF47" i="310" s="1"/>
  <c r="AF48" i="310" s="1"/>
  <c r="AF49" i="310" s="1"/>
  <c r="AF50" i="310" s="1"/>
  <c r="AF51" i="310" s="1"/>
  <c r="AF52" i="310" s="1"/>
  <c r="AF53" i="310" s="1"/>
  <c r="AF54" i="310" s="1"/>
  <c r="AF55" i="310" s="1"/>
  <c r="AF56" i="310" s="1"/>
  <c r="AF57" i="310" s="1"/>
  <c r="AF58" i="310" s="1"/>
  <c r="AH40" i="310"/>
  <c r="AH41" i="310" s="1"/>
  <c r="AH42" i="310" s="1"/>
  <c r="AH43" i="310" s="1"/>
  <c r="AH44" i="310" s="1"/>
  <c r="AH45" i="310" s="1"/>
  <c r="AH46" i="310" s="1"/>
  <c r="AH47" i="310" s="1"/>
  <c r="AH48" i="310" s="1"/>
  <c r="AH49" i="310" s="1"/>
  <c r="AH50" i="310" s="1"/>
  <c r="AH51" i="310" s="1"/>
  <c r="AH52" i="310" s="1"/>
  <c r="AH53" i="310" s="1"/>
  <c r="AH54" i="310" s="1"/>
  <c r="AH55" i="310" s="1"/>
  <c r="AH56" i="310" s="1"/>
  <c r="AH57" i="310" s="1"/>
  <c r="AH58" i="310" s="1"/>
  <c r="AG40" i="310"/>
  <c r="AF40" i="310"/>
  <c r="AJ19" i="310"/>
  <c r="AB19" i="310"/>
  <c r="Z19" i="310"/>
  <c r="AJ18" i="310"/>
  <c r="AB18" i="310"/>
  <c r="Z18" i="310"/>
  <c r="AJ17" i="310"/>
  <c r="AB17" i="310"/>
  <c r="Z17" i="310"/>
  <c r="AJ16" i="310"/>
  <c r="AB16" i="310"/>
  <c r="Z16" i="310"/>
  <c r="G16" i="310"/>
  <c r="AJ15" i="310"/>
  <c r="AB15" i="310"/>
  <c r="Z15" i="310"/>
  <c r="AJ14" i="310"/>
  <c r="AB14" i="310"/>
  <c r="Z14" i="310"/>
  <c r="AJ13" i="310"/>
  <c r="AB13" i="310"/>
  <c r="Z13" i="310"/>
  <c r="AJ12" i="310"/>
  <c r="AB12" i="310"/>
  <c r="Z12" i="310"/>
  <c r="R11" i="310"/>
  <c r="AJ11" i="310" s="1"/>
  <c r="L11" i="310"/>
  <c r="R10" i="310"/>
  <c r="AJ10" i="310" s="1"/>
  <c r="L10" i="310"/>
  <c r="AJ9" i="310"/>
  <c r="AB9" i="310"/>
  <c r="Z9" i="310"/>
  <c r="R8" i="310"/>
  <c r="AJ8" i="310" s="1"/>
  <c r="L8" i="310"/>
  <c r="R7" i="310"/>
  <c r="L7" i="310"/>
  <c r="R6" i="310"/>
  <c r="AJ6" i="310" s="1"/>
  <c r="L6" i="310"/>
  <c r="B4" i="310"/>
  <c r="A1" i="310"/>
  <c r="B5" i="310" s="1"/>
  <c r="AG51" i="309"/>
  <c r="AG52" i="309" s="1"/>
  <c r="AG53" i="309" s="1"/>
  <c r="AG54" i="309" s="1"/>
  <c r="AG50" i="309"/>
  <c r="AF41" i="309"/>
  <c r="AF42" i="309" s="1"/>
  <c r="AF43" i="309" s="1"/>
  <c r="AF44" i="309" s="1"/>
  <c r="AF45" i="309" s="1"/>
  <c r="AF46" i="309" s="1"/>
  <c r="AF47" i="309" s="1"/>
  <c r="AF48" i="309" s="1"/>
  <c r="AF49" i="309" s="1"/>
  <c r="AH40" i="309"/>
  <c r="AH41" i="309" s="1"/>
  <c r="AH42" i="309" s="1"/>
  <c r="AH43" i="309" s="1"/>
  <c r="AH44" i="309" s="1"/>
  <c r="AH45" i="309" s="1"/>
  <c r="AH46" i="309" s="1"/>
  <c r="AH47" i="309" s="1"/>
  <c r="AH48" i="309" s="1"/>
  <c r="AH49" i="309" s="1"/>
  <c r="AG40" i="309"/>
  <c r="AG41" i="309" s="1"/>
  <c r="AG42" i="309" s="1"/>
  <c r="AG43" i="309" s="1"/>
  <c r="AG44" i="309" s="1"/>
  <c r="AG45" i="309" s="1"/>
  <c r="AG46" i="309" s="1"/>
  <c r="AG47" i="309" s="1"/>
  <c r="AG48" i="309" s="1"/>
  <c r="AF40" i="309"/>
  <c r="AJ19" i="309"/>
  <c r="R19" i="309"/>
  <c r="AB19" i="309" s="1"/>
  <c r="AJ18" i="309"/>
  <c r="R18" i="309"/>
  <c r="AB18" i="309" s="1"/>
  <c r="AJ17" i="309"/>
  <c r="R17" i="309"/>
  <c r="AB17" i="309" s="1"/>
  <c r="AJ16" i="309"/>
  <c r="R16" i="309"/>
  <c r="AB16" i="309" s="1"/>
  <c r="G16" i="309"/>
  <c r="R15" i="309"/>
  <c r="AJ15" i="309" s="1"/>
  <c r="L15" i="309"/>
  <c r="AB14" i="309"/>
  <c r="R14" i="309"/>
  <c r="L14" i="309"/>
  <c r="R13" i="309"/>
  <c r="L13" i="309"/>
  <c r="AJ12" i="309"/>
  <c r="Z12" i="309"/>
  <c r="R12" i="309"/>
  <c r="AB12" i="309" s="1"/>
  <c r="R11" i="309"/>
  <c r="L11" i="309"/>
  <c r="R10" i="309"/>
  <c r="L10" i="309"/>
  <c r="R9" i="309"/>
  <c r="L9" i="309"/>
  <c r="AB8" i="309"/>
  <c r="R8" i="309"/>
  <c r="Z8" i="309" s="1"/>
  <c r="R7" i="309"/>
  <c r="L7" i="309"/>
  <c r="R6" i="309"/>
  <c r="L6" i="309"/>
  <c r="B4" i="309"/>
  <c r="A1" i="309"/>
  <c r="B5" i="309" s="1"/>
  <c r="AG50" i="308"/>
  <c r="AG51" i="308" s="1"/>
  <c r="AG52" i="308" s="1"/>
  <c r="AG53" i="308" s="1"/>
  <c r="AG54" i="308" s="1"/>
  <c r="AG42" i="308"/>
  <c r="AG43" i="308" s="1"/>
  <c r="AG44" i="308" s="1"/>
  <c r="AG45" i="308" s="1"/>
  <c r="AG46" i="308" s="1"/>
  <c r="AG47" i="308" s="1"/>
  <c r="AG48" i="308" s="1"/>
  <c r="AH41" i="308"/>
  <c r="AH42" i="308" s="1"/>
  <c r="AH43" i="308" s="1"/>
  <c r="AH44" i="308" s="1"/>
  <c r="AH45" i="308" s="1"/>
  <c r="AH46" i="308" s="1"/>
  <c r="AH47" i="308" s="1"/>
  <c r="AH48" i="308" s="1"/>
  <c r="AH49" i="308" s="1"/>
  <c r="AH50" i="308" s="1"/>
  <c r="AH51" i="308" s="1"/>
  <c r="AH52" i="308" s="1"/>
  <c r="AG41" i="308"/>
  <c r="AF41" i="308"/>
  <c r="AF42" i="308" s="1"/>
  <c r="AF43" i="308" s="1"/>
  <c r="AF44" i="308" s="1"/>
  <c r="AF45" i="308" s="1"/>
  <c r="AF46" i="308" s="1"/>
  <c r="AF47" i="308" s="1"/>
  <c r="AF48" i="308" s="1"/>
  <c r="AF49" i="308" s="1"/>
  <c r="AH40" i="308"/>
  <c r="AG40" i="308"/>
  <c r="AF40" i="308"/>
  <c r="AJ19" i="308"/>
  <c r="R19" i="308"/>
  <c r="AB19" i="308" s="1"/>
  <c r="AJ18" i="308"/>
  <c r="R18" i="308"/>
  <c r="AB18" i="308" s="1"/>
  <c r="AJ17" i="308"/>
  <c r="R17" i="308"/>
  <c r="AB17" i="308" s="1"/>
  <c r="AJ16" i="308"/>
  <c r="R16" i="308"/>
  <c r="AB16" i="308" s="1"/>
  <c r="G16" i="308"/>
  <c r="R15" i="308"/>
  <c r="AJ15" i="308" s="1"/>
  <c r="L15" i="308"/>
  <c r="AB14" i="308"/>
  <c r="R14" i="308"/>
  <c r="AJ14" i="308" s="1"/>
  <c r="L14" i="308"/>
  <c r="R13" i="308"/>
  <c r="L13" i="308"/>
  <c r="AJ12" i="308"/>
  <c r="R12" i="308"/>
  <c r="AB12" i="308" s="1"/>
  <c r="R11" i="308"/>
  <c r="L11" i="308"/>
  <c r="R10" i="308"/>
  <c r="L10" i="308"/>
  <c r="R9" i="308"/>
  <c r="L9" i="308"/>
  <c r="AJ8" i="308"/>
  <c r="AB8" i="308"/>
  <c r="Z8" i="308"/>
  <c r="R8" i="308"/>
  <c r="R7" i="308"/>
  <c r="L7" i="308"/>
  <c r="R6" i="308"/>
  <c r="AB6" i="308" s="1"/>
  <c r="L6" i="308"/>
  <c r="B4" i="308"/>
  <c r="A1" i="308"/>
  <c r="B5" i="308" s="1"/>
  <c r="AG51" i="307"/>
  <c r="AG52" i="307" s="1"/>
  <c r="AG53" i="307" s="1"/>
  <c r="AG54" i="307" s="1"/>
  <c r="AG55" i="307" s="1"/>
  <c r="AG56" i="307" s="1"/>
  <c r="AG57" i="307" s="1"/>
  <c r="AG58" i="307" s="1"/>
  <c r="AG59" i="307" s="1"/>
  <c r="AG50" i="307"/>
  <c r="AH43" i="307"/>
  <c r="AH44" i="307" s="1"/>
  <c r="AH45" i="307" s="1"/>
  <c r="AH46" i="307" s="1"/>
  <c r="AH42" i="307"/>
  <c r="AH41" i="307"/>
  <c r="AF41" i="307"/>
  <c r="AF42" i="307" s="1"/>
  <c r="AF43" i="307" s="1"/>
  <c r="AF44" i="307" s="1"/>
  <c r="AF45" i="307" s="1"/>
  <c r="AF46" i="307" s="1"/>
  <c r="AF47" i="307" s="1"/>
  <c r="AH40" i="307"/>
  <c r="AG40" i="307"/>
  <c r="AG41" i="307" s="1"/>
  <c r="AG42" i="307" s="1"/>
  <c r="AG43" i="307" s="1"/>
  <c r="AG44" i="307" s="1"/>
  <c r="AG45" i="307" s="1"/>
  <c r="AG46" i="307" s="1"/>
  <c r="AF40" i="307"/>
  <c r="R19" i="307"/>
  <c r="AJ19" i="307" s="1"/>
  <c r="AJ18" i="307"/>
  <c r="R18" i="307"/>
  <c r="AB18" i="307" s="1"/>
  <c r="R17" i="307"/>
  <c r="AJ17" i="307" s="1"/>
  <c r="AJ16" i="307"/>
  <c r="R16" i="307"/>
  <c r="AB16" i="307" s="1"/>
  <c r="G16" i="307"/>
  <c r="R15" i="307"/>
  <c r="AJ15" i="307" s="1"/>
  <c r="L15" i="307"/>
  <c r="R14" i="307"/>
  <c r="L14" i="307"/>
  <c r="R13" i="307"/>
  <c r="L13" i="307"/>
  <c r="R12" i="307"/>
  <c r="L12" i="307"/>
  <c r="R11" i="307"/>
  <c r="L11" i="307"/>
  <c r="Z10" i="307"/>
  <c r="R10" i="307"/>
  <c r="AJ10" i="307" s="1"/>
  <c r="AJ9" i="307"/>
  <c r="AB9" i="307"/>
  <c r="R9" i="307"/>
  <c r="Z9" i="307" s="1"/>
  <c r="R8" i="307"/>
  <c r="L8" i="307"/>
  <c r="R7" i="307"/>
  <c r="AB7" i="307" s="1"/>
  <c r="L7" i="307"/>
  <c r="R6" i="307"/>
  <c r="AB6" i="307" s="1"/>
  <c r="L6" i="307"/>
  <c r="B4" i="307"/>
  <c r="A1" i="307"/>
  <c r="B5" i="307" s="1"/>
  <c r="AG50" i="306"/>
  <c r="AG51" i="306" s="1"/>
  <c r="AG52" i="306" s="1"/>
  <c r="AG53" i="306" s="1"/>
  <c r="AG54" i="306" s="1"/>
  <c r="AG55" i="306" s="1"/>
  <c r="AG41" i="306"/>
  <c r="AG42" i="306" s="1"/>
  <c r="AG43" i="306" s="1"/>
  <c r="AG44" i="306" s="1"/>
  <c r="AG45" i="306" s="1"/>
  <c r="AG46" i="306" s="1"/>
  <c r="AF41" i="306"/>
  <c r="AF42" i="306" s="1"/>
  <c r="AF43" i="306" s="1"/>
  <c r="AF44" i="306" s="1"/>
  <c r="AF45" i="306" s="1"/>
  <c r="AF46" i="306" s="1"/>
  <c r="AH40" i="306"/>
  <c r="AH41" i="306" s="1"/>
  <c r="AH42" i="306" s="1"/>
  <c r="AH43" i="306" s="1"/>
  <c r="AH44" i="306" s="1"/>
  <c r="AH45" i="306" s="1"/>
  <c r="AH46" i="306" s="1"/>
  <c r="AG40" i="306"/>
  <c r="AF40" i="306"/>
  <c r="R19" i="306"/>
  <c r="AJ19" i="306" s="1"/>
  <c r="AJ18" i="306"/>
  <c r="R18" i="306"/>
  <c r="AB18" i="306" s="1"/>
  <c r="R17" i="306"/>
  <c r="AJ17" i="306" s="1"/>
  <c r="AJ16" i="306"/>
  <c r="R16" i="306"/>
  <c r="AB16" i="306" s="1"/>
  <c r="G16" i="306"/>
  <c r="R15" i="306"/>
  <c r="Z15" i="306" s="1"/>
  <c r="L15" i="306"/>
  <c r="R14" i="306"/>
  <c r="AJ14" i="306" s="1"/>
  <c r="L14" i="306"/>
  <c r="R13" i="306"/>
  <c r="L13" i="306"/>
  <c r="R12" i="306"/>
  <c r="L12" i="306"/>
  <c r="R11" i="306"/>
  <c r="L11" i="306"/>
  <c r="AB10" i="306"/>
  <c r="Z10" i="306"/>
  <c r="R10" i="306"/>
  <c r="AJ10" i="306" s="1"/>
  <c r="AB9" i="306"/>
  <c r="R9" i="306"/>
  <c r="AJ9" i="306" s="1"/>
  <c r="R8" i="306"/>
  <c r="L8" i="306"/>
  <c r="R7" i="306"/>
  <c r="L7" i="306"/>
  <c r="R6" i="306"/>
  <c r="AB6" i="306" s="1"/>
  <c r="L6" i="306"/>
  <c r="B4" i="306"/>
  <c r="A1" i="306"/>
  <c r="B5" i="306" s="1"/>
  <c r="AG51" i="305"/>
  <c r="AG52" i="305" s="1"/>
  <c r="AG53" i="305" s="1"/>
  <c r="AG54" i="305" s="1"/>
  <c r="AG55" i="305" s="1"/>
  <c r="AG56" i="305" s="1"/>
  <c r="AG57" i="305" s="1"/>
  <c r="AG58" i="305" s="1"/>
  <c r="AG59" i="305" s="1"/>
  <c r="AG50" i="305"/>
  <c r="AF41" i="305"/>
  <c r="AF42" i="305" s="1"/>
  <c r="AF43" i="305" s="1"/>
  <c r="AF44" i="305" s="1"/>
  <c r="AF45" i="305" s="1"/>
  <c r="AF46" i="305" s="1"/>
  <c r="AH40" i="305"/>
  <c r="AH41" i="305" s="1"/>
  <c r="AH42" i="305" s="1"/>
  <c r="AH43" i="305" s="1"/>
  <c r="AH44" i="305" s="1"/>
  <c r="AH45" i="305" s="1"/>
  <c r="AH46" i="305" s="1"/>
  <c r="AH47" i="305" s="1"/>
  <c r="AH48" i="305" s="1"/>
  <c r="AH49" i="305" s="1"/>
  <c r="AH50" i="305" s="1"/>
  <c r="AH51" i="305" s="1"/>
  <c r="AH52" i="305" s="1"/>
  <c r="AH53" i="305" s="1"/>
  <c r="AH54" i="305" s="1"/>
  <c r="AH55" i="305" s="1"/>
  <c r="AH56" i="305" s="1"/>
  <c r="AH57" i="305" s="1"/>
  <c r="AG40" i="305"/>
  <c r="AG41" i="305" s="1"/>
  <c r="AG42" i="305" s="1"/>
  <c r="AG43" i="305" s="1"/>
  <c r="AG44" i="305" s="1"/>
  <c r="AG45" i="305" s="1"/>
  <c r="AG46" i="305" s="1"/>
  <c r="AF40" i="305"/>
  <c r="R20" i="305"/>
  <c r="AJ20" i="305" s="1"/>
  <c r="AJ19" i="305"/>
  <c r="R19" i="305"/>
  <c r="AB19" i="305" s="1"/>
  <c r="R18" i="305"/>
  <c r="AJ18" i="305" s="1"/>
  <c r="L18" i="305"/>
  <c r="R17" i="305"/>
  <c r="AJ17" i="305" s="1"/>
  <c r="L17" i="305"/>
  <c r="R16" i="305"/>
  <c r="AJ16" i="305" s="1"/>
  <c r="L16" i="305"/>
  <c r="G16" i="305"/>
  <c r="R15" i="305"/>
  <c r="AJ15" i="305" s="1"/>
  <c r="L15" i="305"/>
  <c r="R14" i="305"/>
  <c r="AJ14" i="305" s="1"/>
  <c r="L14" i="305"/>
  <c r="AB13" i="305"/>
  <c r="Z13" i="305"/>
  <c r="R13" i="305"/>
  <c r="AJ13" i="305" s="1"/>
  <c r="R12" i="305"/>
  <c r="L12" i="305"/>
  <c r="R11" i="305"/>
  <c r="L11" i="305"/>
  <c r="R10" i="305"/>
  <c r="L10" i="305"/>
  <c r="R9" i="305"/>
  <c r="L9" i="305"/>
  <c r="R8" i="305"/>
  <c r="L8" i="305"/>
  <c r="R7" i="305"/>
  <c r="AB7" i="305" s="1"/>
  <c r="L7" i="305"/>
  <c r="R6" i="305"/>
  <c r="L6" i="305"/>
  <c r="B4" i="305"/>
  <c r="A1" i="305"/>
  <c r="B5" i="305" s="1"/>
  <c r="AG50" i="304"/>
  <c r="AG51" i="304" s="1"/>
  <c r="AG52" i="304" s="1"/>
  <c r="AG53" i="304" s="1"/>
  <c r="AG54" i="304" s="1"/>
  <c r="AG55" i="304" s="1"/>
  <c r="AG56" i="304" s="1"/>
  <c r="AG57" i="304" s="1"/>
  <c r="AG41" i="304"/>
  <c r="AG42" i="304" s="1"/>
  <c r="AG43" i="304" s="1"/>
  <c r="AG44" i="304" s="1"/>
  <c r="AG45" i="304" s="1"/>
  <c r="AG46" i="304" s="1"/>
  <c r="AF41" i="304"/>
  <c r="AF42" i="304" s="1"/>
  <c r="AF43" i="304" s="1"/>
  <c r="AF44" i="304" s="1"/>
  <c r="AF45" i="304" s="1"/>
  <c r="AF46" i="304" s="1"/>
  <c r="AH40" i="304"/>
  <c r="AH41" i="304" s="1"/>
  <c r="AH42" i="304" s="1"/>
  <c r="AH43" i="304" s="1"/>
  <c r="AH44" i="304" s="1"/>
  <c r="AH45" i="304" s="1"/>
  <c r="AH46" i="304" s="1"/>
  <c r="AG40" i="304"/>
  <c r="AF40" i="304"/>
  <c r="R20" i="304"/>
  <c r="AJ20" i="304" s="1"/>
  <c r="AJ19" i="304"/>
  <c r="AB19" i="304"/>
  <c r="R19" i="304"/>
  <c r="Z19" i="304" s="1"/>
  <c r="R18" i="304"/>
  <c r="L18" i="304"/>
  <c r="R17" i="304"/>
  <c r="L17" i="304"/>
  <c r="R16" i="304"/>
  <c r="AJ16" i="304" s="1"/>
  <c r="L16" i="304"/>
  <c r="G16" i="304"/>
  <c r="R15" i="304"/>
  <c r="L15" i="304"/>
  <c r="R14" i="304"/>
  <c r="L14" i="304"/>
  <c r="R13" i="304"/>
  <c r="AJ13" i="304" s="1"/>
  <c r="R12" i="304"/>
  <c r="L12" i="304"/>
  <c r="R11" i="304"/>
  <c r="L11" i="304"/>
  <c r="R10" i="304"/>
  <c r="L10" i="304"/>
  <c r="R9" i="304"/>
  <c r="L9" i="304"/>
  <c r="R8" i="304"/>
  <c r="L8" i="304"/>
  <c r="R7" i="304"/>
  <c r="L7" i="304"/>
  <c r="R6" i="304"/>
  <c r="L6" i="304"/>
  <c r="B4" i="304"/>
  <c r="A1" i="304"/>
  <c r="B5" i="304" s="1"/>
  <c r="AG50" i="303"/>
  <c r="AG51" i="303" s="1"/>
  <c r="AH41" i="303"/>
  <c r="AH42" i="303" s="1"/>
  <c r="AH43" i="303" s="1"/>
  <c r="AH44" i="303" s="1"/>
  <c r="AH45" i="303" s="1"/>
  <c r="AH46" i="303" s="1"/>
  <c r="AH47" i="303" s="1"/>
  <c r="AH48" i="303" s="1"/>
  <c r="AH49" i="303" s="1"/>
  <c r="AH50" i="303" s="1"/>
  <c r="AG41" i="303"/>
  <c r="AG42" i="303" s="1"/>
  <c r="AG43" i="303" s="1"/>
  <c r="AG44" i="303" s="1"/>
  <c r="AG45" i="303" s="1"/>
  <c r="AG46" i="303" s="1"/>
  <c r="AG47" i="303" s="1"/>
  <c r="AG48" i="303" s="1"/>
  <c r="AF41" i="303"/>
  <c r="AF42" i="303" s="1"/>
  <c r="AF43" i="303" s="1"/>
  <c r="AF44" i="303" s="1"/>
  <c r="AF45" i="303" s="1"/>
  <c r="AF46" i="303" s="1"/>
  <c r="AF47" i="303" s="1"/>
  <c r="AF48" i="303" s="1"/>
  <c r="AF49" i="303" s="1"/>
  <c r="AF50" i="303" s="1"/>
  <c r="AH40" i="303"/>
  <c r="AG40" i="303"/>
  <c r="AF40" i="303"/>
  <c r="R16" i="303"/>
  <c r="AJ16" i="303" s="1"/>
  <c r="G16" i="303"/>
  <c r="R15" i="303"/>
  <c r="AJ15" i="303" s="1"/>
  <c r="R14" i="303"/>
  <c r="Z14" i="303" s="1"/>
  <c r="R13" i="303"/>
  <c r="AJ13" i="303" s="1"/>
  <c r="R12" i="303"/>
  <c r="Z12" i="303" s="1"/>
  <c r="R11" i="303"/>
  <c r="AJ11" i="303" s="1"/>
  <c r="AB10" i="303"/>
  <c r="Z10" i="303"/>
  <c r="R10" i="303"/>
  <c r="AJ10" i="303" s="1"/>
  <c r="R9" i="303"/>
  <c r="AJ9" i="303" s="1"/>
  <c r="R8" i="303"/>
  <c r="AB7" i="303"/>
  <c r="R7" i="303"/>
  <c r="AJ7" i="303" s="1"/>
  <c r="AB6" i="303"/>
  <c r="R6" i="303"/>
  <c r="B4" i="303"/>
  <c r="A1" i="303"/>
  <c r="B5" i="303" s="1"/>
  <c r="AG50" i="302"/>
  <c r="AG51" i="302" s="1"/>
  <c r="AG41" i="302"/>
  <c r="AG42" i="302" s="1"/>
  <c r="AG43" i="302" s="1"/>
  <c r="AG44" i="302" s="1"/>
  <c r="AG45" i="302" s="1"/>
  <c r="AG46" i="302" s="1"/>
  <c r="AG47" i="302" s="1"/>
  <c r="AG48" i="302" s="1"/>
  <c r="AF41" i="302"/>
  <c r="AF42" i="302" s="1"/>
  <c r="AF43" i="302" s="1"/>
  <c r="AF44" i="302" s="1"/>
  <c r="AF45" i="302" s="1"/>
  <c r="AF46" i="302" s="1"/>
  <c r="AF47" i="302" s="1"/>
  <c r="AF48" i="302" s="1"/>
  <c r="AF49" i="302" s="1"/>
  <c r="AF50" i="302" s="1"/>
  <c r="AH40" i="302"/>
  <c r="AH41" i="302" s="1"/>
  <c r="AH42" i="302" s="1"/>
  <c r="AH43" i="302" s="1"/>
  <c r="AH44" i="302" s="1"/>
  <c r="AH45" i="302" s="1"/>
  <c r="AH46" i="302" s="1"/>
  <c r="AH47" i="302" s="1"/>
  <c r="AH48" i="302" s="1"/>
  <c r="AH49" i="302" s="1"/>
  <c r="AH50" i="302" s="1"/>
  <c r="AG40" i="302"/>
  <c r="AF40" i="302"/>
  <c r="R16" i="302"/>
  <c r="AJ16" i="302" s="1"/>
  <c r="G16" i="302"/>
  <c r="R15" i="302"/>
  <c r="AJ15" i="302" s="1"/>
  <c r="R14" i="302"/>
  <c r="Z14" i="302" s="1"/>
  <c r="R13" i="302"/>
  <c r="AJ13" i="302" s="1"/>
  <c r="R12" i="302"/>
  <c r="AJ12" i="302" s="1"/>
  <c r="Z11" i="302"/>
  <c r="R11" i="302"/>
  <c r="AJ11" i="302" s="1"/>
  <c r="AB10" i="302"/>
  <c r="Z10" i="302"/>
  <c r="R10" i="302"/>
  <c r="AJ10" i="302" s="1"/>
  <c r="Z9" i="302"/>
  <c r="R9" i="302"/>
  <c r="AJ9" i="302" s="1"/>
  <c r="R8" i="302"/>
  <c r="AB7" i="302"/>
  <c r="R7" i="302"/>
  <c r="AJ7" i="302" s="1"/>
  <c r="AB6" i="302"/>
  <c r="R6" i="302"/>
  <c r="B4" i="302"/>
  <c r="A1" i="302"/>
  <c r="B5" i="302" s="1"/>
  <c r="AF45" i="313" l="1"/>
  <c r="AF46" i="313" s="1"/>
  <c r="AF47" i="313" s="1"/>
  <c r="Z15" i="313"/>
  <c r="AJ14" i="313"/>
  <c r="AB7" i="313"/>
  <c r="AG58" i="313"/>
  <c r="AJ13" i="313"/>
  <c r="AH48" i="313"/>
  <c r="AH49" i="313" s="1"/>
  <c r="AH50" i="313" s="1"/>
  <c r="AH51" i="313" s="1"/>
  <c r="AH52" i="313" s="1"/>
  <c r="AB6" i="313"/>
  <c r="AJ15" i="313"/>
  <c r="AG48" i="313"/>
  <c r="AB14" i="313"/>
  <c r="AJ11" i="313"/>
  <c r="AJ16" i="313"/>
  <c r="Z10" i="313"/>
  <c r="Z12" i="313"/>
  <c r="AB15" i="313"/>
  <c r="Z17" i="313"/>
  <c r="AB10" i="313"/>
  <c r="AB12" i="313"/>
  <c r="AB17" i="313"/>
  <c r="Z14" i="313"/>
  <c r="AG53" i="312"/>
  <c r="AG54" i="312" s="1"/>
  <c r="AG55" i="312" s="1"/>
  <c r="AG56" i="312" s="1"/>
  <c r="AG57" i="312" s="1"/>
  <c r="AG58" i="312" s="1"/>
  <c r="AB6" i="312"/>
  <c r="AB15" i="312"/>
  <c r="AB8" i="312"/>
  <c r="AH45" i="312"/>
  <c r="AH46" i="312" s="1"/>
  <c r="AH47" i="312" s="1"/>
  <c r="AJ15" i="312"/>
  <c r="AG48" i="312"/>
  <c r="AB13" i="312"/>
  <c r="Z13" i="312"/>
  <c r="AF48" i="312"/>
  <c r="AF49" i="312" s="1"/>
  <c r="AF50" i="312" s="1"/>
  <c r="AF51" i="312" s="1"/>
  <c r="AF52" i="312" s="1"/>
  <c r="Z15" i="312"/>
  <c r="Z10" i="312"/>
  <c r="Z12" i="312"/>
  <c r="Z17" i="312"/>
  <c r="Z14" i="312"/>
  <c r="AB7" i="312"/>
  <c r="AB14" i="312"/>
  <c r="AG58" i="311"/>
  <c r="AB6" i="311"/>
  <c r="AF58" i="311"/>
  <c r="Z6" i="311"/>
  <c r="Z11" i="311"/>
  <c r="AB11" i="311"/>
  <c r="Z8" i="311"/>
  <c r="Z10" i="311"/>
  <c r="AB8" i="311"/>
  <c r="AB10" i="311"/>
  <c r="AH59" i="310"/>
  <c r="AJ7" i="310"/>
  <c r="Z7" i="310"/>
  <c r="AF59" i="310"/>
  <c r="AG48" i="310"/>
  <c r="AB10" i="310"/>
  <c r="AG56" i="310"/>
  <c r="AG57" i="310" s="1"/>
  <c r="AG58" i="310" s="1"/>
  <c r="AB8" i="310"/>
  <c r="Z6" i="310"/>
  <c r="AB11" i="310"/>
  <c r="Z11" i="310"/>
  <c r="AB6" i="310"/>
  <c r="Z8" i="310"/>
  <c r="Z10" i="310"/>
  <c r="Z14" i="309"/>
  <c r="AF50" i="309"/>
  <c r="AF51" i="309" s="1"/>
  <c r="AF52" i="309" s="1"/>
  <c r="AF53" i="309" s="1"/>
  <c r="AF54" i="309" s="1"/>
  <c r="AB9" i="309"/>
  <c r="AG55" i="309"/>
  <c r="AG56" i="309" s="1"/>
  <c r="AG57" i="309" s="1"/>
  <c r="AB6" i="309"/>
  <c r="AJ14" i="309"/>
  <c r="AH50" i="309"/>
  <c r="AH51" i="309" s="1"/>
  <c r="AH52" i="309" s="1"/>
  <c r="AJ8" i="309"/>
  <c r="Z15" i="309"/>
  <c r="AB10" i="309"/>
  <c r="AB15" i="309"/>
  <c r="Z17" i="309"/>
  <c r="Z19" i="309"/>
  <c r="Z6" i="309"/>
  <c r="Z16" i="309"/>
  <c r="Z18" i="309"/>
  <c r="Z14" i="308"/>
  <c r="AF50" i="308"/>
  <c r="AF51" i="308" s="1"/>
  <c r="AF52" i="308" s="1"/>
  <c r="AF53" i="308" s="1"/>
  <c r="AF54" i="308" s="1"/>
  <c r="AJ10" i="308"/>
  <c r="AB11" i="308"/>
  <c r="AH53" i="308"/>
  <c r="AH54" i="308" s="1"/>
  <c r="AH55" i="308" s="1"/>
  <c r="AJ6" i="308"/>
  <c r="AB9" i="308"/>
  <c r="AG55" i="308"/>
  <c r="AG56" i="308" s="1"/>
  <c r="AG57" i="308" s="1"/>
  <c r="Z15" i="308"/>
  <c r="AB10" i="308"/>
  <c r="Z12" i="308"/>
  <c r="AB15" i="308"/>
  <c r="Z17" i="308"/>
  <c r="Z19" i="308"/>
  <c r="Z16" i="308"/>
  <c r="Z18" i="308"/>
  <c r="AB14" i="307"/>
  <c r="AG47" i="307"/>
  <c r="AB12" i="307" s="1"/>
  <c r="AB13" i="307"/>
  <c r="AF48" i="307"/>
  <c r="AF49" i="307" s="1"/>
  <c r="AF50" i="307" s="1"/>
  <c r="AF51" i="307" s="1"/>
  <c r="AF52" i="307" s="1"/>
  <c r="AF53" i="307" s="1"/>
  <c r="Z11" i="307"/>
  <c r="Z13" i="307"/>
  <c r="Z14" i="307"/>
  <c r="AJ14" i="307"/>
  <c r="AH47" i="307"/>
  <c r="AB8" i="307"/>
  <c r="AB10" i="307"/>
  <c r="AJ13" i="307"/>
  <c r="Z15" i="307"/>
  <c r="Z12" i="307"/>
  <c r="AB15" i="307"/>
  <c r="Z17" i="307"/>
  <c r="Z19" i="307"/>
  <c r="AB17" i="307"/>
  <c r="AB19" i="307"/>
  <c r="Z6" i="307"/>
  <c r="Z16" i="307"/>
  <c r="Z18" i="307"/>
  <c r="AB11" i="306"/>
  <c r="AB8" i="306"/>
  <c r="AG56" i="306"/>
  <c r="AG57" i="306" s="1"/>
  <c r="AG58" i="306" s="1"/>
  <c r="AG59" i="306" s="1"/>
  <c r="AB7" i="306"/>
  <c r="AJ13" i="306"/>
  <c r="AH47" i="306"/>
  <c r="Z13" i="306"/>
  <c r="AF47" i="306"/>
  <c r="Z12" i="306" s="1"/>
  <c r="AB14" i="306"/>
  <c r="AB13" i="306"/>
  <c r="AG47" i="306"/>
  <c r="AG48" i="306" s="1"/>
  <c r="AB15" i="306"/>
  <c r="Z17" i="306"/>
  <c r="Z19" i="306"/>
  <c r="AJ15" i="306"/>
  <c r="AB17" i="306"/>
  <c r="AB19" i="306"/>
  <c r="Z9" i="306"/>
  <c r="Z14" i="306"/>
  <c r="Z16" i="306"/>
  <c r="Z18" i="306"/>
  <c r="AB9" i="305"/>
  <c r="AB12" i="305"/>
  <c r="AB11" i="305"/>
  <c r="AB8" i="305"/>
  <c r="Z14" i="305"/>
  <c r="Z16" i="305"/>
  <c r="AF47" i="305"/>
  <c r="AB14" i="305"/>
  <c r="AG47" i="305"/>
  <c r="AB16" i="305"/>
  <c r="AB6" i="305"/>
  <c r="AJ6" i="305"/>
  <c r="AH58" i="305"/>
  <c r="AH59" i="305" s="1"/>
  <c r="AJ9" i="305" s="1"/>
  <c r="AJ11" i="305"/>
  <c r="Z20" i="305"/>
  <c r="AB10" i="305"/>
  <c r="AB15" i="305"/>
  <c r="AB20" i="305"/>
  <c r="Z19" i="305"/>
  <c r="AB7" i="304"/>
  <c r="AB17" i="304"/>
  <c r="AJ14" i="304"/>
  <c r="AH47" i="304"/>
  <c r="AJ15" i="304" s="1"/>
  <c r="AB6" i="304"/>
  <c r="AG58" i="304"/>
  <c r="AG59" i="304" s="1"/>
  <c r="Z14" i="304"/>
  <c r="AF47" i="304"/>
  <c r="AB14" i="304"/>
  <c r="AG47" i="304"/>
  <c r="AG48" i="304" s="1"/>
  <c r="Z13" i="304"/>
  <c r="Z16" i="304"/>
  <c r="AB8" i="304"/>
  <c r="AB13" i="304"/>
  <c r="AB16" i="304"/>
  <c r="Z20" i="304"/>
  <c r="AB10" i="304"/>
  <c r="AB18" i="304"/>
  <c r="AB20" i="304"/>
  <c r="AB12" i="304"/>
  <c r="AB8" i="303"/>
  <c r="AG52" i="303"/>
  <c r="AG53" i="303" s="1"/>
  <c r="AG54" i="303" s="1"/>
  <c r="AG55" i="303" s="1"/>
  <c r="AG56" i="303" s="1"/>
  <c r="AG57" i="303" s="1"/>
  <c r="AG58" i="303" s="1"/>
  <c r="AG59" i="303" s="1"/>
  <c r="Z6" i="303"/>
  <c r="AF51" i="303"/>
  <c r="Z7" i="303"/>
  <c r="AH51" i="303"/>
  <c r="AH52" i="303" s="1"/>
  <c r="AH53" i="303" s="1"/>
  <c r="AH54" i="303" s="1"/>
  <c r="AH55" i="303" s="1"/>
  <c r="AH56" i="303" s="1"/>
  <c r="AH57" i="303" s="1"/>
  <c r="AH58" i="303" s="1"/>
  <c r="AH59" i="303" s="1"/>
  <c r="AJ6" i="303"/>
  <c r="AB12" i="303"/>
  <c r="AB14" i="303"/>
  <c r="Z16" i="303"/>
  <c r="AJ12" i="303"/>
  <c r="AJ14" i="303"/>
  <c r="AB16" i="303"/>
  <c r="Z9" i="303"/>
  <c r="Z11" i="303"/>
  <c r="AB9" i="303"/>
  <c r="AB11" i="303"/>
  <c r="Z13" i="303"/>
  <c r="Z15" i="303"/>
  <c r="AB13" i="303"/>
  <c r="AB15" i="303"/>
  <c r="AJ8" i="302"/>
  <c r="AH51" i="302"/>
  <c r="AH52" i="302" s="1"/>
  <c r="AH53" i="302" s="1"/>
  <c r="AH54" i="302" s="1"/>
  <c r="AH55" i="302" s="1"/>
  <c r="AH56" i="302" s="1"/>
  <c r="AH57" i="302" s="1"/>
  <c r="AH58" i="302" s="1"/>
  <c r="AH59" i="302" s="1"/>
  <c r="AJ6" i="302"/>
  <c r="Z6" i="302"/>
  <c r="AF51" i="302"/>
  <c r="Z7" i="302"/>
  <c r="AB8" i="302"/>
  <c r="AG52" i="302"/>
  <c r="AG53" i="302" s="1"/>
  <c r="AG54" i="302" s="1"/>
  <c r="AG55" i="302" s="1"/>
  <c r="AG56" i="302" s="1"/>
  <c r="AG57" i="302" s="1"/>
  <c r="AG58" i="302" s="1"/>
  <c r="AG59" i="302" s="1"/>
  <c r="AB12" i="302"/>
  <c r="AB14" i="302"/>
  <c r="Z16" i="302"/>
  <c r="Z12" i="302"/>
  <c r="AJ14" i="302"/>
  <c r="AB16" i="302"/>
  <c r="AB9" i="302"/>
  <c r="AB11" i="302"/>
  <c r="Z13" i="302"/>
  <c r="Z15" i="302"/>
  <c r="AB13" i="302"/>
  <c r="AB15" i="302"/>
  <c r="AG59" i="313" l="1"/>
  <c r="AB8" i="313"/>
  <c r="AB9" i="313"/>
  <c r="AF48" i="313"/>
  <c r="AF49" i="313" s="1"/>
  <c r="AF50" i="313" s="1"/>
  <c r="AF51" i="313" s="1"/>
  <c r="AF52" i="313" s="1"/>
  <c r="Z13" i="313"/>
  <c r="AH53" i="313"/>
  <c r="AH54" i="313" s="1"/>
  <c r="AH55" i="313" s="1"/>
  <c r="AH56" i="313" s="1"/>
  <c r="AH57" i="313" s="1"/>
  <c r="AJ6" i="313"/>
  <c r="AH48" i="312"/>
  <c r="AH49" i="312" s="1"/>
  <c r="AH50" i="312" s="1"/>
  <c r="AH51" i="312" s="1"/>
  <c r="AH52" i="312" s="1"/>
  <c r="AJ13" i="312"/>
  <c r="Z6" i="312"/>
  <c r="AF53" i="312"/>
  <c r="AF54" i="312" s="1"/>
  <c r="AF55" i="312" s="1"/>
  <c r="AF56" i="312" s="1"/>
  <c r="AF57" i="312" s="1"/>
  <c r="AB9" i="312"/>
  <c r="AG59" i="312"/>
  <c r="AJ14" i="312"/>
  <c r="AG59" i="311"/>
  <c r="AB7" i="311"/>
  <c r="Z7" i="311"/>
  <c r="AF59" i="311"/>
  <c r="AG59" i="310"/>
  <c r="AB7" i="310"/>
  <c r="AB13" i="309"/>
  <c r="AG58" i="309"/>
  <c r="AG59" i="309" s="1"/>
  <c r="AB7" i="309" s="1"/>
  <c r="AJ6" i="309"/>
  <c r="AH53" i="309"/>
  <c r="AH54" i="309" s="1"/>
  <c r="AB11" i="309"/>
  <c r="Z9" i="309"/>
  <c r="AF55" i="309"/>
  <c r="AH56" i="308"/>
  <c r="AH57" i="308" s="1"/>
  <c r="AJ11" i="308"/>
  <c r="Z9" i="308"/>
  <c r="AF55" i="308"/>
  <c r="Z6" i="308"/>
  <c r="AB13" i="308"/>
  <c r="AG58" i="308"/>
  <c r="AG59" i="308" s="1"/>
  <c r="AB7" i="308" s="1"/>
  <c r="AJ9" i="308"/>
  <c r="AF54" i="307"/>
  <c r="AF55" i="307" s="1"/>
  <c r="Z7" i="307"/>
  <c r="AH48" i="307"/>
  <c r="AH49" i="307" s="1"/>
  <c r="AH50" i="307" s="1"/>
  <c r="AJ11" i="307"/>
  <c r="AG48" i="307"/>
  <c r="AB11" i="307"/>
  <c r="AJ12" i="307"/>
  <c r="AH48" i="306"/>
  <c r="AH49" i="306" s="1"/>
  <c r="AH50" i="306" s="1"/>
  <c r="AJ11" i="306"/>
  <c r="AF48" i="306"/>
  <c r="AF49" i="306" s="1"/>
  <c r="AF50" i="306" s="1"/>
  <c r="Z11" i="306"/>
  <c r="AB12" i="306"/>
  <c r="AJ12" i="306"/>
  <c r="AJ10" i="305"/>
  <c r="AF48" i="305"/>
  <c r="Z17" i="305"/>
  <c r="Z15" i="305"/>
  <c r="AG48" i="305"/>
  <c r="AB18" i="305" s="1"/>
  <c r="AB17" i="305"/>
  <c r="AJ12" i="305"/>
  <c r="AJ7" i="305"/>
  <c r="AJ8" i="305"/>
  <c r="AF48" i="304"/>
  <c r="Z17" i="304"/>
  <c r="Z15" i="304"/>
  <c r="AB9" i="304"/>
  <c r="AB11" i="304"/>
  <c r="AH48" i="304"/>
  <c r="AJ17" i="304"/>
  <c r="AB15" i="304"/>
  <c r="AF52" i="303"/>
  <c r="AF53" i="303" s="1"/>
  <c r="AF54" i="303" s="1"/>
  <c r="AF55" i="303" s="1"/>
  <c r="AF56" i="303" s="1"/>
  <c r="AF57" i="303" s="1"/>
  <c r="AF58" i="303" s="1"/>
  <c r="AF59" i="303" s="1"/>
  <c r="Z8" i="303"/>
  <c r="AJ8" i="303"/>
  <c r="AF52" i="302"/>
  <c r="AF53" i="302" s="1"/>
  <c r="AF54" i="302" s="1"/>
  <c r="AF55" i="302" s="1"/>
  <c r="AF56" i="302" s="1"/>
  <c r="AF57" i="302" s="1"/>
  <c r="AF58" i="302" s="1"/>
  <c r="AF59" i="302" s="1"/>
  <c r="Z8" i="302"/>
  <c r="AH58" i="313" l="1"/>
  <c r="AJ7" i="313"/>
  <c r="AF53" i="313"/>
  <c r="AF54" i="313" s="1"/>
  <c r="AF55" i="313" s="1"/>
  <c r="AF56" i="313" s="1"/>
  <c r="AF57" i="313" s="1"/>
  <c r="Z6" i="313"/>
  <c r="AF58" i="312"/>
  <c r="Z7" i="312"/>
  <c r="AH53" i="312"/>
  <c r="AH54" i="312" s="1"/>
  <c r="AH55" i="312" s="1"/>
  <c r="AH56" i="312" s="1"/>
  <c r="AH57" i="312" s="1"/>
  <c r="AJ6" i="312"/>
  <c r="AF56" i="309"/>
  <c r="AF57" i="309" s="1"/>
  <c r="Z10" i="309"/>
  <c r="Z11" i="309"/>
  <c r="AJ9" i="309"/>
  <c r="AH55" i="309"/>
  <c r="AF56" i="308"/>
  <c r="AF57" i="308" s="1"/>
  <c r="Z10" i="308"/>
  <c r="Z11" i="308"/>
  <c r="AH58" i="308"/>
  <c r="AH59" i="308" s="1"/>
  <c r="AJ7" i="308" s="1"/>
  <c r="AJ13" i="308"/>
  <c r="AH51" i="307"/>
  <c r="AH52" i="307" s="1"/>
  <c r="AH53" i="307" s="1"/>
  <c r="AJ6" i="307"/>
  <c r="AF56" i="307"/>
  <c r="AF57" i="307" s="1"/>
  <c r="AF58" i="307" s="1"/>
  <c r="AF59" i="307" s="1"/>
  <c r="Z8" i="307"/>
  <c r="AF51" i="306"/>
  <c r="AF52" i="306" s="1"/>
  <c r="AF53" i="306" s="1"/>
  <c r="Z6" i="306"/>
  <c r="AH51" i="306"/>
  <c r="AH52" i="306" s="1"/>
  <c r="AH53" i="306" s="1"/>
  <c r="AJ6" i="306"/>
  <c r="AF49" i="305"/>
  <c r="AF50" i="305" s="1"/>
  <c r="AF51" i="305" s="1"/>
  <c r="AF52" i="305" s="1"/>
  <c r="AF53" i="305" s="1"/>
  <c r="AF54" i="305" s="1"/>
  <c r="AF55" i="305" s="1"/>
  <c r="AF56" i="305" s="1"/>
  <c r="AF57" i="305" s="1"/>
  <c r="Z18" i="305"/>
  <c r="AF49" i="304"/>
  <c r="AF50" i="304" s="1"/>
  <c r="AF51" i="304" s="1"/>
  <c r="AF52" i="304" s="1"/>
  <c r="AF53" i="304" s="1"/>
  <c r="AF54" i="304" s="1"/>
  <c r="AF55" i="304" s="1"/>
  <c r="AF56" i="304" s="1"/>
  <c r="AF57" i="304" s="1"/>
  <c r="Z18" i="304"/>
  <c r="AH49" i="304"/>
  <c r="AH50" i="304" s="1"/>
  <c r="AH51" i="304" s="1"/>
  <c r="AH52" i="304" s="1"/>
  <c r="AH53" i="304" s="1"/>
  <c r="AH54" i="304" s="1"/>
  <c r="AH55" i="304" s="1"/>
  <c r="AH56" i="304" s="1"/>
  <c r="AH57" i="304" s="1"/>
  <c r="AJ18" i="304"/>
  <c r="AG54" i="301"/>
  <c r="AG55" i="301" s="1"/>
  <c r="AG56" i="301" s="1"/>
  <c r="AG57" i="301" s="1"/>
  <c r="AG58" i="301" s="1"/>
  <c r="AG59" i="301" s="1"/>
  <c r="AG50" i="301"/>
  <c r="AG51" i="301" s="1"/>
  <c r="AG52" i="301" s="1"/>
  <c r="AG53" i="301" s="1"/>
  <c r="AF41" i="301"/>
  <c r="AF42" i="301" s="1"/>
  <c r="AF43" i="301" s="1"/>
  <c r="AF44" i="301" s="1"/>
  <c r="AF45" i="301" s="1"/>
  <c r="AF46" i="301" s="1"/>
  <c r="AF47" i="301" s="1"/>
  <c r="AF48" i="301" s="1"/>
  <c r="AF49" i="301" s="1"/>
  <c r="AF50" i="301" s="1"/>
  <c r="AF51" i="301" s="1"/>
  <c r="AF52" i="301" s="1"/>
  <c r="AF53" i="301" s="1"/>
  <c r="AF54" i="301" s="1"/>
  <c r="AF55" i="301" s="1"/>
  <c r="AF56" i="301" s="1"/>
  <c r="AF57" i="301" s="1"/>
  <c r="AF58" i="301" s="1"/>
  <c r="AF59" i="301" s="1"/>
  <c r="AH40" i="301"/>
  <c r="AH41" i="301" s="1"/>
  <c r="AH42" i="301" s="1"/>
  <c r="AH43" i="301" s="1"/>
  <c r="AH44" i="301" s="1"/>
  <c r="AH45" i="301" s="1"/>
  <c r="AH46" i="301" s="1"/>
  <c r="AH47" i="301" s="1"/>
  <c r="AH48" i="301" s="1"/>
  <c r="AH49" i="301" s="1"/>
  <c r="AH50" i="301" s="1"/>
  <c r="AH51" i="301" s="1"/>
  <c r="AH52" i="301" s="1"/>
  <c r="AH53" i="301" s="1"/>
  <c r="AH54" i="301" s="1"/>
  <c r="AH55" i="301" s="1"/>
  <c r="AH56" i="301" s="1"/>
  <c r="AH57" i="301" s="1"/>
  <c r="AH58" i="301" s="1"/>
  <c r="AH59" i="301" s="1"/>
  <c r="AG40" i="301"/>
  <c r="AG41" i="301" s="1"/>
  <c r="AG42" i="301" s="1"/>
  <c r="AG43" i="301" s="1"/>
  <c r="AG44" i="301" s="1"/>
  <c r="AG45" i="301" s="1"/>
  <c r="AG46" i="301" s="1"/>
  <c r="AG47" i="301" s="1"/>
  <c r="AG48" i="301" s="1"/>
  <c r="AF40" i="301"/>
  <c r="AQ28" i="301"/>
  <c r="AR27" i="301"/>
  <c r="AQ27" i="301"/>
  <c r="AO27" i="301"/>
  <c r="AN27" i="301"/>
  <c r="AK27" i="301"/>
  <c r="AJ27" i="301"/>
  <c r="Q27" i="301"/>
  <c r="N26" i="301"/>
  <c r="I26" i="301"/>
  <c r="AE26" i="301" s="1"/>
  <c r="N25" i="301"/>
  <c r="K25" i="301"/>
  <c r="I25" i="301"/>
  <c r="AO25" i="301" s="1"/>
  <c r="N24" i="301"/>
  <c r="K24" i="301"/>
  <c r="I24" i="301"/>
  <c r="AS24" i="301" s="1"/>
  <c r="BH23" i="301"/>
  <c r="BG23" i="301"/>
  <c r="BF23" i="301"/>
  <c r="BE23" i="301"/>
  <c r="BD23" i="301"/>
  <c r="N23" i="301"/>
  <c r="K23" i="301"/>
  <c r="I23" i="301"/>
  <c r="U23" i="301" s="1"/>
  <c r="BD22" i="301"/>
  <c r="N22" i="301"/>
  <c r="K22" i="301"/>
  <c r="I22" i="301"/>
  <c r="AS22" i="301" s="1"/>
  <c r="N21" i="301"/>
  <c r="K21" i="301"/>
  <c r="I21" i="301"/>
  <c r="AP21" i="301" s="1"/>
  <c r="N20" i="301"/>
  <c r="K20" i="301"/>
  <c r="I20" i="301"/>
  <c r="AP20" i="301" s="1"/>
  <c r="N19" i="301"/>
  <c r="K19" i="301"/>
  <c r="I19" i="301"/>
  <c r="AR19" i="301" s="1"/>
  <c r="N18" i="301"/>
  <c r="K18" i="301"/>
  <c r="I18" i="301"/>
  <c r="AO18" i="301" s="1"/>
  <c r="N17" i="301"/>
  <c r="K17" i="301"/>
  <c r="I17" i="301"/>
  <c r="AR17" i="301" s="1"/>
  <c r="N16" i="301"/>
  <c r="K16" i="301"/>
  <c r="I16" i="301"/>
  <c r="AO16" i="301" s="1"/>
  <c r="G16" i="301"/>
  <c r="BH15" i="301"/>
  <c r="BD15" i="301"/>
  <c r="N15" i="301"/>
  <c r="K15" i="301"/>
  <c r="I15" i="301"/>
  <c r="AK15" i="301" s="1"/>
  <c r="BH14" i="301"/>
  <c r="BD14" i="301"/>
  <c r="N14" i="301"/>
  <c r="K14" i="301"/>
  <c r="I14" i="301"/>
  <c r="AP14" i="301" s="1"/>
  <c r="N13" i="301"/>
  <c r="K13" i="301"/>
  <c r="I13" i="301"/>
  <c r="AQ13" i="301" s="1"/>
  <c r="N12" i="301"/>
  <c r="K12" i="301"/>
  <c r="I12" i="301"/>
  <c r="AR12" i="301" s="1"/>
  <c r="N11" i="301"/>
  <c r="K11" i="301"/>
  <c r="I11" i="301"/>
  <c r="AO11" i="301" s="1"/>
  <c r="N10" i="301"/>
  <c r="K10" i="301"/>
  <c r="I10" i="301"/>
  <c r="AK10" i="301" s="1"/>
  <c r="N9" i="301"/>
  <c r="K9" i="301"/>
  <c r="I9" i="301"/>
  <c r="AL9" i="301" s="1"/>
  <c r="N8" i="301"/>
  <c r="K8" i="301"/>
  <c r="I8" i="301"/>
  <c r="AO8" i="301" s="1"/>
  <c r="N7" i="301"/>
  <c r="K7" i="301"/>
  <c r="I7" i="301"/>
  <c r="AO7" i="301" s="1"/>
  <c r="N6" i="301"/>
  <c r="J6" i="301"/>
  <c r="I6" i="301"/>
  <c r="AS6" i="301" s="1"/>
  <c r="A1" i="301"/>
  <c r="B5" i="301" s="1"/>
  <c r="AG55" i="300"/>
  <c r="AG56" i="300" s="1"/>
  <c r="AG57" i="300" s="1"/>
  <c r="AG58" i="300" s="1"/>
  <c r="AG59" i="300" s="1"/>
  <c r="AG50" i="300"/>
  <c r="AG51" i="300" s="1"/>
  <c r="AG52" i="300" s="1"/>
  <c r="AG53" i="300" s="1"/>
  <c r="AG54" i="300" s="1"/>
  <c r="AG44" i="300"/>
  <c r="AG45" i="300" s="1"/>
  <c r="AG46" i="300" s="1"/>
  <c r="AG47" i="300" s="1"/>
  <c r="AG48" i="300" s="1"/>
  <c r="AH41" i="300"/>
  <c r="AH42" i="300" s="1"/>
  <c r="AH43" i="300" s="1"/>
  <c r="AH44" i="300" s="1"/>
  <c r="AH45" i="300" s="1"/>
  <c r="AH46" i="300" s="1"/>
  <c r="AH47" i="300" s="1"/>
  <c r="AH48" i="300" s="1"/>
  <c r="AH49" i="300" s="1"/>
  <c r="AH50" i="300" s="1"/>
  <c r="AH51" i="300" s="1"/>
  <c r="AH52" i="300" s="1"/>
  <c r="AH53" i="300" s="1"/>
  <c r="AH54" i="300" s="1"/>
  <c r="AH55" i="300" s="1"/>
  <c r="AH56" i="300" s="1"/>
  <c r="AH57" i="300" s="1"/>
  <c r="AH58" i="300" s="1"/>
  <c r="AH59" i="300" s="1"/>
  <c r="AF41" i="300"/>
  <c r="AF42" i="300" s="1"/>
  <c r="AF43" i="300" s="1"/>
  <c r="AF44" i="300" s="1"/>
  <c r="AF45" i="300" s="1"/>
  <c r="AF46" i="300" s="1"/>
  <c r="AF47" i="300" s="1"/>
  <c r="AF48" i="300" s="1"/>
  <c r="AF49" i="300" s="1"/>
  <c r="AF50" i="300" s="1"/>
  <c r="AF51" i="300" s="1"/>
  <c r="AF52" i="300" s="1"/>
  <c r="AF53" i="300" s="1"/>
  <c r="AF54" i="300" s="1"/>
  <c r="AF55" i="300" s="1"/>
  <c r="AF56" i="300" s="1"/>
  <c r="AF57" i="300" s="1"/>
  <c r="AF58" i="300" s="1"/>
  <c r="AF59" i="300" s="1"/>
  <c r="AH40" i="300"/>
  <c r="AG40" i="300"/>
  <c r="AG41" i="300" s="1"/>
  <c r="AG42" i="300" s="1"/>
  <c r="AG43" i="300" s="1"/>
  <c r="AF40" i="300"/>
  <c r="AQ28" i="300"/>
  <c r="AR27" i="300"/>
  <c r="AQ27" i="300"/>
  <c r="AO27" i="300"/>
  <c r="AN27" i="300"/>
  <c r="AK27" i="300"/>
  <c r="AJ27" i="300"/>
  <c r="Q27" i="300"/>
  <c r="N26" i="300"/>
  <c r="I26" i="300"/>
  <c r="AR26" i="300" s="1"/>
  <c r="N25" i="300"/>
  <c r="K25" i="300"/>
  <c r="I25" i="300"/>
  <c r="AO25" i="300" s="1"/>
  <c r="N24" i="300"/>
  <c r="K24" i="300"/>
  <c r="I24" i="300"/>
  <c r="AS24" i="300" s="1"/>
  <c r="BH23" i="300"/>
  <c r="BG23" i="300"/>
  <c r="BF23" i="300"/>
  <c r="BE23" i="300"/>
  <c r="BD23" i="300"/>
  <c r="N23" i="300"/>
  <c r="K23" i="300"/>
  <c r="I23" i="300"/>
  <c r="AO23" i="300" s="1"/>
  <c r="BD22" i="300"/>
  <c r="N22" i="300"/>
  <c r="K22" i="300"/>
  <c r="I22" i="300"/>
  <c r="AS22" i="300" s="1"/>
  <c r="N21" i="300"/>
  <c r="K21" i="300"/>
  <c r="I21" i="300"/>
  <c r="AP21" i="300" s="1"/>
  <c r="N20" i="300"/>
  <c r="K20" i="300"/>
  <c r="I20" i="300"/>
  <c r="AO20" i="300" s="1"/>
  <c r="N19" i="300"/>
  <c r="K19" i="300"/>
  <c r="I19" i="300"/>
  <c r="AP19" i="300" s="1"/>
  <c r="N18" i="300"/>
  <c r="K18" i="300"/>
  <c r="I18" i="300"/>
  <c r="AO18" i="300" s="1"/>
  <c r="N17" i="300"/>
  <c r="K17" i="300"/>
  <c r="I17" i="300"/>
  <c r="AG17" i="300" s="1"/>
  <c r="N16" i="300"/>
  <c r="K16" i="300"/>
  <c r="I16" i="300"/>
  <c r="X16" i="300" s="1"/>
  <c r="G16" i="300"/>
  <c r="BH15" i="300"/>
  <c r="BD15" i="300"/>
  <c r="N15" i="300"/>
  <c r="K15" i="300"/>
  <c r="I15" i="300"/>
  <c r="Q15" i="300" s="1"/>
  <c r="BH14" i="300"/>
  <c r="BD14" i="300"/>
  <c r="N14" i="300"/>
  <c r="K14" i="300"/>
  <c r="I14" i="300"/>
  <c r="AP14" i="300" s="1"/>
  <c r="N13" i="300"/>
  <c r="K13" i="300"/>
  <c r="I13" i="300"/>
  <c r="Y13" i="300" s="1"/>
  <c r="N12" i="300"/>
  <c r="K12" i="300"/>
  <c r="I12" i="300"/>
  <c r="AL12" i="300" s="1"/>
  <c r="N11" i="300"/>
  <c r="K11" i="300"/>
  <c r="I11" i="300"/>
  <c r="AO11" i="300" s="1"/>
  <c r="N10" i="300"/>
  <c r="K10" i="300"/>
  <c r="I10" i="300"/>
  <c r="AN10" i="300" s="1"/>
  <c r="N9" i="300"/>
  <c r="K9" i="300"/>
  <c r="I9" i="300"/>
  <c r="AS9" i="300" s="1"/>
  <c r="N8" i="300"/>
  <c r="K8" i="300"/>
  <c r="I8" i="300"/>
  <c r="AD8" i="300" s="1"/>
  <c r="N7" i="300"/>
  <c r="K7" i="300"/>
  <c r="I7" i="300"/>
  <c r="AO7" i="300" s="1"/>
  <c r="N6" i="300"/>
  <c r="J6" i="300"/>
  <c r="I6" i="300"/>
  <c r="AM6" i="300" s="1"/>
  <c r="A1" i="300"/>
  <c r="B5" i="300" s="1"/>
  <c r="Z7" i="313" l="1"/>
  <c r="AF58" i="313"/>
  <c r="AH59" i="313"/>
  <c r="AJ8" i="313"/>
  <c r="AJ9" i="313"/>
  <c r="AH58" i="312"/>
  <c r="AJ7" i="312"/>
  <c r="AF59" i="312"/>
  <c r="Z9" i="312"/>
  <c r="Z8" i="312"/>
  <c r="AH56" i="309"/>
  <c r="AH57" i="309" s="1"/>
  <c r="AJ11" i="309"/>
  <c r="AJ10" i="309"/>
  <c r="AF58" i="309"/>
  <c r="AF59" i="309" s="1"/>
  <c r="Z7" i="309" s="1"/>
  <c r="Z13" i="309"/>
  <c r="Z13" i="308"/>
  <c r="AF58" i="308"/>
  <c r="AF59" i="308" s="1"/>
  <c r="Z7" i="308" s="1"/>
  <c r="AJ7" i="307"/>
  <c r="AH54" i="307"/>
  <c r="AH55" i="307" s="1"/>
  <c r="AJ7" i="306"/>
  <c r="AH54" i="306"/>
  <c r="AH55" i="306" s="1"/>
  <c r="AF54" i="306"/>
  <c r="AF55" i="306" s="1"/>
  <c r="Z7" i="306"/>
  <c r="Z6" i="305"/>
  <c r="AF58" i="305"/>
  <c r="AF58" i="304"/>
  <c r="Z6" i="304"/>
  <c r="AH58" i="304"/>
  <c r="AJ6" i="304"/>
  <c r="T18" i="301"/>
  <c r="AR7" i="301"/>
  <c r="L7" i="301" s="1"/>
  <c r="M7" i="301" s="1"/>
  <c r="Y10" i="301"/>
  <c r="AG9" i="301"/>
  <c r="AP18" i="301"/>
  <c r="V9" i="301"/>
  <c r="AF10" i="301"/>
  <c r="AN12" i="301"/>
  <c r="AD9" i="301"/>
  <c r="AH10" i="301"/>
  <c r="AC18" i="301"/>
  <c r="W26" i="301"/>
  <c r="M19" i="301"/>
  <c r="AF21" i="301"/>
  <c r="W24" i="301"/>
  <c r="X10" i="301"/>
  <c r="AM24" i="301"/>
  <c r="AQ22" i="301"/>
  <c r="AC23" i="300"/>
  <c r="Y12" i="300"/>
  <c r="AD21" i="301"/>
  <c r="W22" i="301"/>
  <c r="AQ24" i="301"/>
  <c r="AD8" i="301"/>
  <c r="J18" i="301"/>
  <c r="O10" i="300"/>
  <c r="W10" i="300" s="1"/>
  <c r="AN8" i="301"/>
  <c r="Y13" i="301"/>
  <c r="L16" i="301"/>
  <c r="M16" i="301" s="1"/>
  <c r="P21" i="301"/>
  <c r="P24" i="301"/>
  <c r="AQ7" i="301"/>
  <c r="AA13" i="301"/>
  <c r="S21" i="301"/>
  <c r="S24" i="301"/>
  <c r="AN13" i="301"/>
  <c r="AK16" i="301"/>
  <c r="S18" i="301"/>
  <c r="AC21" i="301"/>
  <c r="V24" i="301"/>
  <c r="AR21" i="301"/>
  <c r="AC8" i="301"/>
  <c r="AS21" i="301"/>
  <c r="AE12" i="301"/>
  <c r="AG16" i="301"/>
  <c r="AS19" i="301"/>
  <c r="V22" i="301"/>
  <c r="AM22" i="301"/>
  <c r="O8" i="300"/>
  <c r="W8" i="300" s="1"/>
  <c r="AA24" i="300"/>
  <c r="AO9" i="301"/>
  <c r="AP13" i="301"/>
  <c r="T21" i="301"/>
  <c r="AJ21" i="301"/>
  <c r="AD22" i="301"/>
  <c r="AA24" i="301"/>
  <c r="AA26" i="301"/>
  <c r="AP9" i="301"/>
  <c r="AO15" i="301"/>
  <c r="Q16" i="301"/>
  <c r="R16" i="301" s="1"/>
  <c r="AB16" i="301" s="1"/>
  <c r="L17" i="301"/>
  <c r="W19" i="301"/>
  <c r="V21" i="301"/>
  <c r="AK21" i="301"/>
  <c r="AE22" i="301"/>
  <c r="AD24" i="301"/>
  <c r="AR26" i="301"/>
  <c r="AP12" i="301"/>
  <c r="AO13" i="300"/>
  <c r="AR9" i="301"/>
  <c r="L9" i="301" s="1"/>
  <c r="AP10" i="301"/>
  <c r="O12" i="301"/>
  <c r="W12" i="301" s="1"/>
  <c r="T16" i="301"/>
  <c r="AE18" i="301"/>
  <c r="X19" i="301"/>
  <c r="X21" i="301"/>
  <c r="AL21" i="301"/>
  <c r="O22" i="301"/>
  <c r="AF22" i="301"/>
  <c r="AF24" i="301"/>
  <c r="R25" i="301"/>
  <c r="AA22" i="301"/>
  <c r="X6" i="300"/>
  <c r="O8" i="301"/>
  <c r="AS10" i="301"/>
  <c r="P12" i="301"/>
  <c r="P13" i="301"/>
  <c r="Y16" i="301"/>
  <c r="AN18" i="301"/>
  <c r="AH19" i="301"/>
  <c r="L21" i="301"/>
  <c r="AA21" i="301"/>
  <c r="AN21" i="301"/>
  <c r="P22" i="301"/>
  <c r="AI22" i="301"/>
  <c r="AC23" i="301"/>
  <c r="AI24" i="301"/>
  <c r="AI25" i="301"/>
  <c r="V8" i="301"/>
  <c r="T9" i="301"/>
  <c r="AD12" i="301"/>
  <c r="Q13" i="301"/>
  <c r="R13" i="301" s="1"/>
  <c r="AC16" i="301"/>
  <c r="AI19" i="301"/>
  <c r="M21" i="301"/>
  <c r="AB21" i="301"/>
  <c r="AQ21" i="301"/>
  <c r="S22" i="301"/>
  <c r="AL22" i="301"/>
  <c r="AL24" i="301"/>
  <c r="AL25" i="301"/>
  <c r="AA11" i="301"/>
  <c r="AN11" i="301"/>
  <c r="AL14" i="301"/>
  <c r="Y6" i="301"/>
  <c r="AC11" i="301"/>
  <c r="AP11" i="301"/>
  <c r="AN14" i="301"/>
  <c r="AA6" i="301"/>
  <c r="AN6" i="301"/>
  <c r="S7" i="301"/>
  <c r="AE8" i="301"/>
  <c r="AE11" i="301"/>
  <c r="AQ11" i="301"/>
  <c r="S12" i="301"/>
  <c r="AF12" i="301"/>
  <c r="AQ12" i="301"/>
  <c r="AA14" i="301"/>
  <c r="AQ14" i="301"/>
  <c r="L18" i="301"/>
  <c r="U18" i="301"/>
  <c r="AF18" i="301"/>
  <c r="AQ18" i="301"/>
  <c r="O19" i="301"/>
  <c r="Z19" i="301"/>
  <c r="AK19" i="301"/>
  <c r="AH23" i="301"/>
  <c r="S25" i="301"/>
  <c r="AP25" i="301"/>
  <c r="X6" i="301"/>
  <c r="AL6" i="301"/>
  <c r="V14" i="301"/>
  <c r="Z22" i="300"/>
  <c r="O6" i="301"/>
  <c r="W6" i="301" s="1"/>
  <c r="AD6" i="301"/>
  <c r="AO6" i="301"/>
  <c r="T7" i="301"/>
  <c r="AL8" i="301"/>
  <c r="AG10" i="301"/>
  <c r="O11" i="301"/>
  <c r="W11" i="301" s="1"/>
  <c r="AF11" i="301"/>
  <c r="AR11" i="301"/>
  <c r="L11" i="301" s="1"/>
  <c r="M11" i="301" s="1"/>
  <c r="V12" i="301"/>
  <c r="AH12" i="301"/>
  <c r="AS12" i="301"/>
  <c r="AC13" i="301"/>
  <c r="AC14" i="301"/>
  <c r="AR14" i="301"/>
  <c r="L14" i="301" s="1"/>
  <c r="Y15" i="301"/>
  <c r="AD16" i="301"/>
  <c r="Q17" i="301"/>
  <c r="M18" i="301"/>
  <c r="W18" i="301"/>
  <c r="AH18" i="301"/>
  <c r="AR18" i="301"/>
  <c r="P19" i="301"/>
  <c r="AA19" i="301"/>
  <c r="AL19" i="301"/>
  <c r="M23" i="301"/>
  <c r="AK23" i="301"/>
  <c r="X24" i="301"/>
  <c r="AN24" i="301"/>
  <c r="V25" i="301"/>
  <c r="AQ25" i="301"/>
  <c r="AG23" i="301"/>
  <c r="X22" i="300"/>
  <c r="P6" i="301"/>
  <c r="AE6" i="301"/>
  <c r="AQ6" i="301"/>
  <c r="AA7" i="301"/>
  <c r="AM8" i="301"/>
  <c r="P11" i="301"/>
  <c r="AH11" i="301"/>
  <c r="AS11" i="301"/>
  <c r="AI12" i="301"/>
  <c r="AK13" i="301"/>
  <c r="AD14" i="301"/>
  <c r="AS14" i="301"/>
  <c r="AC15" i="301"/>
  <c r="AB17" i="301"/>
  <c r="X18" i="301"/>
  <c r="AI18" i="301"/>
  <c r="AS18" i="301"/>
  <c r="R19" i="301"/>
  <c r="AC19" i="301"/>
  <c r="AM19" i="301"/>
  <c r="U20" i="301"/>
  <c r="AO23" i="301"/>
  <c r="Z25" i="301"/>
  <c r="AM6" i="301"/>
  <c r="X14" i="301"/>
  <c r="Q6" i="301"/>
  <c r="R6" i="301" s="1"/>
  <c r="Z6" i="301" s="1"/>
  <c r="AF6" i="301"/>
  <c r="S11" i="301"/>
  <c r="AI11" i="301"/>
  <c r="X12" i="301"/>
  <c r="AK12" i="301"/>
  <c r="P14" i="301"/>
  <c r="AF14" i="301"/>
  <c r="AF17" i="301"/>
  <c r="O18" i="301"/>
  <c r="Z18" i="301"/>
  <c r="AJ18" i="301"/>
  <c r="S19" i="301"/>
  <c r="AD19" i="301"/>
  <c r="AN19" i="301"/>
  <c r="Q23" i="301"/>
  <c r="AP23" i="301"/>
  <c r="AA25" i="301"/>
  <c r="AH7" i="301"/>
  <c r="AR6" i="300"/>
  <c r="AP8" i="300"/>
  <c r="AA10" i="300"/>
  <c r="S6" i="301"/>
  <c r="AG6" i="301"/>
  <c r="J7" i="301"/>
  <c r="J8" i="301" s="1"/>
  <c r="J9" i="301" s="1"/>
  <c r="J10" i="301" s="1"/>
  <c r="J11" i="301" s="1"/>
  <c r="J12" i="301" s="1"/>
  <c r="J13" i="301" s="1"/>
  <c r="J14" i="301" s="1"/>
  <c r="J15" i="301" s="1"/>
  <c r="J16" i="301" s="1"/>
  <c r="AI7" i="301"/>
  <c r="T8" i="301"/>
  <c r="AE9" i="301"/>
  <c r="O10" i="301"/>
  <c r="W10" i="301" s="1"/>
  <c r="AR10" i="301"/>
  <c r="L10" i="301" s="1"/>
  <c r="U10" i="301" s="1"/>
  <c r="T11" i="301"/>
  <c r="AK11" i="301"/>
  <c r="AA12" i="301"/>
  <c r="AL12" i="301"/>
  <c r="AO13" i="301"/>
  <c r="S14" i="301"/>
  <c r="AI14" i="301"/>
  <c r="AR15" i="301"/>
  <c r="L15" i="301" s="1"/>
  <c r="M15" i="301" s="1"/>
  <c r="AL16" i="301"/>
  <c r="AG17" i="301"/>
  <c r="P18" i="301"/>
  <c r="AA18" i="301"/>
  <c r="AK18" i="301"/>
  <c r="J19" i="301"/>
  <c r="U19" i="301"/>
  <c r="AE19" i="301"/>
  <c r="AP19" i="301"/>
  <c r="U21" i="301"/>
  <c r="AI21" i="301"/>
  <c r="X22" i="301"/>
  <c r="AN22" i="301"/>
  <c r="R23" i="301"/>
  <c r="O24" i="301"/>
  <c r="AE24" i="301"/>
  <c r="J25" i="301"/>
  <c r="AD25" i="301"/>
  <c r="V26" i="301"/>
  <c r="V6" i="301"/>
  <c r="AI6" i="301"/>
  <c r="AP7" i="301"/>
  <c r="X11" i="301"/>
  <c r="AM11" i="301"/>
  <c r="AC12" i="301"/>
  <c r="AM12" i="301"/>
  <c r="T14" i="301"/>
  <c r="AK14" i="301"/>
  <c r="AS15" i="301"/>
  <c r="R18" i="301"/>
  <c r="AB18" i="301"/>
  <c r="AM18" i="301"/>
  <c r="V19" i="301"/>
  <c r="AF19" i="301"/>
  <c r="AQ19" i="301"/>
  <c r="AH25" i="301"/>
  <c r="AC21" i="300"/>
  <c r="AN20" i="301"/>
  <c r="AF20" i="301"/>
  <c r="X20" i="301"/>
  <c r="P20" i="301"/>
  <c r="AM20" i="301"/>
  <c r="AE20" i="301"/>
  <c r="W20" i="301"/>
  <c r="O20" i="301"/>
  <c r="AL20" i="301"/>
  <c r="AD20" i="301"/>
  <c r="V20" i="301"/>
  <c r="AR20" i="301"/>
  <c r="AJ20" i="301"/>
  <c r="AB20" i="301"/>
  <c r="T20" i="301"/>
  <c r="L20" i="301"/>
  <c r="AQ20" i="301"/>
  <c r="AI20" i="301"/>
  <c r="AA20" i="301"/>
  <c r="S20" i="301"/>
  <c r="AS20" i="301"/>
  <c r="J20" i="300"/>
  <c r="J20" i="301"/>
  <c r="Q8" i="300"/>
  <c r="R8" i="300" s="1"/>
  <c r="Z8" i="300" s="1"/>
  <c r="AH12" i="300"/>
  <c r="AL21" i="300"/>
  <c r="AH6" i="301"/>
  <c r="AP6" i="301"/>
  <c r="AC7" i="301"/>
  <c r="AK7" i="301"/>
  <c r="AS7" i="301"/>
  <c r="P8" i="301"/>
  <c r="X8" i="301"/>
  <c r="AF8" i="301"/>
  <c r="AH9" i="301"/>
  <c r="AS9" i="301"/>
  <c r="P10" i="301"/>
  <c r="AF13" i="301"/>
  <c r="AD15" i="301"/>
  <c r="P17" i="301"/>
  <c r="AJ17" i="301"/>
  <c r="AC20" i="301"/>
  <c r="AO19" i="300"/>
  <c r="J19" i="300"/>
  <c r="M21" i="300"/>
  <c r="AI21" i="300"/>
  <c r="Z20" i="301"/>
  <c r="S7" i="300"/>
  <c r="S8" i="300"/>
  <c r="AD11" i="300"/>
  <c r="AP12" i="300"/>
  <c r="S14" i="300"/>
  <c r="O19" i="300"/>
  <c r="L20" i="300"/>
  <c r="S21" i="300"/>
  <c r="AQ21" i="300"/>
  <c r="R25" i="300"/>
  <c r="V7" i="301"/>
  <c r="AD7" i="301"/>
  <c r="AL7" i="301"/>
  <c r="AS8" i="301"/>
  <c r="AK8" i="301"/>
  <c r="Q8" i="301"/>
  <c r="R8" i="301" s="1"/>
  <c r="Z8" i="301" s="1"/>
  <c r="Y8" i="301"/>
  <c r="AG8" i="301"/>
  <c r="AP8" i="301"/>
  <c r="Y9" i="301"/>
  <c r="AL10" i="301"/>
  <c r="AD10" i="301"/>
  <c r="V10" i="301"/>
  <c r="AQ10" i="301"/>
  <c r="AI10" i="301"/>
  <c r="AA10" i="301"/>
  <c r="S10" i="301"/>
  <c r="Q10" i="301"/>
  <c r="R10" i="301" s="1"/>
  <c r="AJ10" i="301" s="1"/>
  <c r="AM10" i="301"/>
  <c r="AM13" i="301"/>
  <c r="AE13" i="301"/>
  <c r="O13" i="301"/>
  <c r="W13" i="301" s="1"/>
  <c r="AL13" i="301"/>
  <c r="AD13" i="301"/>
  <c r="V13" i="301"/>
  <c r="AR13" i="301"/>
  <c r="L13" i="301" s="1"/>
  <c r="M13" i="301" s="1"/>
  <c r="T13" i="301"/>
  <c r="S13" i="301"/>
  <c r="AG13" i="301"/>
  <c r="AS13" i="301"/>
  <c r="Q15" i="301"/>
  <c r="R15" i="301" s="1"/>
  <c r="AB15" i="301" s="1"/>
  <c r="AG15" i="301"/>
  <c r="AN17" i="301"/>
  <c r="M20" i="301"/>
  <c r="AG20" i="301"/>
  <c r="AM26" i="301"/>
  <c r="AD26" i="301"/>
  <c r="U26" i="301"/>
  <c r="M26" i="301"/>
  <c r="AK26" i="301"/>
  <c r="AC26" i="301"/>
  <c r="T26" i="301"/>
  <c r="L26" i="301"/>
  <c r="AS26" i="301"/>
  <c r="AJ26" i="301"/>
  <c r="AB26" i="301"/>
  <c r="S26" i="301"/>
  <c r="J26" i="301"/>
  <c r="AQ26" i="301"/>
  <c r="AH26" i="301"/>
  <c r="Z26" i="301"/>
  <c r="Q26" i="301"/>
  <c r="AP26" i="301"/>
  <c r="AG26" i="301"/>
  <c r="Y26" i="301"/>
  <c r="P26" i="301"/>
  <c r="AF26" i="301"/>
  <c r="AD7" i="300"/>
  <c r="Y8" i="300"/>
  <c r="AL11" i="300"/>
  <c r="AE14" i="300"/>
  <c r="W19" i="300"/>
  <c r="U21" i="300"/>
  <c r="AR21" i="300"/>
  <c r="AH25" i="300"/>
  <c r="L6" i="301"/>
  <c r="M6" i="301" s="1"/>
  <c r="T6" i="301"/>
  <c r="AR6" i="301"/>
  <c r="O7" i="301"/>
  <c r="W7" i="301" s="1"/>
  <c r="AE7" i="301"/>
  <c r="AM7" i="301"/>
  <c r="AH8" i="301"/>
  <c r="AQ8" i="301"/>
  <c r="O9" i="301"/>
  <c r="W9" i="301" s="1"/>
  <c r="AK9" i="301"/>
  <c r="AC10" i="301"/>
  <c r="AN10" i="301"/>
  <c r="AH13" i="301"/>
  <c r="T15" i="301"/>
  <c r="T17" i="301"/>
  <c r="AO17" i="301"/>
  <c r="AH20" i="301"/>
  <c r="AN23" i="301"/>
  <c r="AF23" i="301"/>
  <c r="X23" i="301"/>
  <c r="P23" i="301"/>
  <c r="AM23" i="301"/>
  <c r="AE23" i="301"/>
  <c r="W23" i="301"/>
  <c r="O23" i="301"/>
  <c r="AL23" i="301"/>
  <c r="AD23" i="301"/>
  <c r="V23" i="301"/>
  <c r="AR23" i="301"/>
  <c r="AJ23" i="301"/>
  <c r="AB23" i="301"/>
  <c r="T23" i="301"/>
  <c r="L23" i="301"/>
  <c r="AQ23" i="301"/>
  <c r="AI23" i="301"/>
  <c r="AA23" i="301"/>
  <c r="S23" i="301"/>
  <c r="Y23" i="301"/>
  <c r="AS23" i="301"/>
  <c r="AI26" i="301"/>
  <c r="AF21" i="300"/>
  <c r="Y20" i="301"/>
  <c r="Q6" i="300"/>
  <c r="R6" i="300" s="1"/>
  <c r="AN7" i="300"/>
  <c r="AF8" i="300"/>
  <c r="AR11" i="300"/>
  <c r="L11" i="300" s="1"/>
  <c r="M11" i="300" s="1"/>
  <c r="AS14" i="300"/>
  <c r="AE19" i="300"/>
  <c r="AC20" i="300"/>
  <c r="W21" i="300"/>
  <c r="AC6" i="301"/>
  <c r="AK6" i="301"/>
  <c r="P7" i="301"/>
  <c r="X7" i="301"/>
  <c r="AF7" i="301"/>
  <c r="AN7" i="301"/>
  <c r="S8" i="301"/>
  <c r="AA8" i="301"/>
  <c r="AI8" i="301"/>
  <c r="AR8" i="301"/>
  <c r="L8" i="301" s="1"/>
  <c r="Q9" i="301"/>
  <c r="R9" i="301" s="1"/>
  <c r="AJ9" i="301" s="1"/>
  <c r="T10" i="301"/>
  <c r="AE10" i="301"/>
  <c r="AO10" i="301"/>
  <c r="X13" i="301"/>
  <c r="AI13" i="301"/>
  <c r="AR16" i="301"/>
  <c r="AQ16" i="301"/>
  <c r="AI16" i="301"/>
  <c r="AA16" i="301"/>
  <c r="S16" i="301"/>
  <c r="AP16" i="301"/>
  <c r="AH16" i="301"/>
  <c r="AN16" i="301"/>
  <c r="AF16" i="301"/>
  <c r="X16" i="301"/>
  <c r="P16" i="301"/>
  <c r="AM16" i="301"/>
  <c r="AE16" i="301"/>
  <c r="O16" i="301"/>
  <c r="W16" i="301" s="1"/>
  <c r="V16" i="301"/>
  <c r="AS16" i="301"/>
  <c r="X17" i="301"/>
  <c r="Q20" i="301"/>
  <c r="AK20" i="301"/>
  <c r="J23" i="301"/>
  <c r="Z23" i="301"/>
  <c r="O26" i="301"/>
  <c r="AN26" i="301"/>
  <c r="AL8" i="300"/>
  <c r="AM19" i="300"/>
  <c r="AS20" i="300"/>
  <c r="AB21" i="300"/>
  <c r="Q7" i="301"/>
  <c r="R7" i="301" s="1"/>
  <c r="Y7" i="301"/>
  <c r="AG7" i="301"/>
  <c r="AQ9" i="301"/>
  <c r="AI9" i="301"/>
  <c r="AA9" i="301"/>
  <c r="S9" i="301"/>
  <c r="AN9" i="301"/>
  <c r="AF9" i="301"/>
  <c r="X9" i="301"/>
  <c r="P9" i="301"/>
  <c r="AC9" i="301"/>
  <c r="AM9" i="301"/>
  <c r="AQ15" i="301"/>
  <c r="AI15" i="301"/>
  <c r="AA15" i="301"/>
  <c r="S15" i="301"/>
  <c r="AP15" i="301"/>
  <c r="AH15" i="301"/>
  <c r="AN15" i="301"/>
  <c r="AF15" i="301"/>
  <c r="X15" i="301"/>
  <c r="P15" i="301"/>
  <c r="AM15" i="301"/>
  <c r="AE15" i="301"/>
  <c r="O15" i="301"/>
  <c r="W15" i="301" s="1"/>
  <c r="V15" i="301"/>
  <c r="AL15" i="301"/>
  <c r="AM17" i="301"/>
  <c r="AE17" i="301"/>
  <c r="W17" i="301"/>
  <c r="O17" i="301"/>
  <c r="AL17" i="301"/>
  <c r="AD17" i="301"/>
  <c r="V17" i="301"/>
  <c r="AS17" i="301"/>
  <c r="AK17" i="301"/>
  <c r="AC17" i="301"/>
  <c r="U17" i="301"/>
  <c r="M17" i="301"/>
  <c r="AQ17" i="301"/>
  <c r="AI17" i="301"/>
  <c r="AA17" i="301"/>
  <c r="S17" i="301"/>
  <c r="AP17" i="301"/>
  <c r="AH17" i="301"/>
  <c r="Z17" i="301"/>
  <c r="R17" i="301"/>
  <c r="J17" i="301"/>
  <c r="Y17" i="301"/>
  <c r="R20" i="301"/>
  <c r="AO20" i="301"/>
  <c r="R26" i="301"/>
  <c r="AO26" i="301"/>
  <c r="Q22" i="301"/>
  <c r="Y22" i="301"/>
  <c r="AG22" i="301"/>
  <c r="AO22" i="301"/>
  <c r="Q24" i="301"/>
  <c r="Y24" i="301"/>
  <c r="AG24" i="301"/>
  <c r="AO24" i="301"/>
  <c r="L25" i="301"/>
  <c r="T25" i="301"/>
  <c r="AB25" i="301"/>
  <c r="AJ25" i="301"/>
  <c r="AR25" i="301"/>
  <c r="V11" i="301"/>
  <c r="AD11" i="301"/>
  <c r="AL11" i="301"/>
  <c r="Q12" i="301"/>
  <c r="R12" i="301" s="1"/>
  <c r="Z12" i="301" s="1"/>
  <c r="Y12" i="301"/>
  <c r="AG12" i="301"/>
  <c r="AO12" i="301"/>
  <c r="O14" i="301"/>
  <c r="W14" i="301" s="1"/>
  <c r="AE14" i="301"/>
  <c r="AM14" i="301"/>
  <c r="V18" i="301"/>
  <c r="AD18" i="301"/>
  <c r="AL18" i="301"/>
  <c r="Q19" i="301"/>
  <c r="Y19" i="301"/>
  <c r="AG19" i="301"/>
  <c r="AO19" i="301"/>
  <c r="O21" i="301"/>
  <c r="W21" i="301"/>
  <c r="AE21" i="301"/>
  <c r="AM21" i="301"/>
  <c r="J22" i="301"/>
  <c r="R22" i="301"/>
  <c r="Z22" i="301"/>
  <c r="AH22" i="301"/>
  <c r="AP22" i="301"/>
  <c r="J24" i="301"/>
  <c r="R24" i="301"/>
  <c r="Z24" i="301"/>
  <c r="AH24" i="301"/>
  <c r="AP24" i="301"/>
  <c r="M25" i="301"/>
  <c r="U25" i="301"/>
  <c r="AC25" i="301"/>
  <c r="AK25" i="301"/>
  <c r="AS25" i="301"/>
  <c r="Q14" i="301"/>
  <c r="R14" i="301" s="1"/>
  <c r="Y14" i="301"/>
  <c r="AG14" i="301"/>
  <c r="AO14" i="301"/>
  <c r="Q21" i="301"/>
  <c r="Y21" i="301"/>
  <c r="AG21" i="301"/>
  <c r="AO21" i="301"/>
  <c r="L22" i="301"/>
  <c r="T22" i="301"/>
  <c r="AB22" i="301"/>
  <c r="AJ22" i="301"/>
  <c r="AR22" i="301"/>
  <c r="L24" i="301"/>
  <c r="T24" i="301"/>
  <c r="AB24" i="301"/>
  <c r="AJ24" i="301"/>
  <c r="AR24" i="301"/>
  <c r="O25" i="301"/>
  <c r="W25" i="301"/>
  <c r="AE25" i="301"/>
  <c r="AM25" i="301"/>
  <c r="Q11" i="301"/>
  <c r="R11" i="301" s="1"/>
  <c r="Y11" i="301"/>
  <c r="AG11" i="301"/>
  <c r="L12" i="301"/>
  <c r="T12" i="301"/>
  <c r="AH14" i="301"/>
  <c r="Q18" i="301"/>
  <c r="Y18" i="301"/>
  <c r="AG18" i="301"/>
  <c r="L19" i="301"/>
  <c r="T19" i="301"/>
  <c r="AB19" i="301"/>
  <c r="AJ19" i="301"/>
  <c r="J21" i="301"/>
  <c r="R21" i="301"/>
  <c r="Z21" i="301"/>
  <c r="AH21" i="301"/>
  <c r="M22" i="301"/>
  <c r="U22" i="301"/>
  <c r="AC22" i="301"/>
  <c r="AK22" i="301"/>
  <c r="M24" i="301"/>
  <c r="U24" i="301"/>
  <c r="AC24" i="301"/>
  <c r="AK24" i="301"/>
  <c r="P25" i="301"/>
  <c r="X25" i="301"/>
  <c r="AF25" i="301"/>
  <c r="AN25" i="301"/>
  <c r="Q25" i="301"/>
  <c r="Y25" i="301"/>
  <c r="AG25" i="301"/>
  <c r="AN6" i="300"/>
  <c r="AF7" i="300"/>
  <c r="O14" i="300"/>
  <c r="W14" i="300" s="1"/>
  <c r="AH19" i="300"/>
  <c r="Z20" i="300"/>
  <c r="P21" i="300"/>
  <c r="AE21" i="300"/>
  <c r="AS21" i="300"/>
  <c r="AD22" i="300"/>
  <c r="AK23" i="300"/>
  <c r="AF24" i="300"/>
  <c r="U25" i="300"/>
  <c r="AE22" i="300"/>
  <c r="AP23" i="300"/>
  <c r="AQ7" i="300"/>
  <c r="AN9" i="300"/>
  <c r="V15" i="300"/>
  <c r="AL22" i="300"/>
  <c r="O24" i="300"/>
  <c r="AN24" i="300"/>
  <c r="AK25" i="300"/>
  <c r="AJ23" i="300"/>
  <c r="AE24" i="300"/>
  <c r="L23" i="300"/>
  <c r="AM24" i="300"/>
  <c r="AI8" i="300"/>
  <c r="S11" i="300"/>
  <c r="Q12" i="300"/>
  <c r="R12" i="300" s="1"/>
  <c r="Z12" i="300" s="1"/>
  <c r="AG13" i="300"/>
  <c r="AI14" i="300"/>
  <c r="AD15" i="300"/>
  <c r="V21" i="300"/>
  <c r="AJ21" i="300"/>
  <c r="AM22" i="300"/>
  <c r="R23" i="300"/>
  <c r="R24" i="300"/>
  <c r="AQ24" i="300"/>
  <c r="P22" i="300"/>
  <c r="AP22" i="300"/>
  <c r="T23" i="300"/>
  <c r="S24" i="300"/>
  <c r="P6" i="300"/>
  <c r="O7" i="300"/>
  <c r="W7" i="300" s="1"/>
  <c r="AO8" i="300"/>
  <c r="AH11" i="300"/>
  <c r="AG12" i="300"/>
  <c r="R19" i="300"/>
  <c r="L21" i="300"/>
  <c r="X21" i="300"/>
  <c r="AM21" i="300"/>
  <c r="R22" i="300"/>
  <c r="AQ22" i="300"/>
  <c r="AB23" i="300"/>
  <c r="Z24" i="300"/>
  <c r="R26" i="300"/>
  <c r="T6" i="300"/>
  <c r="AO6" i="300"/>
  <c r="P7" i="300"/>
  <c r="AE7" i="300"/>
  <c r="AP7" i="300"/>
  <c r="P8" i="300"/>
  <c r="AK8" i="300"/>
  <c r="AE11" i="300"/>
  <c r="AO12" i="300"/>
  <c r="AH13" i="300"/>
  <c r="P14" i="300"/>
  <c r="AF14" i="300"/>
  <c r="Y15" i="300"/>
  <c r="Y16" i="300"/>
  <c r="P18" i="300"/>
  <c r="Z18" i="300"/>
  <c r="AJ18" i="300"/>
  <c r="Z19" i="300"/>
  <c r="AB20" i="300"/>
  <c r="T21" i="300"/>
  <c r="AD21" i="300"/>
  <c r="AN21" i="300"/>
  <c r="O22" i="300"/>
  <c r="AA22" i="300"/>
  <c r="AN22" i="300"/>
  <c r="M23" i="300"/>
  <c r="AH23" i="300"/>
  <c r="P24" i="300"/>
  <c r="AD24" i="300"/>
  <c r="AP24" i="300"/>
  <c r="S25" i="300"/>
  <c r="AI25" i="300"/>
  <c r="O26" i="300"/>
  <c r="AF16" i="300"/>
  <c r="AA18" i="300"/>
  <c r="Y6" i="300"/>
  <c r="AS6" i="300"/>
  <c r="T7" i="300"/>
  <c r="AH7" i="300"/>
  <c r="AR7" i="300"/>
  <c r="L7" i="300" s="1"/>
  <c r="U7" i="300" s="1"/>
  <c r="O11" i="300"/>
  <c r="W11" i="300" s="1"/>
  <c r="AI11" i="300"/>
  <c r="AP13" i="300"/>
  <c r="T14" i="300"/>
  <c r="AK14" i="300"/>
  <c r="AG15" i="300"/>
  <c r="AG16" i="300"/>
  <c r="J18" i="300"/>
  <c r="S18" i="300"/>
  <c r="AB18" i="300"/>
  <c r="AL18" i="300"/>
  <c r="M20" i="300"/>
  <c r="AH20" i="300"/>
  <c r="V25" i="300"/>
  <c r="AL25" i="300"/>
  <c r="W26" i="300"/>
  <c r="AK18" i="300"/>
  <c r="J7" i="300"/>
  <c r="J8" i="300" s="1"/>
  <c r="J9" i="300" s="1"/>
  <c r="AC6" i="300"/>
  <c r="AI7" i="300"/>
  <c r="AM14" i="300"/>
  <c r="AL15" i="300"/>
  <c r="AL16" i="300"/>
  <c r="T18" i="300"/>
  <c r="AC18" i="300"/>
  <c r="AM18" i="300"/>
  <c r="AJ20" i="300"/>
  <c r="S22" i="300"/>
  <c r="AF22" i="300"/>
  <c r="V24" i="300"/>
  <c r="AH24" i="300"/>
  <c r="J25" i="300"/>
  <c r="Z25" i="300"/>
  <c r="AP25" i="300"/>
  <c r="Z26" i="300"/>
  <c r="V7" i="300"/>
  <c r="AS7" i="300"/>
  <c r="AM11" i="300"/>
  <c r="X14" i="300"/>
  <c r="AN14" i="300"/>
  <c r="AN15" i="300"/>
  <c r="P16" i="300"/>
  <c r="AN16" i="300"/>
  <c r="L18" i="300"/>
  <c r="U18" i="300"/>
  <c r="AD18" i="300"/>
  <c r="AP18" i="300"/>
  <c r="R20" i="300"/>
  <c r="AK20" i="300"/>
  <c r="V22" i="300"/>
  <c r="AH22" i="300"/>
  <c r="U23" i="300"/>
  <c r="AR23" i="300"/>
  <c r="J24" i="300"/>
  <c r="W24" i="300"/>
  <c r="AI24" i="300"/>
  <c r="AA25" i="300"/>
  <c r="AQ25" i="300"/>
  <c r="AA26" i="300"/>
  <c r="L6" i="300"/>
  <c r="U6" i="300" s="1"/>
  <c r="AF6" i="300"/>
  <c r="X7" i="300"/>
  <c r="AK7" i="300"/>
  <c r="AA8" i="300"/>
  <c r="T11" i="300"/>
  <c r="AG6" i="300"/>
  <c r="AA7" i="300"/>
  <c r="AL7" i="300"/>
  <c r="V11" i="300"/>
  <c r="AP11" i="300"/>
  <c r="AD12" i="300"/>
  <c r="Q13" i="300"/>
  <c r="R13" i="300" s="1"/>
  <c r="AJ13" i="300" s="1"/>
  <c r="AA14" i="300"/>
  <c r="AQ14" i="300"/>
  <c r="P15" i="300"/>
  <c r="AO15" i="300"/>
  <c r="Q16" i="300"/>
  <c r="R16" i="300" s="1"/>
  <c r="AB16" i="300" s="1"/>
  <c r="AO16" i="300"/>
  <c r="M18" i="300"/>
  <c r="V18" i="300"/>
  <c r="AE18" i="300"/>
  <c r="AQ18" i="300"/>
  <c r="Q19" i="300"/>
  <c r="T20" i="300"/>
  <c r="AP20" i="300"/>
  <c r="O21" i="300"/>
  <c r="AA21" i="300"/>
  <c r="AK21" i="300"/>
  <c r="J22" i="300"/>
  <c r="W22" i="300"/>
  <c r="AI22" i="300"/>
  <c r="J23" i="300"/>
  <c r="Z23" i="300"/>
  <c r="AS23" i="300"/>
  <c r="X24" i="300"/>
  <c r="AL24" i="300"/>
  <c r="M25" i="300"/>
  <c r="AC25" i="300"/>
  <c r="AS25" i="300"/>
  <c r="AH26" i="300"/>
  <c r="R18" i="300"/>
  <c r="AK6" i="300"/>
  <c r="AC7" i="300"/>
  <c r="AM7" i="300"/>
  <c r="AA11" i="300"/>
  <c r="AQ11" i="300"/>
  <c r="AC14" i="300"/>
  <c r="AR14" i="300"/>
  <c r="L14" i="300" s="1"/>
  <c r="V16" i="300"/>
  <c r="W18" i="300"/>
  <c r="AH18" i="300"/>
  <c r="AR18" i="300"/>
  <c r="U20" i="300"/>
  <c r="AR20" i="300"/>
  <c r="AD25" i="300"/>
  <c r="AI26" i="300"/>
  <c r="O18" i="300"/>
  <c r="X18" i="300"/>
  <c r="AI18" i="300"/>
  <c r="AS18" i="300"/>
  <c r="AL10" i="300"/>
  <c r="AD10" i="300"/>
  <c r="V10" i="300"/>
  <c r="AS10" i="300"/>
  <c r="AK10" i="300"/>
  <c r="AC10" i="300"/>
  <c r="AP10" i="300"/>
  <c r="AH10" i="300"/>
  <c r="T10" i="300"/>
  <c r="AG10" i="300"/>
  <c r="V9" i="300"/>
  <c r="S17" i="300"/>
  <c r="AO17" i="300"/>
  <c r="AH6" i="300"/>
  <c r="AP6" i="300"/>
  <c r="X9" i="300"/>
  <c r="AK9" i="300"/>
  <c r="X10" i="300"/>
  <c r="AN13" i="300"/>
  <c r="AF13" i="300"/>
  <c r="X13" i="300"/>
  <c r="P13" i="300"/>
  <c r="AM13" i="300"/>
  <c r="AE13" i="300"/>
  <c r="O13" i="300"/>
  <c r="W13" i="300" s="1"/>
  <c r="AL13" i="300"/>
  <c r="AD13" i="300"/>
  <c r="V13" i="300"/>
  <c r="AQ13" i="300"/>
  <c r="AI13" i="300"/>
  <c r="AA13" i="300"/>
  <c r="S13" i="300"/>
  <c r="T13" i="300"/>
  <c r="T17" i="300"/>
  <c r="AQ17" i="300"/>
  <c r="AI10" i="300"/>
  <c r="S6" i="300"/>
  <c r="AA6" i="300"/>
  <c r="AI6" i="300"/>
  <c r="AQ6" i="300"/>
  <c r="AM8" i="300"/>
  <c r="AE8" i="300"/>
  <c r="AR8" i="300"/>
  <c r="L8" i="300" s="1"/>
  <c r="T8" i="300"/>
  <c r="AC8" i="300"/>
  <c r="AN8" i="300"/>
  <c r="Y9" i="300"/>
  <c r="AL9" i="300"/>
  <c r="Y10" i="300"/>
  <c r="AM10" i="300"/>
  <c r="O12" i="300"/>
  <c r="W12" i="300" s="1"/>
  <c r="AE12" i="300"/>
  <c r="AK13" i="300"/>
  <c r="AS15" i="300"/>
  <c r="AK15" i="300"/>
  <c r="AC15" i="300"/>
  <c r="AR15" i="300"/>
  <c r="L15" i="300" s="1"/>
  <c r="T15" i="300"/>
  <c r="AQ15" i="300"/>
  <c r="AI15" i="300"/>
  <c r="AA15" i="300"/>
  <c r="S15" i="300"/>
  <c r="AP15" i="300"/>
  <c r="AH15" i="300"/>
  <c r="R15" i="300"/>
  <c r="Z15" i="300" s="1"/>
  <c r="AM15" i="300"/>
  <c r="AE15" i="300"/>
  <c r="O15" i="300"/>
  <c r="W15" i="300" s="1"/>
  <c r="X15" i="300"/>
  <c r="Y17" i="300"/>
  <c r="AR17" i="300"/>
  <c r="AL19" i="300"/>
  <c r="AD19" i="300"/>
  <c r="V19" i="300"/>
  <c r="AS19" i="300"/>
  <c r="AK19" i="300"/>
  <c r="AC19" i="300"/>
  <c r="U19" i="300"/>
  <c r="M19" i="300"/>
  <c r="AR19" i="300"/>
  <c r="AJ19" i="300"/>
  <c r="AB19" i="300"/>
  <c r="T19" i="300"/>
  <c r="L19" i="300"/>
  <c r="AQ19" i="300"/>
  <c r="AI19" i="300"/>
  <c r="AA19" i="300"/>
  <c r="S19" i="300"/>
  <c r="AN19" i="300"/>
  <c r="AF19" i="300"/>
  <c r="X19" i="300"/>
  <c r="P19" i="300"/>
  <c r="Y19" i="300"/>
  <c r="AN26" i="300"/>
  <c r="AE26" i="300"/>
  <c r="V26" i="300"/>
  <c r="AM26" i="300"/>
  <c r="AD26" i="300"/>
  <c r="U26" i="300"/>
  <c r="M26" i="300"/>
  <c r="AK26" i="300"/>
  <c r="AC26" i="300"/>
  <c r="T26" i="300"/>
  <c r="L26" i="300"/>
  <c r="AS26" i="300"/>
  <c r="AJ26" i="300"/>
  <c r="AB26" i="300"/>
  <c r="S26" i="300"/>
  <c r="J26" i="300"/>
  <c r="AP26" i="300"/>
  <c r="AG26" i="300"/>
  <c r="Y26" i="300"/>
  <c r="P26" i="300"/>
  <c r="AF26" i="300"/>
  <c r="P9" i="300"/>
  <c r="AC9" i="300"/>
  <c r="AO9" i="300"/>
  <c r="P10" i="300"/>
  <c r="AO10" i="300"/>
  <c r="AB17" i="300"/>
  <c r="V6" i="300"/>
  <c r="AD6" i="300"/>
  <c r="AL6" i="300"/>
  <c r="Q7" i="300"/>
  <c r="R7" i="300" s="1"/>
  <c r="Y7" i="300"/>
  <c r="AG7" i="300"/>
  <c r="V8" i="300"/>
  <c r="AG8" i="300"/>
  <c r="AQ8" i="300"/>
  <c r="Q9" i="300"/>
  <c r="R9" i="300" s="1"/>
  <c r="AD9" i="300"/>
  <c r="AR9" i="300"/>
  <c r="L9" i="300" s="1"/>
  <c r="U9" i="300" s="1"/>
  <c r="Q10" i="300"/>
  <c r="R10" i="300" s="1"/>
  <c r="AE10" i="300"/>
  <c r="AQ10" i="300"/>
  <c r="V12" i="300"/>
  <c r="AR13" i="300"/>
  <c r="L13" i="300" s="1"/>
  <c r="U13" i="300" s="1"/>
  <c r="AF15" i="300"/>
  <c r="AS16" i="300"/>
  <c r="AK16" i="300"/>
  <c r="AC16" i="300"/>
  <c r="AR16" i="300"/>
  <c r="T16" i="300"/>
  <c r="L16" i="300"/>
  <c r="U16" i="300" s="1"/>
  <c r="AQ16" i="300"/>
  <c r="AI16" i="300"/>
  <c r="AA16" i="300"/>
  <c r="S16" i="300"/>
  <c r="AP16" i="300"/>
  <c r="AH16" i="300"/>
  <c r="AM16" i="300"/>
  <c r="AE16" i="300"/>
  <c r="O16" i="300"/>
  <c r="W16" i="300" s="1"/>
  <c r="AD16" i="300"/>
  <c r="L17" i="300"/>
  <c r="AG19" i="300"/>
  <c r="Q26" i="300"/>
  <c r="AO26" i="300"/>
  <c r="AN17" i="300"/>
  <c r="AF17" i="300"/>
  <c r="X17" i="300"/>
  <c r="P17" i="300"/>
  <c r="AM17" i="300"/>
  <c r="AE17" i="300"/>
  <c r="W17" i="300"/>
  <c r="O17" i="300"/>
  <c r="AL17" i="300"/>
  <c r="AD17" i="300"/>
  <c r="V17" i="300"/>
  <c r="AS17" i="300"/>
  <c r="AK17" i="300"/>
  <c r="AC17" i="300"/>
  <c r="U17" i="300"/>
  <c r="M17" i="300"/>
  <c r="AP17" i="300"/>
  <c r="AH17" i="300"/>
  <c r="Z17" i="300"/>
  <c r="R17" i="300"/>
  <c r="J17" i="300"/>
  <c r="AA17" i="300"/>
  <c r="O6" i="300"/>
  <c r="W6" i="300" s="1"/>
  <c r="AE6" i="300"/>
  <c r="X8" i="300"/>
  <c r="AH8" i="300"/>
  <c r="AS8" i="300"/>
  <c r="T9" i="300"/>
  <c r="AF9" i="300"/>
  <c r="S10" i="300"/>
  <c r="AF10" i="300"/>
  <c r="AR10" i="300"/>
  <c r="L10" i="300" s="1"/>
  <c r="U10" i="300" s="1"/>
  <c r="AS12" i="300"/>
  <c r="AK12" i="300"/>
  <c r="AC12" i="300"/>
  <c r="AR12" i="300"/>
  <c r="T12" i="300"/>
  <c r="L12" i="300"/>
  <c r="M12" i="300" s="1"/>
  <c r="AQ12" i="300"/>
  <c r="AI12" i="300"/>
  <c r="AA12" i="300"/>
  <c r="S12" i="300"/>
  <c r="AN12" i="300"/>
  <c r="AF12" i="300"/>
  <c r="X12" i="300"/>
  <c r="P12" i="300"/>
  <c r="AM12" i="300"/>
  <c r="AC13" i="300"/>
  <c r="AS13" i="300"/>
  <c r="AI17" i="300"/>
  <c r="AQ26" i="300"/>
  <c r="AQ9" i="300"/>
  <c r="AI9" i="300"/>
  <c r="AA9" i="300"/>
  <c r="S9" i="300"/>
  <c r="AP9" i="300"/>
  <c r="AH9" i="300"/>
  <c r="AM9" i="300"/>
  <c r="AE9" i="300"/>
  <c r="O9" i="300"/>
  <c r="W9" i="300" s="1"/>
  <c r="AG9" i="300"/>
  <c r="Q17" i="300"/>
  <c r="AJ17" i="300"/>
  <c r="AC11" i="300"/>
  <c r="AK11" i="300"/>
  <c r="AS11" i="300"/>
  <c r="V14" i="300"/>
  <c r="AD14" i="300"/>
  <c r="AL14" i="300"/>
  <c r="S20" i="300"/>
  <c r="AA20" i="300"/>
  <c r="AI20" i="300"/>
  <c r="AQ20" i="300"/>
  <c r="Q22" i="300"/>
  <c r="Y22" i="300"/>
  <c r="AG22" i="300"/>
  <c r="AO22" i="300"/>
  <c r="S23" i="300"/>
  <c r="AA23" i="300"/>
  <c r="AI23" i="300"/>
  <c r="AQ23" i="300"/>
  <c r="Q24" i="300"/>
  <c r="Y24" i="300"/>
  <c r="AG24" i="300"/>
  <c r="AO24" i="300"/>
  <c r="L25" i="300"/>
  <c r="T25" i="300"/>
  <c r="AB25" i="300"/>
  <c r="AJ25" i="300"/>
  <c r="AR25" i="300"/>
  <c r="P11" i="300"/>
  <c r="X11" i="300"/>
  <c r="AF11" i="300"/>
  <c r="AN11" i="300"/>
  <c r="Q14" i="300"/>
  <c r="R14" i="300" s="1"/>
  <c r="Y14" i="300"/>
  <c r="AG14" i="300"/>
  <c r="AO14" i="300"/>
  <c r="AF18" i="300"/>
  <c r="AN18" i="300"/>
  <c r="V20" i="300"/>
  <c r="AD20" i="300"/>
  <c r="AL20" i="300"/>
  <c r="Q21" i="300"/>
  <c r="Y21" i="300"/>
  <c r="AG21" i="300"/>
  <c r="AO21" i="300"/>
  <c r="L22" i="300"/>
  <c r="T22" i="300"/>
  <c r="AB22" i="300"/>
  <c r="AJ22" i="300"/>
  <c r="AR22" i="300"/>
  <c r="V23" i="300"/>
  <c r="AD23" i="300"/>
  <c r="AL23" i="300"/>
  <c r="L24" i="300"/>
  <c r="T24" i="300"/>
  <c r="AB24" i="300"/>
  <c r="AJ24" i="300"/>
  <c r="AR24" i="300"/>
  <c r="O25" i="300"/>
  <c r="W25" i="300"/>
  <c r="AE25" i="300"/>
  <c r="AM25" i="300"/>
  <c r="Q11" i="300"/>
  <c r="R11" i="300" s="1"/>
  <c r="Y11" i="300"/>
  <c r="AG11" i="300"/>
  <c r="AH14" i="300"/>
  <c r="Q18" i="300"/>
  <c r="Y18" i="300"/>
  <c r="AG18" i="300"/>
  <c r="O20" i="300"/>
  <c r="W20" i="300"/>
  <c r="AE20" i="300"/>
  <c r="AM20" i="300"/>
  <c r="J21" i="300"/>
  <c r="R21" i="300"/>
  <c r="Z21" i="300"/>
  <c r="AH21" i="300"/>
  <c r="M22" i="300"/>
  <c r="U22" i="300"/>
  <c r="AC22" i="300"/>
  <c r="AK22" i="300"/>
  <c r="O23" i="300"/>
  <c r="W23" i="300"/>
  <c r="AE23" i="300"/>
  <c r="AM23" i="300"/>
  <c r="M24" i="300"/>
  <c r="U24" i="300"/>
  <c r="AC24" i="300"/>
  <c r="AK24" i="300"/>
  <c r="P25" i="300"/>
  <c r="X25" i="300"/>
  <c r="AF25" i="300"/>
  <c r="AN25" i="300"/>
  <c r="P20" i="300"/>
  <c r="X20" i="300"/>
  <c r="AF20" i="300"/>
  <c r="AN20" i="300"/>
  <c r="P23" i="300"/>
  <c r="X23" i="300"/>
  <c r="AF23" i="300"/>
  <c r="AN23" i="300"/>
  <c r="Q25" i="300"/>
  <c r="Y25" i="300"/>
  <c r="AG25" i="300"/>
  <c r="Q20" i="300"/>
  <c r="Y20" i="300"/>
  <c r="AG20" i="300"/>
  <c r="Q23" i="300"/>
  <c r="Y23" i="300"/>
  <c r="AG23" i="300"/>
  <c r="AG52" i="299"/>
  <c r="AG53" i="299" s="1"/>
  <c r="AG54" i="299" s="1"/>
  <c r="AG55" i="299" s="1"/>
  <c r="AG56" i="299" s="1"/>
  <c r="AG51" i="299"/>
  <c r="AG50" i="299"/>
  <c r="AH41" i="299"/>
  <c r="AH42" i="299" s="1"/>
  <c r="AH43" i="299" s="1"/>
  <c r="AH44" i="299" s="1"/>
  <c r="AH45" i="299" s="1"/>
  <c r="AH46" i="299" s="1"/>
  <c r="AH47" i="299" s="1"/>
  <c r="AH48" i="299" s="1"/>
  <c r="AH49" i="299" s="1"/>
  <c r="AH50" i="299" s="1"/>
  <c r="AH51" i="299" s="1"/>
  <c r="AH52" i="299" s="1"/>
  <c r="AH53" i="299" s="1"/>
  <c r="AH54" i="299" s="1"/>
  <c r="AH55" i="299" s="1"/>
  <c r="AH56" i="299" s="1"/>
  <c r="AG41" i="299"/>
  <c r="AG42" i="299" s="1"/>
  <c r="AG43" i="299" s="1"/>
  <c r="AG44" i="299" s="1"/>
  <c r="AG45" i="299" s="1"/>
  <c r="AG46" i="299" s="1"/>
  <c r="AG47" i="299" s="1"/>
  <c r="AG48" i="299" s="1"/>
  <c r="AH40" i="299"/>
  <c r="AG40" i="299"/>
  <c r="AF40" i="299"/>
  <c r="AF41" i="299" s="1"/>
  <c r="AF42" i="299" s="1"/>
  <c r="AF43" i="299" s="1"/>
  <c r="AF44" i="299" s="1"/>
  <c r="AF45" i="299" s="1"/>
  <c r="AF46" i="299" s="1"/>
  <c r="AF47" i="299" s="1"/>
  <c r="AF48" i="299" s="1"/>
  <c r="AF49" i="299" s="1"/>
  <c r="AF50" i="299" s="1"/>
  <c r="AF51" i="299" s="1"/>
  <c r="AF52" i="299" s="1"/>
  <c r="AF53" i="299" s="1"/>
  <c r="AF54" i="299" s="1"/>
  <c r="AF55" i="299" s="1"/>
  <c r="AF56" i="299" s="1"/>
  <c r="R24" i="299"/>
  <c r="L24" i="299"/>
  <c r="R23" i="299"/>
  <c r="L23" i="299"/>
  <c r="AJ22" i="299"/>
  <c r="AB22" i="299"/>
  <c r="R22" i="299"/>
  <c r="Z22" i="299" s="1"/>
  <c r="AJ21" i="299"/>
  <c r="R21" i="299"/>
  <c r="AB21" i="299" s="1"/>
  <c r="R20" i="299"/>
  <c r="Z20" i="299" s="1"/>
  <c r="L20" i="299"/>
  <c r="R19" i="299"/>
  <c r="AJ19" i="299" s="1"/>
  <c r="L19" i="299"/>
  <c r="R18" i="299"/>
  <c r="L18" i="299"/>
  <c r="R17" i="299"/>
  <c r="L17" i="299"/>
  <c r="R16" i="299"/>
  <c r="L16" i="299"/>
  <c r="G16" i="299"/>
  <c r="R15" i="299"/>
  <c r="L15" i="299"/>
  <c r="R14" i="299"/>
  <c r="L14" i="299"/>
  <c r="R13" i="299"/>
  <c r="L13" i="299"/>
  <c r="R12" i="299"/>
  <c r="L12" i="299"/>
  <c r="R11" i="299"/>
  <c r="L11" i="299"/>
  <c r="R10" i="299"/>
  <c r="L10" i="299"/>
  <c r="R9" i="299"/>
  <c r="L9" i="299"/>
  <c r="R8" i="299"/>
  <c r="L8" i="299"/>
  <c r="R7" i="299"/>
  <c r="L7" i="299"/>
  <c r="R6" i="299"/>
  <c r="L6" i="299"/>
  <c r="B4" i="299"/>
  <c r="A1" i="299"/>
  <c r="B5" i="299" s="1"/>
  <c r="AF59" i="313" l="1"/>
  <c r="Z8" i="313"/>
  <c r="Z9" i="313"/>
  <c r="AH59" i="312"/>
  <c r="AJ8" i="312"/>
  <c r="AJ9" i="312"/>
  <c r="AH58" i="309"/>
  <c r="AH59" i="309" s="1"/>
  <c r="AJ7" i="309" s="1"/>
  <c r="AJ13" i="309"/>
  <c r="AH56" i="307"/>
  <c r="AH57" i="307" s="1"/>
  <c r="AH58" i="307" s="1"/>
  <c r="AH59" i="307" s="1"/>
  <c r="AJ8" i="307"/>
  <c r="Z8" i="306"/>
  <c r="AF56" i="306"/>
  <c r="AF57" i="306" s="1"/>
  <c r="AF58" i="306" s="1"/>
  <c r="AF59" i="306" s="1"/>
  <c r="AH56" i="306"/>
  <c r="AH57" i="306" s="1"/>
  <c r="AH58" i="306" s="1"/>
  <c r="AH59" i="306" s="1"/>
  <c r="AJ8" i="306"/>
  <c r="AF59" i="305"/>
  <c r="Z10" i="305"/>
  <c r="AH59" i="304"/>
  <c r="AJ10" i="304"/>
  <c r="AF59" i="304"/>
  <c r="Z10" i="304"/>
  <c r="W8" i="301"/>
  <c r="Z16" i="301"/>
  <c r="U16" i="301"/>
  <c r="U15" i="301"/>
  <c r="Z13" i="301"/>
  <c r="AJ13" i="301"/>
  <c r="AB13" i="301"/>
  <c r="U9" i="301"/>
  <c r="M9" i="301"/>
  <c r="U7" i="301"/>
  <c r="M10" i="301"/>
  <c r="AB13" i="300"/>
  <c r="U11" i="301"/>
  <c r="AB12" i="301"/>
  <c r="U14" i="301"/>
  <c r="M14" i="301"/>
  <c r="M6" i="300"/>
  <c r="Z13" i="300"/>
  <c r="AJ16" i="301"/>
  <c r="AJ6" i="301"/>
  <c r="AB12" i="300"/>
  <c r="U6" i="301"/>
  <c r="AB6" i="301"/>
  <c r="AJ12" i="300"/>
  <c r="M7" i="300"/>
  <c r="AJ12" i="301"/>
  <c r="AJ14" i="301"/>
  <c r="AB14" i="301"/>
  <c r="Z14" i="301"/>
  <c r="Z15" i="301"/>
  <c r="AB11" i="301"/>
  <c r="Z11" i="301"/>
  <c r="AJ11" i="301"/>
  <c r="Z9" i="301"/>
  <c r="U13" i="301"/>
  <c r="AJ7" i="301"/>
  <c r="AB7" i="301"/>
  <c r="Z7" i="301"/>
  <c r="AB9" i="301"/>
  <c r="AB10" i="301"/>
  <c r="B4" i="301"/>
  <c r="AJ15" i="301"/>
  <c r="Z10" i="301"/>
  <c r="M12" i="301"/>
  <c r="U12" i="301"/>
  <c r="U8" i="301"/>
  <c r="M8" i="301"/>
  <c r="AJ8" i="301"/>
  <c r="AB8" i="301"/>
  <c r="Z16" i="300"/>
  <c r="AJ16" i="300"/>
  <c r="AJ15" i="300"/>
  <c r="AB8" i="300"/>
  <c r="M14" i="300"/>
  <c r="U14" i="300"/>
  <c r="U12" i="300"/>
  <c r="M16" i="300"/>
  <c r="M13" i="300"/>
  <c r="U11" i="300"/>
  <c r="AB15" i="300"/>
  <c r="AB14" i="300"/>
  <c r="AJ14" i="300"/>
  <c r="Z14" i="300"/>
  <c r="U8" i="300"/>
  <c r="M8" i="300"/>
  <c r="AJ10" i="300"/>
  <c r="Z10" i="300"/>
  <c r="AB10" i="300"/>
  <c r="AB9" i="300"/>
  <c r="Z9" i="300"/>
  <c r="AJ9" i="300"/>
  <c r="Z11" i="300"/>
  <c r="AB11" i="300"/>
  <c r="AJ11" i="300"/>
  <c r="AJ6" i="300"/>
  <c r="AB6" i="300"/>
  <c r="J10" i="300"/>
  <c r="J11" i="300" s="1"/>
  <c r="J12" i="300" s="1"/>
  <c r="J13" i="300" s="1"/>
  <c r="J14" i="300" s="1"/>
  <c r="J15" i="300" s="1"/>
  <c r="J16" i="300" s="1"/>
  <c r="M15" i="300"/>
  <c r="U15" i="300"/>
  <c r="AJ8" i="300"/>
  <c r="Z7" i="300"/>
  <c r="AJ7" i="300"/>
  <c r="AB7" i="300"/>
  <c r="M9" i="300"/>
  <c r="M10" i="300"/>
  <c r="Z6" i="300"/>
  <c r="AF57" i="299"/>
  <c r="AF58" i="299" s="1"/>
  <c r="AF59" i="299" s="1"/>
  <c r="Z12" i="299" s="1"/>
  <c r="Z18" i="299"/>
  <c r="AB18" i="299"/>
  <c r="AB20" i="299"/>
  <c r="AG57" i="299"/>
  <c r="AG58" i="299" s="1"/>
  <c r="AG59" i="299" s="1"/>
  <c r="AH57" i="299"/>
  <c r="AH58" i="299" s="1"/>
  <c r="AH59" i="299" s="1"/>
  <c r="AJ20" i="299"/>
  <c r="AJ18" i="299"/>
  <c r="AB11" i="299"/>
  <c r="AB12" i="299"/>
  <c r="Z19" i="299"/>
  <c r="AB24" i="299"/>
  <c r="AB8" i="299"/>
  <c r="AJ11" i="299"/>
  <c r="Z13" i="299"/>
  <c r="Z16" i="299"/>
  <c r="AB19" i="299"/>
  <c r="Z21" i="299"/>
  <c r="BH34" i="298"/>
  <c r="Z8" i="305" l="1"/>
  <c r="Z9" i="305"/>
  <c r="Z11" i="305"/>
  <c r="Z12" i="305"/>
  <c r="Z7" i="305"/>
  <c r="AJ9" i="304"/>
  <c r="AJ7" i="304"/>
  <c r="AJ11" i="304"/>
  <c r="AJ8" i="304"/>
  <c r="AJ12" i="304"/>
  <c r="Z11" i="304"/>
  <c r="Z9" i="304"/>
  <c r="Z7" i="304"/>
  <c r="Z12" i="304"/>
  <c r="Z8" i="304"/>
  <c r="B4" i="300"/>
  <c r="AJ23" i="299"/>
  <c r="AJ13" i="299"/>
  <c r="AJ6" i="299"/>
  <c r="AJ9" i="299"/>
  <c r="AJ17" i="299"/>
  <c r="AJ14" i="299"/>
  <c r="AJ15" i="299"/>
  <c r="AJ7" i="299"/>
  <c r="AJ10" i="299"/>
  <c r="AJ16" i="299"/>
  <c r="AJ12" i="299"/>
  <c r="AJ8" i="299"/>
  <c r="AB15" i="299"/>
  <c r="AB7" i="299"/>
  <c r="AB10" i="299"/>
  <c r="AB23" i="299"/>
  <c r="AB9" i="299"/>
  <c r="AB14" i="299"/>
  <c r="AB6" i="299"/>
  <c r="AB17" i="299"/>
  <c r="Z15" i="299"/>
  <c r="Z7" i="299"/>
  <c r="Z17" i="299"/>
  <c r="Z14" i="299"/>
  <c r="Z6" i="299"/>
  <c r="Z8" i="299"/>
  <c r="AJ24" i="299"/>
  <c r="Z24" i="299"/>
  <c r="Z9" i="299"/>
  <c r="AB13" i="299"/>
  <c r="Z23" i="299"/>
  <c r="Z11" i="299"/>
  <c r="AB16" i="299"/>
  <c r="Z10" i="299"/>
  <c r="BH33" i="298"/>
  <c r="BH32" i="298"/>
  <c r="BD21" i="298"/>
  <c r="BD20" i="298"/>
  <c r="BH19" i="298"/>
  <c r="BD19" i="298"/>
  <c r="BH18" i="298"/>
  <c r="AG50" i="298"/>
  <c r="AG51" i="298" s="1"/>
  <c r="AG52" i="298" s="1"/>
  <c r="AG53" i="298" s="1"/>
  <c r="AG54" i="298" s="1"/>
  <c r="AG55" i="298" s="1"/>
  <c r="AG56" i="298" s="1"/>
  <c r="AG57" i="298" s="1"/>
  <c r="AG58" i="298" s="1"/>
  <c r="AG59" i="298" s="1"/>
  <c r="AH40" i="298"/>
  <c r="AH41" i="298" s="1"/>
  <c r="AH42" i="298" s="1"/>
  <c r="AH43" i="298" s="1"/>
  <c r="AH44" i="298" s="1"/>
  <c r="AH45" i="298" s="1"/>
  <c r="AH46" i="298" s="1"/>
  <c r="AH47" i="298" s="1"/>
  <c r="AH48" i="298" s="1"/>
  <c r="AH49" i="298" s="1"/>
  <c r="AH50" i="298" s="1"/>
  <c r="AH51" i="298" s="1"/>
  <c r="AH52" i="298" s="1"/>
  <c r="AH53" i="298" s="1"/>
  <c r="AH54" i="298" s="1"/>
  <c r="AH55" i="298" s="1"/>
  <c r="AH56" i="298" s="1"/>
  <c r="AH57" i="298" s="1"/>
  <c r="AH58" i="298" s="1"/>
  <c r="AH59" i="298" s="1"/>
  <c r="AG40" i="298"/>
  <c r="AG41" i="298" s="1"/>
  <c r="AG42" i="298" s="1"/>
  <c r="AG43" i="298" s="1"/>
  <c r="AG44" i="298" s="1"/>
  <c r="AG45" i="298" s="1"/>
  <c r="AG46" i="298" s="1"/>
  <c r="AG47" i="298" s="1"/>
  <c r="AG48" i="298" s="1"/>
  <c r="AF40" i="298"/>
  <c r="AF41" i="298" s="1"/>
  <c r="AF42" i="298" s="1"/>
  <c r="AF43" i="298" s="1"/>
  <c r="AF44" i="298" s="1"/>
  <c r="AF45" i="298" s="1"/>
  <c r="AF46" i="298" s="1"/>
  <c r="AF47" i="298" s="1"/>
  <c r="AF48" i="298" s="1"/>
  <c r="AF49" i="298" s="1"/>
  <c r="AF50" i="298" s="1"/>
  <c r="AF51" i="298" s="1"/>
  <c r="AF52" i="298" s="1"/>
  <c r="AF53" i="298" s="1"/>
  <c r="AF54" i="298" s="1"/>
  <c r="AF55" i="298" s="1"/>
  <c r="AF56" i="298" s="1"/>
  <c r="AF57" i="298" s="1"/>
  <c r="AF58" i="298" s="1"/>
  <c r="AF59" i="298" s="1"/>
  <c r="AQ28" i="298"/>
  <c r="AR27" i="298"/>
  <c r="AQ27" i="298"/>
  <c r="AO27" i="298"/>
  <c r="AN27" i="298"/>
  <c r="AK27" i="298"/>
  <c r="AJ27" i="298"/>
  <c r="Q27" i="298"/>
  <c r="N26" i="298"/>
  <c r="I26" i="298"/>
  <c r="AN26" i="298" s="1"/>
  <c r="N25" i="298"/>
  <c r="K25" i="298"/>
  <c r="I25" i="298"/>
  <c r="AO25" i="298" s="1"/>
  <c r="N24" i="298"/>
  <c r="K24" i="298"/>
  <c r="I24" i="298"/>
  <c r="AL24" i="298" s="1"/>
  <c r="N23" i="298"/>
  <c r="K23" i="298"/>
  <c r="I23" i="298"/>
  <c r="AP23" i="298" s="1"/>
  <c r="N22" i="298"/>
  <c r="K22" i="298"/>
  <c r="I22" i="298"/>
  <c r="AO22" i="298" s="1"/>
  <c r="N21" i="298"/>
  <c r="K21" i="298"/>
  <c r="I21" i="298"/>
  <c r="AR21" i="298" s="1"/>
  <c r="N19" i="298"/>
  <c r="K19" i="298"/>
  <c r="I19" i="298"/>
  <c r="AO19" i="298" s="1"/>
  <c r="N18" i="298"/>
  <c r="K18" i="298"/>
  <c r="I18" i="298"/>
  <c r="AS18" i="298" s="1"/>
  <c r="N17" i="298"/>
  <c r="K17" i="298"/>
  <c r="I17" i="298"/>
  <c r="AG17" i="298" s="1"/>
  <c r="N16" i="298"/>
  <c r="K16" i="298"/>
  <c r="I16" i="298"/>
  <c r="AS16" i="298" s="1"/>
  <c r="G16" i="298"/>
  <c r="N15" i="298"/>
  <c r="K15" i="298"/>
  <c r="I15" i="298"/>
  <c r="AS15" i="298" s="1"/>
  <c r="N14" i="298"/>
  <c r="K14" i="298"/>
  <c r="I14" i="298"/>
  <c r="Y14" i="298" s="1"/>
  <c r="N13" i="298"/>
  <c r="K13" i="298"/>
  <c r="I13" i="298"/>
  <c r="AM13" i="298" s="1"/>
  <c r="N12" i="298"/>
  <c r="K12" i="298"/>
  <c r="I12" i="298"/>
  <c r="AR12" i="298" s="1"/>
  <c r="N11" i="298"/>
  <c r="K11" i="298"/>
  <c r="I11" i="298"/>
  <c r="AO11" i="298" s="1"/>
  <c r="N10" i="298"/>
  <c r="K10" i="298"/>
  <c r="I10" i="298"/>
  <c r="AR10" i="298" s="1"/>
  <c r="N9" i="298"/>
  <c r="K9" i="298"/>
  <c r="I9" i="298"/>
  <c r="AR9" i="298" s="1"/>
  <c r="L9" i="298" s="1"/>
  <c r="N8" i="298"/>
  <c r="K8" i="298"/>
  <c r="I8" i="298"/>
  <c r="AN8" i="298" s="1"/>
  <c r="N7" i="298"/>
  <c r="K7" i="298"/>
  <c r="I7" i="298"/>
  <c r="AO7" i="298" s="1"/>
  <c r="N6" i="298"/>
  <c r="J6" i="298"/>
  <c r="I6" i="298"/>
  <c r="AP6" i="298" s="1"/>
  <c r="A1" i="298"/>
  <c r="B5" i="298" s="1"/>
  <c r="P9" i="298" l="1"/>
  <c r="P22" i="298"/>
  <c r="X23" i="298"/>
  <c r="AD25" i="298"/>
  <c r="AF26" i="298"/>
  <c r="AD24" i="298"/>
  <c r="T23" i="298"/>
  <c r="AF23" i="298"/>
  <c r="AE9" i="298"/>
  <c r="R22" i="298"/>
  <c r="AI23" i="298"/>
  <c r="AO26" i="298"/>
  <c r="AN9" i="298"/>
  <c r="AJ23" i="298"/>
  <c r="U21" i="298"/>
  <c r="AP9" i="298"/>
  <c r="Y19" i="298"/>
  <c r="AL21" i="298"/>
  <c r="L23" i="298"/>
  <c r="R25" i="298"/>
  <c r="P24" i="298"/>
  <c r="S24" i="298"/>
  <c r="S9" i="298"/>
  <c r="AQ12" i="298"/>
  <c r="AE16" i="298"/>
  <c r="V18" i="298"/>
  <c r="J21" i="298"/>
  <c r="Z21" i="298"/>
  <c r="AP21" i="298"/>
  <c r="X22" i="298"/>
  <c r="P23" i="298"/>
  <c r="AN23" i="298"/>
  <c r="AF24" i="298"/>
  <c r="AI25" i="298"/>
  <c r="AK12" i="298"/>
  <c r="AD9" i="298"/>
  <c r="P12" i="298"/>
  <c r="AD18" i="298"/>
  <c r="AA21" i="298"/>
  <c r="AQ21" i="298"/>
  <c r="AH22" i="298"/>
  <c r="S23" i="298"/>
  <c r="AQ23" i="298"/>
  <c r="AI24" i="298"/>
  <c r="AL25" i="298"/>
  <c r="S12" i="298"/>
  <c r="T15" i="298"/>
  <c r="AC21" i="298"/>
  <c r="AN22" i="298"/>
  <c r="AN12" i="298"/>
  <c r="AD10" i="298"/>
  <c r="S6" i="298"/>
  <c r="AI9" i="298"/>
  <c r="AA12" i="298"/>
  <c r="V15" i="298"/>
  <c r="O21" i="298"/>
  <c r="AE21" i="298"/>
  <c r="J22" i="298"/>
  <c r="AP22" i="298"/>
  <c r="J25" i="298"/>
  <c r="V21" i="298"/>
  <c r="AM21" i="298"/>
  <c r="P6" i="298"/>
  <c r="AG6" i="298"/>
  <c r="AL9" i="298"/>
  <c r="AC12" i="298"/>
  <c r="P21" i="298"/>
  <c r="AF21" i="298"/>
  <c r="AA23" i="298"/>
  <c r="O26" i="298"/>
  <c r="AK6" i="298"/>
  <c r="AI12" i="298"/>
  <c r="R21" i="298"/>
  <c r="AK21" i="298"/>
  <c r="T6" i="298"/>
  <c r="AC7" i="298"/>
  <c r="AK10" i="298"/>
  <c r="AF9" i="298"/>
  <c r="AL10" i="298"/>
  <c r="X11" i="298"/>
  <c r="AF12" i="298"/>
  <c r="AE13" i="298"/>
  <c r="AD15" i="298"/>
  <c r="P16" i="298"/>
  <c r="AI16" i="298"/>
  <c r="AL18" i="298"/>
  <c r="M21" i="298"/>
  <c r="W21" i="298"/>
  <c r="AH21" i="298"/>
  <c r="AS21" i="298"/>
  <c r="Z22" i="298"/>
  <c r="M23" i="298"/>
  <c r="AB23" i="298"/>
  <c r="AR23" i="298"/>
  <c r="V24" i="298"/>
  <c r="AM24" i="298"/>
  <c r="S25" i="298"/>
  <c r="AP25" i="298"/>
  <c r="AH10" i="298"/>
  <c r="AP11" i="298"/>
  <c r="AM7" i="298"/>
  <c r="AD13" i="298"/>
  <c r="O16" i="298"/>
  <c r="W16" i="298" s="1"/>
  <c r="AF16" i="298"/>
  <c r="Y6" i="298"/>
  <c r="AO6" i="298"/>
  <c r="O7" i="298"/>
  <c r="W7" i="298" s="1"/>
  <c r="AD7" i="298"/>
  <c r="AN7" i="298"/>
  <c r="AA6" i="298"/>
  <c r="AQ6" i="298"/>
  <c r="P7" i="298"/>
  <c r="AE7" i="298"/>
  <c r="AP7" i="298"/>
  <c r="O10" i="298"/>
  <c r="W10" i="298" s="1"/>
  <c r="AM10" i="298"/>
  <c r="AC11" i="298"/>
  <c r="O13" i="298"/>
  <c r="W13" i="298" s="1"/>
  <c r="AF13" i="298"/>
  <c r="AG14" i="298"/>
  <c r="AL15" i="298"/>
  <c r="S16" i="298"/>
  <c r="AL16" i="298"/>
  <c r="AR18" i="298"/>
  <c r="L18" i="298" s="1"/>
  <c r="X21" i="298"/>
  <c r="AI21" i="298"/>
  <c r="AF22" i="298"/>
  <c r="AC23" i="298"/>
  <c r="AS23" i="298"/>
  <c r="W24" i="298"/>
  <c r="AN24" i="298"/>
  <c r="V25" i="298"/>
  <c r="AQ25" i="298"/>
  <c r="AI7" i="298"/>
  <c r="AA7" i="298"/>
  <c r="AA13" i="298"/>
  <c r="AM6" i="298"/>
  <c r="P11" i="298"/>
  <c r="AS11" i="298"/>
  <c r="AC6" i="298"/>
  <c r="AR6" i="298"/>
  <c r="L6" i="298" s="1"/>
  <c r="U6" i="298" s="1"/>
  <c r="S7" i="298"/>
  <c r="AF7" i="298"/>
  <c r="AQ7" i="298"/>
  <c r="V10" i="298"/>
  <c r="AP10" i="298"/>
  <c r="AF11" i="298"/>
  <c r="P13" i="298"/>
  <c r="AI13" i="298"/>
  <c r="AR15" i="298"/>
  <c r="L15" i="298" s="1"/>
  <c r="M15" i="298" s="1"/>
  <c r="V16" i="298"/>
  <c r="AM16" i="298"/>
  <c r="X24" i="298"/>
  <c r="AQ24" i="298"/>
  <c r="Z25" i="298"/>
  <c r="AL7" i="298"/>
  <c r="O6" i="298"/>
  <c r="W6" i="298" s="1"/>
  <c r="AE6" i="298"/>
  <c r="AS6" i="298"/>
  <c r="T7" i="298"/>
  <c r="AH7" i="298"/>
  <c r="AR7" i="298"/>
  <c r="L7" i="298" s="1"/>
  <c r="AC10" i="298"/>
  <c r="AS10" i="298"/>
  <c r="AH11" i="298"/>
  <c r="S13" i="298"/>
  <c r="AL13" i="298"/>
  <c r="X16" i="298"/>
  <c r="AN16" i="298"/>
  <c r="AA24" i="298"/>
  <c r="AA25" i="298"/>
  <c r="V7" i="298"/>
  <c r="AS7" i="298"/>
  <c r="AK11" i="298"/>
  <c r="V13" i="298"/>
  <c r="AN13" i="298"/>
  <c r="AA16" i="298"/>
  <c r="AQ16" i="298"/>
  <c r="Q6" i="298"/>
  <c r="R6" i="298" s="1"/>
  <c r="Z6" i="298" s="1"/>
  <c r="AI6" i="298"/>
  <c r="X7" i="298"/>
  <c r="AK7" i="298"/>
  <c r="V9" i="298"/>
  <c r="AQ9" i="298"/>
  <c r="AE10" i="298"/>
  <c r="AN11" i="298"/>
  <c r="X12" i="298"/>
  <c r="AS12" i="298"/>
  <c r="X13" i="298"/>
  <c r="AQ13" i="298"/>
  <c r="AD16" i="298"/>
  <c r="T18" i="298"/>
  <c r="Q19" i="298"/>
  <c r="R19" i="298" s="1"/>
  <c r="AJ19" i="298" s="1"/>
  <c r="S21" i="298"/>
  <c r="AD21" i="298"/>
  <c r="AN21" i="298"/>
  <c r="U23" i="298"/>
  <c r="AK23" i="298"/>
  <c r="O24" i="298"/>
  <c r="AE24" i="298"/>
  <c r="AH25" i="298"/>
  <c r="W26" i="298"/>
  <c r="U9" i="298"/>
  <c r="M9" i="298"/>
  <c r="AH8" i="298"/>
  <c r="AP8" i="298"/>
  <c r="AP17" i="298"/>
  <c r="AH17" i="298"/>
  <c r="AN17" i="298"/>
  <c r="AF17" i="298"/>
  <c r="X17" i="298"/>
  <c r="P17" i="298"/>
  <c r="AM17" i="298"/>
  <c r="AE17" i="298"/>
  <c r="O17" i="298"/>
  <c r="W17" i="298" s="1"/>
  <c r="AL17" i="298"/>
  <c r="AD17" i="298"/>
  <c r="V17" i="298"/>
  <c r="AS17" i="298"/>
  <c r="AK17" i="298"/>
  <c r="AC17" i="298"/>
  <c r="AR17" i="298"/>
  <c r="L17" i="298" s="1"/>
  <c r="U17" i="298" s="1"/>
  <c r="T17" i="298"/>
  <c r="AI17" i="298"/>
  <c r="S8" i="298"/>
  <c r="AO14" i="298"/>
  <c r="AO17" i="298"/>
  <c r="AG19" i="298"/>
  <c r="AA8" i="298"/>
  <c r="AI8" i="298"/>
  <c r="AQ8" i="298"/>
  <c r="V6" i="298"/>
  <c r="AD6" i="298"/>
  <c r="AL6" i="298"/>
  <c r="Q7" i="298"/>
  <c r="R7" i="298" s="1"/>
  <c r="Y7" i="298"/>
  <c r="AG7" i="298"/>
  <c r="T8" i="298"/>
  <c r="AR8" i="298"/>
  <c r="L8" i="298" s="1"/>
  <c r="M8" i="298" s="1"/>
  <c r="O9" i="298"/>
  <c r="W9" i="298" s="1"/>
  <c r="X9" i="298"/>
  <c r="AH9" i="298"/>
  <c r="AQ14" i="298"/>
  <c r="AQ17" i="298"/>
  <c r="J7" i="298"/>
  <c r="AC8" i="298"/>
  <c r="AK8" i="298"/>
  <c r="AS8" i="298"/>
  <c r="Q14" i="298"/>
  <c r="R14" i="298" s="1"/>
  <c r="Q17" i="298"/>
  <c r="R17" i="298" s="1"/>
  <c r="X6" i="298"/>
  <c r="AF6" i="298"/>
  <c r="AN6" i="298"/>
  <c r="V8" i="298"/>
  <c r="AD8" i="298"/>
  <c r="AL8" i="298"/>
  <c r="AO9" i="298"/>
  <c r="AG9" i="298"/>
  <c r="Y9" i="298"/>
  <c r="Q9" i="298"/>
  <c r="R9" i="298" s="1"/>
  <c r="AS9" i="298"/>
  <c r="AK9" i="298"/>
  <c r="AA9" i="298"/>
  <c r="S14" i="298"/>
  <c r="S17" i="298"/>
  <c r="AN19" i="298"/>
  <c r="AF19" i="298"/>
  <c r="X19" i="298"/>
  <c r="P19" i="298"/>
  <c r="AM19" i="298"/>
  <c r="AE19" i="298"/>
  <c r="O19" i="298"/>
  <c r="W19" i="298" s="1"/>
  <c r="AL19" i="298"/>
  <c r="AD19" i="298"/>
  <c r="V19" i="298"/>
  <c r="AS19" i="298"/>
  <c r="AK19" i="298"/>
  <c r="AC19" i="298"/>
  <c r="AR19" i="298"/>
  <c r="T19" i="298"/>
  <c r="L19" i="298"/>
  <c r="U19" i="298" s="1"/>
  <c r="AQ19" i="298"/>
  <c r="AI19" i="298"/>
  <c r="AA19" i="298"/>
  <c r="S19" i="298"/>
  <c r="AP19" i="298"/>
  <c r="AH19" i="298"/>
  <c r="AE8" i="298"/>
  <c r="AM8" i="298"/>
  <c r="Y17" i="298"/>
  <c r="Q8" i="298"/>
  <c r="R8" i="298" s="1"/>
  <c r="Y8" i="298"/>
  <c r="AG8" i="298"/>
  <c r="AO8" i="298"/>
  <c r="AP14" i="298"/>
  <c r="AH14" i="298"/>
  <c r="AN14" i="298"/>
  <c r="AF14" i="298"/>
  <c r="X14" i="298"/>
  <c r="P14" i="298"/>
  <c r="AM14" i="298"/>
  <c r="AE14" i="298"/>
  <c r="O14" i="298"/>
  <c r="W14" i="298" s="1"/>
  <c r="AL14" i="298"/>
  <c r="AD14" i="298"/>
  <c r="V14" i="298"/>
  <c r="AS14" i="298"/>
  <c r="AK14" i="298"/>
  <c r="AC14" i="298"/>
  <c r="AR14" i="298"/>
  <c r="L14" i="298" s="1"/>
  <c r="T14" i="298"/>
  <c r="AI14" i="298"/>
  <c r="O8" i="298"/>
  <c r="W8" i="298" s="1"/>
  <c r="AH6" i="298"/>
  <c r="P8" i="298"/>
  <c r="X8" i="298"/>
  <c r="AF8" i="298"/>
  <c r="T9" i="298"/>
  <c r="AC9" i="298"/>
  <c r="AM9" i="298"/>
  <c r="AA14" i="298"/>
  <c r="AA17" i="298"/>
  <c r="P10" i="298"/>
  <c r="X10" i="298"/>
  <c r="AF10" i="298"/>
  <c r="AN10" i="298"/>
  <c r="S11" i="298"/>
  <c r="AA11" i="298"/>
  <c r="AI11" i="298"/>
  <c r="AQ11" i="298"/>
  <c r="V12" i="298"/>
  <c r="AD12" i="298"/>
  <c r="AL12" i="298"/>
  <c r="Q13" i="298"/>
  <c r="R13" i="298" s="1"/>
  <c r="Z13" i="298" s="1"/>
  <c r="Y13" i="298"/>
  <c r="AG13" i="298"/>
  <c r="AO13" i="298"/>
  <c r="O15" i="298"/>
  <c r="W15" i="298" s="1"/>
  <c r="AE15" i="298"/>
  <c r="AM15" i="298"/>
  <c r="Q16" i="298"/>
  <c r="R16" i="298" s="1"/>
  <c r="Y16" i="298"/>
  <c r="AG16" i="298"/>
  <c r="AO16" i="298"/>
  <c r="O18" i="298"/>
  <c r="W18" i="298" s="1"/>
  <c r="AE18" i="298"/>
  <c r="AM18" i="298"/>
  <c r="S22" i="298"/>
  <c r="AA22" i="298"/>
  <c r="AI22" i="298"/>
  <c r="AQ22" i="298"/>
  <c r="V23" i="298"/>
  <c r="AD23" i="298"/>
  <c r="AL23" i="298"/>
  <c r="Q24" i="298"/>
  <c r="Y24" i="298"/>
  <c r="AG24" i="298"/>
  <c r="AO24" i="298"/>
  <c r="L25" i="298"/>
  <c r="T25" i="298"/>
  <c r="AB25" i="298"/>
  <c r="AJ25" i="298"/>
  <c r="AR25" i="298"/>
  <c r="P26" i="298"/>
  <c r="Y26" i="298"/>
  <c r="AG26" i="298"/>
  <c r="AP26" i="298"/>
  <c r="Q10" i="298"/>
  <c r="R10" i="298" s="1"/>
  <c r="Z10" i="298" s="1"/>
  <c r="Y10" i="298"/>
  <c r="AG10" i="298"/>
  <c r="AO10" i="298"/>
  <c r="T11" i="298"/>
  <c r="AR11" i="298"/>
  <c r="L11" i="298" s="1"/>
  <c r="O12" i="298"/>
  <c r="W12" i="298" s="1"/>
  <c r="AE12" i="298"/>
  <c r="AM12" i="298"/>
  <c r="AH13" i="298"/>
  <c r="AP13" i="298"/>
  <c r="P15" i="298"/>
  <c r="X15" i="298"/>
  <c r="AF15" i="298"/>
  <c r="AN15" i="298"/>
  <c r="AH16" i="298"/>
  <c r="AP16" i="298"/>
  <c r="P18" i="298"/>
  <c r="X18" i="298"/>
  <c r="AF18" i="298"/>
  <c r="AN18" i="298"/>
  <c r="Q21" i="298"/>
  <c r="Y21" i="298"/>
  <c r="AG21" i="298"/>
  <c r="AO21" i="298"/>
  <c r="L22" i="298"/>
  <c r="T22" i="298"/>
  <c r="AB22" i="298"/>
  <c r="AJ22" i="298"/>
  <c r="AR22" i="298"/>
  <c r="O23" i="298"/>
  <c r="W23" i="298"/>
  <c r="AE23" i="298"/>
  <c r="AM23" i="298"/>
  <c r="J24" i="298"/>
  <c r="R24" i="298"/>
  <c r="Z24" i="298"/>
  <c r="AH24" i="298"/>
  <c r="AP24" i="298"/>
  <c r="M25" i="298"/>
  <c r="U25" i="298"/>
  <c r="AC25" i="298"/>
  <c r="AK25" i="298"/>
  <c r="AS25" i="298"/>
  <c r="Q26" i="298"/>
  <c r="Z26" i="298"/>
  <c r="AH26" i="298"/>
  <c r="AQ26" i="298"/>
  <c r="Q15" i="298"/>
  <c r="R15" i="298" s="1"/>
  <c r="Y15" i="298"/>
  <c r="AG15" i="298"/>
  <c r="AO15" i="298"/>
  <c r="Q18" i="298"/>
  <c r="R18" i="298" s="1"/>
  <c r="Y18" i="298"/>
  <c r="AG18" i="298"/>
  <c r="AO18" i="298"/>
  <c r="M22" i="298"/>
  <c r="U22" i="298"/>
  <c r="AC22" i="298"/>
  <c r="AK22" i="298"/>
  <c r="AS22" i="298"/>
  <c r="R26" i="298"/>
  <c r="AA26" i="298"/>
  <c r="AI26" i="298"/>
  <c r="AR26" i="298"/>
  <c r="S10" i="298"/>
  <c r="AA10" i="298"/>
  <c r="AI10" i="298"/>
  <c r="AQ10" i="298"/>
  <c r="V11" i="298"/>
  <c r="AD11" i="298"/>
  <c r="AL11" i="298"/>
  <c r="Q12" i="298"/>
  <c r="R12" i="298" s="1"/>
  <c r="Y12" i="298"/>
  <c r="AG12" i="298"/>
  <c r="AO12" i="298"/>
  <c r="T13" i="298"/>
  <c r="AR13" i="298"/>
  <c r="L13" i="298" s="1"/>
  <c r="M13" i="298" s="1"/>
  <c r="AH15" i="298"/>
  <c r="AP15" i="298"/>
  <c r="L16" i="298"/>
  <c r="M16" i="298" s="1"/>
  <c r="T16" i="298"/>
  <c r="AR16" i="298"/>
  <c r="AH18" i="298"/>
  <c r="AP18" i="298"/>
  <c r="V22" i="298"/>
  <c r="AD22" i="298"/>
  <c r="AL22" i="298"/>
  <c r="Q23" i="298"/>
  <c r="Y23" i="298"/>
  <c r="AG23" i="298"/>
  <c r="AO23" i="298"/>
  <c r="L24" i="298"/>
  <c r="T24" i="298"/>
  <c r="AB24" i="298"/>
  <c r="AJ24" i="298"/>
  <c r="AR24" i="298"/>
  <c r="O25" i="298"/>
  <c r="W25" i="298"/>
  <c r="AE25" i="298"/>
  <c r="AM25" i="298"/>
  <c r="J26" i="298"/>
  <c r="S26" i="298"/>
  <c r="AB26" i="298"/>
  <c r="AJ26" i="298"/>
  <c r="AS26" i="298"/>
  <c r="L10" i="298"/>
  <c r="T10" i="298"/>
  <c r="O11" i="298"/>
  <c r="W11" i="298" s="1"/>
  <c r="AE11" i="298"/>
  <c r="AM11" i="298"/>
  <c r="AH12" i="298"/>
  <c r="AP12" i="298"/>
  <c r="AC13" i="298"/>
  <c r="AK13" i="298"/>
  <c r="AS13" i="298"/>
  <c r="S15" i="298"/>
  <c r="AA15" i="298"/>
  <c r="AI15" i="298"/>
  <c r="AQ15" i="298"/>
  <c r="AC16" i="298"/>
  <c r="AK16" i="298"/>
  <c r="S18" i="298"/>
  <c r="AA18" i="298"/>
  <c r="AI18" i="298"/>
  <c r="AQ18" i="298"/>
  <c r="L21" i="298"/>
  <c r="T21" i="298"/>
  <c r="AB21" i="298"/>
  <c r="AJ21" i="298"/>
  <c r="O22" i="298"/>
  <c r="W22" i="298"/>
  <c r="AE22" i="298"/>
  <c r="AM22" i="298"/>
  <c r="J23" i="298"/>
  <c r="R23" i="298"/>
  <c r="Z23" i="298"/>
  <c r="AH23" i="298"/>
  <c r="M24" i="298"/>
  <c r="U24" i="298"/>
  <c r="AC24" i="298"/>
  <c r="AK24" i="298"/>
  <c r="AS24" i="298"/>
  <c r="P25" i="298"/>
  <c r="X25" i="298"/>
  <c r="AF25" i="298"/>
  <c r="AN25" i="298"/>
  <c r="L26" i="298"/>
  <c r="T26" i="298"/>
  <c r="AC26" i="298"/>
  <c r="AK26" i="298"/>
  <c r="Q25" i="298"/>
  <c r="Y25" i="298"/>
  <c r="AG25" i="298"/>
  <c r="M26" i="298"/>
  <c r="U26" i="298"/>
  <c r="AD26" i="298"/>
  <c r="AM26" i="298"/>
  <c r="Q11" i="298"/>
  <c r="R11" i="298" s="1"/>
  <c r="Z11" i="298" s="1"/>
  <c r="Y11" i="298"/>
  <c r="AG11" i="298"/>
  <c r="L12" i="298"/>
  <c r="T12" i="298"/>
  <c r="AC15" i="298"/>
  <c r="AK15" i="298"/>
  <c r="AC18" i="298"/>
  <c r="AK18" i="298"/>
  <c r="Q22" i="298"/>
  <c r="Y22" i="298"/>
  <c r="AG22" i="298"/>
  <c r="V26" i="298"/>
  <c r="AE26" i="298"/>
  <c r="U15" i="298" l="1"/>
  <c r="M19" i="298"/>
  <c r="Z16" i="298"/>
  <c r="AJ16" i="298"/>
  <c r="Z19" i="298"/>
  <c r="M18" i="298"/>
  <c r="U18" i="298"/>
  <c r="AB19" i="298"/>
  <c r="U16" i="298"/>
  <c r="Z14" i="298"/>
  <c r="AJ14" i="298"/>
  <c r="AB14" i="298"/>
  <c r="U7" i="298"/>
  <c r="M7" i="298"/>
  <c r="Z12" i="298"/>
  <c r="AB12" i="298"/>
  <c r="AJ12" i="298"/>
  <c r="AB11" i="298"/>
  <c r="M6" i="298"/>
  <c r="AB16" i="298"/>
  <c r="AB8" i="298"/>
  <c r="AJ8" i="298"/>
  <c r="Z8" i="298"/>
  <c r="Z17" i="298"/>
  <c r="AJ17" i="298"/>
  <c r="AB17" i="298"/>
  <c r="AJ15" i="298"/>
  <c r="AB15" i="298"/>
  <c r="Z15" i="298"/>
  <c r="U14" i="298"/>
  <c r="M14" i="298"/>
  <c r="AJ18" i="298"/>
  <c r="AB18" i="298"/>
  <c r="Z18" i="298"/>
  <c r="U11" i="298"/>
  <c r="M11" i="298"/>
  <c r="AJ10" i="298"/>
  <c r="AJ6" i="298"/>
  <c r="AB6" i="298"/>
  <c r="AB9" i="298"/>
  <c r="Z9" i="298"/>
  <c r="U12" i="298"/>
  <c r="M12" i="298"/>
  <c r="AB10" i="298"/>
  <c r="AJ13" i="298"/>
  <c r="AJ7" i="298"/>
  <c r="AB7" i="298"/>
  <c r="Z7" i="298"/>
  <c r="U13" i="298"/>
  <c r="AB13" i="298"/>
  <c r="U8" i="298"/>
  <c r="M10" i="298"/>
  <c r="U10" i="298"/>
  <c r="M17" i="298"/>
  <c r="J8" i="298"/>
  <c r="J9" i="298" s="1"/>
  <c r="J10" i="298" s="1"/>
  <c r="J11" i="298" s="1"/>
  <c r="J12" i="298" s="1"/>
  <c r="J13" i="298" s="1"/>
  <c r="J14" i="298" s="1"/>
  <c r="J15" i="298" s="1"/>
  <c r="J16" i="298" s="1"/>
  <c r="J17" i="298" s="1"/>
  <c r="J18" i="298" s="1"/>
  <c r="J19" i="298" s="1"/>
  <c r="AJ11" i="298"/>
  <c r="AJ9" i="298"/>
  <c r="AG50" i="297"/>
  <c r="AG51" i="297" s="1"/>
  <c r="AG52" i="297" s="1"/>
  <c r="AG53" i="297" s="1"/>
  <c r="AG54" i="297" s="1"/>
  <c r="AG55" i="297" s="1"/>
  <c r="AG56" i="297" s="1"/>
  <c r="AG57" i="297" s="1"/>
  <c r="AG58" i="297" s="1"/>
  <c r="AG59" i="297" s="1"/>
  <c r="AH40" i="297"/>
  <c r="AH41" i="297" s="1"/>
  <c r="AH42" i="297" s="1"/>
  <c r="AH43" i="297" s="1"/>
  <c r="AH44" i="297" s="1"/>
  <c r="AH45" i="297" s="1"/>
  <c r="AH46" i="297" s="1"/>
  <c r="AH47" i="297" s="1"/>
  <c r="AH48" i="297" s="1"/>
  <c r="AH49" i="297" s="1"/>
  <c r="AH50" i="297" s="1"/>
  <c r="AH51" i="297" s="1"/>
  <c r="AH52" i="297" s="1"/>
  <c r="AH53" i="297" s="1"/>
  <c r="AH54" i="297" s="1"/>
  <c r="AH55" i="297" s="1"/>
  <c r="AH56" i="297" s="1"/>
  <c r="AH57" i="297" s="1"/>
  <c r="AH58" i="297" s="1"/>
  <c r="AH59" i="297" s="1"/>
  <c r="AG40" i="297"/>
  <c r="AG41" i="297" s="1"/>
  <c r="AG42" i="297" s="1"/>
  <c r="AG43" i="297" s="1"/>
  <c r="AG44" i="297" s="1"/>
  <c r="AG45" i="297" s="1"/>
  <c r="AG46" i="297" s="1"/>
  <c r="AG47" i="297" s="1"/>
  <c r="AG48" i="297" s="1"/>
  <c r="AF40" i="297"/>
  <c r="AF41" i="297" s="1"/>
  <c r="AF42" i="297" s="1"/>
  <c r="AF43" i="297" s="1"/>
  <c r="AF44" i="297" s="1"/>
  <c r="AF45" i="297" s="1"/>
  <c r="AF46" i="297" s="1"/>
  <c r="AF47" i="297" s="1"/>
  <c r="AF48" i="297" s="1"/>
  <c r="AF49" i="297" s="1"/>
  <c r="AF50" i="297" s="1"/>
  <c r="AF51" i="297" s="1"/>
  <c r="AF52" i="297" s="1"/>
  <c r="AF53" i="297" s="1"/>
  <c r="AF54" i="297" s="1"/>
  <c r="AF55" i="297" s="1"/>
  <c r="AF56" i="297" s="1"/>
  <c r="AF57" i="297" s="1"/>
  <c r="AF58" i="297" s="1"/>
  <c r="AF59" i="297" s="1"/>
  <c r="AQ28" i="297"/>
  <c r="AR27" i="297"/>
  <c r="AQ27" i="297"/>
  <c r="AO27" i="297"/>
  <c r="AN27" i="297"/>
  <c r="AK27" i="297"/>
  <c r="AJ27" i="297"/>
  <c r="Q27" i="297"/>
  <c r="N26" i="297"/>
  <c r="I26" i="297"/>
  <c r="AM26" i="297" s="1"/>
  <c r="N25" i="297"/>
  <c r="K25" i="297"/>
  <c r="I25" i="297"/>
  <c r="AO25" i="297" s="1"/>
  <c r="N24" i="297"/>
  <c r="K24" i="297"/>
  <c r="I24" i="297"/>
  <c r="AR24" i="297" s="1"/>
  <c r="N23" i="297"/>
  <c r="K23" i="297"/>
  <c r="I23" i="297"/>
  <c r="AO23" i="297" s="1"/>
  <c r="N22" i="297"/>
  <c r="K22" i="297"/>
  <c r="I22" i="297"/>
  <c r="AP22" i="297" s="1"/>
  <c r="N21" i="297"/>
  <c r="K21" i="297"/>
  <c r="I21" i="297"/>
  <c r="AQ21" i="297" s="1"/>
  <c r="N20" i="297"/>
  <c r="K20" i="297"/>
  <c r="I20" i="297"/>
  <c r="AR20" i="297" s="1"/>
  <c r="N19" i="297"/>
  <c r="K19" i="297"/>
  <c r="I19" i="297"/>
  <c r="Y19" i="297" s="1"/>
  <c r="N18" i="297"/>
  <c r="K18" i="297"/>
  <c r="I18" i="297"/>
  <c r="AR18" i="297" s="1"/>
  <c r="N17" i="297"/>
  <c r="K17" i="297"/>
  <c r="I17" i="297"/>
  <c r="T17" i="297" s="1"/>
  <c r="N16" i="297"/>
  <c r="K16" i="297"/>
  <c r="I16" i="297"/>
  <c r="AO16" i="297" s="1"/>
  <c r="G16" i="297"/>
  <c r="N15" i="297"/>
  <c r="K15" i="297"/>
  <c r="I15" i="297"/>
  <c r="AE15" i="297" s="1"/>
  <c r="N14" i="297"/>
  <c r="K14" i="297"/>
  <c r="I14" i="297"/>
  <c r="AE14" i="297" s="1"/>
  <c r="N13" i="297"/>
  <c r="K13" i="297"/>
  <c r="I13" i="297"/>
  <c r="AQ13" i="297" s="1"/>
  <c r="N12" i="297"/>
  <c r="K12" i="297"/>
  <c r="I12" i="297"/>
  <c r="AF12" i="297" s="1"/>
  <c r="N11" i="297"/>
  <c r="K11" i="297"/>
  <c r="I11" i="297"/>
  <c r="AR11" i="297" s="1"/>
  <c r="N10" i="297"/>
  <c r="K10" i="297"/>
  <c r="I10" i="297"/>
  <c r="AO10" i="297" s="1"/>
  <c r="N9" i="297"/>
  <c r="K9" i="297"/>
  <c r="I9" i="297"/>
  <c r="AP9" i="297" s="1"/>
  <c r="N8" i="297"/>
  <c r="K8" i="297"/>
  <c r="I8" i="297"/>
  <c r="AP8" i="297" s="1"/>
  <c r="N7" i="297"/>
  <c r="K7" i="297"/>
  <c r="I7" i="297"/>
  <c r="AN7" i="297" s="1"/>
  <c r="N6" i="297"/>
  <c r="J6" i="297"/>
  <c r="I6" i="297"/>
  <c r="AR6" i="297" s="1"/>
  <c r="A1" i="297"/>
  <c r="B5" i="297" s="1"/>
  <c r="BH17" i="296"/>
  <c r="BH16" i="296"/>
  <c r="BH15" i="296"/>
  <c r="BD15" i="296"/>
  <c r="BH14" i="296"/>
  <c r="BD14" i="296"/>
  <c r="AG50" i="296"/>
  <c r="AG51" i="296" s="1"/>
  <c r="AG52" i="296" s="1"/>
  <c r="AG53" i="296" s="1"/>
  <c r="AG54" i="296" s="1"/>
  <c r="AG55" i="296" s="1"/>
  <c r="AG56" i="296" s="1"/>
  <c r="AG57" i="296" s="1"/>
  <c r="AG58" i="296" s="1"/>
  <c r="AG59" i="296" s="1"/>
  <c r="AG41" i="296"/>
  <c r="AG42" i="296" s="1"/>
  <c r="AG43" i="296" s="1"/>
  <c r="AG44" i="296" s="1"/>
  <c r="AG45" i="296" s="1"/>
  <c r="AG46" i="296" s="1"/>
  <c r="AG47" i="296" s="1"/>
  <c r="AG48" i="296" s="1"/>
  <c r="AH40" i="296"/>
  <c r="AH41" i="296" s="1"/>
  <c r="AH42" i="296" s="1"/>
  <c r="AH43" i="296" s="1"/>
  <c r="AH44" i="296" s="1"/>
  <c r="AH45" i="296" s="1"/>
  <c r="AH46" i="296" s="1"/>
  <c r="AH47" i="296" s="1"/>
  <c r="AH48" i="296" s="1"/>
  <c r="AH49" i="296" s="1"/>
  <c r="AH50" i="296" s="1"/>
  <c r="AH51" i="296" s="1"/>
  <c r="AH52" i="296" s="1"/>
  <c r="AH53" i="296" s="1"/>
  <c r="AH54" i="296" s="1"/>
  <c r="AH55" i="296" s="1"/>
  <c r="AH56" i="296" s="1"/>
  <c r="AH57" i="296" s="1"/>
  <c r="AH58" i="296" s="1"/>
  <c r="AH59" i="296" s="1"/>
  <c r="AG40" i="296"/>
  <c r="AF40" i="296"/>
  <c r="AF41" i="296" s="1"/>
  <c r="AF42" i="296" s="1"/>
  <c r="AF43" i="296" s="1"/>
  <c r="AF44" i="296" s="1"/>
  <c r="AF45" i="296" s="1"/>
  <c r="AF46" i="296" s="1"/>
  <c r="AF47" i="296" s="1"/>
  <c r="AF48" i="296" s="1"/>
  <c r="AF49" i="296" s="1"/>
  <c r="AF50" i="296" s="1"/>
  <c r="AF51" i="296" s="1"/>
  <c r="AF52" i="296" s="1"/>
  <c r="AF53" i="296" s="1"/>
  <c r="AF54" i="296" s="1"/>
  <c r="AF55" i="296" s="1"/>
  <c r="AF56" i="296" s="1"/>
  <c r="AF57" i="296" s="1"/>
  <c r="AF58" i="296" s="1"/>
  <c r="AF59" i="296" s="1"/>
  <c r="AQ28" i="296"/>
  <c r="AR27" i="296"/>
  <c r="AQ27" i="296"/>
  <c r="AO27" i="296"/>
  <c r="AN27" i="296"/>
  <c r="AK27" i="296"/>
  <c r="AJ27" i="296"/>
  <c r="Q27" i="296"/>
  <c r="N26" i="296"/>
  <c r="I26" i="296"/>
  <c r="AN26" i="296" s="1"/>
  <c r="N25" i="296"/>
  <c r="K25" i="296"/>
  <c r="I25" i="296"/>
  <c r="AO25" i="296" s="1"/>
  <c r="N24" i="296"/>
  <c r="K24" i="296"/>
  <c r="I24" i="296"/>
  <c r="AF24" i="296" s="1"/>
  <c r="N23" i="296"/>
  <c r="K23" i="296"/>
  <c r="I23" i="296"/>
  <c r="AP23" i="296" s="1"/>
  <c r="N22" i="296"/>
  <c r="K22" i="296"/>
  <c r="I22" i="296"/>
  <c r="AO22" i="296" s="1"/>
  <c r="N21" i="296"/>
  <c r="K21" i="296"/>
  <c r="I21" i="296"/>
  <c r="AR21" i="296" s="1"/>
  <c r="N20" i="296"/>
  <c r="K20" i="296"/>
  <c r="I20" i="296"/>
  <c r="AO20" i="296" s="1"/>
  <c r="N19" i="296"/>
  <c r="K19" i="296"/>
  <c r="I19" i="296"/>
  <c r="AG19" i="296" s="1"/>
  <c r="N18" i="296"/>
  <c r="K18" i="296"/>
  <c r="I18" i="296"/>
  <c r="AL18" i="296" s="1"/>
  <c r="N17" i="296"/>
  <c r="K17" i="296"/>
  <c r="I17" i="296"/>
  <c r="AO17" i="296" s="1"/>
  <c r="N16" i="296"/>
  <c r="K16" i="296"/>
  <c r="I16" i="296"/>
  <c r="AG16" i="296" s="1"/>
  <c r="G16" i="296"/>
  <c r="N15" i="296"/>
  <c r="K15" i="296"/>
  <c r="I15" i="296"/>
  <c r="AE15" i="296" s="1"/>
  <c r="N14" i="296"/>
  <c r="K14" i="296"/>
  <c r="I14" i="296"/>
  <c r="AO14" i="296" s="1"/>
  <c r="N13" i="296"/>
  <c r="K13" i="296"/>
  <c r="I13" i="296"/>
  <c r="AF13" i="296" s="1"/>
  <c r="N12" i="296"/>
  <c r="K12" i="296"/>
  <c r="I12" i="296"/>
  <c r="AP12" i="296" s="1"/>
  <c r="N11" i="296"/>
  <c r="K11" i="296"/>
  <c r="I11" i="296"/>
  <c r="AQ11" i="296" s="1"/>
  <c r="N10" i="296"/>
  <c r="K10" i="296"/>
  <c r="I10" i="296"/>
  <c r="AR10" i="296" s="1"/>
  <c r="N9" i="296"/>
  <c r="K9" i="296"/>
  <c r="I9" i="296"/>
  <c r="AN9" i="296" s="1"/>
  <c r="N8" i="296"/>
  <c r="K8" i="296"/>
  <c r="I8" i="296"/>
  <c r="AP8" i="296" s="1"/>
  <c r="N7" i="296"/>
  <c r="K7" i="296"/>
  <c r="I7" i="296"/>
  <c r="AM7" i="296" s="1"/>
  <c r="N6" i="296"/>
  <c r="J6" i="296"/>
  <c r="I6" i="296"/>
  <c r="AR6" i="296" s="1"/>
  <c r="A1" i="296"/>
  <c r="B5" i="296" s="1"/>
  <c r="BH8" i="295"/>
  <c r="BH9" i="295" s="1"/>
  <c r="AG51" i="295"/>
  <c r="AG52" i="295" s="1"/>
  <c r="AG53" i="295" s="1"/>
  <c r="AG54" i="295" s="1"/>
  <c r="AG55" i="295" s="1"/>
  <c r="AG56" i="295" s="1"/>
  <c r="AG57" i="295" s="1"/>
  <c r="AG58" i="295" s="1"/>
  <c r="AG59" i="295" s="1"/>
  <c r="AG50" i="295"/>
  <c r="AH43" i="295"/>
  <c r="AH44" i="295" s="1"/>
  <c r="AH45" i="295" s="1"/>
  <c r="AH46" i="295" s="1"/>
  <c r="AH47" i="295" s="1"/>
  <c r="AH48" i="295" s="1"/>
  <c r="AH49" i="295" s="1"/>
  <c r="AH50" i="295" s="1"/>
  <c r="AH51" i="295" s="1"/>
  <c r="AH52" i="295" s="1"/>
  <c r="AH53" i="295" s="1"/>
  <c r="AH54" i="295" s="1"/>
  <c r="AH55" i="295" s="1"/>
  <c r="AH56" i="295" s="1"/>
  <c r="AH57" i="295" s="1"/>
  <c r="AH58" i="295" s="1"/>
  <c r="AH59" i="295" s="1"/>
  <c r="AF41" i="295"/>
  <c r="AF42" i="295" s="1"/>
  <c r="AF43" i="295" s="1"/>
  <c r="AF44" i="295" s="1"/>
  <c r="AF45" i="295" s="1"/>
  <c r="AF46" i="295" s="1"/>
  <c r="AF47" i="295" s="1"/>
  <c r="AF48" i="295" s="1"/>
  <c r="AF49" i="295" s="1"/>
  <c r="AF50" i="295" s="1"/>
  <c r="AF51" i="295" s="1"/>
  <c r="AF52" i="295" s="1"/>
  <c r="AF53" i="295" s="1"/>
  <c r="AF54" i="295" s="1"/>
  <c r="AF55" i="295" s="1"/>
  <c r="AF56" i="295" s="1"/>
  <c r="AF57" i="295" s="1"/>
  <c r="AF58" i="295" s="1"/>
  <c r="AF59" i="295" s="1"/>
  <c r="AH40" i="295"/>
  <c r="AH41" i="295" s="1"/>
  <c r="AH42" i="295" s="1"/>
  <c r="AG40" i="295"/>
  <c r="AG41" i="295" s="1"/>
  <c r="AG42" i="295" s="1"/>
  <c r="AG43" i="295" s="1"/>
  <c r="AG44" i="295" s="1"/>
  <c r="AG45" i="295" s="1"/>
  <c r="AG46" i="295" s="1"/>
  <c r="AG47" i="295" s="1"/>
  <c r="AG48" i="295" s="1"/>
  <c r="AF40" i="295"/>
  <c r="AQ28" i="295"/>
  <c r="AR27" i="295"/>
  <c r="AQ27" i="295"/>
  <c r="AO27" i="295"/>
  <c r="AN27" i="295"/>
  <c r="AK27" i="295"/>
  <c r="AJ27" i="295"/>
  <c r="Q27" i="295"/>
  <c r="N26" i="295"/>
  <c r="I26" i="295"/>
  <c r="AN26" i="295" s="1"/>
  <c r="N25" i="295"/>
  <c r="K25" i="295"/>
  <c r="I25" i="295"/>
  <c r="AP25" i="295" s="1"/>
  <c r="N24" i="295"/>
  <c r="K24" i="295"/>
  <c r="I24" i="295"/>
  <c r="AR24" i="295" s="1"/>
  <c r="N23" i="295"/>
  <c r="K23" i="295"/>
  <c r="I23" i="295"/>
  <c r="AO23" i="295" s="1"/>
  <c r="N22" i="295"/>
  <c r="K22" i="295"/>
  <c r="I22" i="295"/>
  <c r="AO22" i="295" s="1"/>
  <c r="N21" i="295"/>
  <c r="K21" i="295"/>
  <c r="I21" i="295"/>
  <c r="AQ21" i="295" s="1"/>
  <c r="N20" i="295"/>
  <c r="K20" i="295"/>
  <c r="I20" i="295"/>
  <c r="N19" i="295"/>
  <c r="K19" i="295"/>
  <c r="I19" i="295"/>
  <c r="Y19" i="295" s="1"/>
  <c r="N18" i="295"/>
  <c r="K18" i="295"/>
  <c r="I18" i="295"/>
  <c r="AP18" i="295" s="1"/>
  <c r="N17" i="295"/>
  <c r="K17" i="295"/>
  <c r="I17" i="295"/>
  <c r="AI17" i="295" s="1"/>
  <c r="N16" i="295"/>
  <c r="K16" i="295"/>
  <c r="I16" i="295"/>
  <c r="AR16" i="295" s="1"/>
  <c r="G16" i="295"/>
  <c r="N15" i="295"/>
  <c r="K15" i="295"/>
  <c r="I15" i="295"/>
  <c r="AS15" i="295" s="1"/>
  <c r="N14" i="295"/>
  <c r="K14" i="295"/>
  <c r="I14" i="295"/>
  <c r="AG14" i="295" s="1"/>
  <c r="N13" i="295"/>
  <c r="K13" i="295"/>
  <c r="I13" i="295"/>
  <c r="AR13" i="295" s="1"/>
  <c r="N12" i="295"/>
  <c r="K12" i="295"/>
  <c r="I12" i="295"/>
  <c r="AO12" i="295" s="1"/>
  <c r="N11" i="295"/>
  <c r="K11" i="295"/>
  <c r="I11" i="295"/>
  <c r="AM11" i="295" s="1"/>
  <c r="N10" i="295"/>
  <c r="K10" i="295"/>
  <c r="I10" i="295"/>
  <c r="AO10" i="295" s="1"/>
  <c r="N9" i="295"/>
  <c r="K9" i="295"/>
  <c r="I9" i="295"/>
  <c r="AQ9" i="295" s="1"/>
  <c r="N8" i="295"/>
  <c r="K8" i="295"/>
  <c r="I8" i="295"/>
  <c r="AS8" i="295" s="1"/>
  <c r="N7" i="295"/>
  <c r="K7" i="295"/>
  <c r="I7" i="295"/>
  <c r="AP7" i="295" s="1"/>
  <c r="N6" i="295"/>
  <c r="J6" i="295"/>
  <c r="I6" i="295"/>
  <c r="AM6" i="295" s="1"/>
  <c r="A1" i="295"/>
  <c r="B5" i="295" s="1"/>
  <c r="AG51" i="294"/>
  <c r="AG52" i="294" s="1"/>
  <c r="AG53" i="294" s="1"/>
  <c r="AG54" i="294" s="1"/>
  <c r="AG55" i="294" s="1"/>
  <c r="AG56" i="294" s="1"/>
  <c r="AG57" i="294" s="1"/>
  <c r="AG58" i="294" s="1"/>
  <c r="AG59" i="294" s="1"/>
  <c r="AG50" i="294"/>
  <c r="AF43" i="294"/>
  <c r="AF44" i="294" s="1"/>
  <c r="AF45" i="294" s="1"/>
  <c r="AF46" i="294" s="1"/>
  <c r="AF47" i="294" s="1"/>
  <c r="AF48" i="294" s="1"/>
  <c r="AF49" i="294" s="1"/>
  <c r="AF50" i="294" s="1"/>
  <c r="AF51" i="294" s="1"/>
  <c r="AF52" i="294" s="1"/>
  <c r="AF53" i="294" s="1"/>
  <c r="AF54" i="294" s="1"/>
  <c r="AF55" i="294" s="1"/>
  <c r="AF56" i="294" s="1"/>
  <c r="AF57" i="294" s="1"/>
  <c r="AF58" i="294" s="1"/>
  <c r="AF59" i="294" s="1"/>
  <c r="AH40" i="294"/>
  <c r="AH41" i="294" s="1"/>
  <c r="AH42" i="294" s="1"/>
  <c r="AH43" i="294" s="1"/>
  <c r="AH44" i="294" s="1"/>
  <c r="AH45" i="294" s="1"/>
  <c r="AH46" i="294" s="1"/>
  <c r="AH47" i="294" s="1"/>
  <c r="AH48" i="294" s="1"/>
  <c r="AH49" i="294" s="1"/>
  <c r="AH50" i="294" s="1"/>
  <c r="AH51" i="294" s="1"/>
  <c r="AH52" i="294" s="1"/>
  <c r="AH53" i="294" s="1"/>
  <c r="AH54" i="294" s="1"/>
  <c r="AH55" i="294" s="1"/>
  <c r="AH56" i="294" s="1"/>
  <c r="AH57" i="294" s="1"/>
  <c r="AH58" i="294" s="1"/>
  <c r="AH59" i="294" s="1"/>
  <c r="AG40" i="294"/>
  <c r="AG41" i="294" s="1"/>
  <c r="AG42" i="294" s="1"/>
  <c r="AG43" i="294" s="1"/>
  <c r="AG44" i="294" s="1"/>
  <c r="AG45" i="294" s="1"/>
  <c r="AG46" i="294" s="1"/>
  <c r="AG47" i="294" s="1"/>
  <c r="AG48" i="294" s="1"/>
  <c r="AF40" i="294"/>
  <c r="AF41" i="294" s="1"/>
  <c r="AF42" i="294" s="1"/>
  <c r="AQ28" i="294"/>
  <c r="AR27" i="294"/>
  <c r="AQ27" i="294"/>
  <c r="AO27" i="294"/>
  <c r="AN27" i="294"/>
  <c r="AK27" i="294"/>
  <c r="AJ27" i="294"/>
  <c r="Q27" i="294"/>
  <c r="N26" i="294"/>
  <c r="I26" i="294"/>
  <c r="AN26" i="294" s="1"/>
  <c r="N25" i="294"/>
  <c r="K25" i="294"/>
  <c r="I25" i="294"/>
  <c r="AR25" i="294" s="1"/>
  <c r="N24" i="294"/>
  <c r="K24" i="294"/>
  <c r="I24" i="294"/>
  <c r="AS24" i="294" s="1"/>
  <c r="N23" i="294"/>
  <c r="K23" i="294"/>
  <c r="I23" i="294"/>
  <c r="AR23" i="294" s="1"/>
  <c r="N22" i="294"/>
  <c r="K22" i="294"/>
  <c r="I22" i="294"/>
  <c r="AO22" i="294" s="1"/>
  <c r="N21" i="294"/>
  <c r="K21" i="294"/>
  <c r="I21" i="294"/>
  <c r="AO21" i="294" s="1"/>
  <c r="N20" i="294"/>
  <c r="K20" i="294"/>
  <c r="I20" i="294"/>
  <c r="AH20" i="294" s="1"/>
  <c r="N19" i="294"/>
  <c r="K19" i="294"/>
  <c r="I19" i="294"/>
  <c r="AQ19" i="294" s="1"/>
  <c r="N18" i="294"/>
  <c r="K18" i="294"/>
  <c r="I18" i="294"/>
  <c r="AI18" i="294" s="1"/>
  <c r="N17" i="294"/>
  <c r="K17" i="294"/>
  <c r="I17" i="294"/>
  <c r="AL17" i="294" s="1"/>
  <c r="N16" i="294"/>
  <c r="K16" i="294"/>
  <c r="I16" i="294"/>
  <c r="AG16" i="294" s="1"/>
  <c r="G16" i="294"/>
  <c r="N15" i="294"/>
  <c r="K15" i="294"/>
  <c r="I15" i="294"/>
  <c r="AA15" i="294" s="1"/>
  <c r="N14" i="294"/>
  <c r="K14" i="294"/>
  <c r="I14" i="294"/>
  <c r="N13" i="294"/>
  <c r="K13" i="294"/>
  <c r="I13" i="294"/>
  <c r="S13" i="294" s="1"/>
  <c r="N12" i="294"/>
  <c r="K12" i="294"/>
  <c r="I12" i="294"/>
  <c r="AG12" i="294" s="1"/>
  <c r="N11" i="294"/>
  <c r="K11" i="294"/>
  <c r="I11" i="294"/>
  <c r="AS11" i="294" s="1"/>
  <c r="N10" i="294"/>
  <c r="K10" i="294"/>
  <c r="I10" i="294"/>
  <c r="AO10" i="294" s="1"/>
  <c r="N9" i="294"/>
  <c r="K9" i="294"/>
  <c r="I9" i="294"/>
  <c r="AQ9" i="294" s="1"/>
  <c r="N8" i="294"/>
  <c r="K8" i="294"/>
  <c r="I8" i="294"/>
  <c r="AK8" i="294" s="1"/>
  <c r="N7" i="294"/>
  <c r="K7" i="294"/>
  <c r="I7" i="294"/>
  <c r="AO7" i="294" s="1"/>
  <c r="N6" i="294"/>
  <c r="J6" i="294"/>
  <c r="I6" i="294"/>
  <c r="AL6" i="294" s="1"/>
  <c r="A1" i="294"/>
  <c r="B5" i="294" s="1"/>
  <c r="AG51" i="293"/>
  <c r="AG52" i="293" s="1"/>
  <c r="AG53" i="293" s="1"/>
  <c r="AG54" i="293" s="1"/>
  <c r="AG55" i="293" s="1"/>
  <c r="AG56" i="293" s="1"/>
  <c r="AG57" i="293" s="1"/>
  <c r="AG58" i="293" s="1"/>
  <c r="AG59" i="293" s="1"/>
  <c r="AG50" i="293"/>
  <c r="AH40" i="293"/>
  <c r="AH41" i="293" s="1"/>
  <c r="AH42" i="293" s="1"/>
  <c r="AH43" i="293" s="1"/>
  <c r="AH44" i="293" s="1"/>
  <c r="AH45" i="293" s="1"/>
  <c r="AH46" i="293" s="1"/>
  <c r="AH47" i="293" s="1"/>
  <c r="AH48" i="293" s="1"/>
  <c r="AH49" i="293" s="1"/>
  <c r="AH50" i="293" s="1"/>
  <c r="AH51" i="293" s="1"/>
  <c r="AH52" i="293" s="1"/>
  <c r="AH53" i="293" s="1"/>
  <c r="AH54" i="293" s="1"/>
  <c r="AH55" i="293" s="1"/>
  <c r="AH56" i="293" s="1"/>
  <c r="AH57" i="293" s="1"/>
  <c r="AH58" i="293" s="1"/>
  <c r="AH59" i="293" s="1"/>
  <c r="AG40" i="293"/>
  <c r="AG41" i="293" s="1"/>
  <c r="AG42" i="293" s="1"/>
  <c r="AG43" i="293" s="1"/>
  <c r="AG44" i="293" s="1"/>
  <c r="AG45" i="293" s="1"/>
  <c r="AG46" i="293" s="1"/>
  <c r="AG47" i="293" s="1"/>
  <c r="AG48" i="293" s="1"/>
  <c r="AF40" i="293"/>
  <c r="AF41" i="293" s="1"/>
  <c r="AF42" i="293" s="1"/>
  <c r="AF43" i="293" s="1"/>
  <c r="AF44" i="293" s="1"/>
  <c r="AF45" i="293" s="1"/>
  <c r="AF46" i="293" s="1"/>
  <c r="AF47" i="293" s="1"/>
  <c r="AF48" i="293" s="1"/>
  <c r="AF49" i="293" s="1"/>
  <c r="AF50" i="293" s="1"/>
  <c r="AF51" i="293" s="1"/>
  <c r="AF52" i="293" s="1"/>
  <c r="AF53" i="293" s="1"/>
  <c r="AF54" i="293" s="1"/>
  <c r="AF55" i="293" s="1"/>
  <c r="AF56" i="293" s="1"/>
  <c r="AF57" i="293" s="1"/>
  <c r="AF58" i="293" s="1"/>
  <c r="AF59" i="293" s="1"/>
  <c r="AQ28" i="293"/>
  <c r="AR27" i="293"/>
  <c r="AQ27" i="293"/>
  <c r="AO27" i="293"/>
  <c r="AN27" i="293"/>
  <c r="AK27" i="293"/>
  <c r="AJ27" i="293"/>
  <c r="Q27" i="293"/>
  <c r="N26" i="293"/>
  <c r="I26" i="293"/>
  <c r="AN26" i="293" s="1"/>
  <c r="N25" i="293"/>
  <c r="K25" i="293"/>
  <c r="I25" i="293"/>
  <c r="Y25" i="293" s="1"/>
  <c r="N24" i="293"/>
  <c r="K24" i="293"/>
  <c r="I24" i="293"/>
  <c r="AR24" i="293" s="1"/>
  <c r="N23" i="293"/>
  <c r="K23" i="293"/>
  <c r="I23" i="293"/>
  <c r="AO23" i="293" s="1"/>
  <c r="N22" i="293"/>
  <c r="K22" i="293"/>
  <c r="I22" i="293"/>
  <c r="AO22" i="293" s="1"/>
  <c r="N21" i="293"/>
  <c r="K21" i="293"/>
  <c r="I21" i="293"/>
  <c r="AO21" i="293" s="1"/>
  <c r="N20" i="293"/>
  <c r="K20" i="293"/>
  <c r="I20" i="293"/>
  <c r="AH20" i="293" s="1"/>
  <c r="N19" i="293"/>
  <c r="K19" i="293"/>
  <c r="I19" i="293"/>
  <c r="AM19" i="293" s="1"/>
  <c r="N18" i="293"/>
  <c r="K18" i="293"/>
  <c r="I18" i="293"/>
  <c r="AS18" i="293" s="1"/>
  <c r="N17" i="293"/>
  <c r="K17" i="293"/>
  <c r="I17" i="293"/>
  <c r="AQ17" i="293" s="1"/>
  <c r="N16" i="293"/>
  <c r="K16" i="293"/>
  <c r="I16" i="293"/>
  <c r="AR16" i="293" s="1"/>
  <c r="G16" i="293"/>
  <c r="N15" i="293"/>
  <c r="K15" i="293"/>
  <c r="I15" i="293"/>
  <c r="AS15" i="293" s="1"/>
  <c r="N14" i="293"/>
  <c r="K14" i="293"/>
  <c r="I14" i="293"/>
  <c r="AN14" i="293" s="1"/>
  <c r="N13" i="293"/>
  <c r="K13" i="293"/>
  <c r="I13" i="293"/>
  <c r="AP13" i="293" s="1"/>
  <c r="N12" i="293"/>
  <c r="K12" i="293"/>
  <c r="I12" i="293"/>
  <c r="AK12" i="293" s="1"/>
  <c r="N11" i="293"/>
  <c r="K11" i="293"/>
  <c r="I11" i="293"/>
  <c r="N10" i="293"/>
  <c r="K10" i="293"/>
  <c r="I10" i="293"/>
  <c r="AO10" i="293" s="1"/>
  <c r="N9" i="293"/>
  <c r="K9" i="293"/>
  <c r="I9" i="293"/>
  <c r="AM9" i="293" s="1"/>
  <c r="N8" i="293"/>
  <c r="K8" i="293"/>
  <c r="I8" i="293"/>
  <c r="AO8" i="293" s="1"/>
  <c r="N7" i="293"/>
  <c r="K7" i="293"/>
  <c r="I7" i="293"/>
  <c r="AP7" i="293" s="1"/>
  <c r="N6" i="293"/>
  <c r="J6" i="293"/>
  <c r="I6" i="293"/>
  <c r="AP6" i="293" s="1"/>
  <c r="A1" i="293"/>
  <c r="B5" i="293" s="1"/>
  <c r="AG50" i="292"/>
  <c r="AG51" i="292" s="1"/>
  <c r="AG52" i="292" s="1"/>
  <c r="AG53" i="292" s="1"/>
  <c r="AG54" i="292" s="1"/>
  <c r="AG55" i="292" s="1"/>
  <c r="AG56" i="292" s="1"/>
  <c r="AG57" i="292" s="1"/>
  <c r="AG58" i="292" s="1"/>
  <c r="AG59" i="292" s="1"/>
  <c r="AF41" i="292"/>
  <c r="AF42" i="292" s="1"/>
  <c r="AF43" i="292" s="1"/>
  <c r="AF44" i="292" s="1"/>
  <c r="AF45" i="292" s="1"/>
  <c r="AF46" i="292" s="1"/>
  <c r="AF47" i="292" s="1"/>
  <c r="AF48" i="292" s="1"/>
  <c r="AF49" i="292" s="1"/>
  <c r="AF50" i="292" s="1"/>
  <c r="AF51" i="292" s="1"/>
  <c r="AF52" i="292" s="1"/>
  <c r="AF53" i="292" s="1"/>
  <c r="AF54" i="292" s="1"/>
  <c r="AF55" i="292" s="1"/>
  <c r="AF56" i="292" s="1"/>
  <c r="AF57" i="292" s="1"/>
  <c r="AF58" i="292" s="1"/>
  <c r="AF59" i="292" s="1"/>
  <c r="AH40" i="292"/>
  <c r="AH41" i="292" s="1"/>
  <c r="AH42" i="292" s="1"/>
  <c r="AH43" i="292" s="1"/>
  <c r="AH44" i="292" s="1"/>
  <c r="AH45" i="292" s="1"/>
  <c r="AH46" i="292" s="1"/>
  <c r="AH47" i="292" s="1"/>
  <c r="AH48" i="292" s="1"/>
  <c r="AH49" i="292" s="1"/>
  <c r="AH50" i="292" s="1"/>
  <c r="AH51" i="292" s="1"/>
  <c r="AH52" i="292" s="1"/>
  <c r="AH53" i="292" s="1"/>
  <c r="AH54" i="292" s="1"/>
  <c r="AH55" i="292" s="1"/>
  <c r="AH56" i="292" s="1"/>
  <c r="AH57" i="292" s="1"/>
  <c r="AH58" i="292" s="1"/>
  <c r="AH59" i="292" s="1"/>
  <c r="AG40" i="292"/>
  <c r="AG41" i="292" s="1"/>
  <c r="AG42" i="292" s="1"/>
  <c r="AG43" i="292" s="1"/>
  <c r="AG44" i="292" s="1"/>
  <c r="AG45" i="292" s="1"/>
  <c r="AG46" i="292" s="1"/>
  <c r="AG47" i="292" s="1"/>
  <c r="AG48" i="292" s="1"/>
  <c r="AF40" i="292"/>
  <c r="AQ28" i="292"/>
  <c r="AR27" i="292"/>
  <c r="AQ27" i="292"/>
  <c r="AO27" i="292"/>
  <c r="AN27" i="292"/>
  <c r="AK27" i="292"/>
  <c r="AJ27" i="292"/>
  <c r="Q27" i="292"/>
  <c r="N26" i="292"/>
  <c r="I26" i="292"/>
  <c r="AN26" i="292" s="1"/>
  <c r="N25" i="292"/>
  <c r="K25" i="292"/>
  <c r="I25" i="292"/>
  <c r="AP25" i="292" s="1"/>
  <c r="N24" i="292"/>
  <c r="K24" i="292"/>
  <c r="I24" i="292"/>
  <c r="AR24" i="292" s="1"/>
  <c r="N23" i="292"/>
  <c r="K23" i="292"/>
  <c r="I23" i="292"/>
  <c r="AO23" i="292" s="1"/>
  <c r="N22" i="292"/>
  <c r="K22" i="292"/>
  <c r="I22" i="292"/>
  <c r="AO22" i="292" s="1"/>
  <c r="N21" i="292"/>
  <c r="K21" i="292"/>
  <c r="I21" i="292"/>
  <c r="AO21" i="292" s="1"/>
  <c r="N20" i="292"/>
  <c r="K20" i="292"/>
  <c r="I20" i="292"/>
  <c r="N19" i="292"/>
  <c r="K19" i="292"/>
  <c r="I19" i="292"/>
  <c r="AO19" i="292" s="1"/>
  <c r="N18" i="292"/>
  <c r="K18" i="292"/>
  <c r="I18" i="292"/>
  <c r="AS18" i="292" s="1"/>
  <c r="N17" i="292"/>
  <c r="K17" i="292"/>
  <c r="I17" i="292"/>
  <c r="AG17" i="292" s="1"/>
  <c r="N16" i="292"/>
  <c r="K16" i="292"/>
  <c r="I16" i="292"/>
  <c r="AR16" i="292" s="1"/>
  <c r="G16" i="292"/>
  <c r="N15" i="292"/>
  <c r="K15" i="292"/>
  <c r="I15" i="292"/>
  <c r="AS15" i="292" s="1"/>
  <c r="N14" i="292"/>
  <c r="K14" i="292"/>
  <c r="I14" i="292"/>
  <c r="S14" i="292" s="1"/>
  <c r="N13" i="292"/>
  <c r="K13" i="292"/>
  <c r="I13" i="292"/>
  <c r="AR13" i="292" s="1"/>
  <c r="N12" i="292"/>
  <c r="K12" i="292"/>
  <c r="I12" i="292"/>
  <c r="AO12" i="292" s="1"/>
  <c r="N11" i="292"/>
  <c r="K11" i="292"/>
  <c r="I11" i="292"/>
  <c r="AM11" i="292" s="1"/>
  <c r="N10" i="292"/>
  <c r="K10" i="292"/>
  <c r="I10" i="292"/>
  <c r="AO10" i="292" s="1"/>
  <c r="N9" i="292"/>
  <c r="K9" i="292"/>
  <c r="I9" i="292"/>
  <c r="AS9" i="292" s="1"/>
  <c r="N8" i="292"/>
  <c r="K8" i="292"/>
  <c r="I8" i="292"/>
  <c r="AS8" i="292" s="1"/>
  <c r="N7" i="292"/>
  <c r="K7" i="292"/>
  <c r="I7" i="292"/>
  <c r="AP7" i="292" s="1"/>
  <c r="N6" i="292"/>
  <c r="J6" i="292"/>
  <c r="I6" i="292"/>
  <c r="AM6" i="292" s="1"/>
  <c r="A1" i="292"/>
  <c r="B5" i="292" s="1"/>
  <c r="AG50" i="291"/>
  <c r="AG51" i="291" s="1"/>
  <c r="AG52" i="291" s="1"/>
  <c r="AG53" i="291" s="1"/>
  <c r="AG54" i="291" s="1"/>
  <c r="AG55" i="291" s="1"/>
  <c r="AG56" i="291" s="1"/>
  <c r="AG57" i="291" s="1"/>
  <c r="AG58" i="291" s="1"/>
  <c r="AG59" i="291" s="1"/>
  <c r="AF41" i="291"/>
  <c r="AF42" i="291" s="1"/>
  <c r="AF43" i="291" s="1"/>
  <c r="AF44" i="291" s="1"/>
  <c r="AF45" i="291" s="1"/>
  <c r="AF46" i="291" s="1"/>
  <c r="AF47" i="291" s="1"/>
  <c r="AF48" i="291" s="1"/>
  <c r="AF49" i="291" s="1"/>
  <c r="AF50" i="291" s="1"/>
  <c r="AF51" i="291" s="1"/>
  <c r="AF52" i="291" s="1"/>
  <c r="AF53" i="291" s="1"/>
  <c r="AF54" i="291" s="1"/>
  <c r="AF55" i="291" s="1"/>
  <c r="AF56" i="291" s="1"/>
  <c r="AF57" i="291" s="1"/>
  <c r="AF58" i="291" s="1"/>
  <c r="AF59" i="291" s="1"/>
  <c r="AH40" i="291"/>
  <c r="AH41" i="291" s="1"/>
  <c r="AH42" i="291" s="1"/>
  <c r="AH43" i="291" s="1"/>
  <c r="AH44" i="291" s="1"/>
  <c r="AH45" i="291" s="1"/>
  <c r="AH46" i="291" s="1"/>
  <c r="AH47" i="291" s="1"/>
  <c r="AH48" i="291" s="1"/>
  <c r="AH49" i="291" s="1"/>
  <c r="AH50" i="291" s="1"/>
  <c r="AH51" i="291" s="1"/>
  <c r="AH52" i="291" s="1"/>
  <c r="AH53" i="291" s="1"/>
  <c r="AH54" i="291" s="1"/>
  <c r="AH55" i="291" s="1"/>
  <c r="AH56" i="291" s="1"/>
  <c r="AH57" i="291" s="1"/>
  <c r="AH58" i="291" s="1"/>
  <c r="AH59" i="291" s="1"/>
  <c r="AG40" i="291"/>
  <c r="AG41" i="291" s="1"/>
  <c r="AG42" i="291" s="1"/>
  <c r="AG43" i="291" s="1"/>
  <c r="AG44" i="291" s="1"/>
  <c r="AG45" i="291" s="1"/>
  <c r="AG46" i="291" s="1"/>
  <c r="AG47" i="291" s="1"/>
  <c r="AG48" i="291" s="1"/>
  <c r="AF40" i="291"/>
  <c r="AQ28" i="291"/>
  <c r="AR27" i="291"/>
  <c r="AQ27" i="291"/>
  <c r="AO27" i="291"/>
  <c r="AN27" i="291"/>
  <c r="AK27" i="291"/>
  <c r="AJ27" i="291"/>
  <c r="Q27" i="291"/>
  <c r="N26" i="291"/>
  <c r="I26" i="291"/>
  <c r="AN26" i="291" s="1"/>
  <c r="N25" i="291"/>
  <c r="K25" i="291"/>
  <c r="I25" i="291"/>
  <c r="X25" i="291" s="1"/>
  <c r="N24" i="291"/>
  <c r="K24" i="291"/>
  <c r="I24" i="291"/>
  <c r="AP24" i="291" s="1"/>
  <c r="N23" i="291"/>
  <c r="K23" i="291"/>
  <c r="I23" i="291"/>
  <c r="AQ23" i="291" s="1"/>
  <c r="N22" i="291"/>
  <c r="K22" i="291"/>
  <c r="I22" i="291"/>
  <c r="AO22" i="291" s="1"/>
  <c r="N21" i="291"/>
  <c r="K21" i="291"/>
  <c r="I21" i="291"/>
  <c r="X21" i="291" s="1"/>
  <c r="N20" i="291"/>
  <c r="K20" i="291"/>
  <c r="I20" i="291"/>
  <c r="AO20" i="291" s="1"/>
  <c r="N19" i="291"/>
  <c r="K19" i="291"/>
  <c r="I19" i="291"/>
  <c r="AQ19" i="291" s="1"/>
  <c r="N18" i="291"/>
  <c r="K18" i="291"/>
  <c r="I18" i="291"/>
  <c r="AF18" i="291" s="1"/>
  <c r="N17" i="291"/>
  <c r="K17" i="291"/>
  <c r="I17" i="291"/>
  <c r="AO17" i="291" s="1"/>
  <c r="N16" i="291"/>
  <c r="K16" i="291"/>
  <c r="I16" i="291"/>
  <c r="AQ16" i="291" s="1"/>
  <c r="G16" i="291"/>
  <c r="N15" i="291"/>
  <c r="K15" i="291"/>
  <c r="I15" i="291"/>
  <c r="AF15" i="291" s="1"/>
  <c r="N14" i="291"/>
  <c r="K14" i="291"/>
  <c r="I14" i="291"/>
  <c r="AO14" i="291" s="1"/>
  <c r="N13" i="291"/>
  <c r="K13" i="291"/>
  <c r="I13" i="291"/>
  <c r="AI13" i="291" s="1"/>
  <c r="N12" i="291"/>
  <c r="K12" i="291"/>
  <c r="I12" i="291"/>
  <c r="AS12" i="291" s="1"/>
  <c r="N11" i="291"/>
  <c r="K11" i="291"/>
  <c r="I11" i="291"/>
  <c r="AR11" i="291" s="1"/>
  <c r="L11" i="291" s="1"/>
  <c r="N10" i="291"/>
  <c r="K10" i="291"/>
  <c r="I10" i="291"/>
  <c r="AI10" i="291" s="1"/>
  <c r="N9" i="291"/>
  <c r="K9" i="291"/>
  <c r="I9" i="291"/>
  <c r="AM9" i="291" s="1"/>
  <c r="N8" i="291"/>
  <c r="K8" i="291"/>
  <c r="I8" i="291"/>
  <c r="AQ8" i="291" s="1"/>
  <c r="N7" i="291"/>
  <c r="K7" i="291"/>
  <c r="I7" i="291"/>
  <c r="AN7" i="291" s="1"/>
  <c r="N6" i="291"/>
  <c r="J6" i="291"/>
  <c r="I6" i="291"/>
  <c r="AP6" i="291" s="1"/>
  <c r="A1" i="291"/>
  <c r="B5" i="291" s="1"/>
  <c r="BH25" i="290"/>
  <c r="BG25" i="290"/>
  <c r="BE25" i="290"/>
  <c r="BD25" i="290"/>
  <c r="BH24" i="290"/>
  <c r="BG24" i="290"/>
  <c r="BE24" i="290"/>
  <c r="BD24" i="290"/>
  <c r="AG50" i="290"/>
  <c r="AG51" i="290" s="1"/>
  <c r="AG52" i="290" s="1"/>
  <c r="AG53" i="290" s="1"/>
  <c r="AG54" i="290" s="1"/>
  <c r="AG55" i="290" s="1"/>
  <c r="AG56" i="290" s="1"/>
  <c r="AG57" i="290" s="1"/>
  <c r="AG58" i="290" s="1"/>
  <c r="AG59" i="290" s="1"/>
  <c r="AH40" i="290"/>
  <c r="AH41" i="290" s="1"/>
  <c r="AH42" i="290" s="1"/>
  <c r="AH43" i="290" s="1"/>
  <c r="AH44" i="290" s="1"/>
  <c r="AH45" i="290" s="1"/>
  <c r="AH46" i="290" s="1"/>
  <c r="AH47" i="290" s="1"/>
  <c r="AH48" i="290" s="1"/>
  <c r="AH49" i="290" s="1"/>
  <c r="AH50" i="290" s="1"/>
  <c r="AH51" i="290" s="1"/>
  <c r="AH52" i="290" s="1"/>
  <c r="AH53" i="290" s="1"/>
  <c r="AH54" i="290" s="1"/>
  <c r="AH55" i="290" s="1"/>
  <c r="AH56" i="290" s="1"/>
  <c r="AH57" i="290" s="1"/>
  <c r="AH58" i="290" s="1"/>
  <c r="AH59" i="290" s="1"/>
  <c r="AG40" i="290"/>
  <c r="AG41" i="290" s="1"/>
  <c r="AG42" i="290" s="1"/>
  <c r="AG43" i="290" s="1"/>
  <c r="AG44" i="290" s="1"/>
  <c r="AG45" i="290" s="1"/>
  <c r="AG46" i="290" s="1"/>
  <c r="AG47" i="290" s="1"/>
  <c r="AG48" i="290" s="1"/>
  <c r="AF40" i="290"/>
  <c r="AF41" i="290" s="1"/>
  <c r="AF42" i="290" s="1"/>
  <c r="AF43" i="290" s="1"/>
  <c r="AF44" i="290" s="1"/>
  <c r="AF45" i="290" s="1"/>
  <c r="AF46" i="290" s="1"/>
  <c r="AF47" i="290" s="1"/>
  <c r="AF48" i="290" s="1"/>
  <c r="AF49" i="290" s="1"/>
  <c r="AF50" i="290" s="1"/>
  <c r="AF51" i="290" s="1"/>
  <c r="AF52" i="290" s="1"/>
  <c r="AF53" i="290" s="1"/>
  <c r="AF54" i="290" s="1"/>
  <c r="AF55" i="290" s="1"/>
  <c r="AF56" i="290" s="1"/>
  <c r="AF57" i="290" s="1"/>
  <c r="AF58" i="290" s="1"/>
  <c r="AF59" i="290" s="1"/>
  <c r="AQ28" i="290"/>
  <c r="AR27" i="290"/>
  <c r="AQ27" i="290"/>
  <c r="AO27" i="290"/>
  <c r="AN27" i="290"/>
  <c r="AK27" i="290"/>
  <c r="AJ27" i="290"/>
  <c r="Q27" i="290"/>
  <c r="N26" i="290"/>
  <c r="I26" i="290"/>
  <c r="AE26" i="290" s="1"/>
  <c r="N25" i="290"/>
  <c r="K25" i="290"/>
  <c r="I25" i="290"/>
  <c r="AO25" i="290" s="1"/>
  <c r="N24" i="290"/>
  <c r="K24" i="290"/>
  <c r="I24" i="290"/>
  <c r="AL24" i="290" s="1"/>
  <c r="N23" i="290"/>
  <c r="K23" i="290"/>
  <c r="I23" i="290"/>
  <c r="AP23" i="290" s="1"/>
  <c r="N22" i="290"/>
  <c r="K22" i="290"/>
  <c r="I22" i="290"/>
  <c r="AK22" i="290" s="1"/>
  <c r="N21" i="290"/>
  <c r="K21" i="290"/>
  <c r="I21" i="290"/>
  <c r="AR21" i="290" s="1"/>
  <c r="N20" i="290"/>
  <c r="K20" i="290"/>
  <c r="I20" i="290"/>
  <c r="AO20" i="290" s="1"/>
  <c r="N19" i="290"/>
  <c r="K19" i="290"/>
  <c r="I19" i="290"/>
  <c r="AR19" i="290" s="1"/>
  <c r="N18" i="290"/>
  <c r="K18" i="290"/>
  <c r="I18" i="290"/>
  <c r="Y18" i="290" s="1"/>
  <c r="N17" i="290"/>
  <c r="K17" i="290"/>
  <c r="I17" i="290"/>
  <c r="AO17" i="290" s="1"/>
  <c r="N16" i="290"/>
  <c r="K16" i="290"/>
  <c r="I16" i="290"/>
  <c r="AL16" i="290" s="1"/>
  <c r="G16" i="290"/>
  <c r="N15" i="290"/>
  <c r="K15" i="290"/>
  <c r="I15" i="290"/>
  <c r="AS15" i="290" s="1"/>
  <c r="N14" i="290"/>
  <c r="K14" i="290"/>
  <c r="I14" i="290"/>
  <c r="AR14" i="290" s="1"/>
  <c r="N13" i="290"/>
  <c r="K13" i="290"/>
  <c r="I13" i="290"/>
  <c r="AQ13" i="290" s="1"/>
  <c r="N12" i="290"/>
  <c r="K12" i="290"/>
  <c r="I12" i="290"/>
  <c r="AP12" i="290" s="1"/>
  <c r="N11" i="290"/>
  <c r="K11" i="290"/>
  <c r="I11" i="290"/>
  <c r="AN11" i="290" s="1"/>
  <c r="N10" i="290"/>
  <c r="K10" i="290"/>
  <c r="I10" i="290"/>
  <c r="AR10" i="290" s="1"/>
  <c r="N9" i="290"/>
  <c r="K9" i="290"/>
  <c r="I9" i="290"/>
  <c r="AR9" i="290" s="1"/>
  <c r="L9" i="290" s="1"/>
  <c r="N8" i="290"/>
  <c r="K8" i="290"/>
  <c r="I8" i="290"/>
  <c r="AN8" i="290" s="1"/>
  <c r="N7" i="290"/>
  <c r="K7" i="290"/>
  <c r="I7" i="290"/>
  <c r="AR7" i="290" s="1"/>
  <c r="N6" i="290"/>
  <c r="J6" i="290"/>
  <c r="I6" i="290"/>
  <c r="AP6" i="290" s="1"/>
  <c r="A1" i="290"/>
  <c r="B5" i="290" s="1"/>
  <c r="AG50" i="289"/>
  <c r="AG51" i="289" s="1"/>
  <c r="AG52" i="289" s="1"/>
  <c r="AG53" i="289" s="1"/>
  <c r="AG54" i="289" s="1"/>
  <c r="AG55" i="289" s="1"/>
  <c r="AG56" i="289" s="1"/>
  <c r="AG57" i="289" s="1"/>
  <c r="AG58" i="289" s="1"/>
  <c r="AG59" i="289" s="1"/>
  <c r="AH43" i="289"/>
  <c r="AH44" i="289" s="1"/>
  <c r="AH45" i="289" s="1"/>
  <c r="AH46" i="289" s="1"/>
  <c r="AH47" i="289" s="1"/>
  <c r="AH48" i="289" s="1"/>
  <c r="AH49" i="289" s="1"/>
  <c r="AH50" i="289" s="1"/>
  <c r="AH51" i="289" s="1"/>
  <c r="AH52" i="289" s="1"/>
  <c r="AH53" i="289" s="1"/>
  <c r="AH54" i="289" s="1"/>
  <c r="AH55" i="289" s="1"/>
  <c r="AH56" i="289" s="1"/>
  <c r="AH57" i="289" s="1"/>
  <c r="AH58" i="289" s="1"/>
  <c r="AH59" i="289" s="1"/>
  <c r="AF41" i="289"/>
  <c r="AF42" i="289" s="1"/>
  <c r="AF43" i="289" s="1"/>
  <c r="AF44" i="289" s="1"/>
  <c r="AF45" i="289" s="1"/>
  <c r="AF46" i="289" s="1"/>
  <c r="AF47" i="289" s="1"/>
  <c r="AF48" i="289" s="1"/>
  <c r="AF49" i="289" s="1"/>
  <c r="AF50" i="289" s="1"/>
  <c r="AF51" i="289" s="1"/>
  <c r="AF52" i="289" s="1"/>
  <c r="AF53" i="289" s="1"/>
  <c r="AF54" i="289" s="1"/>
  <c r="AF55" i="289" s="1"/>
  <c r="AF56" i="289" s="1"/>
  <c r="AF57" i="289" s="1"/>
  <c r="AF58" i="289" s="1"/>
  <c r="AF59" i="289" s="1"/>
  <c r="AH40" i="289"/>
  <c r="AH41" i="289" s="1"/>
  <c r="AH42" i="289" s="1"/>
  <c r="AG40" i="289"/>
  <c r="AG41" i="289" s="1"/>
  <c r="AG42" i="289" s="1"/>
  <c r="AG43" i="289" s="1"/>
  <c r="AG44" i="289" s="1"/>
  <c r="AG45" i="289" s="1"/>
  <c r="AG46" i="289" s="1"/>
  <c r="AG47" i="289" s="1"/>
  <c r="AG48" i="289" s="1"/>
  <c r="AF40" i="289"/>
  <c r="AQ28" i="289"/>
  <c r="AR27" i="289"/>
  <c r="AQ27" i="289"/>
  <c r="AO27" i="289"/>
  <c r="AN27" i="289"/>
  <c r="AK27" i="289"/>
  <c r="AJ27" i="289"/>
  <c r="Q27" i="289"/>
  <c r="N26" i="289"/>
  <c r="I26" i="289"/>
  <c r="AE26" i="289" s="1"/>
  <c r="N25" i="289"/>
  <c r="K25" i="289"/>
  <c r="I25" i="289"/>
  <c r="AO25" i="289" s="1"/>
  <c r="N24" i="289"/>
  <c r="K24" i="289"/>
  <c r="I24" i="289"/>
  <c r="AL24" i="289" s="1"/>
  <c r="N23" i="289"/>
  <c r="K23" i="289"/>
  <c r="I23" i="289"/>
  <c r="AP23" i="289" s="1"/>
  <c r="N22" i="289"/>
  <c r="K22" i="289"/>
  <c r="I22" i="289"/>
  <c r="AO22" i="289" s="1"/>
  <c r="N21" i="289"/>
  <c r="K21" i="289"/>
  <c r="I21" i="289"/>
  <c r="AS21" i="289" s="1"/>
  <c r="N20" i="289"/>
  <c r="K20" i="289"/>
  <c r="I20" i="289"/>
  <c r="AO20" i="289" s="1"/>
  <c r="N19" i="289"/>
  <c r="K19" i="289"/>
  <c r="I19" i="289"/>
  <c r="AO19" i="289" s="1"/>
  <c r="N18" i="289"/>
  <c r="K18" i="289"/>
  <c r="I18" i="289"/>
  <c r="AP18" i="289" s="1"/>
  <c r="N17" i="289"/>
  <c r="K17" i="289"/>
  <c r="I17" i="289"/>
  <c r="AR17" i="289" s="1"/>
  <c r="N16" i="289"/>
  <c r="K16" i="289"/>
  <c r="I16" i="289"/>
  <c r="AO16" i="289" s="1"/>
  <c r="G16" i="289"/>
  <c r="N15" i="289"/>
  <c r="K15" i="289"/>
  <c r="I15" i="289"/>
  <c r="AQ15" i="289" s="1"/>
  <c r="N14" i="289"/>
  <c r="K14" i="289"/>
  <c r="I14" i="289"/>
  <c r="AR14" i="289" s="1"/>
  <c r="N13" i="289"/>
  <c r="K13" i="289"/>
  <c r="I13" i="289"/>
  <c r="AO13" i="289" s="1"/>
  <c r="N12" i="289"/>
  <c r="K12" i="289"/>
  <c r="I12" i="289"/>
  <c r="AP12" i="289" s="1"/>
  <c r="N11" i="289"/>
  <c r="K11" i="289"/>
  <c r="I11" i="289"/>
  <c r="AS11" i="289" s="1"/>
  <c r="N10" i="289"/>
  <c r="K10" i="289"/>
  <c r="I10" i="289"/>
  <c r="AR10" i="289" s="1"/>
  <c r="L10" i="289" s="1"/>
  <c r="N9" i="289"/>
  <c r="K9" i="289"/>
  <c r="I9" i="289"/>
  <c r="AQ9" i="289" s="1"/>
  <c r="N8" i="289"/>
  <c r="K8" i="289"/>
  <c r="I8" i="289"/>
  <c r="AK8" i="289" s="1"/>
  <c r="N7" i="289"/>
  <c r="K7" i="289"/>
  <c r="I7" i="289"/>
  <c r="AO7" i="289" s="1"/>
  <c r="N6" i="289"/>
  <c r="J6" i="289"/>
  <c r="I6" i="289"/>
  <c r="AO6" i="289" s="1"/>
  <c r="A1" i="289"/>
  <c r="B5" i="289" s="1"/>
  <c r="BH21" i="288"/>
  <c r="BH20" i="288"/>
  <c r="BH19" i="288"/>
  <c r="BH18" i="288"/>
  <c r="AG52" i="288"/>
  <c r="AG53" i="288" s="1"/>
  <c r="AG54" i="288" s="1"/>
  <c r="AG55" i="288" s="1"/>
  <c r="AG56" i="288" s="1"/>
  <c r="AG57" i="288" s="1"/>
  <c r="AG58" i="288" s="1"/>
  <c r="AG59" i="288" s="1"/>
  <c r="AG50" i="288"/>
  <c r="AG51" i="288" s="1"/>
  <c r="AG41" i="288"/>
  <c r="AG42" i="288" s="1"/>
  <c r="AG43" i="288" s="1"/>
  <c r="AG44" i="288" s="1"/>
  <c r="AG45" i="288" s="1"/>
  <c r="AG46" i="288" s="1"/>
  <c r="AG47" i="288" s="1"/>
  <c r="AG48" i="288" s="1"/>
  <c r="AF41" i="288"/>
  <c r="AF42" i="288" s="1"/>
  <c r="AF43" i="288" s="1"/>
  <c r="AF44" i="288" s="1"/>
  <c r="AF45" i="288" s="1"/>
  <c r="AF46" i="288" s="1"/>
  <c r="AF47" i="288" s="1"/>
  <c r="AF48" i="288" s="1"/>
  <c r="AF49" i="288" s="1"/>
  <c r="AF50" i="288" s="1"/>
  <c r="AF51" i="288" s="1"/>
  <c r="AF52" i="288" s="1"/>
  <c r="AF53" i="288" s="1"/>
  <c r="AF54" i="288" s="1"/>
  <c r="AF55" i="288" s="1"/>
  <c r="AF56" i="288" s="1"/>
  <c r="AF57" i="288" s="1"/>
  <c r="AF58" i="288" s="1"/>
  <c r="AF59" i="288" s="1"/>
  <c r="AH40" i="288"/>
  <c r="AH41" i="288" s="1"/>
  <c r="AH42" i="288" s="1"/>
  <c r="AH43" i="288" s="1"/>
  <c r="AH44" i="288" s="1"/>
  <c r="AH45" i="288" s="1"/>
  <c r="AH46" i="288" s="1"/>
  <c r="AH47" i="288" s="1"/>
  <c r="AH48" i="288" s="1"/>
  <c r="AH49" i="288" s="1"/>
  <c r="AH50" i="288" s="1"/>
  <c r="AH51" i="288" s="1"/>
  <c r="AH52" i="288" s="1"/>
  <c r="AH53" i="288" s="1"/>
  <c r="AH54" i="288" s="1"/>
  <c r="AH55" i="288" s="1"/>
  <c r="AH56" i="288" s="1"/>
  <c r="AH57" i="288" s="1"/>
  <c r="AH58" i="288" s="1"/>
  <c r="AH59" i="288" s="1"/>
  <c r="AG40" i="288"/>
  <c r="AF40" i="288"/>
  <c r="AQ28" i="288"/>
  <c r="AR27" i="288"/>
  <c r="AQ27" i="288"/>
  <c r="AO27" i="288"/>
  <c r="AN27" i="288"/>
  <c r="AK27" i="288"/>
  <c r="AJ27" i="288"/>
  <c r="Q27" i="288"/>
  <c r="N26" i="288"/>
  <c r="I26" i="288"/>
  <c r="AN26" i="288" s="1"/>
  <c r="N25" i="288"/>
  <c r="K25" i="288"/>
  <c r="I25" i="288"/>
  <c r="AO25" i="288" s="1"/>
  <c r="N24" i="288"/>
  <c r="K24" i="288"/>
  <c r="I24" i="288"/>
  <c r="AO24" i="288" s="1"/>
  <c r="N23" i="288"/>
  <c r="K23" i="288"/>
  <c r="I23" i="288"/>
  <c r="AP23" i="288" s="1"/>
  <c r="N22" i="288"/>
  <c r="K22" i="288"/>
  <c r="I22" i="288"/>
  <c r="AO22" i="288" s="1"/>
  <c r="N21" i="288"/>
  <c r="K21" i="288"/>
  <c r="I21" i="288"/>
  <c r="AR21" i="288" s="1"/>
  <c r="N20" i="288"/>
  <c r="K20" i="288"/>
  <c r="I20" i="288"/>
  <c r="AO20" i="288" s="1"/>
  <c r="N19" i="288"/>
  <c r="K19" i="288"/>
  <c r="I19" i="288"/>
  <c r="N18" i="288"/>
  <c r="K18" i="288"/>
  <c r="I18" i="288"/>
  <c r="AS18" i="288" s="1"/>
  <c r="N17" i="288"/>
  <c r="K17" i="288"/>
  <c r="I17" i="288"/>
  <c r="AP17" i="288" s="1"/>
  <c r="N16" i="288"/>
  <c r="K16" i="288"/>
  <c r="I16" i="288"/>
  <c r="AO16" i="288" s="1"/>
  <c r="G16" i="288"/>
  <c r="N15" i="288"/>
  <c r="K15" i="288"/>
  <c r="I15" i="288"/>
  <c r="AF15" i="288" s="1"/>
  <c r="N14" i="288"/>
  <c r="K14" i="288"/>
  <c r="I14" i="288"/>
  <c r="AL14" i="288" s="1"/>
  <c r="N13" i="288"/>
  <c r="K13" i="288"/>
  <c r="I13" i="288"/>
  <c r="AQ13" i="288" s="1"/>
  <c r="N12" i="288"/>
  <c r="K12" i="288"/>
  <c r="I12" i="288"/>
  <c r="Y12" i="288" s="1"/>
  <c r="N11" i="288"/>
  <c r="K11" i="288"/>
  <c r="I11" i="288"/>
  <c r="AS11" i="288" s="1"/>
  <c r="N10" i="288"/>
  <c r="K10" i="288"/>
  <c r="I10" i="288"/>
  <c r="AP10" i="288" s="1"/>
  <c r="N9" i="288"/>
  <c r="K9" i="288"/>
  <c r="I9" i="288"/>
  <c r="AS9" i="288" s="1"/>
  <c r="N8" i="288"/>
  <c r="K8" i="288"/>
  <c r="I8" i="288"/>
  <c r="N7" i="288"/>
  <c r="K7" i="288"/>
  <c r="I7" i="288"/>
  <c r="AS7" i="288" s="1"/>
  <c r="N6" i="288"/>
  <c r="J6" i="288"/>
  <c r="I6" i="288"/>
  <c r="AP6" i="288" s="1"/>
  <c r="A1" i="288"/>
  <c r="B5" i="288" s="1"/>
  <c r="BH15" i="287"/>
  <c r="BD15" i="287"/>
  <c r="BH14" i="287"/>
  <c r="BD14" i="287"/>
  <c r="AG51" i="287"/>
  <c r="AG52" i="287" s="1"/>
  <c r="AG53" i="287" s="1"/>
  <c r="AG54" i="287" s="1"/>
  <c r="AG55" i="287" s="1"/>
  <c r="AG56" i="287" s="1"/>
  <c r="AG57" i="287" s="1"/>
  <c r="AG58" i="287" s="1"/>
  <c r="AG59" i="287" s="1"/>
  <c r="AG50" i="287"/>
  <c r="AH43" i="287"/>
  <c r="AH44" i="287" s="1"/>
  <c r="AH45" i="287" s="1"/>
  <c r="AH46" i="287" s="1"/>
  <c r="AH47" i="287" s="1"/>
  <c r="AH48" i="287" s="1"/>
  <c r="AH49" i="287" s="1"/>
  <c r="AH50" i="287" s="1"/>
  <c r="AH51" i="287" s="1"/>
  <c r="AH52" i="287" s="1"/>
  <c r="AH53" i="287" s="1"/>
  <c r="AH54" i="287" s="1"/>
  <c r="AH55" i="287" s="1"/>
  <c r="AH56" i="287" s="1"/>
  <c r="AH57" i="287" s="1"/>
  <c r="AH58" i="287" s="1"/>
  <c r="AH59" i="287" s="1"/>
  <c r="AF41" i="287"/>
  <c r="AF42" i="287" s="1"/>
  <c r="AF43" i="287" s="1"/>
  <c r="AF44" i="287" s="1"/>
  <c r="AF45" i="287" s="1"/>
  <c r="AF46" i="287" s="1"/>
  <c r="AF47" i="287" s="1"/>
  <c r="AF48" i="287" s="1"/>
  <c r="AF49" i="287" s="1"/>
  <c r="AF50" i="287" s="1"/>
  <c r="AF51" i="287" s="1"/>
  <c r="AF52" i="287" s="1"/>
  <c r="AF53" i="287" s="1"/>
  <c r="AF54" i="287" s="1"/>
  <c r="AF55" i="287" s="1"/>
  <c r="AF56" i="287" s="1"/>
  <c r="AF57" i="287" s="1"/>
  <c r="AF58" i="287" s="1"/>
  <c r="AF59" i="287" s="1"/>
  <c r="AH40" i="287"/>
  <c r="AH41" i="287" s="1"/>
  <c r="AH42" i="287" s="1"/>
  <c r="AG40" i="287"/>
  <c r="AG41" i="287" s="1"/>
  <c r="AG42" i="287" s="1"/>
  <c r="AG43" i="287" s="1"/>
  <c r="AG44" i="287" s="1"/>
  <c r="AG45" i="287" s="1"/>
  <c r="AG46" i="287" s="1"/>
  <c r="AG47" i="287" s="1"/>
  <c r="AG48" i="287" s="1"/>
  <c r="AF40" i="287"/>
  <c r="AQ28" i="287"/>
  <c r="AR27" i="287"/>
  <c r="AQ27" i="287"/>
  <c r="AO27" i="287"/>
  <c r="AN27" i="287"/>
  <c r="AK27" i="287"/>
  <c r="AJ27" i="287"/>
  <c r="Q27" i="287"/>
  <c r="N26" i="287"/>
  <c r="I26" i="287"/>
  <c r="AN26" i="287" s="1"/>
  <c r="N25" i="287"/>
  <c r="K25" i="287"/>
  <c r="I25" i="287"/>
  <c r="AP25" i="287" s="1"/>
  <c r="N24" i="287"/>
  <c r="K24" i="287"/>
  <c r="I24" i="287"/>
  <c r="AP24" i="287" s="1"/>
  <c r="N23" i="287"/>
  <c r="K23" i="287"/>
  <c r="I23" i="287"/>
  <c r="AR23" i="287" s="1"/>
  <c r="N22" i="287"/>
  <c r="K22" i="287"/>
  <c r="I22" i="287"/>
  <c r="AO22" i="287" s="1"/>
  <c r="N21" i="287"/>
  <c r="K21" i="287"/>
  <c r="I21" i="287"/>
  <c r="AO21" i="287" s="1"/>
  <c r="N20" i="287"/>
  <c r="K20" i="287"/>
  <c r="I20" i="287"/>
  <c r="AP20" i="287" s="1"/>
  <c r="N19" i="287"/>
  <c r="K19" i="287"/>
  <c r="I19" i="287"/>
  <c r="AQ19" i="287" s="1"/>
  <c r="N18" i="287"/>
  <c r="K18" i="287"/>
  <c r="I18" i="287"/>
  <c r="AO18" i="287" s="1"/>
  <c r="N17" i="287"/>
  <c r="K17" i="287"/>
  <c r="I17" i="287"/>
  <c r="AO17" i="287" s="1"/>
  <c r="N16" i="287"/>
  <c r="K16" i="287"/>
  <c r="I16" i="287"/>
  <c r="AR16" i="287" s="1"/>
  <c r="G16" i="287"/>
  <c r="N15" i="287"/>
  <c r="K15" i="287"/>
  <c r="I15" i="287"/>
  <c r="AF15" i="287" s="1"/>
  <c r="N14" i="287"/>
  <c r="K14" i="287"/>
  <c r="I14" i="287"/>
  <c r="AO14" i="287" s="1"/>
  <c r="N13" i="287"/>
  <c r="K13" i="287"/>
  <c r="I13" i="287"/>
  <c r="AK13" i="287" s="1"/>
  <c r="N12" i="287"/>
  <c r="K12" i="287"/>
  <c r="I12" i="287"/>
  <c r="AQ12" i="287" s="1"/>
  <c r="N11" i="287"/>
  <c r="K11" i="287"/>
  <c r="I11" i="287"/>
  <c r="AR11" i="287" s="1"/>
  <c r="L11" i="287" s="1"/>
  <c r="N10" i="287"/>
  <c r="K10" i="287"/>
  <c r="I10" i="287"/>
  <c r="AR10" i="287" s="1"/>
  <c r="N9" i="287"/>
  <c r="K9" i="287"/>
  <c r="I9" i="287"/>
  <c r="AH9" i="287" s="1"/>
  <c r="N8" i="287"/>
  <c r="K8" i="287"/>
  <c r="I8" i="287"/>
  <c r="AO8" i="287" s="1"/>
  <c r="N7" i="287"/>
  <c r="K7" i="287"/>
  <c r="I7" i="287"/>
  <c r="AN7" i="287" s="1"/>
  <c r="N6" i="287"/>
  <c r="J6" i="287"/>
  <c r="I6" i="287"/>
  <c r="AP6" i="287" s="1"/>
  <c r="A1" i="287"/>
  <c r="B5" i="287" s="1"/>
  <c r="BH17" i="286"/>
  <c r="BH16" i="286"/>
  <c r="AG57" i="286"/>
  <c r="AG58" i="286" s="1"/>
  <c r="AG59" i="286" s="1"/>
  <c r="AG50" i="286"/>
  <c r="AG51" i="286" s="1"/>
  <c r="AG52" i="286" s="1"/>
  <c r="AG53" i="286" s="1"/>
  <c r="AG54" i="286" s="1"/>
  <c r="AG55" i="286" s="1"/>
  <c r="AG56" i="286" s="1"/>
  <c r="AG46" i="286"/>
  <c r="AG47" i="286" s="1"/>
  <c r="AG48" i="286" s="1"/>
  <c r="AH40" i="286"/>
  <c r="AH41" i="286" s="1"/>
  <c r="AH42" i="286" s="1"/>
  <c r="AH43" i="286" s="1"/>
  <c r="AH44" i="286" s="1"/>
  <c r="AH45" i="286" s="1"/>
  <c r="AH46" i="286" s="1"/>
  <c r="AH47" i="286" s="1"/>
  <c r="AH48" i="286" s="1"/>
  <c r="AH49" i="286" s="1"/>
  <c r="AH50" i="286" s="1"/>
  <c r="AH51" i="286" s="1"/>
  <c r="AH52" i="286" s="1"/>
  <c r="AH53" i="286" s="1"/>
  <c r="AH54" i="286" s="1"/>
  <c r="AH55" i="286" s="1"/>
  <c r="AH56" i="286" s="1"/>
  <c r="AH57" i="286" s="1"/>
  <c r="AH58" i="286" s="1"/>
  <c r="AH59" i="286" s="1"/>
  <c r="AG40" i="286"/>
  <c r="AG41" i="286" s="1"/>
  <c r="AG42" i="286" s="1"/>
  <c r="AG43" i="286" s="1"/>
  <c r="AG44" i="286" s="1"/>
  <c r="AG45" i="286" s="1"/>
  <c r="AF40" i="286"/>
  <c r="AF41" i="286" s="1"/>
  <c r="AF42" i="286" s="1"/>
  <c r="AF43" i="286" s="1"/>
  <c r="AF44" i="286" s="1"/>
  <c r="AF45" i="286" s="1"/>
  <c r="AF46" i="286" s="1"/>
  <c r="AF47" i="286" s="1"/>
  <c r="AF48" i="286" s="1"/>
  <c r="AF49" i="286" s="1"/>
  <c r="AF50" i="286" s="1"/>
  <c r="AF51" i="286" s="1"/>
  <c r="AF52" i="286" s="1"/>
  <c r="AF53" i="286" s="1"/>
  <c r="AF54" i="286" s="1"/>
  <c r="AF55" i="286" s="1"/>
  <c r="AF56" i="286" s="1"/>
  <c r="AF57" i="286" s="1"/>
  <c r="AF58" i="286" s="1"/>
  <c r="AF59" i="286" s="1"/>
  <c r="AQ28" i="286"/>
  <c r="AR27" i="286"/>
  <c r="AQ27" i="286"/>
  <c r="AO27" i="286"/>
  <c r="AN27" i="286"/>
  <c r="AK27" i="286"/>
  <c r="AJ27" i="286"/>
  <c r="Q27" i="286"/>
  <c r="N26" i="286"/>
  <c r="I26" i="286"/>
  <c r="AN26" i="286" s="1"/>
  <c r="N25" i="286"/>
  <c r="K25" i="286"/>
  <c r="I25" i="286"/>
  <c r="AO25" i="286" s="1"/>
  <c r="N24" i="286"/>
  <c r="K24" i="286"/>
  <c r="I24" i="286"/>
  <c r="AR24" i="286" s="1"/>
  <c r="N23" i="286"/>
  <c r="K23" i="286"/>
  <c r="I23" i="286"/>
  <c r="AO23" i="286" s="1"/>
  <c r="N22" i="286"/>
  <c r="K22" i="286"/>
  <c r="I22" i="286"/>
  <c r="AP22" i="286" s="1"/>
  <c r="N21" i="286"/>
  <c r="K21" i="286"/>
  <c r="I21" i="286"/>
  <c r="AO21" i="286" s="1"/>
  <c r="N20" i="286"/>
  <c r="K20" i="286"/>
  <c r="I20" i="286"/>
  <c r="AI20" i="286" s="1"/>
  <c r="N19" i="286"/>
  <c r="K19" i="286"/>
  <c r="I19" i="286"/>
  <c r="N18" i="286"/>
  <c r="K18" i="286"/>
  <c r="I18" i="286"/>
  <c r="AS18" i="286" s="1"/>
  <c r="N17" i="286"/>
  <c r="K17" i="286"/>
  <c r="I17" i="286"/>
  <c r="AQ17" i="286" s="1"/>
  <c r="N16" i="286"/>
  <c r="K16" i="286"/>
  <c r="I16" i="286"/>
  <c r="AR16" i="286" s="1"/>
  <c r="G16" i="286"/>
  <c r="N15" i="286"/>
  <c r="K15" i="286"/>
  <c r="I15" i="286"/>
  <c r="AR15" i="286" s="1"/>
  <c r="N14" i="286"/>
  <c r="K14" i="286"/>
  <c r="I14" i="286"/>
  <c r="AG14" i="286" s="1"/>
  <c r="N13" i="286"/>
  <c r="K13" i="286"/>
  <c r="I13" i="286"/>
  <c r="AR13" i="286" s="1"/>
  <c r="N12" i="286"/>
  <c r="K12" i="286"/>
  <c r="I12" i="286"/>
  <c r="AO12" i="286" s="1"/>
  <c r="N11" i="286"/>
  <c r="K11" i="286"/>
  <c r="I11" i="286"/>
  <c r="N10" i="286"/>
  <c r="K10" i="286"/>
  <c r="I10" i="286"/>
  <c r="AO10" i="286" s="1"/>
  <c r="N9" i="286"/>
  <c r="K9" i="286"/>
  <c r="I9" i="286"/>
  <c r="AN9" i="286" s="1"/>
  <c r="N8" i="286"/>
  <c r="K8" i="286"/>
  <c r="I8" i="286"/>
  <c r="AN8" i="286" s="1"/>
  <c r="N7" i="286"/>
  <c r="K7" i="286"/>
  <c r="I7" i="286"/>
  <c r="AS7" i="286" s="1"/>
  <c r="N6" i="286"/>
  <c r="J6" i="286"/>
  <c r="I6" i="286"/>
  <c r="AP6" i="286" s="1"/>
  <c r="A1" i="286"/>
  <c r="B5" i="286" s="1"/>
  <c r="AG50" i="285"/>
  <c r="AG51" i="285" s="1"/>
  <c r="AG52" i="285" s="1"/>
  <c r="AG53" i="285" s="1"/>
  <c r="AG54" i="285" s="1"/>
  <c r="AG55" i="285" s="1"/>
  <c r="AG56" i="285" s="1"/>
  <c r="AG57" i="285" s="1"/>
  <c r="AG58" i="285" s="1"/>
  <c r="AG59" i="285" s="1"/>
  <c r="AG41" i="285"/>
  <c r="AG42" i="285" s="1"/>
  <c r="AG43" i="285" s="1"/>
  <c r="AG44" i="285" s="1"/>
  <c r="AG45" i="285" s="1"/>
  <c r="AG46" i="285" s="1"/>
  <c r="AG47" i="285" s="1"/>
  <c r="AG48" i="285" s="1"/>
  <c r="AH40" i="285"/>
  <c r="AH41" i="285" s="1"/>
  <c r="AH42" i="285" s="1"/>
  <c r="AH43" i="285" s="1"/>
  <c r="AH44" i="285" s="1"/>
  <c r="AH45" i="285" s="1"/>
  <c r="AH46" i="285" s="1"/>
  <c r="AH47" i="285" s="1"/>
  <c r="AH48" i="285" s="1"/>
  <c r="AH49" i="285" s="1"/>
  <c r="AH50" i="285" s="1"/>
  <c r="AH51" i="285" s="1"/>
  <c r="AH52" i="285" s="1"/>
  <c r="AH53" i="285" s="1"/>
  <c r="AH54" i="285" s="1"/>
  <c r="AH55" i="285" s="1"/>
  <c r="AH56" i="285" s="1"/>
  <c r="AH57" i="285" s="1"/>
  <c r="AH58" i="285" s="1"/>
  <c r="AH59" i="285" s="1"/>
  <c r="AG40" i="285"/>
  <c r="AF40" i="285"/>
  <c r="AF41" i="285" s="1"/>
  <c r="AF42" i="285" s="1"/>
  <c r="AF43" i="285" s="1"/>
  <c r="AF44" i="285" s="1"/>
  <c r="AF45" i="285" s="1"/>
  <c r="AF46" i="285" s="1"/>
  <c r="AF47" i="285" s="1"/>
  <c r="AF48" i="285" s="1"/>
  <c r="AF49" i="285" s="1"/>
  <c r="AF50" i="285" s="1"/>
  <c r="AF51" i="285" s="1"/>
  <c r="AF52" i="285" s="1"/>
  <c r="AF53" i="285" s="1"/>
  <c r="AF54" i="285" s="1"/>
  <c r="AF55" i="285" s="1"/>
  <c r="AF56" i="285" s="1"/>
  <c r="AF57" i="285" s="1"/>
  <c r="AF58" i="285" s="1"/>
  <c r="AF59" i="285" s="1"/>
  <c r="AQ28" i="285"/>
  <c r="AR27" i="285"/>
  <c r="AQ27" i="285"/>
  <c r="AO27" i="285"/>
  <c r="AN27" i="285"/>
  <c r="AK27" i="285"/>
  <c r="AJ27" i="285"/>
  <c r="Q27" i="285"/>
  <c r="N26" i="285"/>
  <c r="I26" i="285"/>
  <c r="AN26" i="285" s="1"/>
  <c r="N25" i="285"/>
  <c r="K25" i="285"/>
  <c r="I25" i="285"/>
  <c r="AO25" i="285" s="1"/>
  <c r="N24" i="285"/>
  <c r="K24" i="285"/>
  <c r="I24" i="285"/>
  <c r="AQ24" i="285" s="1"/>
  <c r="N23" i="285"/>
  <c r="K23" i="285"/>
  <c r="I23" i="285"/>
  <c r="AP23" i="285" s="1"/>
  <c r="N22" i="285"/>
  <c r="K22" i="285"/>
  <c r="I22" i="285"/>
  <c r="AQ22" i="285" s="1"/>
  <c r="N21" i="285"/>
  <c r="K21" i="285"/>
  <c r="I21" i="285"/>
  <c r="AP21" i="285" s="1"/>
  <c r="N20" i="285"/>
  <c r="K20" i="285"/>
  <c r="I20" i="285"/>
  <c r="AQ20" i="285" s="1"/>
  <c r="N19" i="285"/>
  <c r="K19" i="285"/>
  <c r="I19" i="285"/>
  <c r="AL19" i="285" s="1"/>
  <c r="N18" i="285"/>
  <c r="K18" i="285"/>
  <c r="I18" i="285"/>
  <c r="AO18" i="285" s="1"/>
  <c r="N17" i="285"/>
  <c r="K17" i="285"/>
  <c r="I17" i="285"/>
  <c r="AP17" i="285" s="1"/>
  <c r="N16" i="285"/>
  <c r="K16" i="285"/>
  <c r="I16" i="285"/>
  <c r="AF16" i="285" s="1"/>
  <c r="G16" i="285"/>
  <c r="N15" i="285"/>
  <c r="K15" i="285"/>
  <c r="I15" i="285"/>
  <c r="AF15" i="285" s="1"/>
  <c r="N14" i="285"/>
  <c r="K14" i="285"/>
  <c r="I14" i="285"/>
  <c r="AN14" i="285" s="1"/>
  <c r="N13" i="285"/>
  <c r="K13" i="285"/>
  <c r="I13" i="285"/>
  <c r="AP13" i="285" s="1"/>
  <c r="N12" i="285"/>
  <c r="K12" i="285"/>
  <c r="I12" i="285"/>
  <c r="AN12" i="285" s="1"/>
  <c r="N11" i="285"/>
  <c r="K11" i="285"/>
  <c r="I11" i="285"/>
  <c r="AP11" i="285" s="1"/>
  <c r="N10" i="285"/>
  <c r="K10" i="285"/>
  <c r="I10" i="285"/>
  <c r="AK10" i="285" s="1"/>
  <c r="N9" i="285"/>
  <c r="K9" i="285"/>
  <c r="I9" i="285"/>
  <c r="AM9" i="285" s="1"/>
  <c r="N8" i="285"/>
  <c r="K8" i="285"/>
  <c r="I8" i="285"/>
  <c r="AH8" i="285" s="1"/>
  <c r="N7" i="285"/>
  <c r="K7" i="285"/>
  <c r="I7" i="285"/>
  <c r="AP7" i="285" s="1"/>
  <c r="N6" i="285"/>
  <c r="J6" i="285"/>
  <c r="I6" i="285"/>
  <c r="AN6" i="285" s="1"/>
  <c r="A1" i="285"/>
  <c r="B5" i="285" s="1"/>
  <c r="BH23" i="284"/>
  <c r="BG23" i="284"/>
  <c r="BF23" i="284"/>
  <c r="BE23" i="284"/>
  <c r="BD23" i="284"/>
  <c r="BD22" i="284"/>
  <c r="BH15" i="284"/>
  <c r="BD15" i="284"/>
  <c r="BH14" i="284"/>
  <c r="BD14" i="284"/>
  <c r="AG50" i="284"/>
  <c r="AG51" i="284" s="1"/>
  <c r="AG52" i="284" s="1"/>
  <c r="AG53" i="284" s="1"/>
  <c r="AG54" i="284" s="1"/>
  <c r="AG55" i="284" s="1"/>
  <c r="AG56" i="284" s="1"/>
  <c r="AG57" i="284" s="1"/>
  <c r="AG58" i="284" s="1"/>
  <c r="AG59" i="284" s="1"/>
  <c r="AG41" i="284"/>
  <c r="AG42" i="284" s="1"/>
  <c r="AG43" i="284" s="1"/>
  <c r="AG44" i="284" s="1"/>
  <c r="AG45" i="284" s="1"/>
  <c r="AG46" i="284" s="1"/>
  <c r="AG47" i="284" s="1"/>
  <c r="AG48" i="284" s="1"/>
  <c r="AH40" i="284"/>
  <c r="AH41" i="284" s="1"/>
  <c r="AH42" i="284" s="1"/>
  <c r="AH43" i="284" s="1"/>
  <c r="AH44" i="284" s="1"/>
  <c r="AH45" i="284" s="1"/>
  <c r="AH46" i="284" s="1"/>
  <c r="AH47" i="284" s="1"/>
  <c r="AH48" i="284" s="1"/>
  <c r="AH49" i="284" s="1"/>
  <c r="AH50" i="284" s="1"/>
  <c r="AH51" i="284" s="1"/>
  <c r="AH52" i="284" s="1"/>
  <c r="AH53" i="284" s="1"/>
  <c r="AH54" i="284" s="1"/>
  <c r="AH55" i="284" s="1"/>
  <c r="AH56" i="284" s="1"/>
  <c r="AH57" i="284" s="1"/>
  <c r="AH58" i="284" s="1"/>
  <c r="AH59" i="284" s="1"/>
  <c r="AG40" i="284"/>
  <c r="AF40" i="284"/>
  <c r="AF41" i="284" s="1"/>
  <c r="AF42" i="284" s="1"/>
  <c r="AF43" i="284" s="1"/>
  <c r="AF44" i="284" s="1"/>
  <c r="AF45" i="284" s="1"/>
  <c r="AF46" i="284" s="1"/>
  <c r="AF47" i="284" s="1"/>
  <c r="AF48" i="284" s="1"/>
  <c r="AF49" i="284" s="1"/>
  <c r="AF50" i="284" s="1"/>
  <c r="AF51" i="284" s="1"/>
  <c r="AF52" i="284" s="1"/>
  <c r="AF53" i="284" s="1"/>
  <c r="AF54" i="284" s="1"/>
  <c r="AF55" i="284" s="1"/>
  <c r="AF56" i="284" s="1"/>
  <c r="AF57" i="284" s="1"/>
  <c r="AF58" i="284" s="1"/>
  <c r="AF59" i="284" s="1"/>
  <c r="AQ28" i="284"/>
  <c r="AR27" i="284"/>
  <c r="AQ27" i="284"/>
  <c r="AO27" i="284"/>
  <c r="AN27" i="284"/>
  <c r="AK27" i="284"/>
  <c r="AJ27" i="284"/>
  <c r="Q27" i="284"/>
  <c r="N26" i="284"/>
  <c r="I26" i="284"/>
  <c r="O26" i="284" s="1"/>
  <c r="N25" i="284"/>
  <c r="K25" i="284"/>
  <c r="I25" i="284"/>
  <c r="O25" i="284" s="1"/>
  <c r="N24" i="284"/>
  <c r="K24" i="284"/>
  <c r="I24" i="284"/>
  <c r="O24" i="284" s="1"/>
  <c r="N23" i="284"/>
  <c r="K23" i="284"/>
  <c r="I23" i="284"/>
  <c r="O23" i="284" s="1"/>
  <c r="N22" i="284"/>
  <c r="K22" i="284"/>
  <c r="I22" i="284"/>
  <c r="O22" i="284" s="1"/>
  <c r="N21" i="284"/>
  <c r="K21" i="284"/>
  <c r="I21" i="284"/>
  <c r="O21" i="284" s="1"/>
  <c r="N20" i="284"/>
  <c r="K20" i="284"/>
  <c r="I20" i="284"/>
  <c r="O20" i="284" s="1"/>
  <c r="N19" i="284"/>
  <c r="K19" i="284"/>
  <c r="I19" i="284"/>
  <c r="O19" i="284" s="1"/>
  <c r="N18" i="284"/>
  <c r="K18" i="284"/>
  <c r="I18" i="284"/>
  <c r="O18" i="284" s="1"/>
  <c r="N17" i="284"/>
  <c r="K17" i="284"/>
  <c r="I17" i="284"/>
  <c r="O17" i="284" s="1"/>
  <c r="N16" i="284"/>
  <c r="K16" i="284"/>
  <c r="I16" i="284"/>
  <c r="O16" i="284" s="1"/>
  <c r="G16" i="284"/>
  <c r="N15" i="284"/>
  <c r="K15" i="284"/>
  <c r="I15" i="284"/>
  <c r="O15" i="284" s="1"/>
  <c r="N14" i="284"/>
  <c r="K14" i="284"/>
  <c r="I14" i="284"/>
  <c r="O14" i="284" s="1"/>
  <c r="N13" i="284"/>
  <c r="K13" i="284"/>
  <c r="I13" i="284"/>
  <c r="O13" i="284" s="1"/>
  <c r="N12" i="284"/>
  <c r="K12" i="284"/>
  <c r="I12" i="284"/>
  <c r="O12" i="284" s="1"/>
  <c r="N11" i="284"/>
  <c r="K11" i="284"/>
  <c r="I11" i="284"/>
  <c r="O11" i="284" s="1"/>
  <c r="N10" i="284"/>
  <c r="K10" i="284"/>
  <c r="I10" i="284"/>
  <c r="O10" i="284" s="1"/>
  <c r="N9" i="284"/>
  <c r="K9" i="284"/>
  <c r="I9" i="284"/>
  <c r="O9" i="284" s="1"/>
  <c r="N8" i="284"/>
  <c r="K8" i="284"/>
  <c r="I8" i="284"/>
  <c r="O8" i="284" s="1"/>
  <c r="N7" i="284"/>
  <c r="K7" i="284"/>
  <c r="I7" i="284"/>
  <c r="O7" i="284" s="1"/>
  <c r="N6" i="284"/>
  <c r="J6" i="284"/>
  <c r="I6" i="284"/>
  <c r="A1" i="284"/>
  <c r="B5" i="284" s="1"/>
  <c r="AG51" i="283"/>
  <c r="AG52" i="283" s="1"/>
  <c r="AG53" i="283" s="1"/>
  <c r="AG54" i="283" s="1"/>
  <c r="AG55" i="283" s="1"/>
  <c r="AG56" i="283" s="1"/>
  <c r="AG57" i="283" s="1"/>
  <c r="AG58" i="283" s="1"/>
  <c r="AG59" i="283" s="1"/>
  <c r="AG50" i="283"/>
  <c r="AF41" i="283"/>
  <c r="AF42" i="283" s="1"/>
  <c r="AF43" i="283" s="1"/>
  <c r="AF44" i="283" s="1"/>
  <c r="AF45" i="283" s="1"/>
  <c r="AF46" i="283" s="1"/>
  <c r="AF47" i="283" s="1"/>
  <c r="AF48" i="283" s="1"/>
  <c r="AF49" i="283" s="1"/>
  <c r="AF50" i="283" s="1"/>
  <c r="AF51" i="283" s="1"/>
  <c r="AF52" i="283" s="1"/>
  <c r="AF53" i="283" s="1"/>
  <c r="AF54" i="283" s="1"/>
  <c r="AF55" i="283" s="1"/>
  <c r="AF56" i="283" s="1"/>
  <c r="AF57" i="283" s="1"/>
  <c r="AF58" i="283" s="1"/>
  <c r="AF59" i="283" s="1"/>
  <c r="AH40" i="283"/>
  <c r="AH41" i="283" s="1"/>
  <c r="AH42" i="283" s="1"/>
  <c r="AH43" i="283" s="1"/>
  <c r="AH44" i="283" s="1"/>
  <c r="AH45" i="283" s="1"/>
  <c r="AH46" i="283" s="1"/>
  <c r="AH47" i="283" s="1"/>
  <c r="AH48" i="283" s="1"/>
  <c r="AH49" i="283" s="1"/>
  <c r="AH50" i="283" s="1"/>
  <c r="AH51" i="283" s="1"/>
  <c r="AH52" i="283" s="1"/>
  <c r="AH53" i="283" s="1"/>
  <c r="AH54" i="283" s="1"/>
  <c r="AH55" i="283" s="1"/>
  <c r="AH56" i="283" s="1"/>
  <c r="AH57" i="283" s="1"/>
  <c r="AH58" i="283" s="1"/>
  <c r="AH59" i="283" s="1"/>
  <c r="AG40" i="283"/>
  <c r="AG41" i="283" s="1"/>
  <c r="AG42" i="283" s="1"/>
  <c r="AG43" i="283" s="1"/>
  <c r="AG44" i="283" s="1"/>
  <c r="AG45" i="283" s="1"/>
  <c r="AG46" i="283" s="1"/>
  <c r="AG47" i="283" s="1"/>
  <c r="AG48" i="283" s="1"/>
  <c r="AF40" i="283"/>
  <c r="AQ28" i="283"/>
  <c r="AR27" i="283"/>
  <c r="AQ27" i="283"/>
  <c r="AO27" i="283"/>
  <c r="AN27" i="283"/>
  <c r="AK27" i="283"/>
  <c r="AJ27" i="283"/>
  <c r="Q27" i="283"/>
  <c r="N26" i="283"/>
  <c r="I26" i="283"/>
  <c r="AN26" i="283" s="1"/>
  <c r="N25" i="283"/>
  <c r="K25" i="283"/>
  <c r="I25" i="283"/>
  <c r="AP25" i="283" s="1"/>
  <c r="N24" i="283"/>
  <c r="K24" i="283"/>
  <c r="I24" i="283"/>
  <c r="AS24" i="283" s="1"/>
  <c r="N23" i="283"/>
  <c r="K23" i="283"/>
  <c r="I23" i="283"/>
  <c r="AO23" i="283" s="1"/>
  <c r="N22" i="283"/>
  <c r="K22" i="283"/>
  <c r="I22" i="283"/>
  <c r="AO22" i="283" s="1"/>
  <c r="N21" i="283"/>
  <c r="K21" i="283"/>
  <c r="I21" i="283"/>
  <c r="AO21" i="283" s="1"/>
  <c r="N20" i="283"/>
  <c r="K20" i="283"/>
  <c r="I20" i="283"/>
  <c r="AO20" i="283" s="1"/>
  <c r="N19" i="283"/>
  <c r="K19" i="283"/>
  <c r="I19" i="283"/>
  <c r="AG19" i="283" s="1"/>
  <c r="N18" i="283"/>
  <c r="K18" i="283"/>
  <c r="I18" i="283"/>
  <c r="AS18" i="283" s="1"/>
  <c r="N17" i="283"/>
  <c r="K17" i="283"/>
  <c r="I17" i="283"/>
  <c r="AO17" i="283" s="1"/>
  <c r="N16" i="283"/>
  <c r="K16" i="283"/>
  <c r="I16" i="283"/>
  <c r="AR16" i="283" s="1"/>
  <c r="G16" i="283"/>
  <c r="N15" i="283"/>
  <c r="K15" i="283"/>
  <c r="I15" i="283"/>
  <c r="AO15" i="283" s="1"/>
  <c r="N14" i="283"/>
  <c r="K14" i="283"/>
  <c r="I14" i="283"/>
  <c r="AN14" i="283" s="1"/>
  <c r="N13" i="283"/>
  <c r="K13" i="283"/>
  <c r="I13" i="283"/>
  <c r="AP13" i="283" s="1"/>
  <c r="N12" i="283"/>
  <c r="K12" i="283"/>
  <c r="I12" i="283"/>
  <c r="AK12" i="283" s="1"/>
  <c r="N11" i="283"/>
  <c r="K11" i="283"/>
  <c r="I11" i="283"/>
  <c r="AH11" i="283" s="1"/>
  <c r="N10" i="283"/>
  <c r="K10" i="283"/>
  <c r="I10" i="283"/>
  <c r="AO10" i="283" s="1"/>
  <c r="N9" i="283"/>
  <c r="K9" i="283"/>
  <c r="I9" i="283"/>
  <c r="AK9" i="283" s="1"/>
  <c r="N8" i="283"/>
  <c r="K8" i="283"/>
  <c r="I8" i="283"/>
  <c r="AN8" i="283" s="1"/>
  <c r="N7" i="283"/>
  <c r="K7" i="283"/>
  <c r="I7" i="283"/>
  <c r="AS7" i="283" s="1"/>
  <c r="N6" i="283"/>
  <c r="J6" i="283"/>
  <c r="I6" i="283"/>
  <c r="AP6" i="283" s="1"/>
  <c r="A1" i="283"/>
  <c r="B5" i="283" s="1"/>
  <c r="AG57" i="282"/>
  <c r="AG58" i="282" s="1"/>
  <c r="AG59" i="282" s="1"/>
  <c r="AG50" i="282"/>
  <c r="AG51" i="282" s="1"/>
  <c r="AG52" i="282" s="1"/>
  <c r="AG53" i="282" s="1"/>
  <c r="AG54" i="282" s="1"/>
  <c r="AG55" i="282" s="1"/>
  <c r="AG56" i="282" s="1"/>
  <c r="AF41" i="282"/>
  <c r="AF42" i="282" s="1"/>
  <c r="AF43" i="282" s="1"/>
  <c r="AF44" i="282" s="1"/>
  <c r="AF45" i="282" s="1"/>
  <c r="AF46" i="282" s="1"/>
  <c r="AF47" i="282" s="1"/>
  <c r="AF48" i="282" s="1"/>
  <c r="AF49" i="282" s="1"/>
  <c r="AF50" i="282" s="1"/>
  <c r="AF51" i="282" s="1"/>
  <c r="AF52" i="282" s="1"/>
  <c r="AF53" i="282" s="1"/>
  <c r="AF54" i="282" s="1"/>
  <c r="AF55" i="282" s="1"/>
  <c r="AF56" i="282" s="1"/>
  <c r="AF57" i="282" s="1"/>
  <c r="AF58" i="282" s="1"/>
  <c r="AF59" i="282" s="1"/>
  <c r="AH40" i="282"/>
  <c r="AH41" i="282" s="1"/>
  <c r="AH42" i="282" s="1"/>
  <c r="AH43" i="282" s="1"/>
  <c r="AH44" i="282" s="1"/>
  <c r="AH45" i="282" s="1"/>
  <c r="AH46" i="282" s="1"/>
  <c r="AH47" i="282" s="1"/>
  <c r="AH48" i="282" s="1"/>
  <c r="AH49" i="282" s="1"/>
  <c r="AH50" i="282" s="1"/>
  <c r="AH51" i="282" s="1"/>
  <c r="AH52" i="282" s="1"/>
  <c r="AH53" i="282" s="1"/>
  <c r="AH54" i="282" s="1"/>
  <c r="AH55" i="282" s="1"/>
  <c r="AH56" i="282" s="1"/>
  <c r="AH57" i="282" s="1"/>
  <c r="AH58" i="282" s="1"/>
  <c r="AH59" i="282" s="1"/>
  <c r="AG40" i="282"/>
  <c r="AG41" i="282" s="1"/>
  <c r="AG42" i="282" s="1"/>
  <c r="AG43" i="282" s="1"/>
  <c r="AG44" i="282" s="1"/>
  <c r="AG45" i="282" s="1"/>
  <c r="AG46" i="282" s="1"/>
  <c r="AG47" i="282" s="1"/>
  <c r="AG48" i="282" s="1"/>
  <c r="AF40" i="282"/>
  <c r="AQ28" i="282"/>
  <c r="AR27" i="282"/>
  <c r="AQ27" i="282"/>
  <c r="AO27" i="282"/>
  <c r="AN27" i="282"/>
  <c r="AK27" i="282"/>
  <c r="AJ27" i="282"/>
  <c r="Q27" i="282"/>
  <c r="N26" i="282"/>
  <c r="I26" i="282"/>
  <c r="AN26" i="282" s="1"/>
  <c r="N25" i="282"/>
  <c r="K25" i="282"/>
  <c r="I25" i="282"/>
  <c r="AO25" i="282" s="1"/>
  <c r="N24" i="282"/>
  <c r="K24" i="282"/>
  <c r="I24" i="282"/>
  <c r="AQ24" i="282" s="1"/>
  <c r="N23" i="282"/>
  <c r="K23" i="282"/>
  <c r="I23" i="282"/>
  <c r="Q23" i="282" s="1"/>
  <c r="N22" i="282"/>
  <c r="K22" i="282"/>
  <c r="I22" i="282"/>
  <c r="AS22" i="282" s="1"/>
  <c r="N21" i="282"/>
  <c r="K21" i="282"/>
  <c r="I21" i="282"/>
  <c r="AO21" i="282" s="1"/>
  <c r="N20" i="282"/>
  <c r="K20" i="282"/>
  <c r="I20" i="282"/>
  <c r="AR20" i="282" s="1"/>
  <c r="N19" i="282"/>
  <c r="K19" i="282"/>
  <c r="I19" i="282"/>
  <c r="AO19" i="282" s="1"/>
  <c r="N18" i="282"/>
  <c r="K18" i="282"/>
  <c r="I18" i="282"/>
  <c r="P18" i="282" s="1"/>
  <c r="N17" i="282"/>
  <c r="K17" i="282"/>
  <c r="I17" i="282"/>
  <c r="AO17" i="282" s="1"/>
  <c r="N16" i="282"/>
  <c r="K16" i="282"/>
  <c r="I16" i="282"/>
  <c r="AH16" i="282" s="1"/>
  <c r="G16" i="282"/>
  <c r="N15" i="282"/>
  <c r="K15" i="282"/>
  <c r="I15" i="282"/>
  <c r="AP15" i="282" s="1"/>
  <c r="N14" i="282"/>
  <c r="K14" i="282"/>
  <c r="I14" i="282"/>
  <c r="AO14" i="282" s="1"/>
  <c r="N13" i="282"/>
  <c r="K13" i="282"/>
  <c r="I13" i="282"/>
  <c r="AQ13" i="282" s="1"/>
  <c r="N12" i="282"/>
  <c r="K12" i="282"/>
  <c r="I12" i="282"/>
  <c r="AR12" i="282" s="1"/>
  <c r="N11" i="282"/>
  <c r="K11" i="282"/>
  <c r="I11" i="282"/>
  <c r="AR11" i="282" s="1"/>
  <c r="N10" i="282"/>
  <c r="K10" i="282"/>
  <c r="I10" i="282"/>
  <c r="AG10" i="282" s="1"/>
  <c r="N9" i="282"/>
  <c r="K9" i="282"/>
  <c r="I9" i="282"/>
  <c r="AR9" i="282" s="1"/>
  <c r="N8" i="282"/>
  <c r="K8" i="282"/>
  <c r="I8" i="282"/>
  <c r="AR8" i="282" s="1"/>
  <c r="N7" i="282"/>
  <c r="K7" i="282"/>
  <c r="I7" i="282"/>
  <c r="AR7" i="282" s="1"/>
  <c r="N6" i="282"/>
  <c r="J6" i="282"/>
  <c r="I6" i="282"/>
  <c r="AO6" i="282" s="1"/>
  <c r="A1" i="282"/>
  <c r="B5" i="282" s="1"/>
  <c r="BH25" i="281"/>
  <c r="BD25" i="281"/>
  <c r="BH24" i="281"/>
  <c r="BD24" i="281"/>
  <c r="AG50" i="281"/>
  <c r="AG51" i="281" s="1"/>
  <c r="AG52" i="281" s="1"/>
  <c r="AG53" i="281" s="1"/>
  <c r="AG54" i="281" s="1"/>
  <c r="AG55" i="281" s="1"/>
  <c r="AG56" i="281" s="1"/>
  <c r="AG57" i="281" s="1"/>
  <c r="AG58" i="281" s="1"/>
  <c r="AG59" i="281" s="1"/>
  <c r="AF41" i="281"/>
  <c r="AF42" i="281" s="1"/>
  <c r="AF43" i="281" s="1"/>
  <c r="AF44" i="281" s="1"/>
  <c r="AF45" i="281" s="1"/>
  <c r="AF46" i="281" s="1"/>
  <c r="AF47" i="281" s="1"/>
  <c r="AF48" i="281" s="1"/>
  <c r="AF49" i="281" s="1"/>
  <c r="AF50" i="281" s="1"/>
  <c r="AF51" i="281" s="1"/>
  <c r="AF52" i="281" s="1"/>
  <c r="AF53" i="281" s="1"/>
  <c r="AF54" i="281" s="1"/>
  <c r="AF55" i="281" s="1"/>
  <c r="AF56" i="281" s="1"/>
  <c r="AF57" i="281" s="1"/>
  <c r="AF58" i="281" s="1"/>
  <c r="AF59" i="281" s="1"/>
  <c r="AH40" i="281"/>
  <c r="AH41" i="281" s="1"/>
  <c r="AH42" i="281" s="1"/>
  <c r="AH43" i="281" s="1"/>
  <c r="AH44" i="281" s="1"/>
  <c r="AH45" i="281" s="1"/>
  <c r="AH46" i="281" s="1"/>
  <c r="AH47" i="281" s="1"/>
  <c r="AH48" i="281" s="1"/>
  <c r="AH49" i="281" s="1"/>
  <c r="AH50" i="281" s="1"/>
  <c r="AH51" i="281" s="1"/>
  <c r="AH52" i="281" s="1"/>
  <c r="AH53" i="281" s="1"/>
  <c r="AH54" i="281" s="1"/>
  <c r="AH55" i="281" s="1"/>
  <c r="AH56" i="281" s="1"/>
  <c r="AH57" i="281" s="1"/>
  <c r="AH58" i="281" s="1"/>
  <c r="AH59" i="281" s="1"/>
  <c r="AG40" i="281"/>
  <c r="AG41" i="281" s="1"/>
  <c r="AG42" i="281" s="1"/>
  <c r="AG43" i="281" s="1"/>
  <c r="AG44" i="281" s="1"/>
  <c r="AG45" i="281" s="1"/>
  <c r="AG46" i="281" s="1"/>
  <c r="AG47" i="281" s="1"/>
  <c r="AG48" i="281" s="1"/>
  <c r="AF40" i="281"/>
  <c r="AQ28" i="281"/>
  <c r="AR27" i="281"/>
  <c r="AQ27" i="281"/>
  <c r="AO27" i="281"/>
  <c r="AN27" i="281"/>
  <c r="AK27" i="281"/>
  <c r="AJ27" i="281"/>
  <c r="Q27" i="281"/>
  <c r="N26" i="281"/>
  <c r="I26" i="281"/>
  <c r="AN26" i="281" s="1"/>
  <c r="N25" i="281"/>
  <c r="K25" i="281"/>
  <c r="I25" i="281"/>
  <c r="AO25" i="281" s="1"/>
  <c r="N24" i="281"/>
  <c r="K24" i="281"/>
  <c r="I24" i="281"/>
  <c r="AS24" i="281" s="1"/>
  <c r="N23" i="281"/>
  <c r="K23" i="281"/>
  <c r="I23" i="281"/>
  <c r="AP23" i="281" s="1"/>
  <c r="N22" i="281"/>
  <c r="K22" i="281"/>
  <c r="I22" i="281"/>
  <c r="AO22" i="281" s="1"/>
  <c r="N21" i="281"/>
  <c r="K21" i="281"/>
  <c r="I21" i="281"/>
  <c r="AR21" i="281" s="1"/>
  <c r="N20" i="281"/>
  <c r="K20" i="281"/>
  <c r="I20" i="281"/>
  <c r="AO20" i="281" s="1"/>
  <c r="N19" i="281"/>
  <c r="K19" i="281"/>
  <c r="I19" i="281"/>
  <c r="AR19" i="281" s="1"/>
  <c r="N18" i="281"/>
  <c r="K18" i="281"/>
  <c r="I18" i="281"/>
  <c r="Y18" i="281" s="1"/>
  <c r="N17" i="281"/>
  <c r="K17" i="281"/>
  <c r="I17" i="281"/>
  <c r="AP17" i="281" s="1"/>
  <c r="N16" i="281"/>
  <c r="K16" i="281"/>
  <c r="I16" i="281"/>
  <c r="AS16" i="281" s="1"/>
  <c r="G16" i="281"/>
  <c r="N15" i="281"/>
  <c r="K15" i="281"/>
  <c r="I15" i="281"/>
  <c r="AK15" i="281" s="1"/>
  <c r="N14" i="281"/>
  <c r="K14" i="281"/>
  <c r="I14" i="281"/>
  <c r="AO14" i="281" s="1"/>
  <c r="N13" i="281"/>
  <c r="K13" i="281"/>
  <c r="I13" i="281"/>
  <c r="AR13" i="281" s="1"/>
  <c r="L13" i="281" s="1"/>
  <c r="N12" i="281"/>
  <c r="K12" i="281"/>
  <c r="I12" i="281"/>
  <c r="N11" i="281"/>
  <c r="K11" i="281"/>
  <c r="I11" i="281"/>
  <c r="AL11" i="281" s="1"/>
  <c r="N10" i="281"/>
  <c r="K10" i="281"/>
  <c r="I10" i="281"/>
  <c r="AR10" i="281" s="1"/>
  <c r="N9" i="281"/>
  <c r="K9" i="281"/>
  <c r="I9" i="281"/>
  <c r="AS9" i="281" s="1"/>
  <c r="N8" i="281"/>
  <c r="K8" i="281"/>
  <c r="I8" i="281"/>
  <c r="AO8" i="281" s="1"/>
  <c r="N7" i="281"/>
  <c r="K7" i="281"/>
  <c r="I7" i="281"/>
  <c r="AM7" i="281" s="1"/>
  <c r="N6" i="281"/>
  <c r="J6" i="281"/>
  <c r="I6" i="281"/>
  <c r="AR6" i="281" s="1"/>
  <c r="A1" i="281"/>
  <c r="B5" i="281" s="1"/>
  <c r="BD14" i="280"/>
  <c r="BH13" i="280"/>
  <c r="BD13" i="280"/>
  <c r="BH12" i="280"/>
  <c r="AG54" i="280"/>
  <c r="AG55" i="280" s="1"/>
  <c r="AG56" i="280" s="1"/>
  <c r="AG57" i="280" s="1"/>
  <c r="AG58" i="280" s="1"/>
  <c r="AG59" i="280" s="1"/>
  <c r="AG50" i="280"/>
  <c r="AG51" i="280" s="1"/>
  <c r="AG52" i="280" s="1"/>
  <c r="AG53" i="280" s="1"/>
  <c r="AH40" i="280"/>
  <c r="AH41" i="280" s="1"/>
  <c r="AH42" i="280" s="1"/>
  <c r="AH43" i="280" s="1"/>
  <c r="AH44" i="280" s="1"/>
  <c r="AH45" i="280" s="1"/>
  <c r="AH46" i="280" s="1"/>
  <c r="AH47" i="280" s="1"/>
  <c r="AH48" i="280" s="1"/>
  <c r="AH49" i="280" s="1"/>
  <c r="AH50" i="280" s="1"/>
  <c r="AH51" i="280" s="1"/>
  <c r="AH52" i="280" s="1"/>
  <c r="AH53" i="280" s="1"/>
  <c r="AH54" i="280" s="1"/>
  <c r="AH55" i="280" s="1"/>
  <c r="AH56" i="280" s="1"/>
  <c r="AH57" i="280" s="1"/>
  <c r="AH58" i="280" s="1"/>
  <c r="AH59" i="280" s="1"/>
  <c r="AG40" i="280"/>
  <c r="AG41" i="280" s="1"/>
  <c r="AG42" i="280" s="1"/>
  <c r="AG43" i="280" s="1"/>
  <c r="AG44" i="280" s="1"/>
  <c r="AG45" i="280" s="1"/>
  <c r="AG46" i="280" s="1"/>
  <c r="AG47" i="280" s="1"/>
  <c r="AG48" i="280" s="1"/>
  <c r="AF40" i="280"/>
  <c r="AF41" i="280" s="1"/>
  <c r="AF42" i="280" s="1"/>
  <c r="AF43" i="280" s="1"/>
  <c r="AF44" i="280" s="1"/>
  <c r="AF45" i="280" s="1"/>
  <c r="AF46" i="280" s="1"/>
  <c r="AF47" i="280" s="1"/>
  <c r="AF48" i="280" s="1"/>
  <c r="AF49" i="280" s="1"/>
  <c r="AF50" i="280" s="1"/>
  <c r="AF51" i="280" s="1"/>
  <c r="AF52" i="280" s="1"/>
  <c r="AF53" i="280" s="1"/>
  <c r="AF54" i="280" s="1"/>
  <c r="AF55" i="280" s="1"/>
  <c r="AF56" i="280" s="1"/>
  <c r="AF57" i="280" s="1"/>
  <c r="AF58" i="280" s="1"/>
  <c r="AF59" i="280" s="1"/>
  <c r="AQ28" i="280"/>
  <c r="AR27" i="280"/>
  <c r="AQ27" i="280"/>
  <c r="AO27" i="280"/>
  <c r="AN27" i="280"/>
  <c r="AK27" i="280"/>
  <c r="AJ27" i="280"/>
  <c r="Q27" i="280"/>
  <c r="N26" i="280"/>
  <c r="I26" i="280"/>
  <c r="AE26" i="280" s="1"/>
  <c r="N25" i="280"/>
  <c r="K25" i="280"/>
  <c r="I25" i="280"/>
  <c r="AO25" i="280" s="1"/>
  <c r="N24" i="280"/>
  <c r="K24" i="280"/>
  <c r="I24" i="280"/>
  <c r="AS24" i="280" s="1"/>
  <c r="N23" i="280"/>
  <c r="K23" i="280"/>
  <c r="I23" i="280"/>
  <c r="AP23" i="280" s="1"/>
  <c r="N22" i="280"/>
  <c r="K22" i="280"/>
  <c r="I22" i="280"/>
  <c r="AP22" i="280" s="1"/>
  <c r="N21" i="280"/>
  <c r="K21" i="280"/>
  <c r="I21" i="280"/>
  <c r="AR21" i="280" s="1"/>
  <c r="N20" i="280"/>
  <c r="K20" i="280"/>
  <c r="I20" i="280"/>
  <c r="AO20" i="280" s="1"/>
  <c r="N19" i="280"/>
  <c r="K19" i="280"/>
  <c r="I19" i="280"/>
  <c r="AR19" i="280" s="1"/>
  <c r="N18" i="280"/>
  <c r="K18" i="280"/>
  <c r="I18" i="280"/>
  <c r="AO18" i="280" s="1"/>
  <c r="N17" i="280"/>
  <c r="K17" i="280"/>
  <c r="I17" i="280"/>
  <c r="AO17" i="280" s="1"/>
  <c r="N16" i="280"/>
  <c r="K16" i="280"/>
  <c r="I16" i="280"/>
  <c r="AS16" i="280" s="1"/>
  <c r="G16" i="280"/>
  <c r="N15" i="280"/>
  <c r="K15" i="280"/>
  <c r="I15" i="280"/>
  <c r="AS15" i="280" s="1"/>
  <c r="N14" i="280"/>
  <c r="K14" i="280"/>
  <c r="I14" i="280"/>
  <c r="AL14" i="280" s="1"/>
  <c r="N13" i="280"/>
  <c r="K13" i="280"/>
  <c r="I13" i="280"/>
  <c r="AS13" i="280" s="1"/>
  <c r="N12" i="280"/>
  <c r="K12" i="280"/>
  <c r="I12" i="280"/>
  <c r="AP12" i="280" s="1"/>
  <c r="N11" i="280"/>
  <c r="K11" i="280"/>
  <c r="I11" i="280"/>
  <c r="AN11" i="280" s="1"/>
  <c r="N10" i="280"/>
  <c r="K10" i="280"/>
  <c r="I10" i="280"/>
  <c r="AR10" i="280" s="1"/>
  <c r="N9" i="280"/>
  <c r="K9" i="280"/>
  <c r="I9" i="280"/>
  <c r="AR9" i="280" s="1"/>
  <c r="L9" i="280" s="1"/>
  <c r="U9" i="280" s="1"/>
  <c r="N8" i="280"/>
  <c r="K8" i="280"/>
  <c r="I8" i="280"/>
  <c r="AM8" i="280" s="1"/>
  <c r="N7" i="280"/>
  <c r="K7" i="280"/>
  <c r="I7" i="280"/>
  <c r="AQ7" i="280" s="1"/>
  <c r="N6" i="280"/>
  <c r="J6" i="280"/>
  <c r="I6" i="280"/>
  <c r="AO6" i="280" s="1"/>
  <c r="A1" i="280"/>
  <c r="B5" i="280" s="1"/>
  <c r="AG57" i="279"/>
  <c r="AG58" i="279" s="1"/>
  <c r="AG59" i="279" s="1"/>
  <c r="AG50" i="279"/>
  <c r="AG51" i="279" s="1"/>
  <c r="AG52" i="279" s="1"/>
  <c r="AG53" i="279" s="1"/>
  <c r="AG54" i="279" s="1"/>
  <c r="AG55" i="279" s="1"/>
  <c r="AG56" i="279" s="1"/>
  <c r="AF41" i="279"/>
  <c r="AF42" i="279" s="1"/>
  <c r="AF43" i="279" s="1"/>
  <c r="AF44" i="279" s="1"/>
  <c r="AF45" i="279" s="1"/>
  <c r="AF46" i="279" s="1"/>
  <c r="AF47" i="279" s="1"/>
  <c r="AF48" i="279" s="1"/>
  <c r="AF49" i="279" s="1"/>
  <c r="AF50" i="279" s="1"/>
  <c r="AF51" i="279" s="1"/>
  <c r="AF52" i="279" s="1"/>
  <c r="AF53" i="279" s="1"/>
  <c r="AF54" i="279" s="1"/>
  <c r="AF55" i="279" s="1"/>
  <c r="AF56" i="279" s="1"/>
  <c r="AF57" i="279" s="1"/>
  <c r="AF58" i="279" s="1"/>
  <c r="AF59" i="279" s="1"/>
  <c r="AH40" i="279"/>
  <c r="AH41" i="279" s="1"/>
  <c r="AH42" i="279" s="1"/>
  <c r="AH43" i="279" s="1"/>
  <c r="AH44" i="279" s="1"/>
  <c r="AH45" i="279" s="1"/>
  <c r="AH46" i="279" s="1"/>
  <c r="AH47" i="279" s="1"/>
  <c r="AH48" i="279" s="1"/>
  <c r="AH49" i="279" s="1"/>
  <c r="AH50" i="279" s="1"/>
  <c r="AH51" i="279" s="1"/>
  <c r="AH52" i="279" s="1"/>
  <c r="AH53" i="279" s="1"/>
  <c r="AH54" i="279" s="1"/>
  <c r="AH55" i="279" s="1"/>
  <c r="AH56" i="279" s="1"/>
  <c r="AH57" i="279" s="1"/>
  <c r="AH58" i="279" s="1"/>
  <c r="AH59" i="279" s="1"/>
  <c r="AG40" i="279"/>
  <c r="AG41" i="279" s="1"/>
  <c r="AG42" i="279" s="1"/>
  <c r="AG43" i="279" s="1"/>
  <c r="AG44" i="279" s="1"/>
  <c r="AG45" i="279" s="1"/>
  <c r="AG46" i="279" s="1"/>
  <c r="AG47" i="279" s="1"/>
  <c r="AG48" i="279" s="1"/>
  <c r="AF40" i="279"/>
  <c r="AQ28" i="279"/>
  <c r="AR27" i="279"/>
  <c r="AQ27" i="279"/>
  <c r="AO27" i="279"/>
  <c r="AN27" i="279"/>
  <c r="AK27" i="279"/>
  <c r="AJ27" i="279"/>
  <c r="Q27" i="279"/>
  <c r="N26" i="279"/>
  <c r="I26" i="279"/>
  <c r="AO26" i="279" s="1"/>
  <c r="N25" i="279"/>
  <c r="K25" i="279"/>
  <c r="I25" i="279"/>
  <c r="AQ25" i="279" s="1"/>
  <c r="N24" i="279"/>
  <c r="K24" i="279"/>
  <c r="I24" i="279"/>
  <c r="AP24" i="279" s="1"/>
  <c r="N23" i="279"/>
  <c r="K23" i="279"/>
  <c r="I23" i="279"/>
  <c r="AO23" i="279" s="1"/>
  <c r="N22" i="279"/>
  <c r="K22" i="279"/>
  <c r="I22" i="279"/>
  <c r="AP22" i="279" s="1"/>
  <c r="N21" i="279"/>
  <c r="K21" i="279"/>
  <c r="I21" i="279"/>
  <c r="AN21" i="279" s="1"/>
  <c r="N20" i="279"/>
  <c r="K20" i="279"/>
  <c r="I20" i="279"/>
  <c r="AR20" i="279" s="1"/>
  <c r="N19" i="279"/>
  <c r="K19" i="279"/>
  <c r="I19" i="279"/>
  <c r="AO19" i="279" s="1"/>
  <c r="N18" i="279"/>
  <c r="K18" i="279"/>
  <c r="I18" i="279"/>
  <c r="AL18" i="279" s="1"/>
  <c r="N17" i="279"/>
  <c r="K17" i="279"/>
  <c r="I17" i="279"/>
  <c r="AQ17" i="279" s="1"/>
  <c r="N16" i="279"/>
  <c r="K16" i="279"/>
  <c r="I16" i="279"/>
  <c r="AI16" i="279" s="1"/>
  <c r="G16" i="279"/>
  <c r="N15" i="279"/>
  <c r="K15" i="279"/>
  <c r="I15" i="279"/>
  <c r="AH15" i="279" s="1"/>
  <c r="N14" i="279"/>
  <c r="K14" i="279"/>
  <c r="I14" i="279"/>
  <c r="AQ14" i="279" s="1"/>
  <c r="N13" i="279"/>
  <c r="K13" i="279"/>
  <c r="I13" i="279"/>
  <c r="AI13" i="279" s="1"/>
  <c r="N12" i="279"/>
  <c r="K12" i="279"/>
  <c r="I12" i="279"/>
  <c r="AM12" i="279" s="1"/>
  <c r="N11" i="279"/>
  <c r="K11" i="279"/>
  <c r="I11" i="279"/>
  <c r="AQ11" i="279" s="1"/>
  <c r="N10" i="279"/>
  <c r="K10" i="279"/>
  <c r="I10" i="279"/>
  <c r="AO10" i="279" s="1"/>
  <c r="N9" i="279"/>
  <c r="K9" i="279"/>
  <c r="I9" i="279"/>
  <c r="AO9" i="279" s="1"/>
  <c r="N8" i="279"/>
  <c r="K8" i="279"/>
  <c r="I8" i="279"/>
  <c r="AL8" i="279" s="1"/>
  <c r="N7" i="279"/>
  <c r="K7" i="279"/>
  <c r="I7" i="279"/>
  <c r="AM7" i="279" s="1"/>
  <c r="N6" i="279"/>
  <c r="J6" i="279"/>
  <c r="I6" i="279"/>
  <c r="AS6" i="279" s="1"/>
  <c r="A1" i="279"/>
  <c r="B5" i="279" s="1"/>
  <c r="BH35" i="278"/>
  <c r="BH34" i="278"/>
  <c r="BH11" i="278"/>
  <c r="BH10" i="278"/>
  <c r="AG50" i="278"/>
  <c r="AG51" i="278" s="1"/>
  <c r="AG52" i="278" s="1"/>
  <c r="AG53" i="278" s="1"/>
  <c r="AG54" i="278" s="1"/>
  <c r="AG55" i="278" s="1"/>
  <c r="AG56" i="278" s="1"/>
  <c r="AG57" i="278" s="1"/>
  <c r="AG58" i="278" s="1"/>
  <c r="AG59" i="278" s="1"/>
  <c r="AF41" i="278"/>
  <c r="AF42" i="278" s="1"/>
  <c r="AF43" i="278" s="1"/>
  <c r="AF44" i="278" s="1"/>
  <c r="AF45" i="278" s="1"/>
  <c r="AF46" i="278" s="1"/>
  <c r="AF47" i="278" s="1"/>
  <c r="AF48" i="278" s="1"/>
  <c r="AF49" i="278" s="1"/>
  <c r="AF50" i="278" s="1"/>
  <c r="AF51" i="278" s="1"/>
  <c r="AF52" i="278" s="1"/>
  <c r="AF53" i="278" s="1"/>
  <c r="AF54" i="278" s="1"/>
  <c r="AF55" i="278" s="1"/>
  <c r="AF56" i="278" s="1"/>
  <c r="AF57" i="278" s="1"/>
  <c r="AF58" i="278" s="1"/>
  <c r="AF59" i="278" s="1"/>
  <c r="AH40" i="278"/>
  <c r="AH41" i="278" s="1"/>
  <c r="AH42" i="278" s="1"/>
  <c r="AH43" i="278" s="1"/>
  <c r="AH44" i="278" s="1"/>
  <c r="AH45" i="278" s="1"/>
  <c r="AH46" i="278" s="1"/>
  <c r="AH47" i="278" s="1"/>
  <c r="AH48" i="278" s="1"/>
  <c r="AH49" i="278" s="1"/>
  <c r="AH50" i="278" s="1"/>
  <c r="AH51" i="278" s="1"/>
  <c r="AH52" i="278" s="1"/>
  <c r="AH53" i="278" s="1"/>
  <c r="AH54" i="278" s="1"/>
  <c r="AH55" i="278" s="1"/>
  <c r="AH56" i="278" s="1"/>
  <c r="AH57" i="278" s="1"/>
  <c r="AH58" i="278" s="1"/>
  <c r="AH59" i="278" s="1"/>
  <c r="AG40" i="278"/>
  <c r="AG41" i="278" s="1"/>
  <c r="AG42" i="278" s="1"/>
  <c r="AG43" i="278" s="1"/>
  <c r="AG44" i="278" s="1"/>
  <c r="AG45" i="278" s="1"/>
  <c r="AG46" i="278" s="1"/>
  <c r="AG47" i="278" s="1"/>
  <c r="AG48" i="278" s="1"/>
  <c r="AF40" i="278"/>
  <c r="AQ28" i="278"/>
  <c r="AR27" i="278"/>
  <c r="AQ27" i="278"/>
  <c r="AO27" i="278"/>
  <c r="AN27" i="278"/>
  <c r="AK27" i="278"/>
  <c r="AJ27" i="278"/>
  <c r="Q27" i="278"/>
  <c r="N26" i="278"/>
  <c r="I26" i="278"/>
  <c r="AN26" i="278" s="1"/>
  <c r="N25" i="278"/>
  <c r="K25" i="278"/>
  <c r="I25" i="278"/>
  <c r="AP25" i="278" s="1"/>
  <c r="N24" i="278"/>
  <c r="K24" i="278"/>
  <c r="I24" i="278"/>
  <c r="AS24" i="278" s="1"/>
  <c r="N23" i="278"/>
  <c r="K23" i="278"/>
  <c r="I23" i="278"/>
  <c r="AP23" i="278" s="1"/>
  <c r="N22" i="278"/>
  <c r="K22" i="278"/>
  <c r="I22" i="278"/>
  <c r="AO22" i="278" s="1"/>
  <c r="N21" i="278"/>
  <c r="K21" i="278"/>
  <c r="I21" i="278"/>
  <c r="AR21" i="278" s="1"/>
  <c r="N20" i="278"/>
  <c r="K20" i="278"/>
  <c r="I20" i="278"/>
  <c r="AO20" i="278" s="1"/>
  <c r="N19" i="278"/>
  <c r="K19" i="278"/>
  <c r="I19" i="278"/>
  <c r="AO19" i="278" s="1"/>
  <c r="N18" i="278"/>
  <c r="K18" i="278"/>
  <c r="I18" i="278"/>
  <c r="AS18" i="278" s="1"/>
  <c r="N17" i="278"/>
  <c r="K17" i="278"/>
  <c r="I17" i="278"/>
  <c r="AP17" i="278" s="1"/>
  <c r="N16" i="278"/>
  <c r="K16" i="278"/>
  <c r="I16" i="278"/>
  <c r="AS16" i="278" s="1"/>
  <c r="G16" i="278"/>
  <c r="N15" i="278"/>
  <c r="K15" i="278"/>
  <c r="I15" i="278"/>
  <c r="AK15" i="278" s="1"/>
  <c r="N14" i="278"/>
  <c r="K14" i="278"/>
  <c r="I14" i="278"/>
  <c r="AI14" i="278" s="1"/>
  <c r="N13" i="278"/>
  <c r="K13" i="278"/>
  <c r="I13" i="278"/>
  <c r="AS13" i="278" s="1"/>
  <c r="N12" i="278"/>
  <c r="K12" i="278"/>
  <c r="I12" i="278"/>
  <c r="AR12" i="278" s="1"/>
  <c r="L12" i="278" s="1"/>
  <c r="U12" i="278" s="1"/>
  <c r="N11" i="278"/>
  <c r="K11" i="278"/>
  <c r="I11" i="278"/>
  <c r="AG11" i="278" s="1"/>
  <c r="N10" i="278"/>
  <c r="K10" i="278"/>
  <c r="I10" i="278"/>
  <c r="AC10" i="278" s="1"/>
  <c r="N9" i="278"/>
  <c r="K9" i="278"/>
  <c r="I9" i="278"/>
  <c r="AS9" i="278" s="1"/>
  <c r="N8" i="278"/>
  <c r="K8" i="278"/>
  <c r="I8" i="278"/>
  <c r="AS8" i="278" s="1"/>
  <c r="N7" i="278"/>
  <c r="K7" i="278"/>
  <c r="I7" i="278"/>
  <c r="AP7" i="278" s="1"/>
  <c r="N6" i="278"/>
  <c r="J6" i="278"/>
  <c r="I6" i="278"/>
  <c r="AM6" i="278" s="1"/>
  <c r="A1" i="278"/>
  <c r="B5" i="278" s="1"/>
  <c r="BH11" i="277"/>
  <c r="BH10" i="277"/>
  <c r="AG50" i="277"/>
  <c r="AG51" i="277" s="1"/>
  <c r="AG52" i="277" s="1"/>
  <c r="AG53" i="277" s="1"/>
  <c r="AG54" i="277" s="1"/>
  <c r="AG55" i="277" s="1"/>
  <c r="AG56" i="277" s="1"/>
  <c r="AG57" i="277" s="1"/>
  <c r="AG58" i="277" s="1"/>
  <c r="AG59" i="277" s="1"/>
  <c r="AH43" i="277"/>
  <c r="AH44" i="277" s="1"/>
  <c r="AH45" i="277" s="1"/>
  <c r="AH46" i="277" s="1"/>
  <c r="AH47" i="277" s="1"/>
  <c r="AH48" i="277" s="1"/>
  <c r="AH49" i="277" s="1"/>
  <c r="AH50" i="277" s="1"/>
  <c r="AH51" i="277" s="1"/>
  <c r="AH52" i="277" s="1"/>
  <c r="AH53" i="277" s="1"/>
  <c r="AH54" i="277" s="1"/>
  <c r="AH55" i="277" s="1"/>
  <c r="AH56" i="277" s="1"/>
  <c r="AH57" i="277" s="1"/>
  <c r="AH58" i="277" s="1"/>
  <c r="AH59" i="277" s="1"/>
  <c r="AF41" i="277"/>
  <c r="AF42" i="277" s="1"/>
  <c r="AF43" i="277" s="1"/>
  <c r="AF44" i="277" s="1"/>
  <c r="AF45" i="277" s="1"/>
  <c r="AF46" i="277" s="1"/>
  <c r="AF47" i="277" s="1"/>
  <c r="AF48" i="277" s="1"/>
  <c r="AF49" i="277" s="1"/>
  <c r="AF50" i="277" s="1"/>
  <c r="AF51" i="277" s="1"/>
  <c r="AF52" i="277" s="1"/>
  <c r="AF53" i="277" s="1"/>
  <c r="AF54" i="277" s="1"/>
  <c r="AF55" i="277" s="1"/>
  <c r="AF56" i="277" s="1"/>
  <c r="AF57" i="277" s="1"/>
  <c r="AF58" i="277" s="1"/>
  <c r="AF59" i="277" s="1"/>
  <c r="AH40" i="277"/>
  <c r="AH41" i="277" s="1"/>
  <c r="AH42" i="277" s="1"/>
  <c r="AG40" i="277"/>
  <c r="AG41" i="277" s="1"/>
  <c r="AG42" i="277" s="1"/>
  <c r="AG43" i="277" s="1"/>
  <c r="AG44" i="277" s="1"/>
  <c r="AG45" i="277" s="1"/>
  <c r="AG46" i="277" s="1"/>
  <c r="AG47" i="277" s="1"/>
  <c r="AG48" i="277" s="1"/>
  <c r="AF40" i="277"/>
  <c r="AQ28" i="277"/>
  <c r="AR27" i="277"/>
  <c r="AQ27" i="277"/>
  <c r="AO27" i="277"/>
  <c r="AN27" i="277"/>
  <c r="AK27" i="277"/>
  <c r="AJ27" i="277"/>
  <c r="Q27" i="277"/>
  <c r="N26" i="277"/>
  <c r="I26" i="277"/>
  <c r="AN26" i="277" s="1"/>
  <c r="N25" i="277"/>
  <c r="K25" i="277"/>
  <c r="I25" i="277"/>
  <c r="AP25" i="277" s="1"/>
  <c r="N24" i="277"/>
  <c r="K24" i="277"/>
  <c r="I24" i="277"/>
  <c r="AR24" i="277" s="1"/>
  <c r="N23" i="277"/>
  <c r="K23" i="277"/>
  <c r="I23" i="277"/>
  <c r="AS23" i="277" s="1"/>
  <c r="N22" i="277"/>
  <c r="K22" i="277"/>
  <c r="I22" i="277"/>
  <c r="AO22" i="277" s="1"/>
  <c r="N21" i="277"/>
  <c r="K21" i="277"/>
  <c r="I21" i="277"/>
  <c r="AO21" i="277" s="1"/>
  <c r="N20" i="277"/>
  <c r="K20" i="277"/>
  <c r="I20" i="277"/>
  <c r="AP20" i="277" s="1"/>
  <c r="N19" i="277"/>
  <c r="K19" i="277"/>
  <c r="I19" i="277"/>
  <c r="AS19" i="277" s="1"/>
  <c r="N18" i="277"/>
  <c r="K18" i="277"/>
  <c r="I18" i="277"/>
  <c r="Z18" i="277" s="1"/>
  <c r="N17" i="277"/>
  <c r="K17" i="277"/>
  <c r="I17" i="277"/>
  <c r="AO17" i="277" s="1"/>
  <c r="N16" i="277"/>
  <c r="K16" i="277"/>
  <c r="I16" i="277"/>
  <c r="AP16" i="277" s="1"/>
  <c r="G16" i="277"/>
  <c r="N15" i="277"/>
  <c r="K15" i="277"/>
  <c r="I15" i="277"/>
  <c r="AL15" i="277" s="1"/>
  <c r="N14" i="277"/>
  <c r="K14" i="277"/>
  <c r="I14" i="277"/>
  <c r="AP14" i="277" s="1"/>
  <c r="N13" i="277"/>
  <c r="K13" i="277"/>
  <c r="I13" i="277"/>
  <c r="AP13" i="277" s="1"/>
  <c r="N12" i="277"/>
  <c r="K12" i="277"/>
  <c r="I12" i="277"/>
  <c r="AO12" i="277" s="1"/>
  <c r="N11" i="277"/>
  <c r="K11" i="277"/>
  <c r="I11" i="277"/>
  <c r="AL11" i="277" s="1"/>
  <c r="N10" i="277"/>
  <c r="K10" i="277"/>
  <c r="I10" i="277"/>
  <c r="AO10" i="277" s="1"/>
  <c r="N9" i="277"/>
  <c r="K9" i="277"/>
  <c r="I9" i="277"/>
  <c r="AQ9" i="277" s="1"/>
  <c r="N8" i="277"/>
  <c r="K8" i="277"/>
  <c r="I8" i="277"/>
  <c r="AP8" i="277" s="1"/>
  <c r="N7" i="277"/>
  <c r="K7" i="277"/>
  <c r="I7" i="277"/>
  <c r="AO7" i="277" s="1"/>
  <c r="N6" i="277"/>
  <c r="J6" i="277"/>
  <c r="I6" i="277"/>
  <c r="AL6" i="277" s="1"/>
  <c r="A1" i="277"/>
  <c r="B5" i="277" s="1"/>
  <c r="BH23" i="276"/>
  <c r="BH22" i="276"/>
  <c r="BH21" i="276"/>
  <c r="BH20" i="276"/>
  <c r="BH19" i="276"/>
  <c r="BH18" i="276"/>
  <c r="BH17" i="276"/>
  <c r="BH16" i="276"/>
  <c r="AG50" i="276"/>
  <c r="AG51" i="276" s="1"/>
  <c r="AG52" i="276" s="1"/>
  <c r="AG53" i="276" s="1"/>
  <c r="AG54" i="276" s="1"/>
  <c r="AG55" i="276" s="1"/>
  <c r="AG56" i="276" s="1"/>
  <c r="AG57" i="276" s="1"/>
  <c r="AG58" i="276" s="1"/>
  <c r="AG59" i="276" s="1"/>
  <c r="AG41" i="276"/>
  <c r="AG42" i="276" s="1"/>
  <c r="AG43" i="276" s="1"/>
  <c r="AG44" i="276" s="1"/>
  <c r="AG45" i="276" s="1"/>
  <c r="AG46" i="276" s="1"/>
  <c r="AG47" i="276" s="1"/>
  <c r="AG48" i="276" s="1"/>
  <c r="AF41" i="276"/>
  <c r="AF42" i="276" s="1"/>
  <c r="AF43" i="276" s="1"/>
  <c r="AF44" i="276" s="1"/>
  <c r="AF45" i="276" s="1"/>
  <c r="AF46" i="276" s="1"/>
  <c r="AF47" i="276" s="1"/>
  <c r="AF48" i="276" s="1"/>
  <c r="AF49" i="276" s="1"/>
  <c r="AF50" i="276" s="1"/>
  <c r="AF51" i="276" s="1"/>
  <c r="AF52" i="276" s="1"/>
  <c r="AF53" i="276" s="1"/>
  <c r="AF54" i="276" s="1"/>
  <c r="AF55" i="276" s="1"/>
  <c r="AF56" i="276" s="1"/>
  <c r="AF57" i="276" s="1"/>
  <c r="AF58" i="276" s="1"/>
  <c r="AF59" i="276" s="1"/>
  <c r="AH40" i="276"/>
  <c r="AH41" i="276" s="1"/>
  <c r="AH42" i="276" s="1"/>
  <c r="AH43" i="276" s="1"/>
  <c r="AH44" i="276" s="1"/>
  <c r="AH45" i="276" s="1"/>
  <c r="AH46" i="276" s="1"/>
  <c r="AH47" i="276" s="1"/>
  <c r="AH48" i="276" s="1"/>
  <c r="AH49" i="276" s="1"/>
  <c r="AH50" i="276" s="1"/>
  <c r="AH51" i="276" s="1"/>
  <c r="AH52" i="276" s="1"/>
  <c r="AH53" i="276" s="1"/>
  <c r="AH54" i="276" s="1"/>
  <c r="AH55" i="276" s="1"/>
  <c r="AH56" i="276" s="1"/>
  <c r="AH57" i="276" s="1"/>
  <c r="AH58" i="276" s="1"/>
  <c r="AH59" i="276" s="1"/>
  <c r="AG40" i="276"/>
  <c r="AF40" i="276"/>
  <c r="AQ28" i="276"/>
  <c r="AR27" i="276"/>
  <c r="AQ27" i="276"/>
  <c r="AO27" i="276"/>
  <c r="AN27" i="276"/>
  <c r="AK27" i="276"/>
  <c r="AJ27" i="276"/>
  <c r="Q27" i="276"/>
  <c r="N26" i="276"/>
  <c r="I26" i="276"/>
  <c r="AG26" i="276" s="1"/>
  <c r="N25" i="276"/>
  <c r="K25" i="276"/>
  <c r="I25" i="276"/>
  <c r="AO25" i="276" s="1"/>
  <c r="N24" i="276"/>
  <c r="K24" i="276"/>
  <c r="I24" i="276"/>
  <c r="Y24" i="276" s="1"/>
  <c r="N23" i="276"/>
  <c r="K23" i="276"/>
  <c r="I23" i="276"/>
  <c r="AP23" i="276" s="1"/>
  <c r="N22" i="276"/>
  <c r="K22" i="276"/>
  <c r="I22" i="276"/>
  <c r="AO22" i="276" s="1"/>
  <c r="N21" i="276"/>
  <c r="K21" i="276"/>
  <c r="I21" i="276"/>
  <c r="AR21" i="276" s="1"/>
  <c r="N20" i="276"/>
  <c r="K20" i="276"/>
  <c r="I20" i="276"/>
  <c r="AO20" i="276" s="1"/>
  <c r="N19" i="276"/>
  <c r="K19" i="276"/>
  <c r="I19" i="276"/>
  <c r="AO19" i="276" s="1"/>
  <c r="N18" i="276"/>
  <c r="K18" i="276"/>
  <c r="I18" i="276"/>
  <c r="AG18" i="276" s="1"/>
  <c r="N17" i="276"/>
  <c r="K17" i="276"/>
  <c r="I17" i="276"/>
  <c r="AP17" i="276" s="1"/>
  <c r="N16" i="276"/>
  <c r="K16" i="276"/>
  <c r="I16" i="276"/>
  <c r="AI16" i="276" s="1"/>
  <c r="G16" i="276"/>
  <c r="N15" i="276"/>
  <c r="K15" i="276"/>
  <c r="I15" i="276"/>
  <c r="AG15" i="276" s="1"/>
  <c r="N14" i="276"/>
  <c r="K14" i="276"/>
  <c r="I14" i="276"/>
  <c r="AR14" i="276" s="1"/>
  <c r="N13" i="276"/>
  <c r="K13" i="276"/>
  <c r="I13" i="276"/>
  <c r="AO13" i="276" s="1"/>
  <c r="N12" i="276"/>
  <c r="K12" i="276"/>
  <c r="I12" i="276"/>
  <c r="AO12" i="276" s="1"/>
  <c r="N11" i="276"/>
  <c r="K11" i="276"/>
  <c r="I11" i="276"/>
  <c r="AL11" i="276" s="1"/>
  <c r="N10" i="276"/>
  <c r="K10" i="276"/>
  <c r="I10" i="276"/>
  <c r="AM10" i="276" s="1"/>
  <c r="N9" i="276"/>
  <c r="K9" i="276"/>
  <c r="I9" i="276"/>
  <c r="N8" i="276"/>
  <c r="K8" i="276"/>
  <c r="I8" i="276"/>
  <c r="AP8" i="276" s="1"/>
  <c r="N7" i="276"/>
  <c r="K7" i="276"/>
  <c r="I7" i="276"/>
  <c r="AO7" i="276" s="1"/>
  <c r="N6" i="276"/>
  <c r="J6" i="276"/>
  <c r="I6" i="276"/>
  <c r="AS6" i="276" s="1"/>
  <c r="A1" i="276"/>
  <c r="B5" i="276" s="1"/>
  <c r="BH19" i="275"/>
  <c r="BH18" i="275"/>
  <c r="BH15" i="275"/>
  <c r="BH14" i="275"/>
  <c r="AG51" i="275"/>
  <c r="AG52" i="275" s="1"/>
  <c r="AG53" i="275" s="1"/>
  <c r="AG54" i="275" s="1"/>
  <c r="AG55" i="275" s="1"/>
  <c r="AG56" i="275" s="1"/>
  <c r="AG57" i="275" s="1"/>
  <c r="AG58" i="275" s="1"/>
  <c r="AG59" i="275" s="1"/>
  <c r="AG50" i="275"/>
  <c r="AH43" i="275"/>
  <c r="AH44" i="275" s="1"/>
  <c r="AH45" i="275" s="1"/>
  <c r="AH46" i="275" s="1"/>
  <c r="AH47" i="275" s="1"/>
  <c r="AH48" i="275" s="1"/>
  <c r="AH49" i="275" s="1"/>
  <c r="AH50" i="275" s="1"/>
  <c r="AH51" i="275" s="1"/>
  <c r="AH52" i="275" s="1"/>
  <c r="AH53" i="275" s="1"/>
  <c r="AH54" i="275" s="1"/>
  <c r="AH55" i="275" s="1"/>
  <c r="AH56" i="275" s="1"/>
  <c r="AH57" i="275" s="1"/>
  <c r="AH58" i="275" s="1"/>
  <c r="AH59" i="275" s="1"/>
  <c r="AF41" i="275"/>
  <c r="AF42" i="275" s="1"/>
  <c r="AF43" i="275" s="1"/>
  <c r="AF44" i="275" s="1"/>
  <c r="AF45" i="275" s="1"/>
  <c r="AF46" i="275" s="1"/>
  <c r="AF47" i="275" s="1"/>
  <c r="AF48" i="275" s="1"/>
  <c r="AF49" i="275" s="1"/>
  <c r="AF50" i="275" s="1"/>
  <c r="AF51" i="275" s="1"/>
  <c r="AF52" i="275" s="1"/>
  <c r="AF53" i="275" s="1"/>
  <c r="AF54" i="275" s="1"/>
  <c r="AF55" i="275" s="1"/>
  <c r="AF56" i="275" s="1"/>
  <c r="AF57" i="275" s="1"/>
  <c r="AF58" i="275" s="1"/>
  <c r="AF59" i="275" s="1"/>
  <c r="AH40" i="275"/>
  <c r="AH41" i="275" s="1"/>
  <c r="AH42" i="275" s="1"/>
  <c r="AG40" i="275"/>
  <c r="AG41" i="275" s="1"/>
  <c r="AG42" i="275" s="1"/>
  <c r="AG43" i="275" s="1"/>
  <c r="AG44" i="275" s="1"/>
  <c r="AG45" i="275" s="1"/>
  <c r="AG46" i="275" s="1"/>
  <c r="AG47" i="275" s="1"/>
  <c r="AG48" i="275" s="1"/>
  <c r="AF40" i="275"/>
  <c r="AQ28" i="275"/>
  <c r="AR27" i="275"/>
  <c r="AQ27" i="275"/>
  <c r="AO27" i="275"/>
  <c r="AN27" i="275"/>
  <c r="AK27" i="275"/>
  <c r="AJ27" i="275"/>
  <c r="Q27" i="275"/>
  <c r="N26" i="275"/>
  <c r="I26" i="275"/>
  <c r="AN26" i="275" s="1"/>
  <c r="N25" i="275"/>
  <c r="K25" i="275"/>
  <c r="I25" i="275"/>
  <c r="AP25" i="275" s="1"/>
  <c r="N24" i="275"/>
  <c r="K24" i="275"/>
  <c r="I24" i="275"/>
  <c r="AR24" i="275" s="1"/>
  <c r="N23" i="275"/>
  <c r="K23" i="275"/>
  <c r="I23" i="275"/>
  <c r="AO23" i="275" s="1"/>
  <c r="N22" i="275"/>
  <c r="K22" i="275"/>
  <c r="I22" i="275"/>
  <c r="AO22" i="275" s="1"/>
  <c r="N21" i="275"/>
  <c r="K21" i="275"/>
  <c r="I21" i="275"/>
  <c r="AO21" i="275" s="1"/>
  <c r="N20" i="275"/>
  <c r="K20" i="275"/>
  <c r="I20" i="275"/>
  <c r="AH20" i="275" s="1"/>
  <c r="N19" i="275"/>
  <c r="K19" i="275"/>
  <c r="I19" i="275"/>
  <c r="Y19" i="275" s="1"/>
  <c r="N18" i="275"/>
  <c r="K18" i="275"/>
  <c r="I18" i="275"/>
  <c r="AO18" i="275" s="1"/>
  <c r="N17" i="275"/>
  <c r="K17" i="275"/>
  <c r="I17" i="275"/>
  <c r="AO17" i="275" s="1"/>
  <c r="N16" i="275"/>
  <c r="K16" i="275"/>
  <c r="I16" i="275"/>
  <c r="Q16" i="275" s="1"/>
  <c r="R16" i="275" s="1"/>
  <c r="AJ16" i="275" s="1"/>
  <c r="G16" i="275"/>
  <c r="N15" i="275"/>
  <c r="K15" i="275"/>
  <c r="I15" i="275"/>
  <c r="AO15" i="275" s="1"/>
  <c r="N14" i="275"/>
  <c r="K14" i="275"/>
  <c r="I14" i="275"/>
  <c r="AO14" i="275" s="1"/>
  <c r="N13" i="275"/>
  <c r="K13" i="275"/>
  <c r="I13" i="275"/>
  <c r="AH13" i="275" s="1"/>
  <c r="N12" i="275"/>
  <c r="K12" i="275"/>
  <c r="I12" i="275"/>
  <c r="AL12" i="275" s="1"/>
  <c r="N11" i="275"/>
  <c r="K11" i="275"/>
  <c r="I11" i="275"/>
  <c r="AK11" i="275" s="1"/>
  <c r="N10" i="275"/>
  <c r="K10" i="275"/>
  <c r="I10" i="275"/>
  <c r="AN10" i="275" s="1"/>
  <c r="N9" i="275"/>
  <c r="K9" i="275"/>
  <c r="I9" i="275"/>
  <c r="AP9" i="275" s="1"/>
  <c r="N8" i="275"/>
  <c r="K8" i="275"/>
  <c r="I8" i="275"/>
  <c r="AM8" i="275" s="1"/>
  <c r="N7" i="275"/>
  <c r="K7" i="275"/>
  <c r="I7" i="275"/>
  <c r="AN7" i="275" s="1"/>
  <c r="N6" i="275"/>
  <c r="J6" i="275"/>
  <c r="I6" i="275"/>
  <c r="AR6" i="275" s="1"/>
  <c r="A1" i="275"/>
  <c r="B5" i="275" s="1"/>
  <c r="BH19" i="274"/>
  <c r="BD19" i="274"/>
  <c r="BH18" i="274"/>
  <c r="BD18" i="274"/>
  <c r="AG50" i="274"/>
  <c r="AG51" i="274" s="1"/>
  <c r="AG52" i="274" s="1"/>
  <c r="AG53" i="274" s="1"/>
  <c r="AG54" i="274" s="1"/>
  <c r="AG55" i="274" s="1"/>
  <c r="AG56" i="274" s="1"/>
  <c r="AG57" i="274" s="1"/>
  <c r="AG58" i="274" s="1"/>
  <c r="AG59" i="274" s="1"/>
  <c r="AH43" i="274"/>
  <c r="AH44" i="274" s="1"/>
  <c r="AH45" i="274" s="1"/>
  <c r="AH46" i="274" s="1"/>
  <c r="AH47" i="274" s="1"/>
  <c r="AH48" i="274" s="1"/>
  <c r="AH49" i="274" s="1"/>
  <c r="AH50" i="274" s="1"/>
  <c r="AH51" i="274" s="1"/>
  <c r="AH52" i="274" s="1"/>
  <c r="AH53" i="274" s="1"/>
  <c r="AH54" i="274" s="1"/>
  <c r="AH55" i="274" s="1"/>
  <c r="AH56" i="274" s="1"/>
  <c r="AH57" i="274" s="1"/>
  <c r="AH58" i="274" s="1"/>
  <c r="AH59" i="274" s="1"/>
  <c r="AF41" i="274"/>
  <c r="AF42" i="274" s="1"/>
  <c r="AF43" i="274" s="1"/>
  <c r="AF44" i="274" s="1"/>
  <c r="AF45" i="274" s="1"/>
  <c r="AF46" i="274" s="1"/>
  <c r="AF47" i="274" s="1"/>
  <c r="AF48" i="274" s="1"/>
  <c r="AF49" i="274" s="1"/>
  <c r="AF50" i="274" s="1"/>
  <c r="AF51" i="274" s="1"/>
  <c r="AF52" i="274" s="1"/>
  <c r="AF53" i="274" s="1"/>
  <c r="AF54" i="274" s="1"/>
  <c r="AF55" i="274" s="1"/>
  <c r="AF56" i="274" s="1"/>
  <c r="AF57" i="274" s="1"/>
  <c r="AF58" i="274" s="1"/>
  <c r="AF59" i="274" s="1"/>
  <c r="AH40" i="274"/>
  <c r="AH41" i="274" s="1"/>
  <c r="AH42" i="274" s="1"/>
  <c r="AG40" i="274"/>
  <c r="AG41" i="274" s="1"/>
  <c r="AG42" i="274" s="1"/>
  <c r="AG43" i="274" s="1"/>
  <c r="AG44" i="274" s="1"/>
  <c r="AG45" i="274" s="1"/>
  <c r="AG46" i="274" s="1"/>
  <c r="AG47" i="274" s="1"/>
  <c r="AG48" i="274" s="1"/>
  <c r="AF40" i="274"/>
  <c r="AQ28" i="274"/>
  <c r="AR27" i="274"/>
  <c r="AQ27" i="274"/>
  <c r="AO27" i="274"/>
  <c r="AN27" i="274"/>
  <c r="AK27" i="274"/>
  <c r="AJ27" i="274"/>
  <c r="Q27" i="274"/>
  <c r="N26" i="274"/>
  <c r="I26" i="274"/>
  <c r="AM26" i="274" s="1"/>
  <c r="N25" i="274"/>
  <c r="K25" i="274"/>
  <c r="I25" i="274"/>
  <c r="AQ25" i="274" s="1"/>
  <c r="N24" i="274"/>
  <c r="K24" i="274"/>
  <c r="I24" i="274"/>
  <c r="AO24" i="274" s="1"/>
  <c r="N23" i="274"/>
  <c r="K23" i="274"/>
  <c r="I23" i="274"/>
  <c r="AS23" i="274" s="1"/>
  <c r="N22" i="274"/>
  <c r="K22" i="274"/>
  <c r="I22" i="274"/>
  <c r="AQ22" i="274" s="1"/>
  <c r="N21" i="274"/>
  <c r="K21" i="274"/>
  <c r="I21" i="274"/>
  <c r="AH21" i="274" s="1"/>
  <c r="N20" i="274"/>
  <c r="K20" i="274"/>
  <c r="I20" i="274"/>
  <c r="AR20" i="274" s="1"/>
  <c r="N19" i="274"/>
  <c r="K19" i="274"/>
  <c r="I19" i="274"/>
  <c r="AO19" i="274" s="1"/>
  <c r="N18" i="274"/>
  <c r="K18" i="274"/>
  <c r="I18" i="274"/>
  <c r="AN18" i="274" s="1"/>
  <c r="N17" i="274"/>
  <c r="K17" i="274"/>
  <c r="I17" i="274"/>
  <c r="AO17" i="274" s="1"/>
  <c r="N16" i="274"/>
  <c r="K16" i="274"/>
  <c r="I16" i="274"/>
  <c r="AI16" i="274" s="1"/>
  <c r="G16" i="274"/>
  <c r="N15" i="274"/>
  <c r="K15" i="274"/>
  <c r="I15" i="274"/>
  <c r="AK15" i="274" s="1"/>
  <c r="N14" i="274"/>
  <c r="K14" i="274"/>
  <c r="I14" i="274"/>
  <c r="AO14" i="274" s="1"/>
  <c r="N13" i="274"/>
  <c r="K13" i="274"/>
  <c r="I13" i="274"/>
  <c r="AO13" i="274" s="1"/>
  <c r="N12" i="274"/>
  <c r="K12" i="274"/>
  <c r="I12" i="274"/>
  <c r="AR12" i="274" s="1"/>
  <c r="L12" i="274" s="1"/>
  <c r="N11" i="274"/>
  <c r="K11" i="274"/>
  <c r="I11" i="274"/>
  <c r="AS11" i="274" s="1"/>
  <c r="N10" i="274"/>
  <c r="K10" i="274"/>
  <c r="I10" i="274"/>
  <c r="AR10" i="274" s="1"/>
  <c r="L10" i="274" s="1"/>
  <c r="N9" i="274"/>
  <c r="K9" i="274"/>
  <c r="I9" i="274"/>
  <c r="AG9" i="274" s="1"/>
  <c r="N8" i="274"/>
  <c r="K8" i="274"/>
  <c r="I8" i="274"/>
  <c r="AP8" i="274" s="1"/>
  <c r="N7" i="274"/>
  <c r="K7" i="274"/>
  <c r="I7" i="274"/>
  <c r="AM7" i="274" s="1"/>
  <c r="N6" i="274"/>
  <c r="J6" i="274"/>
  <c r="I6" i="274"/>
  <c r="AR6" i="274" s="1"/>
  <c r="A1" i="274"/>
  <c r="B5" i="274" s="1"/>
  <c r="BH25" i="273"/>
  <c r="BH24" i="273"/>
  <c r="BH13" i="273"/>
  <c r="BH12" i="273"/>
  <c r="BH9" i="273"/>
  <c r="BH8" i="273"/>
  <c r="AG50" i="273"/>
  <c r="AG51" i="273" s="1"/>
  <c r="AG52" i="273" s="1"/>
  <c r="AG53" i="273" s="1"/>
  <c r="AG54" i="273" s="1"/>
  <c r="AG55" i="273" s="1"/>
  <c r="AG56" i="273" s="1"/>
  <c r="AG57" i="273" s="1"/>
  <c r="AG58" i="273" s="1"/>
  <c r="AG59" i="273" s="1"/>
  <c r="AG41" i="273"/>
  <c r="AG42" i="273" s="1"/>
  <c r="AG43" i="273" s="1"/>
  <c r="AG44" i="273" s="1"/>
  <c r="AG45" i="273" s="1"/>
  <c r="AG46" i="273" s="1"/>
  <c r="AG47" i="273" s="1"/>
  <c r="AG48" i="273" s="1"/>
  <c r="AH40" i="273"/>
  <c r="AH41" i="273" s="1"/>
  <c r="AH42" i="273" s="1"/>
  <c r="AH43" i="273" s="1"/>
  <c r="AH44" i="273" s="1"/>
  <c r="AH45" i="273" s="1"/>
  <c r="AH46" i="273" s="1"/>
  <c r="AH47" i="273" s="1"/>
  <c r="AH48" i="273" s="1"/>
  <c r="AH49" i="273" s="1"/>
  <c r="AH50" i="273" s="1"/>
  <c r="AH51" i="273" s="1"/>
  <c r="AH52" i="273" s="1"/>
  <c r="AH53" i="273" s="1"/>
  <c r="AH54" i="273" s="1"/>
  <c r="AH55" i="273" s="1"/>
  <c r="AH56" i="273" s="1"/>
  <c r="AH57" i="273" s="1"/>
  <c r="AH58" i="273" s="1"/>
  <c r="AH59" i="273" s="1"/>
  <c r="AG40" i="273"/>
  <c r="AF40" i="273"/>
  <c r="AF41" i="273" s="1"/>
  <c r="AF42" i="273" s="1"/>
  <c r="AF43" i="273" s="1"/>
  <c r="AF44" i="273" s="1"/>
  <c r="AF45" i="273" s="1"/>
  <c r="AF46" i="273" s="1"/>
  <c r="AF47" i="273" s="1"/>
  <c r="AF48" i="273" s="1"/>
  <c r="AF49" i="273" s="1"/>
  <c r="AF50" i="273" s="1"/>
  <c r="AF51" i="273" s="1"/>
  <c r="AF52" i="273" s="1"/>
  <c r="AF53" i="273" s="1"/>
  <c r="AF54" i="273" s="1"/>
  <c r="AF55" i="273" s="1"/>
  <c r="AF56" i="273" s="1"/>
  <c r="AF57" i="273" s="1"/>
  <c r="AF58" i="273" s="1"/>
  <c r="AF59" i="273" s="1"/>
  <c r="AQ28" i="273"/>
  <c r="AR27" i="273"/>
  <c r="AQ27" i="273"/>
  <c r="AO27" i="273"/>
  <c r="AN27" i="273"/>
  <c r="AK27" i="273"/>
  <c r="AJ27" i="273"/>
  <c r="Q27" i="273"/>
  <c r="N26" i="273"/>
  <c r="I26" i="273"/>
  <c r="AN26" i="273" s="1"/>
  <c r="N25" i="273"/>
  <c r="K25" i="273"/>
  <c r="I25" i="273"/>
  <c r="AO25" i="273" s="1"/>
  <c r="N24" i="273"/>
  <c r="K24" i="273"/>
  <c r="I24" i="273"/>
  <c r="AL24" i="273" s="1"/>
  <c r="N23" i="273"/>
  <c r="K23" i="273"/>
  <c r="I23" i="273"/>
  <c r="AP23" i="273" s="1"/>
  <c r="N22" i="273"/>
  <c r="K22" i="273"/>
  <c r="I22" i="273"/>
  <c r="AO22" i="273" s="1"/>
  <c r="N21" i="273"/>
  <c r="K21" i="273"/>
  <c r="I21" i="273"/>
  <c r="AR21" i="273" s="1"/>
  <c r="N20" i="273"/>
  <c r="K20" i="273"/>
  <c r="I20" i="273"/>
  <c r="AO20" i="273" s="1"/>
  <c r="N19" i="273"/>
  <c r="K19" i="273"/>
  <c r="I19" i="273"/>
  <c r="AO19" i="273" s="1"/>
  <c r="N18" i="273"/>
  <c r="K18" i="273"/>
  <c r="I18" i="273"/>
  <c r="AS18" i="273" s="1"/>
  <c r="N17" i="273"/>
  <c r="K17" i="273"/>
  <c r="I17" i="273"/>
  <c r="AO17" i="273" s="1"/>
  <c r="N16" i="273"/>
  <c r="K16" i="273"/>
  <c r="I16" i="273"/>
  <c r="AO16" i="273" s="1"/>
  <c r="G16" i="273"/>
  <c r="N15" i="273"/>
  <c r="K15" i="273"/>
  <c r="I15" i="273"/>
  <c r="AO15" i="273" s="1"/>
  <c r="N14" i="273"/>
  <c r="K14" i="273"/>
  <c r="I14" i="273"/>
  <c r="Y14" i="273" s="1"/>
  <c r="N13" i="273"/>
  <c r="K13" i="273"/>
  <c r="I13" i="273"/>
  <c r="AK13" i="273" s="1"/>
  <c r="N12" i="273"/>
  <c r="K12" i="273"/>
  <c r="I12" i="273"/>
  <c r="AI12" i="273" s="1"/>
  <c r="N11" i="273"/>
  <c r="K11" i="273"/>
  <c r="I11" i="273"/>
  <c r="AR11" i="273" s="1"/>
  <c r="N10" i="273"/>
  <c r="K10" i="273"/>
  <c r="I10" i="273"/>
  <c r="AO10" i="273" s="1"/>
  <c r="N9" i="273"/>
  <c r="K9" i="273"/>
  <c r="I9" i="273"/>
  <c r="AM9" i="273" s="1"/>
  <c r="N8" i="273"/>
  <c r="K8" i="273"/>
  <c r="I8" i="273"/>
  <c r="AO8" i="273" s="1"/>
  <c r="N7" i="273"/>
  <c r="K7" i="273"/>
  <c r="I7" i="273"/>
  <c r="AP7" i="273" s="1"/>
  <c r="N6" i="273"/>
  <c r="J6" i="273"/>
  <c r="I6" i="273"/>
  <c r="AM6" i="273" s="1"/>
  <c r="A1" i="273"/>
  <c r="B5" i="273" s="1"/>
  <c r="BH17" i="272"/>
  <c r="BH16" i="272"/>
  <c r="BD16" i="272"/>
  <c r="BH15" i="272"/>
  <c r="BD15" i="272"/>
  <c r="BH14" i="272"/>
  <c r="AG50" i="272"/>
  <c r="AG51" i="272" s="1"/>
  <c r="AG52" i="272" s="1"/>
  <c r="AG53" i="272" s="1"/>
  <c r="AG54" i="272" s="1"/>
  <c r="AG55" i="272" s="1"/>
  <c r="AG56" i="272" s="1"/>
  <c r="AG57" i="272" s="1"/>
  <c r="AG58" i="272" s="1"/>
  <c r="AG59" i="272" s="1"/>
  <c r="AG41" i="272"/>
  <c r="AG42" i="272" s="1"/>
  <c r="AG43" i="272" s="1"/>
  <c r="AG44" i="272" s="1"/>
  <c r="AG45" i="272" s="1"/>
  <c r="AG46" i="272" s="1"/>
  <c r="AG47" i="272" s="1"/>
  <c r="AG48" i="272" s="1"/>
  <c r="AH40" i="272"/>
  <c r="AH41" i="272" s="1"/>
  <c r="AH42" i="272" s="1"/>
  <c r="AH43" i="272" s="1"/>
  <c r="AH44" i="272" s="1"/>
  <c r="AH45" i="272" s="1"/>
  <c r="AH46" i="272" s="1"/>
  <c r="AH47" i="272" s="1"/>
  <c r="AH48" i="272" s="1"/>
  <c r="AH49" i="272" s="1"/>
  <c r="AH50" i="272" s="1"/>
  <c r="AH51" i="272" s="1"/>
  <c r="AH52" i="272" s="1"/>
  <c r="AH53" i="272" s="1"/>
  <c r="AH54" i="272" s="1"/>
  <c r="AH55" i="272" s="1"/>
  <c r="AH56" i="272" s="1"/>
  <c r="AH57" i="272" s="1"/>
  <c r="AH58" i="272" s="1"/>
  <c r="AH59" i="272" s="1"/>
  <c r="AG40" i="272"/>
  <c r="AF40" i="272"/>
  <c r="AF41" i="272" s="1"/>
  <c r="AF42" i="272" s="1"/>
  <c r="AF43" i="272" s="1"/>
  <c r="AF44" i="272" s="1"/>
  <c r="AF45" i="272" s="1"/>
  <c r="AF46" i="272" s="1"/>
  <c r="AF47" i="272" s="1"/>
  <c r="AF48" i="272" s="1"/>
  <c r="AF49" i="272" s="1"/>
  <c r="AF50" i="272" s="1"/>
  <c r="AF51" i="272" s="1"/>
  <c r="AF52" i="272" s="1"/>
  <c r="AF53" i="272" s="1"/>
  <c r="AF54" i="272" s="1"/>
  <c r="AF55" i="272" s="1"/>
  <c r="AF56" i="272" s="1"/>
  <c r="AF57" i="272" s="1"/>
  <c r="AF58" i="272" s="1"/>
  <c r="AF59" i="272" s="1"/>
  <c r="AQ28" i="272"/>
  <c r="AR27" i="272"/>
  <c r="AQ27" i="272"/>
  <c r="AO27" i="272"/>
  <c r="AN27" i="272"/>
  <c r="AK27" i="272"/>
  <c r="AJ27" i="272"/>
  <c r="Q27" i="272"/>
  <c r="N26" i="272"/>
  <c r="I26" i="272"/>
  <c r="AF26" i="272" s="1"/>
  <c r="N25" i="272"/>
  <c r="K25" i="272"/>
  <c r="I25" i="272"/>
  <c r="AO25" i="272" s="1"/>
  <c r="N24" i="272"/>
  <c r="K24" i="272"/>
  <c r="I24" i="272"/>
  <c r="AM24" i="272" s="1"/>
  <c r="N23" i="272"/>
  <c r="K23" i="272"/>
  <c r="I23" i="272"/>
  <c r="AR23" i="272" s="1"/>
  <c r="N22" i="272"/>
  <c r="K22" i="272"/>
  <c r="I22" i="272"/>
  <c r="AO22" i="272" s="1"/>
  <c r="N21" i="272"/>
  <c r="K21" i="272"/>
  <c r="I21" i="272"/>
  <c r="AM21" i="272" s="1"/>
  <c r="N20" i="272"/>
  <c r="K20" i="272"/>
  <c r="I20" i="272"/>
  <c r="Y20" i="272" s="1"/>
  <c r="N19" i="272"/>
  <c r="K19" i="272"/>
  <c r="I19" i="272"/>
  <c r="AO19" i="272" s="1"/>
  <c r="N18" i="272"/>
  <c r="K18" i="272"/>
  <c r="I18" i="272"/>
  <c r="AA18" i="272" s="1"/>
  <c r="N17" i="272"/>
  <c r="K17" i="272"/>
  <c r="I17" i="272"/>
  <c r="AR17" i="272" s="1"/>
  <c r="N16" i="272"/>
  <c r="K16" i="272"/>
  <c r="I16" i="272"/>
  <c r="AO16" i="272" s="1"/>
  <c r="G16" i="272"/>
  <c r="N15" i="272"/>
  <c r="K15" i="272"/>
  <c r="I15" i="272"/>
  <c r="AF15" i="272" s="1"/>
  <c r="N14" i="272"/>
  <c r="K14" i="272"/>
  <c r="I14" i="272"/>
  <c r="X14" i="272" s="1"/>
  <c r="N13" i="272"/>
  <c r="K13" i="272"/>
  <c r="I13" i="272"/>
  <c r="AO13" i="272" s="1"/>
  <c r="N12" i="272"/>
  <c r="K12" i="272"/>
  <c r="I12" i="272"/>
  <c r="AR12" i="272" s="1"/>
  <c r="N11" i="272"/>
  <c r="K11" i="272"/>
  <c r="I11" i="272"/>
  <c r="AO11" i="272" s="1"/>
  <c r="N10" i="272"/>
  <c r="K10" i="272"/>
  <c r="I10" i="272"/>
  <c r="AR10" i="272" s="1"/>
  <c r="N9" i="272"/>
  <c r="K9" i="272"/>
  <c r="I9" i="272"/>
  <c r="AG9" i="272" s="1"/>
  <c r="N8" i="272"/>
  <c r="K8" i="272"/>
  <c r="I8" i="272"/>
  <c r="AS8" i="272" s="1"/>
  <c r="N7" i="272"/>
  <c r="K7" i="272"/>
  <c r="I7" i="272"/>
  <c r="AP7" i="272" s="1"/>
  <c r="N6" i="272"/>
  <c r="J6" i="272"/>
  <c r="I6" i="272"/>
  <c r="AM6" i="272" s="1"/>
  <c r="A1" i="272"/>
  <c r="B5" i="272" s="1"/>
  <c r="BH21" i="271"/>
  <c r="BH20" i="271"/>
  <c r="BH9" i="271"/>
  <c r="BH8" i="271"/>
  <c r="AG51" i="271"/>
  <c r="AG52" i="271" s="1"/>
  <c r="AG53" i="271" s="1"/>
  <c r="AG54" i="271" s="1"/>
  <c r="AG55" i="271" s="1"/>
  <c r="AG56" i="271" s="1"/>
  <c r="AG57" i="271" s="1"/>
  <c r="AG58" i="271" s="1"/>
  <c r="AG59" i="271" s="1"/>
  <c r="AG50" i="271"/>
  <c r="AH42" i="271"/>
  <c r="AH43" i="271" s="1"/>
  <c r="AH44" i="271" s="1"/>
  <c r="AH45" i="271" s="1"/>
  <c r="AH46" i="271" s="1"/>
  <c r="AH47" i="271" s="1"/>
  <c r="AH48" i="271" s="1"/>
  <c r="AH49" i="271" s="1"/>
  <c r="AH50" i="271" s="1"/>
  <c r="AH51" i="271" s="1"/>
  <c r="AH52" i="271" s="1"/>
  <c r="AH53" i="271" s="1"/>
  <c r="AH54" i="271" s="1"/>
  <c r="AH55" i="271" s="1"/>
  <c r="AH56" i="271" s="1"/>
  <c r="AH57" i="271" s="1"/>
  <c r="AH58" i="271" s="1"/>
  <c r="AH59" i="271" s="1"/>
  <c r="AH41" i="271"/>
  <c r="AG41" i="271"/>
  <c r="AG42" i="271" s="1"/>
  <c r="AG43" i="271" s="1"/>
  <c r="AG44" i="271" s="1"/>
  <c r="AG45" i="271" s="1"/>
  <c r="AG46" i="271" s="1"/>
  <c r="AG47" i="271" s="1"/>
  <c r="AG48" i="271" s="1"/>
  <c r="AH40" i="271"/>
  <c r="AG40" i="271"/>
  <c r="AF40" i="271"/>
  <c r="AF41" i="271" s="1"/>
  <c r="AF42" i="271" s="1"/>
  <c r="AF43" i="271" s="1"/>
  <c r="AF44" i="271" s="1"/>
  <c r="AF45" i="271" s="1"/>
  <c r="AF46" i="271" s="1"/>
  <c r="AF47" i="271" s="1"/>
  <c r="AF48" i="271" s="1"/>
  <c r="AF49" i="271" s="1"/>
  <c r="AF50" i="271" s="1"/>
  <c r="AF51" i="271" s="1"/>
  <c r="AF52" i="271" s="1"/>
  <c r="AF53" i="271" s="1"/>
  <c r="AF54" i="271" s="1"/>
  <c r="AF55" i="271" s="1"/>
  <c r="AF56" i="271" s="1"/>
  <c r="AF57" i="271" s="1"/>
  <c r="AF58" i="271" s="1"/>
  <c r="AF59" i="271" s="1"/>
  <c r="AQ28" i="271"/>
  <c r="AR27" i="271"/>
  <c r="AQ27" i="271"/>
  <c r="AO27" i="271"/>
  <c r="AN27" i="271"/>
  <c r="AK27" i="271"/>
  <c r="AJ27" i="271"/>
  <c r="Q27" i="271"/>
  <c r="N26" i="271"/>
  <c r="I26" i="271"/>
  <c r="AN26" i="271" s="1"/>
  <c r="N25" i="271"/>
  <c r="K25" i="271"/>
  <c r="I25" i="271"/>
  <c r="AN25" i="271" s="1"/>
  <c r="N24" i="271"/>
  <c r="K24" i="271"/>
  <c r="I24" i="271"/>
  <c r="Y24" i="271" s="1"/>
  <c r="N23" i="271"/>
  <c r="K23" i="271"/>
  <c r="I23" i="271"/>
  <c r="AO23" i="271" s="1"/>
  <c r="N22" i="271"/>
  <c r="K22" i="271"/>
  <c r="I22" i="271"/>
  <c r="AO22" i="271" s="1"/>
  <c r="N21" i="271"/>
  <c r="K21" i="271"/>
  <c r="I21" i="271"/>
  <c r="AO21" i="271" s="1"/>
  <c r="N20" i="271"/>
  <c r="K20" i="271"/>
  <c r="I20" i="271"/>
  <c r="AP20" i="271" s="1"/>
  <c r="N19" i="271"/>
  <c r="K19" i="271"/>
  <c r="I19" i="271"/>
  <c r="AR19" i="271" s="1"/>
  <c r="N18" i="271"/>
  <c r="K18" i="271"/>
  <c r="I18" i="271"/>
  <c r="AO18" i="271" s="1"/>
  <c r="N17" i="271"/>
  <c r="K17" i="271"/>
  <c r="I17" i="271"/>
  <c r="AS17" i="271" s="1"/>
  <c r="N16" i="271"/>
  <c r="K16" i="271"/>
  <c r="I16" i="271"/>
  <c r="AS16" i="271" s="1"/>
  <c r="G16" i="271"/>
  <c r="N15" i="271"/>
  <c r="K15" i="271"/>
  <c r="I15" i="271"/>
  <c r="AE15" i="271" s="1"/>
  <c r="N14" i="271"/>
  <c r="K14" i="271"/>
  <c r="I14" i="271"/>
  <c r="AL14" i="271" s="1"/>
  <c r="N13" i="271"/>
  <c r="K13" i="271"/>
  <c r="I13" i="271"/>
  <c r="AI13" i="271" s="1"/>
  <c r="N12" i="271"/>
  <c r="K12" i="271"/>
  <c r="I12" i="271"/>
  <c r="AO12" i="271" s="1"/>
  <c r="N11" i="271"/>
  <c r="K11" i="271"/>
  <c r="I11" i="271"/>
  <c r="AK11" i="271" s="1"/>
  <c r="N10" i="271"/>
  <c r="K10" i="271"/>
  <c r="I10" i="271"/>
  <c r="AQ10" i="271" s="1"/>
  <c r="N9" i="271"/>
  <c r="K9" i="271"/>
  <c r="I9" i="271"/>
  <c r="P9" i="271" s="1"/>
  <c r="N8" i="271"/>
  <c r="K8" i="271"/>
  <c r="I8" i="271"/>
  <c r="AQ8" i="271" s="1"/>
  <c r="N7" i="271"/>
  <c r="K7" i="271"/>
  <c r="I7" i="271"/>
  <c r="AN7" i="271" s="1"/>
  <c r="N6" i="271"/>
  <c r="J6" i="271"/>
  <c r="I6" i="271"/>
  <c r="AS6" i="271" s="1"/>
  <c r="A1" i="271"/>
  <c r="B5" i="271" s="1"/>
  <c r="BH19" i="270"/>
  <c r="BD19" i="270"/>
  <c r="BH18" i="270"/>
  <c r="BD18" i="270"/>
  <c r="BH17" i="270"/>
  <c r="BD17" i="270"/>
  <c r="BH16" i="270"/>
  <c r="BD16" i="270"/>
  <c r="AG50" i="270"/>
  <c r="AG51" i="270" s="1"/>
  <c r="AG52" i="270" s="1"/>
  <c r="AG53" i="270" s="1"/>
  <c r="AG54" i="270" s="1"/>
  <c r="AG55" i="270" s="1"/>
  <c r="AG56" i="270" s="1"/>
  <c r="AG57" i="270" s="1"/>
  <c r="AG58" i="270" s="1"/>
  <c r="AG59" i="270" s="1"/>
  <c r="AF41" i="270"/>
  <c r="AF42" i="270" s="1"/>
  <c r="AF43" i="270" s="1"/>
  <c r="AF44" i="270" s="1"/>
  <c r="AF45" i="270" s="1"/>
  <c r="AF46" i="270" s="1"/>
  <c r="AF47" i="270" s="1"/>
  <c r="AF48" i="270" s="1"/>
  <c r="AF49" i="270" s="1"/>
  <c r="AF50" i="270" s="1"/>
  <c r="AF51" i="270" s="1"/>
  <c r="AF52" i="270" s="1"/>
  <c r="AF53" i="270" s="1"/>
  <c r="AF54" i="270" s="1"/>
  <c r="AF55" i="270" s="1"/>
  <c r="AF56" i="270" s="1"/>
  <c r="AF57" i="270" s="1"/>
  <c r="AF58" i="270" s="1"/>
  <c r="AF59" i="270" s="1"/>
  <c r="AH40" i="270"/>
  <c r="AH41" i="270" s="1"/>
  <c r="AH42" i="270" s="1"/>
  <c r="AH43" i="270" s="1"/>
  <c r="AH44" i="270" s="1"/>
  <c r="AH45" i="270" s="1"/>
  <c r="AH46" i="270" s="1"/>
  <c r="AH47" i="270" s="1"/>
  <c r="AH48" i="270" s="1"/>
  <c r="AH49" i="270" s="1"/>
  <c r="AH50" i="270" s="1"/>
  <c r="AH51" i="270" s="1"/>
  <c r="AH52" i="270" s="1"/>
  <c r="AH53" i="270" s="1"/>
  <c r="AH54" i="270" s="1"/>
  <c r="AH55" i="270" s="1"/>
  <c r="AH56" i="270" s="1"/>
  <c r="AH57" i="270" s="1"/>
  <c r="AH58" i="270" s="1"/>
  <c r="AH59" i="270" s="1"/>
  <c r="AG40" i="270"/>
  <c r="AG41" i="270" s="1"/>
  <c r="AG42" i="270" s="1"/>
  <c r="AG43" i="270" s="1"/>
  <c r="AG44" i="270" s="1"/>
  <c r="AG45" i="270" s="1"/>
  <c r="AG46" i="270" s="1"/>
  <c r="AG47" i="270" s="1"/>
  <c r="AG48" i="270" s="1"/>
  <c r="AF40" i="270"/>
  <c r="AQ28" i="270"/>
  <c r="AR27" i="270"/>
  <c r="AQ27" i="270"/>
  <c r="AO27" i="270"/>
  <c r="AN27" i="270"/>
  <c r="AK27" i="270"/>
  <c r="AJ27" i="270"/>
  <c r="Q27" i="270"/>
  <c r="N26" i="270"/>
  <c r="I26" i="270"/>
  <c r="AH26" i="270" s="1"/>
  <c r="N25" i="270"/>
  <c r="K25" i="270"/>
  <c r="I25" i="270"/>
  <c r="AR25" i="270" s="1"/>
  <c r="N24" i="270"/>
  <c r="K24" i="270"/>
  <c r="I24" i="270"/>
  <c r="AO24" i="270" s="1"/>
  <c r="N23" i="270"/>
  <c r="K23" i="270"/>
  <c r="I23" i="270"/>
  <c r="AO23" i="270" s="1"/>
  <c r="N22" i="270"/>
  <c r="K22" i="270"/>
  <c r="I22" i="270"/>
  <c r="AJ22" i="270" s="1"/>
  <c r="N21" i="270"/>
  <c r="K21" i="270"/>
  <c r="I21" i="270"/>
  <c r="AO21" i="270" s="1"/>
  <c r="N20" i="270"/>
  <c r="K20" i="270"/>
  <c r="I20" i="270"/>
  <c r="AO20" i="270" s="1"/>
  <c r="N19" i="270"/>
  <c r="K19" i="270"/>
  <c r="I19" i="270"/>
  <c r="AM19" i="270" s="1"/>
  <c r="N18" i="270"/>
  <c r="K18" i="270"/>
  <c r="I18" i="270"/>
  <c r="AM18" i="270" s="1"/>
  <c r="N17" i="270"/>
  <c r="K17" i="270"/>
  <c r="I17" i="270"/>
  <c r="AD17" i="270" s="1"/>
  <c r="N16" i="270"/>
  <c r="K16" i="270"/>
  <c r="I16" i="270"/>
  <c r="AL16" i="270" s="1"/>
  <c r="G16" i="270"/>
  <c r="N15" i="270"/>
  <c r="K15" i="270"/>
  <c r="I15" i="270"/>
  <c r="AS15" i="270" s="1"/>
  <c r="N14" i="270"/>
  <c r="K14" i="270"/>
  <c r="I14" i="270"/>
  <c r="AD14" i="270" s="1"/>
  <c r="N13" i="270"/>
  <c r="K13" i="270"/>
  <c r="I13" i="270"/>
  <c r="AM13" i="270" s="1"/>
  <c r="N12" i="270"/>
  <c r="K12" i="270"/>
  <c r="I12" i="270"/>
  <c r="AO12" i="270" s="1"/>
  <c r="N11" i="270"/>
  <c r="K11" i="270"/>
  <c r="I11" i="270"/>
  <c r="AQ11" i="270" s="1"/>
  <c r="N10" i="270"/>
  <c r="K10" i="270"/>
  <c r="I10" i="270"/>
  <c r="AQ10" i="270" s="1"/>
  <c r="N9" i="270"/>
  <c r="K9" i="270"/>
  <c r="I9" i="270"/>
  <c r="AQ9" i="270" s="1"/>
  <c r="N8" i="270"/>
  <c r="K8" i="270"/>
  <c r="I8" i="270"/>
  <c r="AM8" i="270" s="1"/>
  <c r="N7" i="270"/>
  <c r="K7" i="270"/>
  <c r="I7" i="270"/>
  <c r="AR7" i="270" s="1"/>
  <c r="N6" i="270"/>
  <c r="J6" i="270"/>
  <c r="I6" i="270"/>
  <c r="AO6" i="270" s="1"/>
  <c r="A1" i="270"/>
  <c r="B5" i="270" s="1"/>
  <c r="BH37" i="269"/>
  <c r="BH36" i="269"/>
  <c r="BH21" i="269"/>
  <c r="BH20" i="269"/>
  <c r="BH19" i="269"/>
  <c r="BH18" i="269"/>
  <c r="AG54" i="269"/>
  <c r="AG55" i="269" s="1"/>
  <c r="AG56" i="269" s="1"/>
  <c r="AG57" i="269" s="1"/>
  <c r="AG58" i="269" s="1"/>
  <c r="AG59" i="269" s="1"/>
  <c r="AG50" i="269"/>
  <c r="AG51" i="269" s="1"/>
  <c r="AG52" i="269" s="1"/>
  <c r="AG53" i="269" s="1"/>
  <c r="AF41" i="269"/>
  <c r="AF42" i="269" s="1"/>
  <c r="AF43" i="269" s="1"/>
  <c r="AF44" i="269" s="1"/>
  <c r="AF45" i="269" s="1"/>
  <c r="AF46" i="269" s="1"/>
  <c r="AF47" i="269" s="1"/>
  <c r="AF48" i="269" s="1"/>
  <c r="AF49" i="269" s="1"/>
  <c r="AF50" i="269" s="1"/>
  <c r="AF51" i="269" s="1"/>
  <c r="AF52" i="269" s="1"/>
  <c r="AF53" i="269" s="1"/>
  <c r="AF54" i="269" s="1"/>
  <c r="AF55" i="269" s="1"/>
  <c r="AF56" i="269" s="1"/>
  <c r="AF57" i="269" s="1"/>
  <c r="AF58" i="269" s="1"/>
  <c r="AF59" i="269" s="1"/>
  <c r="AH40" i="269"/>
  <c r="AH41" i="269" s="1"/>
  <c r="AH42" i="269" s="1"/>
  <c r="AH43" i="269" s="1"/>
  <c r="AH44" i="269" s="1"/>
  <c r="AH45" i="269" s="1"/>
  <c r="AH46" i="269" s="1"/>
  <c r="AH47" i="269" s="1"/>
  <c r="AH48" i="269" s="1"/>
  <c r="AH49" i="269" s="1"/>
  <c r="AH50" i="269" s="1"/>
  <c r="AH51" i="269" s="1"/>
  <c r="AH52" i="269" s="1"/>
  <c r="AH53" i="269" s="1"/>
  <c r="AH54" i="269" s="1"/>
  <c r="AH55" i="269" s="1"/>
  <c r="AH56" i="269" s="1"/>
  <c r="AH57" i="269" s="1"/>
  <c r="AH58" i="269" s="1"/>
  <c r="AH59" i="269" s="1"/>
  <c r="AG40" i="269"/>
  <c r="AG41" i="269" s="1"/>
  <c r="AG42" i="269" s="1"/>
  <c r="AG43" i="269" s="1"/>
  <c r="AG44" i="269" s="1"/>
  <c r="AG45" i="269" s="1"/>
  <c r="AG46" i="269" s="1"/>
  <c r="AG47" i="269" s="1"/>
  <c r="AG48" i="269" s="1"/>
  <c r="AF40" i="269"/>
  <c r="AQ28" i="269"/>
  <c r="AR27" i="269"/>
  <c r="AQ27" i="269"/>
  <c r="AO27" i="269"/>
  <c r="AN27" i="269"/>
  <c r="AK27" i="269"/>
  <c r="AJ27" i="269"/>
  <c r="Q27" i="269"/>
  <c r="N26" i="269"/>
  <c r="I26" i="269"/>
  <c r="AA26" i="269" s="1"/>
  <c r="N25" i="269"/>
  <c r="K25" i="269"/>
  <c r="I25" i="269"/>
  <c r="AO25" i="269" s="1"/>
  <c r="N24" i="269"/>
  <c r="K24" i="269"/>
  <c r="I24" i="269"/>
  <c r="AS24" i="269" s="1"/>
  <c r="N23" i="269"/>
  <c r="K23" i="269"/>
  <c r="I23" i="269"/>
  <c r="AP23" i="269" s="1"/>
  <c r="N22" i="269"/>
  <c r="K22" i="269"/>
  <c r="I22" i="269"/>
  <c r="AP22" i="269" s="1"/>
  <c r="N21" i="269"/>
  <c r="K21" i="269"/>
  <c r="I21" i="269"/>
  <c r="AR21" i="269" s="1"/>
  <c r="N20" i="269"/>
  <c r="K20" i="269"/>
  <c r="I20" i="269"/>
  <c r="AO20" i="269" s="1"/>
  <c r="N19" i="269"/>
  <c r="K19" i="269"/>
  <c r="I19" i="269"/>
  <c r="AR19" i="269" s="1"/>
  <c r="N18" i="269"/>
  <c r="K18" i="269"/>
  <c r="I18" i="269"/>
  <c r="N17" i="269"/>
  <c r="K17" i="269"/>
  <c r="I17" i="269"/>
  <c r="AO17" i="269" s="1"/>
  <c r="N16" i="269"/>
  <c r="K16" i="269"/>
  <c r="I16" i="269"/>
  <c r="AO16" i="269" s="1"/>
  <c r="G16" i="269"/>
  <c r="N15" i="269"/>
  <c r="K15" i="269"/>
  <c r="I15" i="269"/>
  <c r="AP15" i="269" s="1"/>
  <c r="N14" i="269"/>
  <c r="K14" i="269"/>
  <c r="I14" i="269"/>
  <c r="AR14" i="269" s="1"/>
  <c r="N13" i="269"/>
  <c r="K13" i="269"/>
  <c r="I13" i="269"/>
  <c r="AP13" i="269" s="1"/>
  <c r="N12" i="269"/>
  <c r="K12" i="269"/>
  <c r="I12" i="269"/>
  <c r="AL12" i="269" s="1"/>
  <c r="N11" i="269"/>
  <c r="K11" i="269"/>
  <c r="I11" i="269"/>
  <c r="AS11" i="269" s="1"/>
  <c r="N10" i="269"/>
  <c r="K10" i="269"/>
  <c r="I10" i="269"/>
  <c r="AP10" i="269" s="1"/>
  <c r="N9" i="269"/>
  <c r="K9" i="269"/>
  <c r="I9" i="269"/>
  <c r="AN9" i="269" s="1"/>
  <c r="N8" i="269"/>
  <c r="K8" i="269"/>
  <c r="I8" i="269"/>
  <c r="AM8" i="269" s="1"/>
  <c r="N7" i="269"/>
  <c r="K7" i="269"/>
  <c r="I7" i="269"/>
  <c r="AR7" i="269" s="1"/>
  <c r="N6" i="269"/>
  <c r="J6" i="269"/>
  <c r="I6" i="269"/>
  <c r="AO6" i="269" s="1"/>
  <c r="A1" i="269"/>
  <c r="B5" i="269" s="1"/>
  <c r="BD17" i="268"/>
  <c r="BH16" i="268"/>
  <c r="BD16" i="268"/>
  <c r="BH15" i="268"/>
  <c r="BH13" i="268"/>
  <c r="BH12" i="268"/>
  <c r="AG52" i="268"/>
  <c r="AG53" i="268" s="1"/>
  <c r="AG54" i="268" s="1"/>
  <c r="AG55" i="268" s="1"/>
  <c r="AG56" i="268" s="1"/>
  <c r="AG57" i="268" s="1"/>
  <c r="AG58" i="268" s="1"/>
  <c r="AG59" i="268" s="1"/>
  <c r="AG50" i="268"/>
  <c r="AG51" i="268" s="1"/>
  <c r="AF44" i="268"/>
  <c r="AF45" i="268" s="1"/>
  <c r="AF46" i="268" s="1"/>
  <c r="AF47" i="268" s="1"/>
  <c r="AF48" i="268" s="1"/>
  <c r="AF49" i="268" s="1"/>
  <c r="AF50" i="268" s="1"/>
  <c r="AF51" i="268" s="1"/>
  <c r="AF52" i="268" s="1"/>
  <c r="AF53" i="268" s="1"/>
  <c r="AF54" i="268" s="1"/>
  <c r="AF55" i="268" s="1"/>
  <c r="AF56" i="268" s="1"/>
  <c r="AF57" i="268" s="1"/>
  <c r="AF58" i="268" s="1"/>
  <c r="AF59" i="268" s="1"/>
  <c r="AH41" i="268"/>
  <c r="AH42" i="268" s="1"/>
  <c r="AH43" i="268" s="1"/>
  <c r="AH44" i="268" s="1"/>
  <c r="AH45" i="268" s="1"/>
  <c r="AH46" i="268" s="1"/>
  <c r="AH47" i="268" s="1"/>
  <c r="AH48" i="268" s="1"/>
  <c r="AH49" i="268" s="1"/>
  <c r="AH50" i="268" s="1"/>
  <c r="AH51" i="268" s="1"/>
  <c r="AH52" i="268" s="1"/>
  <c r="AH53" i="268" s="1"/>
  <c r="AH54" i="268" s="1"/>
  <c r="AH55" i="268" s="1"/>
  <c r="AH56" i="268" s="1"/>
  <c r="AH57" i="268" s="1"/>
  <c r="AH58" i="268" s="1"/>
  <c r="AH59" i="268" s="1"/>
  <c r="AG41" i="268"/>
  <c r="AG42" i="268" s="1"/>
  <c r="AG43" i="268" s="1"/>
  <c r="AG44" i="268" s="1"/>
  <c r="AG45" i="268" s="1"/>
  <c r="AG46" i="268" s="1"/>
  <c r="AG47" i="268" s="1"/>
  <c r="AG48" i="268" s="1"/>
  <c r="AH40" i="268"/>
  <c r="AG40" i="268"/>
  <c r="AF40" i="268"/>
  <c r="AF41" i="268" s="1"/>
  <c r="AF42" i="268" s="1"/>
  <c r="AF43" i="268" s="1"/>
  <c r="AQ28" i="268"/>
  <c r="AR27" i="268"/>
  <c r="AQ27" i="268"/>
  <c r="AO27" i="268"/>
  <c r="AN27" i="268"/>
  <c r="AK27" i="268"/>
  <c r="AJ27" i="268"/>
  <c r="Q27" i="268"/>
  <c r="N26" i="268"/>
  <c r="I26" i="268"/>
  <c r="AN26" i="268" s="1"/>
  <c r="N25" i="268"/>
  <c r="K25" i="268"/>
  <c r="I25" i="268"/>
  <c r="AP25" i="268" s="1"/>
  <c r="N24" i="268"/>
  <c r="K24" i="268"/>
  <c r="I24" i="268"/>
  <c r="AO24" i="268" s="1"/>
  <c r="N23" i="268"/>
  <c r="K23" i="268"/>
  <c r="I23" i="268"/>
  <c r="AQ23" i="268" s="1"/>
  <c r="N22" i="268"/>
  <c r="K22" i="268"/>
  <c r="I22" i="268"/>
  <c r="AO22" i="268" s="1"/>
  <c r="N21" i="268"/>
  <c r="K21" i="268"/>
  <c r="I21" i="268"/>
  <c r="AS21" i="268" s="1"/>
  <c r="N20" i="268"/>
  <c r="K20" i="268"/>
  <c r="I20" i="268"/>
  <c r="AO20" i="268" s="1"/>
  <c r="N19" i="268"/>
  <c r="K19" i="268"/>
  <c r="I19" i="268"/>
  <c r="AO19" i="268" s="1"/>
  <c r="N18" i="268"/>
  <c r="K18" i="268"/>
  <c r="I18" i="268"/>
  <c r="AO18" i="268" s="1"/>
  <c r="N17" i="268"/>
  <c r="K17" i="268"/>
  <c r="I17" i="268"/>
  <c r="AR17" i="268" s="1"/>
  <c r="N16" i="268"/>
  <c r="K16" i="268"/>
  <c r="I16" i="268"/>
  <c r="AO16" i="268" s="1"/>
  <c r="G16" i="268"/>
  <c r="N15" i="268"/>
  <c r="K15" i="268"/>
  <c r="I15" i="268"/>
  <c r="AO15" i="268" s="1"/>
  <c r="N14" i="268"/>
  <c r="K14" i="268"/>
  <c r="I14" i="268"/>
  <c r="N13" i="268"/>
  <c r="K13" i="268"/>
  <c r="I13" i="268"/>
  <c r="AM13" i="268" s="1"/>
  <c r="N12" i="268"/>
  <c r="K12" i="268"/>
  <c r="I12" i="268"/>
  <c r="AP12" i="268" s="1"/>
  <c r="N11" i="268"/>
  <c r="K11" i="268"/>
  <c r="I11" i="268"/>
  <c r="AG11" i="268" s="1"/>
  <c r="N10" i="268"/>
  <c r="K10" i="268"/>
  <c r="I10" i="268"/>
  <c r="AP10" i="268" s="1"/>
  <c r="N9" i="268"/>
  <c r="K9" i="268"/>
  <c r="I9" i="268"/>
  <c r="AK9" i="268" s="1"/>
  <c r="N8" i="268"/>
  <c r="K8" i="268"/>
  <c r="I8" i="268"/>
  <c r="AR8" i="268" s="1"/>
  <c r="N7" i="268"/>
  <c r="K7" i="268"/>
  <c r="I7" i="268"/>
  <c r="AQ7" i="268" s="1"/>
  <c r="N6" i="268"/>
  <c r="J6" i="268"/>
  <c r="I6" i="268"/>
  <c r="AN6" i="268" s="1"/>
  <c r="A1" i="268"/>
  <c r="B5" i="268" s="1"/>
  <c r="BH19" i="267"/>
  <c r="BD19" i="267"/>
  <c r="BH18" i="267"/>
  <c r="BD18" i="267"/>
  <c r="BH15" i="267"/>
  <c r="BH14" i="267"/>
  <c r="AG50" i="267"/>
  <c r="AG51" i="267" s="1"/>
  <c r="AG52" i="267" s="1"/>
  <c r="AG53" i="267" s="1"/>
  <c r="AG54" i="267" s="1"/>
  <c r="AG55" i="267" s="1"/>
  <c r="AG56" i="267" s="1"/>
  <c r="AG57" i="267" s="1"/>
  <c r="AG58" i="267" s="1"/>
  <c r="AG59" i="267" s="1"/>
  <c r="AG46" i="267"/>
  <c r="AG47" i="267" s="1"/>
  <c r="AG48" i="267" s="1"/>
  <c r="AF41" i="267"/>
  <c r="AF42" i="267" s="1"/>
  <c r="AF43" i="267" s="1"/>
  <c r="AF44" i="267" s="1"/>
  <c r="AF45" i="267" s="1"/>
  <c r="AF46" i="267" s="1"/>
  <c r="AF47" i="267" s="1"/>
  <c r="AF48" i="267" s="1"/>
  <c r="AF49" i="267" s="1"/>
  <c r="AF50" i="267" s="1"/>
  <c r="AF51" i="267" s="1"/>
  <c r="AF52" i="267" s="1"/>
  <c r="AF53" i="267" s="1"/>
  <c r="AF54" i="267" s="1"/>
  <c r="AF55" i="267" s="1"/>
  <c r="AF56" i="267" s="1"/>
  <c r="AF57" i="267" s="1"/>
  <c r="AF58" i="267" s="1"/>
  <c r="AF59" i="267" s="1"/>
  <c r="AH40" i="267"/>
  <c r="AH41" i="267" s="1"/>
  <c r="AH42" i="267" s="1"/>
  <c r="AH43" i="267" s="1"/>
  <c r="AH44" i="267" s="1"/>
  <c r="AH45" i="267" s="1"/>
  <c r="AH46" i="267" s="1"/>
  <c r="AH47" i="267" s="1"/>
  <c r="AH48" i="267" s="1"/>
  <c r="AH49" i="267" s="1"/>
  <c r="AH50" i="267" s="1"/>
  <c r="AH51" i="267" s="1"/>
  <c r="AH52" i="267" s="1"/>
  <c r="AH53" i="267" s="1"/>
  <c r="AH54" i="267" s="1"/>
  <c r="AH55" i="267" s="1"/>
  <c r="AH56" i="267" s="1"/>
  <c r="AH57" i="267" s="1"/>
  <c r="AH58" i="267" s="1"/>
  <c r="AH59" i="267" s="1"/>
  <c r="AG40" i="267"/>
  <c r="AG41" i="267" s="1"/>
  <c r="AG42" i="267" s="1"/>
  <c r="AG43" i="267" s="1"/>
  <c r="AG44" i="267" s="1"/>
  <c r="AG45" i="267" s="1"/>
  <c r="AF40" i="267"/>
  <c r="AQ28" i="267"/>
  <c r="AR27" i="267"/>
  <c r="AQ27" i="267"/>
  <c r="AO27" i="267"/>
  <c r="AN27" i="267"/>
  <c r="AK27" i="267"/>
  <c r="AJ27" i="267"/>
  <c r="Q27" i="267"/>
  <c r="N26" i="267"/>
  <c r="I26" i="267"/>
  <c r="AM26" i="267" s="1"/>
  <c r="N25" i="267"/>
  <c r="K25" i="267"/>
  <c r="I25" i="267"/>
  <c r="AO25" i="267" s="1"/>
  <c r="N24" i="267"/>
  <c r="K24" i="267"/>
  <c r="I24" i="267"/>
  <c r="AO24" i="267" s="1"/>
  <c r="N23" i="267"/>
  <c r="K23" i="267"/>
  <c r="I23" i="267"/>
  <c r="AO23" i="267" s="1"/>
  <c r="N22" i="267"/>
  <c r="K22" i="267"/>
  <c r="I22" i="267"/>
  <c r="AQ22" i="267" s="1"/>
  <c r="N21" i="267"/>
  <c r="K21" i="267"/>
  <c r="I21" i="267"/>
  <c r="N20" i="267"/>
  <c r="K20" i="267"/>
  <c r="I20" i="267"/>
  <c r="AS20" i="267" s="1"/>
  <c r="N19" i="267"/>
  <c r="K19" i="267"/>
  <c r="I19" i="267"/>
  <c r="AO19" i="267" s="1"/>
  <c r="N18" i="267"/>
  <c r="K18" i="267"/>
  <c r="I18" i="267"/>
  <c r="AR18" i="267" s="1"/>
  <c r="N17" i="267"/>
  <c r="K17" i="267"/>
  <c r="I17" i="267"/>
  <c r="AS17" i="267" s="1"/>
  <c r="N16" i="267"/>
  <c r="K16" i="267"/>
  <c r="I16" i="267"/>
  <c r="AO16" i="267" s="1"/>
  <c r="G16" i="267"/>
  <c r="N15" i="267"/>
  <c r="K15" i="267"/>
  <c r="I15" i="267"/>
  <c r="AO15" i="267" s="1"/>
  <c r="N14" i="267"/>
  <c r="K14" i="267"/>
  <c r="I14" i="267"/>
  <c r="AQ14" i="267" s="1"/>
  <c r="N13" i="267"/>
  <c r="K13" i="267"/>
  <c r="I13" i="267"/>
  <c r="AO13" i="267" s="1"/>
  <c r="N12" i="267"/>
  <c r="K12" i="267"/>
  <c r="I12" i="267"/>
  <c r="AM12" i="267" s="1"/>
  <c r="N11" i="267"/>
  <c r="K11" i="267"/>
  <c r="I11" i="267"/>
  <c r="AG11" i="267" s="1"/>
  <c r="N10" i="267"/>
  <c r="K10" i="267"/>
  <c r="I10" i="267"/>
  <c r="N9" i="267"/>
  <c r="K9" i="267"/>
  <c r="I9" i="267"/>
  <c r="AR9" i="267" s="1"/>
  <c r="N8" i="267"/>
  <c r="K8" i="267"/>
  <c r="I8" i="267"/>
  <c r="AK8" i="267" s="1"/>
  <c r="N7" i="267"/>
  <c r="K7" i="267"/>
  <c r="I7" i="267"/>
  <c r="AQ7" i="267" s="1"/>
  <c r="N6" i="267"/>
  <c r="J6" i="267"/>
  <c r="I6" i="267"/>
  <c r="AO6" i="267" s="1"/>
  <c r="A1" i="267"/>
  <c r="B5" i="267" s="1"/>
  <c r="BH33" i="266"/>
  <c r="BH32" i="266"/>
  <c r="BH17" i="266"/>
  <c r="BH16" i="266"/>
  <c r="AG57" i="266"/>
  <c r="AG58" i="266" s="1"/>
  <c r="AG59" i="266" s="1"/>
  <c r="AG50" i="266"/>
  <c r="AG51" i="266" s="1"/>
  <c r="AG52" i="266" s="1"/>
  <c r="AG53" i="266" s="1"/>
  <c r="AG54" i="266" s="1"/>
  <c r="AG55" i="266" s="1"/>
  <c r="AG56" i="266" s="1"/>
  <c r="AF41" i="266"/>
  <c r="AF42" i="266" s="1"/>
  <c r="AF43" i="266" s="1"/>
  <c r="AF44" i="266" s="1"/>
  <c r="AF45" i="266" s="1"/>
  <c r="AF46" i="266" s="1"/>
  <c r="AF47" i="266" s="1"/>
  <c r="AF48" i="266" s="1"/>
  <c r="AF49" i="266" s="1"/>
  <c r="AF50" i="266" s="1"/>
  <c r="AF51" i="266" s="1"/>
  <c r="AF52" i="266" s="1"/>
  <c r="AF53" i="266" s="1"/>
  <c r="AF54" i="266" s="1"/>
  <c r="AF55" i="266" s="1"/>
  <c r="AF56" i="266" s="1"/>
  <c r="AF57" i="266" s="1"/>
  <c r="AF58" i="266" s="1"/>
  <c r="AF59" i="266" s="1"/>
  <c r="AH40" i="266"/>
  <c r="AH41" i="266" s="1"/>
  <c r="AH42" i="266" s="1"/>
  <c r="AH43" i="266" s="1"/>
  <c r="AH44" i="266" s="1"/>
  <c r="AH45" i="266" s="1"/>
  <c r="AH46" i="266" s="1"/>
  <c r="AH47" i="266" s="1"/>
  <c r="AH48" i="266" s="1"/>
  <c r="AH49" i="266" s="1"/>
  <c r="AH50" i="266" s="1"/>
  <c r="AH51" i="266" s="1"/>
  <c r="AH52" i="266" s="1"/>
  <c r="AH53" i="266" s="1"/>
  <c r="AH54" i="266" s="1"/>
  <c r="AH55" i="266" s="1"/>
  <c r="AH56" i="266" s="1"/>
  <c r="AH57" i="266" s="1"/>
  <c r="AH58" i="266" s="1"/>
  <c r="AH59" i="266" s="1"/>
  <c r="AG40" i="266"/>
  <c r="AG41" i="266" s="1"/>
  <c r="AG42" i="266" s="1"/>
  <c r="AG43" i="266" s="1"/>
  <c r="AG44" i="266" s="1"/>
  <c r="AG45" i="266" s="1"/>
  <c r="AG46" i="266" s="1"/>
  <c r="AG47" i="266" s="1"/>
  <c r="AG48" i="266" s="1"/>
  <c r="AF40" i="266"/>
  <c r="AQ28" i="266"/>
  <c r="AR27" i="266"/>
  <c r="AQ27" i="266"/>
  <c r="AO27" i="266"/>
  <c r="AN27" i="266"/>
  <c r="AK27" i="266"/>
  <c r="AJ27" i="266"/>
  <c r="Q27" i="266"/>
  <c r="N26" i="266"/>
  <c r="I26" i="266"/>
  <c r="AN26" i="266" s="1"/>
  <c r="N25" i="266"/>
  <c r="K25" i="266"/>
  <c r="I25" i="266"/>
  <c r="AP25" i="266" s="1"/>
  <c r="N24" i="266"/>
  <c r="K24" i="266"/>
  <c r="I24" i="266"/>
  <c r="AR24" i="266" s="1"/>
  <c r="N23" i="266"/>
  <c r="K23" i="266"/>
  <c r="I23" i="266"/>
  <c r="AO23" i="266" s="1"/>
  <c r="N22" i="266"/>
  <c r="K22" i="266"/>
  <c r="I22" i="266"/>
  <c r="AF22" i="266" s="1"/>
  <c r="N21" i="266"/>
  <c r="K21" i="266"/>
  <c r="I21" i="266"/>
  <c r="AO21" i="266" s="1"/>
  <c r="N20" i="266"/>
  <c r="K20" i="266"/>
  <c r="I20" i="266"/>
  <c r="AQ20" i="266" s="1"/>
  <c r="N19" i="266"/>
  <c r="K19" i="266"/>
  <c r="I19" i="266"/>
  <c r="AD19" i="266" s="1"/>
  <c r="N18" i="266"/>
  <c r="K18" i="266"/>
  <c r="I18" i="266"/>
  <c r="AG18" i="266" s="1"/>
  <c r="N17" i="266"/>
  <c r="K17" i="266"/>
  <c r="I17" i="266"/>
  <c r="AG17" i="266" s="1"/>
  <c r="N16" i="266"/>
  <c r="K16" i="266"/>
  <c r="I16" i="266"/>
  <c r="AR16" i="266" s="1"/>
  <c r="G16" i="266"/>
  <c r="N15" i="266"/>
  <c r="K15" i="266"/>
  <c r="I15" i="266"/>
  <c r="AS15" i="266" s="1"/>
  <c r="N14" i="266"/>
  <c r="K14" i="266"/>
  <c r="I14" i="266"/>
  <c r="AQ14" i="266" s="1"/>
  <c r="N13" i="266"/>
  <c r="K13" i="266"/>
  <c r="I13" i="266"/>
  <c r="AR13" i="266" s="1"/>
  <c r="N12" i="266"/>
  <c r="K12" i="266"/>
  <c r="I12" i="266"/>
  <c r="AQ12" i="266" s="1"/>
  <c r="N11" i="266"/>
  <c r="K11" i="266"/>
  <c r="I11" i="266"/>
  <c r="AO11" i="266" s="1"/>
  <c r="N10" i="266"/>
  <c r="K10" i="266"/>
  <c r="I10" i="266"/>
  <c r="AM10" i="266" s="1"/>
  <c r="N9" i="266"/>
  <c r="K9" i="266"/>
  <c r="I9" i="266"/>
  <c r="AE9" i="266" s="1"/>
  <c r="N8" i="266"/>
  <c r="K8" i="266"/>
  <c r="I8" i="266"/>
  <c r="AP8" i="266" s="1"/>
  <c r="N7" i="266"/>
  <c r="K7" i="266"/>
  <c r="I7" i="266"/>
  <c r="AS7" i="266" s="1"/>
  <c r="N6" i="266"/>
  <c r="J6" i="266"/>
  <c r="I6" i="266"/>
  <c r="AP6" i="266" s="1"/>
  <c r="A1" i="266"/>
  <c r="B5" i="266" s="1"/>
  <c r="BH13" i="265"/>
  <c r="BH12" i="265"/>
  <c r="AG50" i="265"/>
  <c r="AG51" i="265" s="1"/>
  <c r="AG52" i="265" s="1"/>
  <c r="AG53" i="265" s="1"/>
  <c r="AG54" i="265" s="1"/>
  <c r="AG55" i="265" s="1"/>
  <c r="AG56" i="265" s="1"/>
  <c r="AG57" i="265" s="1"/>
  <c r="AG58" i="265" s="1"/>
  <c r="AG59" i="265" s="1"/>
  <c r="AH40" i="265"/>
  <c r="AH41" i="265" s="1"/>
  <c r="AH42" i="265" s="1"/>
  <c r="AH43" i="265" s="1"/>
  <c r="AH44" i="265" s="1"/>
  <c r="AH45" i="265" s="1"/>
  <c r="AH46" i="265" s="1"/>
  <c r="AH47" i="265" s="1"/>
  <c r="AH48" i="265" s="1"/>
  <c r="AH49" i="265" s="1"/>
  <c r="AH50" i="265" s="1"/>
  <c r="AH51" i="265" s="1"/>
  <c r="AH52" i="265" s="1"/>
  <c r="AH53" i="265" s="1"/>
  <c r="AH54" i="265" s="1"/>
  <c r="AH55" i="265" s="1"/>
  <c r="AH56" i="265" s="1"/>
  <c r="AH57" i="265" s="1"/>
  <c r="AH58" i="265" s="1"/>
  <c r="AH59" i="265" s="1"/>
  <c r="AG40" i="265"/>
  <c r="AG41" i="265" s="1"/>
  <c r="AG42" i="265" s="1"/>
  <c r="AG43" i="265" s="1"/>
  <c r="AG44" i="265" s="1"/>
  <c r="AG45" i="265" s="1"/>
  <c r="AG46" i="265" s="1"/>
  <c r="AG47" i="265" s="1"/>
  <c r="AG48" i="265" s="1"/>
  <c r="AF40" i="265"/>
  <c r="AF41" i="265" s="1"/>
  <c r="AF42" i="265" s="1"/>
  <c r="AF43" i="265" s="1"/>
  <c r="AF44" i="265" s="1"/>
  <c r="AF45" i="265" s="1"/>
  <c r="AF46" i="265" s="1"/>
  <c r="AF47" i="265" s="1"/>
  <c r="AF48" i="265" s="1"/>
  <c r="AF49" i="265" s="1"/>
  <c r="AF50" i="265" s="1"/>
  <c r="AF51" i="265" s="1"/>
  <c r="AF52" i="265" s="1"/>
  <c r="AF53" i="265" s="1"/>
  <c r="AF54" i="265" s="1"/>
  <c r="AF55" i="265" s="1"/>
  <c r="AF56" i="265" s="1"/>
  <c r="AF57" i="265" s="1"/>
  <c r="AF58" i="265" s="1"/>
  <c r="AF59" i="265" s="1"/>
  <c r="AQ28" i="265"/>
  <c r="AR27" i="265"/>
  <c r="AQ27" i="265"/>
  <c r="AO27" i="265"/>
  <c r="AN27" i="265"/>
  <c r="AK27" i="265"/>
  <c r="AJ27" i="265"/>
  <c r="Q27" i="265"/>
  <c r="N26" i="265"/>
  <c r="I26" i="265"/>
  <c r="AM26" i="265" s="1"/>
  <c r="N25" i="265"/>
  <c r="K25" i="265"/>
  <c r="I25" i="265"/>
  <c r="AO25" i="265" s="1"/>
  <c r="N24" i="265"/>
  <c r="K24" i="265"/>
  <c r="I24" i="265"/>
  <c r="AR24" i="265" s="1"/>
  <c r="N23" i="265"/>
  <c r="K23" i="265"/>
  <c r="I23" i="265"/>
  <c r="AO23" i="265" s="1"/>
  <c r="N22" i="265"/>
  <c r="K22" i="265"/>
  <c r="I22" i="265"/>
  <c r="AO22" i="265" s="1"/>
  <c r="N21" i="265"/>
  <c r="K21" i="265"/>
  <c r="I21" i="265"/>
  <c r="AO21" i="265" s="1"/>
  <c r="N20" i="265"/>
  <c r="K20" i="265"/>
  <c r="I20" i="265"/>
  <c r="AB20" i="265" s="1"/>
  <c r="N19" i="265"/>
  <c r="K19" i="265"/>
  <c r="I19" i="265"/>
  <c r="AP19" i="265" s="1"/>
  <c r="N18" i="265"/>
  <c r="K18" i="265"/>
  <c r="I18" i="265"/>
  <c r="AR18" i="265" s="1"/>
  <c r="N17" i="265"/>
  <c r="K17" i="265"/>
  <c r="I17" i="265"/>
  <c r="AR17" i="265" s="1"/>
  <c r="L17" i="265" s="1"/>
  <c r="U17" i="265" s="1"/>
  <c r="N16" i="265"/>
  <c r="K16" i="265"/>
  <c r="I16" i="265"/>
  <c r="AQ16" i="265" s="1"/>
  <c r="G16" i="265"/>
  <c r="N15" i="265"/>
  <c r="K15" i="265"/>
  <c r="I15" i="265"/>
  <c r="AG15" i="265" s="1"/>
  <c r="N14" i="265"/>
  <c r="K14" i="265"/>
  <c r="I14" i="265"/>
  <c r="AQ14" i="265" s="1"/>
  <c r="N13" i="265"/>
  <c r="K13" i="265"/>
  <c r="I13" i="265"/>
  <c r="AG13" i="265" s="1"/>
  <c r="N12" i="265"/>
  <c r="K12" i="265"/>
  <c r="I12" i="265"/>
  <c r="AL12" i="265" s="1"/>
  <c r="N11" i="265"/>
  <c r="K11" i="265"/>
  <c r="I11" i="265"/>
  <c r="AP11" i="265" s="1"/>
  <c r="N10" i="265"/>
  <c r="K10" i="265"/>
  <c r="I10" i="265"/>
  <c r="AH10" i="265" s="1"/>
  <c r="N9" i="265"/>
  <c r="K9" i="265"/>
  <c r="I9" i="265"/>
  <c r="AN9" i="265" s="1"/>
  <c r="N8" i="265"/>
  <c r="K8" i="265"/>
  <c r="I8" i="265"/>
  <c r="AL8" i="265" s="1"/>
  <c r="N7" i="265"/>
  <c r="K7" i="265"/>
  <c r="I7" i="265"/>
  <c r="AL7" i="265" s="1"/>
  <c r="N6" i="265"/>
  <c r="J6" i="265"/>
  <c r="I6" i="265"/>
  <c r="AQ6" i="265" s="1"/>
  <c r="A1" i="265"/>
  <c r="B5" i="265" s="1"/>
  <c r="BH19" i="264"/>
  <c r="BH18" i="264"/>
  <c r="BH17" i="264"/>
  <c r="BH16" i="264"/>
  <c r="AG51" i="264"/>
  <c r="AG52" i="264" s="1"/>
  <c r="AG53" i="264" s="1"/>
  <c r="AG54" i="264" s="1"/>
  <c r="AG55" i="264" s="1"/>
  <c r="AG56" i="264" s="1"/>
  <c r="AG57" i="264" s="1"/>
  <c r="AG58" i="264" s="1"/>
  <c r="AG59" i="264" s="1"/>
  <c r="AG50" i="264"/>
  <c r="AF41" i="264"/>
  <c r="AF42" i="264" s="1"/>
  <c r="AF43" i="264" s="1"/>
  <c r="AF44" i="264" s="1"/>
  <c r="AF45" i="264" s="1"/>
  <c r="AF46" i="264" s="1"/>
  <c r="AF47" i="264" s="1"/>
  <c r="AF48" i="264" s="1"/>
  <c r="AF49" i="264" s="1"/>
  <c r="AF50" i="264" s="1"/>
  <c r="AF51" i="264" s="1"/>
  <c r="AF52" i="264" s="1"/>
  <c r="AF53" i="264" s="1"/>
  <c r="AF54" i="264" s="1"/>
  <c r="AF55" i="264" s="1"/>
  <c r="AF56" i="264" s="1"/>
  <c r="AF57" i="264" s="1"/>
  <c r="AF58" i="264" s="1"/>
  <c r="AF59" i="264" s="1"/>
  <c r="AH40" i="264"/>
  <c r="AH41" i="264" s="1"/>
  <c r="AH42" i="264" s="1"/>
  <c r="AH43" i="264" s="1"/>
  <c r="AH44" i="264" s="1"/>
  <c r="AH45" i="264" s="1"/>
  <c r="AH46" i="264" s="1"/>
  <c r="AH47" i="264" s="1"/>
  <c r="AH48" i="264" s="1"/>
  <c r="AH49" i="264" s="1"/>
  <c r="AH50" i="264" s="1"/>
  <c r="AH51" i="264" s="1"/>
  <c r="AH52" i="264" s="1"/>
  <c r="AH53" i="264" s="1"/>
  <c r="AH54" i="264" s="1"/>
  <c r="AH55" i="264" s="1"/>
  <c r="AH56" i="264" s="1"/>
  <c r="AH57" i="264" s="1"/>
  <c r="AH58" i="264" s="1"/>
  <c r="AH59" i="264" s="1"/>
  <c r="AG40" i="264"/>
  <c r="AG41" i="264" s="1"/>
  <c r="AG42" i="264" s="1"/>
  <c r="AG43" i="264" s="1"/>
  <c r="AG44" i="264" s="1"/>
  <c r="AG45" i="264" s="1"/>
  <c r="AG46" i="264" s="1"/>
  <c r="AG47" i="264" s="1"/>
  <c r="AG48" i="264" s="1"/>
  <c r="AF40" i="264"/>
  <c r="AQ28" i="264"/>
  <c r="AR27" i="264"/>
  <c r="AQ27" i="264"/>
  <c r="AO27" i="264"/>
  <c r="AN27" i="264"/>
  <c r="AK27" i="264"/>
  <c r="AJ27" i="264"/>
  <c r="Q27" i="264"/>
  <c r="N26" i="264"/>
  <c r="I26" i="264"/>
  <c r="AN26" i="264" s="1"/>
  <c r="N25" i="264"/>
  <c r="K25" i="264"/>
  <c r="I25" i="264"/>
  <c r="AO25" i="264" s="1"/>
  <c r="N24" i="264"/>
  <c r="K24" i="264"/>
  <c r="I24" i="264"/>
  <c r="AL24" i="264" s="1"/>
  <c r="N23" i="264"/>
  <c r="K23" i="264"/>
  <c r="I23" i="264"/>
  <c r="AP23" i="264" s="1"/>
  <c r="N22" i="264"/>
  <c r="K22" i="264"/>
  <c r="I22" i="264"/>
  <c r="AO22" i="264" s="1"/>
  <c r="N21" i="264"/>
  <c r="K21" i="264"/>
  <c r="I21" i="264"/>
  <c r="AR21" i="264" s="1"/>
  <c r="N20" i="264"/>
  <c r="K20" i="264"/>
  <c r="I20" i="264"/>
  <c r="AO20" i="264" s="1"/>
  <c r="N19" i="264"/>
  <c r="K19" i="264"/>
  <c r="I19" i="264"/>
  <c r="AE19" i="264" s="1"/>
  <c r="N18" i="264"/>
  <c r="K18" i="264"/>
  <c r="I18" i="264"/>
  <c r="AS18" i="264" s="1"/>
  <c r="N17" i="264"/>
  <c r="K17" i="264"/>
  <c r="I17" i="264"/>
  <c r="AL17" i="264" s="1"/>
  <c r="N16" i="264"/>
  <c r="K16" i="264"/>
  <c r="I16" i="264"/>
  <c r="AS16" i="264" s="1"/>
  <c r="G16" i="264"/>
  <c r="N15" i="264"/>
  <c r="K15" i="264"/>
  <c r="I15" i="264"/>
  <c r="AS15" i="264" s="1"/>
  <c r="N14" i="264"/>
  <c r="K14" i="264"/>
  <c r="I14" i="264"/>
  <c r="AL14" i="264" s="1"/>
  <c r="N13" i="264"/>
  <c r="K13" i="264"/>
  <c r="I13" i="264"/>
  <c r="AS13" i="264" s="1"/>
  <c r="N12" i="264"/>
  <c r="K12" i="264"/>
  <c r="I12" i="264"/>
  <c r="AP12" i="264" s="1"/>
  <c r="N11" i="264"/>
  <c r="K11" i="264"/>
  <c r="I11" i="264"/>
  <c r="AN11" i="264" s="1"/>
  <c r="N10" i="264"/>
  <c r="K10" i="264"/>
  <c r="I10" i="264"/>
  <c r="AR10" i="264" s="1"/>
  <c r="N9" i="264"/>
  <c r="K9" i="264"/>
  <c r="I9" i="264"/>
  <c r="AN9" i="264" s="1"/>
  <c r="N8" i="264"/>
  <c r="K8" i="264"/>
  <c r="I8" i="264"/>
  <c r="AS8" i="264" s="1"/>
  <c r="N7" i="264"/>
  <c r="K7" i="264"/>
  <c r="I7" i="264"/>
  <c r="AO7" i="264" s="1"/>
  <c r="N6" i="264"/>
  <c r="J6" i="264"/>
  <c r="I6" i="264"/>
  <c r="AL6" i="264" s="1"/>
  <c r="A1" i="264"/>
  <c r="B5" i="264" s="1"/>
  <c r="AG50" i="263"/>
  <c r="AG51" i="263" s="1"/>
  <c r="AG52" i="263" s="1"/>
  <c r="AG53" i="263" s="1"/>
  <c r="AG54" i="263" s="1"/>
  <c r="AG55" i="263" s="1"/>
  <c r="AG56" i="263" s="1"/>
  <c r="AG57" i="263" s="1"/>
  <c r="AG58" i="263" s="1"/>
  <c r="AG59" i="263" s="1"/>
  <c r="AH40" i="263"/>
  <c r="AH41" i="263" s="1"/>
  <c r="AH42" i="263" s="1"/>
  <c r="AH43" i="263" s="1"/>
  <c r="AH44" i="263" s="1"/>
  <c r="AH45" i="263" s="1"/>
  <c r="AH46" i="263" s="1"/>
  <c r="AH47" i="263" s="1"/>
  <c r="AH48" i="263" s="1"/>
  <c r="AH49" i="263" s="1"/>
  <c r="AH50" i="263" s="1"/>
  <c r="AH51" i="263" s="1"/>
  <c r="AH52" i="263" s="1"/>
  <c r="AH53" i="263" s="1"/>
  <c r="AH54" i="263" s="1"/>
  <c r="AH55" i="263" s="1"/>
  <c r="AH56" i="263" s="1"/>
  <c r="AH57" i="263" s="1"/>
  <c r="AH58" i="263" s="1"/>
  <c r="AH59" i="263" s="1"/>
  <c r="AG40" i="263"/>
  <c r="AG41" i="263" s="1"/>
  <c r="AG42" i="263" s="1"/>
  <c r="AG43" i="263" s="1"/>
  <c r="AG44" i="263" s="1"/>
  <c r="AG45" i="263" s="1"/>
  <c r="AG46" i="263" s="1"/>
  <c r="AG47" i="263" s="1"/>
  <c r="AG48" i="263" s="1"/>
  <c r="AF40" i="263"/>
  <c r="AF41" i="263" s="1"/>
  <c r="AF42" i="263" s="1"/>
  <c r="AF43" i="263" s="1"/>
  <c r="AF44" i="263" s="1"/>
  <c r="AF45" i="263" s="1"/>
  <c r="AF46" i="263" s="1"/>
  <c r="AF47" i="263" s="1"/>
  <c r="AF48" i="263" s="1"/>
  <c r="AF49" i="263" s="1"/>
  <c r="AF50" i="263" s="1"/>
  <c r="AF51" i="263" s="1"/>
  <c r="AF52" i="263" s="1"/>
  <c r="AF53" i="263" s="1"/>
  <c r="AF54" i="263" s="1"/>
  <c r="AF55" i="263" s="1"/>
  <c r="AF56" i="263" s="1"/>
  <c r="AF57" i="263" s="1"/>
  <c r="AF58" i="263" s="1"/>
  <c r="AF59" i="263" s="1"/>
  <c r="AQ28" i="263"/>
  <c r="AR27" i="263"/>
  <c r="AQ27" i="263"/>
  <c r="AO27" i="263"/>
  <c r="AN27" i="263"/>
  <c r="AK27" i="263"/>
  <c r="AJ27" i="263"/>
  <c r="Q27" i="263"/>
  <c r="N26" i="263"/>
  <c r="I26" i="263"/>
  <c r="AP26" i="263" s="1"/>
  <c r="N25" i="263"/>
  <c r="K25" i="263"/>
  <c r="I25" i="263"/>
  <c r="AR25" i="263" s="1"/>
  <c r="N24" i="263"/>
  <c r="K24" i="263"/>
  <c r="I24" i="263"/>
  <c r="AO24" i="263" s="1"/>
  <c r="N23" i="263"/>
  <c r="K23" i="263"/>
  <c r="I23" i="263"/>
  <c r="AL23" i="263" s="1"/>
  <c r="N22" i="263"/>
  <c r="K22" i="263"/>
  <c r="I22" i="263"/>
  <c r="AQ22" i="263" s="1"/>
  <c r="N21" i="263"/>
  <c r="K21" i="263"/>
  <c r="I21" i="263"/>
  <c r="AO21" i="263" s="1"/>
  <c r="N20" i="263"/>
  <c r="K20" i="263"/>
  <c r="I20" i="263"/>
  <c r="AM20" i="263" s="1"/>
  <c r="N19" i="263"/>
  <c r="K19" i="263"/>
  <c r="I19" i="263"/>
  <c r="AL19" i="263" s="1"/>
  <c r="N18" i="263"/>
  <c r="K18" i="263"/>
  <c r="I18" i="263"/>
  <c r="AR18" i="263" s="1"/>
  <c r="N17" i="263"/>
  <c r="K17" i="263"/>
  <c r="I17" i="263"/>
  <c r="AO17" i="263" s="1"/>
  <c r="N16" i="263"/>
  <c r="K16" i="263"/>
  <c r="I16" i="263"/>
  <c r="AL16" i="263" s="1"/>
  <c r="G16" i="263"/>
  <c r="N15" i="263"/>
  <c r="K15" i="263"/>
  <c r="I15" i="263"/>
  <c r="AN15" i="263" s="1"/>
  <c r="N14" i="263"/>
  <c r="K14" i="263"/>
  <c r="I14" i="263"/>
  <c r="AO14" i="263" s="1"/>
  <c r="N13" i="263"/>
  <c r="K13" i="263"/>
  <c r="I13" i="263"/>
  <c r="AL13" i="263" s="1"/>
  <c r="N12" i="263"/>
  <c r="K12" i="263"/>
  <c r="I12" i="263"/>
  <c r="AK12" i="263" s="1"/>
  <c r="N11" i="263"/>
  <c r="K11" i="263"/>
  <c r="I11" i="263"/>
  <c r="AP11" i="263" s="1"/>
  <c r="N10" i="263"/>
  <c r="K10" i="263"/>
  <c r="I10" i="263"/>
  <c r="AM10" i="263" s="1"/>
  <c r="N9" i="263"/>
  <c r="K9" i="263"/>
  <c r="I9" i="263"/>
  <c r="AM9" i="263" s="1"/>
  <c r="N8" i="263"/>
  <c r="K8" i="263"/>
  <c r="I8" i="263"/>
  <c r="AS8" i="263" s="1"/>
  <c r="N7" i="263"/>
  <c r="K7" i="263"/>
  <c r="I7" i="263"/>
  <c r="AS7" i="263" s="1"/>
  <c r="N6" i="263"/>
  <c r="J6" i="263"/>
  <c r="I6" i="263"/>
  <c r="AP6" i="263" s="1"/>
  <c r="A1" i="263"/>
  <c r="B5" i="263" s="1"/>
  <c r="BD19" i="261"/>
  <c r="BH18" i="261"/>
  <c r="BD18" i="261"/>
  <c r="BH17" i="261"/>
  <c r="BH9" i="261"/>
  <c r="BH8" i="261"/>
  <c r="AG50" i="261"/>
  <c r="AG51" i="261" s="1"/>
  <c r="AG52" i="261" s="1"/>
  <c r="AG53" i="261" s="1"/>
  <c r="AG54" i="261" s="1"/>
  <c r="AG55" i="261" s="1"/>
  <c r="AG56" i="261" s="1"/>
  <c r="AG57" i="261" s="1"/>
  <c r="AG58" i="261" s="1"/>
  <c r="AG59" i="261" s="1"/>
  <c r="AH43" i="261"/>
  <c r="AH44" i="261" s="1"/>
  <c r="AH45" i="261" s="1"/>
  <c r="AH46" i="261" s="1"/>
  <c r="AH47" i="261" s="1"/>
  <c r="AH48" i="261" s="1"/>
  <c r="AH49" i="261" s="1"/>
  <c r="AH50" i="261" s="1"/>
  <c r="AH51" i="261" s="1"/>
  <c r="AH52" i="261" s="1"/>
  <c r="AH53" i="261" s="1"/>
  <c r="AH54" i="261" s="1"/>
  <c r="AH55" i="261" s="1"/>
  <c r="AH56" i="261" s="1"/>
  <c r="AH57" i="261" s="1"/>
  <c r="AH58" i="261" s="1"/>
  <c r="AH59" i="261" s="1"/>
  <c r="AF41" i="261"/>
  <c r="AF42" i="261" s="1"/>
  <c r="AF43" i="261" s="1"/>
  <c r="AF44" i="261" s="1"/>
  <c r="AF45" i="261" s="1"/>
  <c r="AF46" i="261" s="1"/>
  <c r="AF47" i="261" s="1"/>
  <c r="AF48" i="261" s="1"/>
  <c r="AF49" i="261" s="1"/>
  <c r="AF50" i="261" s="1"/>
  <c r="AF51" i="261" s="1"/>
  <c r="AF52" i="261" s="1"/>
  <c r="AF53" i="261" s="1"/>
  <c r="AF54" i="261" s="1"/>
  <c r="AF55" i="261" s="1"/>
  <c r="AF56" i="261" s="1"/>
  <c r="AF57" i="261" s="1"/>
  <c r="AF58" i="261" s="1"/>
  <c r="AF59" i="261" s="1"/>
  <c r="AH40" i="261"/>
  <c r="AH41" i="261" s="1"/>
  <c r="AH42" i="261" s="1"/>
  <c r="AG40" i="261"/>
  <c r="AG41" i="261" s="1"/>
  <c r="AG42" i="261" s="1"/>
  <c r="AG43" i="261" s="1"/>
  <c r="AG44" i="261" s="1"/>
  <c r="AG45" i="261" s="1"/>
  <c r="AG46" i="261" s="1"/>
  <c r="AG47" i="261" s="1"/>
  <c r="AG48" i="261" s="1"/>
  <c r="AF40" i="261"/>
  <c r="AQ28" i="261"/>
  <c r="AR27" i="261"/>
  <c r="AQ27" i="261"/>
  <c r="AO27" i="261"/>
  <c r="AN27" i="261"/>
  <c r="AK27" i="261"/>
  <c r="AJ27" i="261"/>
  <c r="Q27" i="261"/>
  <c r="N26" i="261"/>
  <c r="I26" i="261"/>
  <c r="AP26" i="261" s="1"/>
  <c r="N25" i="261"/>
  <c r="K25" i="261"/>
  <c r="I25" i="261"/>
  <c r="AR25" i="261" s="1"/>
  <c r="N24" i="261"/>
  <c r="K24" i="261"/>
  <c r="I24" i="261"/>
  <c r="AO24" i="261" s="1"/>
  <c r="N23" i="261"/>
  <c r="K23" i="261"/>
  <c r="I23" i="261"/>
  <c r="AP23" i="261" s="1"/>
  <c r="N22" i="261"/>
  <c r="K22" i="261"/>
  <c r="I22" i="261"/>
  <c r="AP22" i="261" s="1"/>
  <c r="N21" i="261"/>
  <c r="K21" i="261"/>
  <c r="I21" i="261"/>
  <c r="W21" i="261" s="1"/>
  <c r="N20" i="261"/>
  <c r="K20" i="261"/>
  <c r="I20" i="261"/>
  <c r="AO20" i="261" s="1"/>
  <c r="N19" i="261"/>
  <c r="K19" i="261"/>
  <c r="I19" i="261"/>
  <c r="Y19" i="261" s="1"/>
  <c r="N18" i="261"/>
  <c r="K18" i="261"/>
  <c r="I18" i="261"/>
  <c r="AM18" i="261" s="1"/>
  <c r="N17" i="261"/>
  <c r="K17" i="261"/>
  <c r="I17" i="261"/>
  <c r="AR17" i="261" s="1"/>
  <c r="N16" i="261"/>
  <c r="K16" i="261"/>
  <c r="I16" i="261"/>
  <c r="AO16" i="261" s="1"/>
  <c r="G16" i="261"/>
  <c r="N15" i="261"/>
  <c r="K15" i="261"/>
  <c r="I15" i="261"/>
  <c r="AO15" i="261" s="1"/>
  <c r="N14" i="261"/>
  <c r="K14" i="261"/>
  <c r="I14" i="261"/>
  <c r="N13" i="261"/>
  <c r="K13" i="261"/>
  <c r="I13" i="261"/>
  <c r="AO13" i="261" s="1"/>
  <c r="N12" i="261"/>
  <c r="K12" i="261"/>
  <c r="I12" i="261"/>
  <c r="AP12" i="261" s="1"/>
  <c r="N11" i="261"/>
  <c r="K11" i="261"/>
  <c r="I11" i="261"/>
  <c r="AK11" i="261" s="1"/>
  <c r="N10" i="261"/>
  <c r="K10" i="261"/>
  <c r="I10" i="261"/>
  <c r="AM10" i="261" s="1"/>
  <c r="N9" i="261"/>
  <c r="K9" i="261"/>
  <c r="I9" i="261"/>
  <c r="AO9" i="261" s="1"/>
  <c r="N8" i="261"/>
  <c r="K8" i="261"/>
  <c r="I8" i="261"/>
  <c r="AL8" i="261" s="1"/>
  <c r="N7" i="261"/>
  <c r="K7" i="261"/>
  <c r="I7" i="261"/>
  <c r="AP7" i="261" s="1"/>
  <c r="N6" i="261"/>
  <c r="J6" i="261"/>
  <c r="I6" i="261"/>
  <c r="AQ6" i="261" s="1"/>
  <c r="A1" i="261"/>
  <c r="B5" i="261" s="1"/>
  <c r="BH27" i="260"/>
  <c r="BH26" i="260"/>
  <c r="AG50" i="260"/>
  <c r="AG51" i="260" s="1"/>
  <c r="AG52" i="260" s="1"/>
  <c r="AG53" i="260" s="1"/>
  <c r="AG54" i="260" s="1"/>
  <c r="AG55" i="260" s="1"/>
  <c r="AG56" i="260" s="1"/>
  <c r="AG57" i="260" s="1"/>
  <c r="AG58" i="260" s="1"/>
  <c r="AG59" i="260" s="1"/>
  <c r="AH40" i="260"/>
  <c r="AH41" i="260" s="1"/>
  <c r="AH42" i="260" s="1"/>
  <c r="AH43" i="260" s="1"/>
  <c r="AH44" i="260" s="1"/>
  <c r="AH45" i="260" s="1"/>
  <c r="AH46" i="260" s="1"/>
  <c r="AH47" i="260" s="1"/>
  <c r="AH48" i="260" s="1"/>
  <c r="AH49" i="260" s="1"/>
  <c r="AH50" i="260" s="1"/>
  <c r="AH51" i="260" s="1"/>
  <c r="AH52" i="260" s="1"/>
  <c r="AH53" i="260" s="1"/>
  <c r="AH54" i="260" s="1"/>
  <c r="AH55" i="260" s="1"/>
  <c r="AH56" i="260" s="1"/>
  <c r="AH57" i="260" s="1"/>
  <c r="AH58" i="260" s="1"/>
  <c r="AH59" i="260" s="1"/>
  <c r="AG40" i="260"/>
  <c r="AG41" i="260" s="1"/>
  <c r="AG42" i="260" s="1"/>
  <c r="AG43" i="260" s="1"/>
  <c r="AG44" i="260" s="1"/>
  <c r="AG45" i="260" s="1"/>
  <c r="AG46" i="260" s="1"/>
  <c r="AG47" i="260" s="1"/>
  <c r="AG48" i="260" s="1"/>
  <c r="AF40" i="260"/>
  <c r="AF41" i="260" s="1"/>
  <c r="AF42" i="260" s="1"/>
  <c r="AF43" i="260" s="1"/>
  <c r="AF44" i="260" s="1"/>
  <c r="AF45" i="260" s="1"/>
  <c r="AF46" i="260" s="1"/>
  <c r="AF47" i="260" s="1"/>
  <c r="AF48" i="260" s="1"/>
  <c r="AF49" i="260" s="1"/>
  <c r="AF50" i="260" s="1"/>
  <c r="AF51" i="260" s="1"/>
  <c r="AF52" i="260" s="1"/>
  <c r="AF53" i="260" s="1"/>
  <c r="AF54" i="260" s="1"/>
  <c r="AF55" i="260" s="1"/>
  <c r="AF56" i="260" s="1"/>
  <c r="AF57" i="260" s="1"/>
  <c r="AF58" i="260" s="1"/>
  <c r="AF59" i="260" s="1"/>
  <c r="AQ28" i="260"/>
  <c r="AR27" i="260"/>
  <c r="AQ27" i="260"/>
  <c r="AO27" i="260"/>
  <c r="AN27" i="260"/>
  <c r="AK27" i="260"/>
  <c r="AJ27" i="260"/>
  <c r="Q27" i="260"/>
  <c r="N26" i="260"/>
  <c r="I26" i="260"/>
  <c r="AN26" i="260" s="1"/>
  <c r="N25" i="260"/>
  <c r="K25" i="260"/>
  <c r="I25" i="260"/>
  <c r="S25" i="260" s="1"/>
  <c r="N24" i="260"/>
  <c r="K24" i="260"/>
  <c r="I24" i="260"/>
  <c r="AR24" i="260" s="1"/>
  <c r="N23" i="260"/>
  <c r="K23" i="260"/>
  <c r="I23" i="260"/>
  <c r="AO23" i="260" s="1"/>
  <c r="N22" i="260"/>
  <c r="K22" i="260"/>
  <c r="I22" i="260"/>
  <c r="AO22" i="260" s="1"/>
  <c r="N21" i="260"/>
  <c r="K21" i="260"/>
  <c r="I21" i="260"/>
  <c r="AO21" i="260" s="1"/>
  <c r="N20" i="260"/>
  <c r="K20" i="260"/>
  <c r="I20" i="260"/>
  <c r="AP20" i="260" s="1"/>
  <c r="N19" i="260"/>
  <c r="K19" i="260"/>
  <c r="I19" i="260"/>
  <c r="Y19" i="260" s="1"/>
  <c r="N18" i="260"/>
  <c r="K18" i="260"/>
  <c r="I18" i="260"/>
  <c r="AS18" i="260" s="1"/>
  <c r="N17" i="260"/>
  <c r="K17" i="260"/>
  <c r="I17" i="260"/>
  <c r="S17" i="260" s="1"/>
  <c r="N16" i="260"/>
  <c r="K16" i="260"/>
  <c r="I16" i="260"/>
  <c r="AR16" i="260" s="1"/>
  <c r="G16" i="260"/>
  <c r="N15" i="260"/>
  <c r="K15" i="260"/>
  <c r="I15" i="260"/>
  <c r="AK15" i="260" s="1"/>
  <c r="N14" i="260"/>
  <c r="K14" i="260"/>
  <c r="I14" i="260"/>
  <c r="AN14" i="260" s="1"/>
  <c r="N13" i="260"/>
  <c r="K13" i="260"/>
  <c r="I13" i="260"/>
  <c r="AP13" i="260" s="1"/>
  <c r="N12" i="260"/>
  <c r="K12" i="260"/>
  <c r="I12" i="260"/>
  <c r="AK12" i="260" s="1"/>
  <c r="N11" i="260"/>
  <c r="K11" i="260"/>
  <c r="I11" i="260"/>
  <c r="AM11" i="260" s="1"/>
  <c r="N10" i="260"/>
  <c r="K10" i="260"/>
  <c r="I10" i="260"/>
  <c r="AO10" i="260" s="1"/>
  <c r="N9" i="260"/>
  <c r="K9" i="260"/>
  <c r="I9" i="260"/>
  <c r="AH9" i="260" s="1"/>
  <c r="N8" i="260"/>
  <c r="K8" i="260"/>
  <c r="I8" i="260"/>
  <c r="AP8" i="260" s="1"/>
  <c r="N7" i="260"/>
  <c r="K7" i="260"/>
  <c r="I7" i="260"/>
  <c r="AN7" i="260" s="1"/>
  <c r="N6" i="260"/>
  <c r="J6" i="260"/>
  <c r="I6" i="260"/>
  <c r="AR6" i="260" s="1"/>
  <c r="L6" i="260" s="1"/>
  <c r="A1" i="260"/>
  <c r="B5" i="260" s="1"/>
  <c r="AG50" i="259"/>
  <c r="AG51" i="259" s="1"/>
  <c r="AG52" i="259" s="1"/>
  <c r="AG53" i="259" s="1"/>
  <c r="AG54" i="259" s="1"/>
  <c r="AG55" i="259" s="1"/>
  <c r="AG56" i="259" s="1"/>
  <c r="AG57" i="259" s="1"/>
  <c r="AG58" i="259" s="1"/>
  <c r="AG59" i="259" s="1"/>
  <c r="AH43" i="259"/>
  <c r="AH44" i="259" s="1"/>
  <c r="AH45" i="259" s="1"/>
  <c r="AH46" i="259" s="1"/>
  <c r="AH47" i="259" s="1"/>
  <c r="AH48" i="259" s="1"/>
  <c r="AH49" i="259" s="1"/>
  <c r="AH50" i="259" s="1"/>
  <c r="AH51" i="259" s="1"/>
  <c r="AH52" i="259" s="1"/>
  <c r="AH53" i="259" s="1"/>
  <c r="AH54" i="259" s="1"/>
  <c r="AH55" i="259" s="1"/>
  <c r="AH56" i="259" s="1"/>
  <c r="AH57" i="259" s="1"/>
  <c r="AH58" i="259" s="1"/>
  <c r="AH59" i="259" s="1"/>
  <c r="AF41" i="259"/>
  <c r="AF42" i="259" s="1"/>
  <c r="AF43" i="259" s="1"/>
  <c r="AF44" i="259" s="1"/>
  <c r="AF45" i="259" s="1"/>
  <c r="AF46" i="259" s="1"/>
  <c r="AF47" i="259" s="1"/>
  <c r="AF48" i="259" s="1"/>
  <c r="AF49" i="259" s="1"/>
  <c r="AF50" i="259" s="1"/>
  <c r="AF51" i="259" s="1"/>
  <c r="AF52" i="259" s="1"/>
  <c r="AF53" i="259" s="1"/>
  <c r="AF54" i="259" s="1"/>
  <c r="AF55" i="259" s="1"/>
  <c r="AF56" i="259" s="1"/>
  <c r="AF57" i="259" s="1"/>
  <c r="AF58" i="259" s="1"/>
  <c r="AF59" i="259" s="1"/>
  <c r="AH40" i="259"/>
  <c r="AH41" i="259" s="1"/>
  <c r="AH42" i="259" s="1"/>
  <c r="AG40" i="259"/>
  <c r="AG41" i="259" s="1"/>
  <c r="AG42" i="259" s="1"/>
  <c r="AG43" i="259" s="1"/>
  <c r="AG44" i="259" s="1"/>
  <c r="AG45" i="259" s="1"/>
  <c r="AG46" i="259" s="1"/>
  <c r="AG47" i="259" s="1"/>
  <c r="AG48" i="259" s="1"/>
  <c r="AF40" i="259"/>
  <c r="AQ28" i="259"/>
  <c r="AR27" i="259"/>
  <c r="AQ27" i="259"/>
  <c r="AO27" i="259"/>
  <c r="AN27" i="259"/>
  <c r="AK27" i="259"/>
  <c r="AJ27" i="259"/>
  <c r="Q27" i="259"/>
  <c r="N26" i="259"/>
  <c r="I26" i="259"/>
  <c r="AE26" i="259" s="1"/>
  <c r="N25" i="259"/>
  <c r="K25" i="259"/>
  <c r="I25" i="259"/>
  <c r="AO25" i="259" s="1"/>
  <c r="N24" i="259"/>
  <c r="K24" i="259"/>
  <c r="I24" i="259"/>
  <c r="AL24" i="259" s="1"/>
  <c r="N23" i="259"/>
  <c r="K23" i="259"/>
  <c r="I23" i="259"/>
  <c r="Y23" i="259" s="1"/>
  <c r="N22" i="259"/>
  <c r="K22" i="259"/>
  <c r="I22" i="259"/>
  <c r="AO22" i="259" s="1"/>
  <c r="N21" i="259"/>
  <c r="K21" i="259"/>
  <c r="I21" i="259"/>
  <c r="AS21" i="259" s="1"/>
  <c r="N20" i="259"/>
  <c r="K20" i="259"/>
  <c r="I20" i="259"/>
  <c r="AP20" i="259" s="1"/>
  <c r="N19" i="259"/>
  <c r="K19" i="259"/>
  <c r="I19" i="259"/>
  <c r="AP19" i="259" s="1"/>
  <c r="N18" i="259"/>
  <c r="K18" i="259"/>
  <c r="I18" i="259"/>
  <c r="AR18" i="259" s="1"/>
  <c r="N17" i="259"/>
  <c r="K17" i="259"/>
  <c r="I17" i="259"/>
  <c r="AK17" i="259" s="1"/>
  <c r="N16" i="259"/>
  <c r="K16" i="259"/>
  <c r="I16" i="259"/>
  <c r="AP16" i="259" s="1"/>
  <c r="G16" i="259"/>
  <c r="N15" i="259"/>
  <c r="K15" i="259"/>
  <c r="I15" i="259"/>
  <c r="N14" i="259"/>
  <c r="K14" i="259"/>
  <c r="I14" i="259"/>
  <c r="AG14" i="259" s="1"/>
  <c r="N13" i="259"/>
  <c r="K13" i="259"/>
  <c r="I13" i="259"/>
  <c r="AP13" i="259" s="1"/>
  <c r="N12" i="259"/>
  <c r="K12" i="259"/>
  <c r="I12" i="259"/>
  <c r="AK12" i="259" s="1"/>
  <c r="N11" i="259"/>
  <c r="K11" i="259"/>
  <c r="I11" i="259"/>
  <c r="AR11" i="259" s="1"/>
  <c r="N10" i="259"/>
  <c r="K10" i="259"/>
  <c r="I10" i="259"/>
  <c r="AO10" i="259" s="1"/>
  <c r="N9" i="259"/>
  <c r="K9" i="259"/>
  <c r="I9" i="259"/>
  <c r="AS9" i="259" s="1"/>
  <c r="N8" i="259"/>
  <c r="K8" i="259"/>
  <c r="I8" i="259"/>
  <c r="AO8" i="259" s="1"/>
  <c r="N7" i="259"/>
  <c r="K7" i="259"/>
  <c r="I7" i="259"/>
  <c r="AP7" i="259" s="1"/>
  <c r="N6" i="259"/>
  <c r="J6" i="259"/>
  <c r="I6" i="259"/>
  <c r="AQ6" i="259" s="1"/>
  <c r="A1" i="259"/>
  <c r="B5" i="259" s="1"/>
  <c r="BY23" i="258"/>
  <c r="BH17" i="258"/>
  <c r="BD17" i="258"/>
  <c r="BH16" i="258"/>
  <c r="BD16" i="258"/>
  <c r="AG50" i="258"/>
  <c r="AG51" i="258" s="1"/>
  <c r="AG52" i="258" s="1"/>
  <c r="AG53" i="258" s="1"/>
  <c r="AG54" i="258" s="1"/>
  <c r="AG55" i="258" s="1"/>
  <c r="AG56" i="258" s="1"/>
  <c r="AG57" i="258" s="1"/>
  <c r="AG58" i="258" s="1"/>
  <c r="AG59" i="258" s="1"/>
  <c r="AG41" i="258"/>
  <c r="AG42" i="258" s="1"/>
  <c r="AG43" i="258" s="1"/>
  <c r="AG44" i="258" s="1"/>
  <c r="AG45" i="258" s="1"/>
  <c r="AG46" i="258" s="1"/>
  <c r="AG47" i="258" s="1"/>
  <c r="AG48" i="258" s="1"/>
  <c r="AH40" i="258"/>
  <c r="AH41" i="258" s="1"/>
  <c r="AH42" i="258" s="1"/>
  <c r="AH43" i="258" s="1"/>
  <c r="AH44" i="258" s="1"/>
  <c r="AH45" i="258" s="1"/>
  <c r="AH46" i="258" s="1"/>
  <c r="AH47" i="258" s="1"/>
  <c r="AH48" i="258" s="1"/>
  <c r="AH49" i="258" s="1"/>
  <c r="AH50" i="258" s="1"/>
  <c r="AH51" i="258" s="1"/>
  <c r="AH52" i="258" s="1"/>
  <c r="AH53" i="258" s="1"/>
  <c r="AH54" i="258" s="1"/>
  <c r="AH55" i="258" s="1"/>
  <c r="AH56" i="258" s="1"/>
  <c r="AH57" i="258" s="1"/>
  <c r="AH58" i="258" s="1"/>
  <c r="AH59" i="258" s="1"/>
  <c r="AG40" i="258"/>
  <c r="AF40" i="258"/>
  <c r="AF41" i="258" s="1"/>
  <c r="AF42" i="258" s="1"/>
  <c r="AF43" i="258" s="1"/>
  <c r="AF44" i="258" s="1"/>
  <c r="AF45" i="258" s="1"/>
  <c r="AF46" i="258" s="1"/>
  <c r="AF47" i="258" s="1"/>
  <c r="AF48" i="258" s="1"/>
  <c r="AF49" i="258" s="1"/>
  <c r="AF50" i="258" s="1"/>
  <c r="AF51" i="258" s="1"/>
  <c r="AF52" i="258" s="1"/>
  <c r="AF53" i="258" s="1"/>
  <c r="AF54" i="258" s="1"/>
  <c r="AF55" i="258" s="1"/>
  <c r="AF56" i="258" s="1"/>
  <c r="AF57" i="258" s="1"/>
  <c r="AF58" i="258" s="1"/>
  <c r="AF59" i="258" s="1"/>
  <c r="AQ28" i="258"/>
  <c r="AR27" i="258"/>
  <c r="AQ27" i="258"/>
  <c r="AO27" i="258"/>
  <c r="AN27" i="258"/>
  <c r="AK27" i="258"/>
  <c r="AJ27" i="258"/>
  <c r="Q27" i="258"/>
  <c r="N26" i="258"/>
  <c r="I26" i="258"/>
  <c r="AF26" i="258" s="1"/>
  <c r="N25" i="258"/>
  <c r="K25" i="258"/>
  <c r="I25" i="258"/>
  <c r="AP25" i="258" s="1"/>
  <c r="N24" i="258"/>
  <c r="K24" i="258"/>
  <c r="I24" i="258"/>
  <c r="AF24" i="258" s="1"/>
  <c r="N23" i="258"/>
  <c r="K23" i="258"/>
  <c r="I23" i="258"/>
  <c r="AR23" i="258" s="1"/>
  <c r="N22" i="258"/>
  <c r="K22" i="258"/>
  <c r="I22" i="258"/>
  <c r="AO22" i="258" s="1"/>
  <c r="N21" i="258"/>
  <c r="K21" i="258"/>
  <c r="I21" i="258"/>
  <c r="AR21" i="258" s="1"/>
  <c r="N20" i="258"/>
  <c r="K20" i="258"/>
  <c r="I20" i="258"/>
  <c r="AO20" i="258" s="1"/>
  <c r="N19" i="258"/>
  <c r="K19" i="258"/>
  <c r="I19" i="258"/>
  <c r="N18" i="258"/>
  <c r="K18" i="258"/>
  <c r="I18" i="258"/>
  <c r="O18" i="258" s="1"/>
  <c r="N17" i="258"/>
  <c r="K17" i="258"/>
  <c r="I17" i="258"/>
  <c r="AO17" i="258" s="1"/>
  <c r="N16" i="258"/>
  <c r="K16" i="258"/>
  <c r="I16" i="258"/>
  <c r="AO16" i="258" s="1"/>
  <c r="G16" i="258"/>
  <c r="N15" i="258"/>
  <c r="K15" i="258"/>
  <c r="I15" i="258"/>
  <c r="AG15" i="258" s="1"/>
  <c r="N14" i="258"/>
  <c r="K14" i="258"/>
  <c r="I14" i="258"/>
  <c r="AR14" i="258" s="1"/>
  <c r="N13" i="258"/>
  <c r="K13" i="258"/>
  <c r="I13" i="258"/>
  <c r="AP13" i="258" s="1"/>
  <c r="N12" i="258"/>
  <c r="K12" i="258"/>
  <c r="I12" i="258"/>
  <c r="AQ12" i="258" s="1"/>
  <c r="N11" i="258"/>
  <c r="K11" i="258"/>
  <c r="I11" i="258"/>
  <c r="AR11" i="258" s="1"/>
  <c r="N10" i="258"/>
  <c r="K10" i="258"/>
  <c r="I10" i="258"/>
  <c r="AO10" i="258" s="1"/>
  <c r="N9" i="258"/>
  <c r="K9" i="258"/>
  <c r="I9" i="258"/>
  <c r="AK9" i="258" s="1"/>
  <c r="N8" i="258"/>
  <c r="K8" i="258"/>
  <c r="I8" i="258"/>
  <c r="AS8" i="258" s="1"/>
  <c r="N7" i="258"/>
  <c r="K7" i="258"/>
  <c r="I7" i="258"/>
  <c r="AM7" i="258" s="1"/>
  <c r="N6" i="258"/>
  <c r="J6" i="258"/>
  <c r="I6" i="258"/>
  <c r="AQ6" i="258" s="1"/>
  <c r="A1" i="258"/>
  <c r="B5" i="258" s="1"/>
  <c r="BH17" i="257"/>
  <c r="BH16" i="257"/>
  <c r="BH15" i="257"/>
  <c r="BH14" i="257"/>
  <c r="BH13" i="257"/>
  <c r="AG50" i="257"/>
  <c r="AG51" i="257" s="1"/>
  <c r="AG52" i="257" s="1"/>
  <c r="AG53" i="257" s="1"/>
  <c r="AG54" i="257" s="1"/>
  <c r="AG55" i="257" s="1"/>
  <c r="AG56" i="257" s="1"/>
  <c r="AG57" i="257" s="1"/>
  <c r="AG58" i="257" s="1"/>
  <c r="AG59" i="257" s="1"/>
  <c r="AG46" i="257"/>
  <c r="AG47" i="257" s="1"/>
  <c r="AG48" i="257" s="1"/>
  <c r="AH43" i="257"/>
  <c r="AH44" i="257" s="1"/>
  <c r="AH45" i="257" s="1"/>
  <c r="AH46" i="257" s="1"/>
  <c r="AH47" i="257" s="1"/>
  <c r="AH48" i="257" s="1"/>
  <c r="AH49" i="257" s="1"/>
  <c r="AH50" i="257" s="1"/>
  <c r="AH51" i="257" s="1"/>
  <c r="AH52" i="257" s="1"/>
  <c r="AH53" i="257" s="1"/>
  <c r="AH54" i="257" s="1"/>
  <c r="AH55" i="257" s="1"/>
  <c r="AH56" i="257" s="1"/>
  <c r="AH57" i="257" s="1"/>
  <c r="AH58" i="257" s="1"/>
  <c r="AH59" i="257" s="1"/>
  <c r="AF41" i="257"/>
  <c r="AF42" i="257" s="1"/>
  <c r="AF43" i="257" s="1"/>
  <c r="AF44" i="257" s="1"/>
  <c r="AF45" i="257" s="1"/>
  <c r="AF46" i="257" s="1"/>
  <c r="AF47" i="257" s="1"/>
  <c r="AF48" i="257" s="1"/>
  <c r="AF49" i="257" s="1"/>
  <c r="AF50" i="257" s="1"/>
  <c r="AF51" i="257" s="1"/>
  <c r="AF52" i="257" s="1"/>
  <c r="AF53" i="257" s="1"/>
  <c r="AF54" i="257" s="1"/>
  <c r="AF55" i="257" s="1"/>
  <c r="AF56" i="257" s="1"/>
  <c r="AF57" i="257" s="1"/>
  <c r="AF58" i="257" s="1"/>
  <c r="AF59" i="257" s="1"/>
  <c r="AH40" i="257"/>
  <c r="AH41" i="257" s="1"/>
  <c r="AH42" i="257" s="1"/>
  <c r="AG40" i="257"/>
  <c r="AG41" i="257" s="1"/>
  <c r="AG42" i="257" s="1"/>
  <c r="AG43" i="257" s="1"/>
  <c r="AG44" i="257" s="1"/>
  <c r="AG45" i="257" s="1"/>
  <c r="AF40" i="257"/>
  <c r="AQ28" i="257"/>
  <c r="AR27" i="257"/>
  <c r="AQ27" i="257"/>
  <c r="AO27" i="257"/>
  <c r="AN27" i="257"/>
  <c r="AK27" i="257"/>
  <c r="AJ27" i="257"/>
  <c r="Q27" i="257"/>
  <c r="N26" i="257"/>
  <c r="I26" i="257"/>
  <c r="AA26" i="257" s="1"/>
  <c r="N25" i="257"/>
  <c r="K25" i="257"/>
  <c r="I25" i="257"/>
  <c r="AR25" i="257" s="1"/>
  <c r="N24" i="257"/>
  <c r="K24" i="257"/>
  <c r="I24" i="257"/>
  <c r="AS24" i="257" s="1"/>
  <c r="N23" i="257"/>
  <c r="K23" i="257"/>
  <c r="I23" i="257"/>
  <c r="AQ23" i="257" s="1"/>
  <c r="N22" i="257"/>
  <c r="K22" i="257"/>
  <c r="I22" i="257"/>
  <c r="AR22" i="257" s="1"/>
  <c r="N21" i="257"/>
  <c r="K21" i="257"/>
  <c r="I21" i="257"/>
  <c r="AR21" i="257" s="1"/>
  <c r="N20" i="257"/>
  <c r="K20" i="257"/>
  <c r="I20" i="257"/>
  <c r="AH20" i="257" s="1"/>
  <c r="N19" i="257"/>
  <c r="K19" i="257"/>
  <c r="I19" i="257"/>
  <c r="N18" i="257"/>
  <c r="K18" i="257"/>
  <c r="I18" i="257"/>
  <c r="AR18" i="257" s="1"/>
  <c r="N17" i="257"/>
  <c r="K17" i="257"/>
  <c r="I17" i="257"/>
  <c r="AS17" i="257" s="1"/>
  <c r="N16" i="257"/>
  <c r="K16" i="257"/>
  <c r="I16" i="257"/>
  <c r="AO16" i="257" s="1"/>
  <c r="G16" i="257"/>
  <c r="N15" i="257"/>
  <c r="K15" i="257"/>
  <c r="I15" i="257"/>
  <c r="AP15" i="257" s="1"/>
  <c r="N14" i="257"/>
  <c r="K14" i="257"/>
  <c r="I14" i="257"/>
  <c r="AQ14" i="257" s="1"/>
  <c r="N13" i="257"/>
  <c r="K13" i="257"/>
  <c r="I13" i="257"/>
  <c r="N12" i="257"/>
  <c r="K12" i="257"/>
  <c r="I12" i="257"/>
  <c r="AL12" i="257" s="1"/>
  <c r="N11" i="257"/>
  <c r="K11" i="257"/>
  <c r="I11" i="257"/>
  <c r="AR11" i="257" s="1"/>
  <c r="N10" i="257"/>
  <c r="K10" i="257"/>
  <c r="I10" i="257"/>
  <c r="AD10" i="257" s="1"/>
  <c r="N9" i="257"/>
  <c r="K9" i="257"/>
  <c r="I9" i="257"/>
  <c r="AH9" i="257" s="1"/>
  <c r="N8" i="257"/>
  <c r="K8" i="257"/>
  <c r="I8" i="257"/>
  <c r="AQ8" i="257" s="1"/>
  <c r="N7" i="257"/>
  <c r="K7" i="257"/>
  <c r="I7" i="257"/>
  <c r="AO7" i="257" s="1"/>
  <c r="N6" i="257"/>
  <c r="J6" i="257"/>
  <c r="I6" i="257"/>
  <c r="AS6" i="257" s="1"/>
  <c r="A1" i="257"/>
  <c r="B5" i="257" s="1"/>
  <c r="BH33" i="256"/>
  <c r="BG33" i="256"/>
  <c r="BF33" i="256"/>
  <c r="BH32" i="256"/>
  <c r="BH25" i="256"/>
  <c r="BH24" i="256"/>
  <c r="BH21" i="256"/>
  <c r="BH20" i="256"/>
  <c r="BH19" i="256"/>
  <c r="BH18" i="256"/>
  <c r="BH17" i="256"/>
  <c r="BH16" i="256"/>
  <c r="AG54" i="256"/>
  <c r="AG55" i="256" s="1"/>
  <c r="AG56" i="256" s="1"/>
  <c r="AG57" i="256" s="1"/>
  <c r="AG58" i="256" s="1"/>
  <c r="AG59" i="256" s="1"/>
  <c r="AG50" i="256"/>
  <c r="AG51" i="256" s="1"/>
  <c r="AG52" i="256" s="1"/>
  <c r="AG53" i="256" s="1"/>
  <c r="AG41" i="256"/>
  <c r="AG42" i="256" s="1"/>
  <c r="AG43" i="256" s="1"/>
  <c r="AG44" i="256" s="1"/>
  <c r="AG45" i="256" s="1"/>
  <c r="AG46" i="256" s="1"/>
  <c r="AG47" i="256" s="1"/>
  <c r="AG48" i="256" s="1"/>
  <c r="AH40" i="256"/>
  <c r="AH41" i="256" s="1"/>
  <c r="AH42" i="256" s="1"/>
  <c r="AH43" i="256" s="1"/>
  <c r="AH44" i="256" s="1"/>
  <c r="AH45" i="256" s="1"/>
  <c r="AH46" i="256" s="1"/>
  <c r="AH47" i="256" s="1"/>
  <c r="AH48" i="256" s="1"/>
  <c r="AH49" i="256" s="1"/>
  <c r="AH50" i="256" s="1"/>
  <c r="AH51" i="256" s="1"/>
  <c r="AH52" i="256" s="1"/>
  <c r="AH53" i="256" s="1"/>
  <c r="AH54" i="256" s="1"/>
  <c r="AH55" i="256" s="1"/>
  <c r="AH56" i="256" s="1"/>
  <c r="AH57" i="256" s="1"/>
  <c r="AH58" i="256" s="1"/>
  <c r="AH59" i="256" s="1"/>
  <c r="AG40" i="256"/>
  <c r="AF40" i="256"/>
  <c r="AF41" i="256" s="1"/>
  <c r="AF42" i="256" s="1"/>
  <c r="AF43" i="256" s="1"/>
  <c r="AF44" i="256" s="1"/>
  <c r="AF45" i="256" s="1"/>
  <c r="AF46" i="256" s="1"/>
  <c r="AF47" i="256" s="1"/>
  <c r="AF48" i="256" s="1"/>
  <c r="AF49" i="256" s="1"/>
  <c r="AF50" i="256" s="1"/>
  <c r="AF51" i="256" s="1"/>
  <c r="AF52" i="256" s="1"/>
  <c r="AF53" i="256" s="1"/>
  <c r="AF54" i="256" s="1"/>
  <c r="AF55" i="256" s="1"/>
  <c r="AF56" i="256" s="1"/>
  <c r="AF57" i="256" s="1"/>
  <c r="AF58" i="256" s="1"/>
  <c r="AF59" i="256" s="1"/>
  <c r="AQ28" i="256"/>
  <c r="AR27" i="256"/>
  <c r="AQ27" i="256"/>
  <c r="AO27" i="256"/>
  <c r="AN27" i="256"/>
  <c r="AK27" i="256"/>
  <c r="AJ27" i="256"/>
  <c r="Q27" i="256"/>
  <c r="N26" i="256"/>
  <c r="I26" i="256"/>
  <c r="AE26" i="256" s="1"/>
  <c r="N25" i="256"/>
  <c r="K25" i="256"/>
  <c r="I25" i="256"/>
  <c r="AO25" i="256" s="1"/>
  <c r="N24" i="256"/>
  <c r="K24" i="256"/>
  <c r="I24" i="256"/>
  <c r="AL24" i="256" s="1"/>
  <c r="N23" i="256"/>
  <c r="K23" i="256"/>
  <c r="I23" i="256"/>
  <c r="AQ23" i="256" s="1"/>
  <c r="N22" i="256"/>
  <c r="K22" i="256"/>
  <c r="I22" i="256"/>
  <c r="U22" i="256" s="1"/>
  <c r="N21" i="256"/>
  <c r="K21" i="256"/>
  <c r="I21" i="256"/>
  <c r="AS21" i="256" s="1"/>
  <c r="N20" i="256"/>
  <c r="K20" i="256"/>
  <c r="I20" i="256"/>
  <c r="AO20" i="256" s="1"/>
  <c r="N19" i="256"/>
  <c r="K19" i="256"/>
  <c r="I19" i="256"/>
  <c r="AO19" i="256" s="1"/>
  <c r="N18" i="256"/>
  <c r="K18" i="256"/>
  <c r="I18" i="256"/>
  <c r="N17" i="256"/>
  <c r="K17" i="256"/>
  <c r="I17" i="256"/>
  <c r="AO17" i="256" s="1"/>
  <c r="N16" i="256"/>
  <c r="K16" i="256"/>
  <c r="I16" i="256"/>
  <c r="AI16" i="256" s="1"/>
  <c r="G16" i="256"/>
  <c r="N15" i="256"/>
  <c r="K15" i="256"/>
  <c r="I15" i="256"/>
  <c r="AS15" i="256" s="1"/>
  <c r="N14" i="256"/>
  <c r="K14" i="256"/>
  <c r="I14" i="256"/>
  <c r="AO14" i="256" s="1"/>
  <c r="N13" i="256"/>
  <c r="K13" i="256"/>
  <c r="I13" i="256"/>
  <c r="AF13" i="256" s="1"/>
  <c r="N12" i="256"/>
  <c r="K12" i="256"/>
  <c r="I12" i="256"/>
  <c r="AM12" i="256" s="1"/>
  <c r="N11" i="256"/>
  <c r="K11" i="256"/>
  <c r="I11" i="256"/>
  <c r="AI11" i="256" s="1"/>
  <c r="N10" i="256"/>
  <c r="K10" i="256"/>
  <c r="I10" i="256"/>
  <c r="AL10" i="256" s="1"/>
  <c r="N9" i="256"/>
  <c r="K9" i="256"/>
  <c r="I9" i="256"/>
  <c r="AR9" i="256" s="1"/>
  <c r="N8" i="256"/>
  <c r="K8" i="256"/>
  <c r="I8" i="256"/>
  <c r="AO8" i="256" s="1"/>
  <c r="N7" i="256"/>
  <c r="K7" i="256"/>
  <c r="I7" i="256"/>
  <c r="AL7" i="256" s="1"/>
  <c r="N6" i="256"/>
  <c r="J6" i="256"/>
  <c r="I6" i="256"/>
  <c r="AQ6" i="256" s="1"/>
  <c r="A1" i="256"/>
  <c r="B5" i="256" s="1"/>
  <c r="AG51" i="255"/>
  <c r="AG52" i="255" s="1"/>
  <c r="AG53" i="255" s="1"/>
  <c r="AG54" i="255" s="1"/>
  <c r="AG55" i="255" s="1"/>
  <c r="AG56" i="255" s="1"/>
  <c r="AG57" i="255" s="1"/>
  <c r="AG58" i="255" s="1"/>
  <c r="AG59" i="255" s="1"/>
  <c r="AG50" i="255"/>
  <c r="AH40" i="255"/>
  <c r="AH41" i="255" s="1"/>
  <c r="AH42" i="255" s="1"/>
  <c r="AH43" i="255" s="1"/>
  <c r="AH44" i="255" s="1"/>
  <c r="AH45" i="255" s="1"/>
  <c r="AH46" i="255" s="1"/>
  <c r="AH47" i="255" s="1"/>
  <c r="AH48" i="255" s="1"/>
  <c r="AH49" i="255" s="1"/>
  <c r="AH50" i="255" s="1"/>
  <c r="AH51" i="255" s="1"/>
  <c r="AH52" i="255" s="1"/>
  <c r="AH53" i="255" s="1"/>
  <c r="AH54" i="255" s="1"/>
  <c r="AH55" i="255" s="1"/>
  <c r="AH56" i="255" s="1"/>
  <c r="AH57" i="255" s="1"/>
  <c r="AH58" i="255" s="1"/>
  <c r="AH59" i="255" s="1"/>
  <c r="AG40" i="255"/>
  <c r="AG41" i="255" s="1"/>
  <c r="AG42" i="255" s="1"/>
  <c r="AG43" i="255" s="1"/>
  <c r="AG44" i="255" s="1"/>
  <c r="AG45" i="255" s="1"/>
  <c r="AG46" i="255" s="1"/>
  <c r="AG47" i="255" s="1"/>
  <c r="AG48" i="255" s="1"/>
  <c r="AF40" i="255"/>
  <c r="AF41" i="255" s="1"/>
  <c r="AF42" i="255" s="1"/>
  <c r="AF43" i="255" s="1"/>
  <c r="AF44" i="255" s="1"/>
  <c r="AF45" i="255" s="1"/>
  <c r="AF46" i="255" s="1"/>
  <c r="AF47" i="255" s="1"/>
  <c r="AF48" i="255" s="1"/>
  <c r="AF49" i="255" s="1"/>
  <c r="AF50" i="255" s="1"/>
  <c r="AF51" i="255" s="1"/>
  <c r="AF52" i="255" s="1"/>
  <c r="AF53" i="255" s="1"/>
  <c r="AF54" i="255" s="1"/>
  <c r="AF55" i="255" s="1"/>
  <c r="AF56" i="255" s="1"/>
  <c r="AF57" i="255" s="1"/>
  <c r="AF58" i="255" s="1"/>
  <c r="AF59" i="255" s="1"/>
  <c r="AQ28" i="255"/>
  <c r="AR27" i="255"/>
  <c r="AQ27" i="255"/>
  <c r="AO27" i="255"/>
  <c r="AN27" i="255"/>
  <c r="AK27" i="255"/>
  <c r="AJ27" i="255"/>
  <c r="Q27" i="255"/>
  <c r="N26" i="255"/>
  <c r="I26" i="255"/>
  <c r="AM26" i="255" s="1"/>
  <c r="N25" i="255"/>
  <c r="K25" i="255"/>
  <c r="I25" i="255"/>
  <c r="AO25" i="255" s="1"/>
  <c r="N24" i="255"/>
  <c r="K24" i="255"/>
  <c r="I24" i="255"/>
  <c r="AO24" i="255" s="1"/>
  <c r="N23" i="255"/>
  <c r="K23" i="255"/>
  <c r="I23" i="255"/>
  <c r="AO23" i="255" s="1"/>
  <c r="N22" i="255"/>
  <c r="K22" i="255"/>
  <c r="I22" i="255"/>
  <c r="AH22" i="255" s="1"/>
  <c r="N21" i="255"/>
  <c r="K21" i="255"/>
  <c r="I21" i="255"/>
  <c r="AL21" i="255" s="1"/>
  <c r="N20" i="255"/>
  <c r="K20" i="255"/>
  <c r="I20" i="255"/>
  <c r="AR20" i="255" s="1"/>
  <c r="N19" i="255"/>
  <c r="K19" i="255"/>
  <c r="I19" i="255"/>
  <c r="AG19" i="255" s="1"/>
  <c r="N18" i="255"/>
  <c r="K18" i="255"/>
  <c r="I18" i="255"/>
  <c r="AR18" i="255" s="1"/>
  <c r="N17" i="255"/>
  <c r="K17" i="255"/>
  <c r="I17" i="255"/>
  <c r="AO17" i="255" s="1"/>
  <c r="N16" i="255"/>
  <c r="K16" i="255"/>
  <c r="I16" i="255"/>
  <c r="AK16" i="255" s="1"/>
  <c r="G16" i="255"/>
  <c r="N15" i="255"/>
  <c r="K15" i="255"/>
  <c r="I15" i="255"/>
  <c r="AP15" i="255" s="1"/>
  <c r="N14" i="255"/>
  <c r="K14" i="255"/>
  <c r="I14" i="255"/>
  <c r="AK14" i="255" s="1"/>
  <c r="N13" i="255"/>
  <c r="K13" i="255"/>
  <c r="I13" i="255"/>
  <c r="AM13" i="255" s="1"/>
  <c r="N12" i="255"/>
  <c r="K12" i="255"/>
  <c r="I12" i="255"/>
  <c r="AO12" i="255" s="1"/>
  <c r="N11" i="255"/>
  <c r="K11" i="255"/>
  <c r="I11" i="255"/>
  <c r="AP11" i="255" s="1"/>
  <c r="N10" i="255"/>
  <c r="K10" i="255"/>
  <c r="I10" i="255"/>
  <c r="AR10" i="255" s="1"/>
  <c r="L10" i="255" s="1"/>
  <c r="N9" i="255"/>
  <c r="K9" i="255"/>
  <c r="I9" i="255"/>
  <c r="AQ9" i="255" s="1"/>
  <c r="N8" i="255"/>
  <c r="K8" i="255"/>
  <c r="I8" i="255"/>
  <c r="AS8" i="255" s="1"/>
  <c r="N7" i="255"/>
  <c r="K7" i="255"/>
  <c r="I7" i="255"/>
  <c r="AR7" i="255" s="1"/>
  <c r="N6" i="255"/>
  <c r="J6" i="255"/>
  <c r="I6" i="255"/>
  <c r="AP6" i="255" s="1"/>
  <c r="A1" i="255"/>
  <c r="B5" i="255" s="1"/>
  <c r="BH27" i="254"/>
  <c r="BH26" i="254"/>
  <c r="J6" i="254"/>
  <c r="N6" i="254"/>
  <c r="K7" i="254"/>
  <c r="N7" i="254"/>
  <c r="K8" i="254"/>
  <c r="N8" i="254"/>
  <c r="K9" i="254"/>
  <c r="N9" i="254"/>
  <c r="K10" i="254"/>
  <c r="N10" i="254"/>
  <c r="K11" i="254"/>
  <c r="N11" i="254"/>
  <c r="K12" i="254"/>
  <c r="N12" i="254"/>
  <c r="K13" i="254"/>
  <c r="N13" i="254"/>
  <c r="K14" i="254"/>
  <c r="N14" i="254"/>
  <c r="K15" i="254"/>
  <c r="N15" i="254"/>
  <c r="K16" i="254"/>
  <c r="N16" i="254"/>
  <c r="K17" i="254"/>
  <c r="N17" i="254"/>
  <c r="K18" i="254"/>
  <c r="N18" i="254"/>
  <c r="K19" i="254"/>
  <c r="N19" i="254"/>
  <c r="K20" i="254"/>
  <c r="N20" i="254"/>
  <c r="K21" i="254"/>
  <c r="N21" i="254"/>
  <c r="K22" i="254"/>
  <c r="N22" i="254"/>
  <c r="K23" i="254"/>
  <c r="N23" i="254"/>
  <c r="K24" i="254"/>
  <c r="N24" i="254"/>
  <c r="K25" i="254"/>
  <c r="N25" i="254"/>
  <c r="N26" i="254"/>
  <c r="Q27" i="254"/>
  <c r="AJ27" i="254"/>
  <c r="AK27" i="254"/>
  <c r="AN27" i="254"/>
  <c r="AO27" i="254"/>
  <c r="AG50" i="254"/>
  <c r="AG51" i="254" s="1"/>
  <c r="AG52" i="254" s="1"/>
  <c r="AG53" i="254" s="1"/>
  <c r="AG54" i="254" s="1"/>
  <c r="AG55" i="254" s="1"/>
  <c r="AG56" i="254" s="1"/>
  <c r="AG57" i="254" s="1"/>
  <c r="AG58" i="254" s="1"/>
  <c r="AG59" i="254" s="1"/>
  <c r="AG41" i="254"/>
  <c r="AG42" i="254" s="1"/>
  <c r="AG43" i="254" s="1"/>
  <c r="AG44" i="254" s="1"/>
  <c r="AG45" i="254" s="1"/>
  <c r="AG46" i="254" s="1"/>
  <c r="AG47" i="254" s="1"/>
  <c r="AG48" i="254" s="1"/>
  <c r="AH40" i="254"/>
  <c r="AH41" i="254" s="1"/>
  <c r="AH42" i="254" s="1"/>
  <c r="AH43" i="254" s="1"/>
  <c r="AH44" i="254" s="1"/>
  <c r="AH45" i="254" s="1"/>
  <c r="AH46" i="254" s="1"/>
  <c r="AH47" i="254" s="1"/>
  <c r="AH48" i="254" s="1"/>
  <c r="AH49" i="254" s="1"/>
  <c r="AH50" i="254" s="1"/>
  <c r="AH51" i="254" s="1"/>
  <c r="AH52" i="254" s="1"/>
  <c r="AH53" i="254" s="1"/>
  <c r="AH54" i="254" s="1"/>
  <c r="AH55" i="254" s="1"/>
  <c r="AH56" i="254" s="1"/>
  <c r="AH57" i="254" s="1"/>
  <c r="AH58" i="254" s="1"/>
  <c r="AH59" i="254" s="1"/>
  <c r="AG40" i="254"/>
  <c r="AF40" i="254"/>
  <c r="AF41" i="254" s="1"/>
  <c r="AF42" i="254" s="1"/>
  <c r="AF43" i="254" s="1"/>
  <c r="AF44" i="254" s="1"/>
  <c r="AF45" i="254" s="1"/>
  <c r="AF46" i="254" s="1"/>
  <c r="AF47" i="254" s="1"/>
  <c r="AF48" i="254" s="1"/>
  <c r="AF49" i="254" s="1"/>
  <c r="AF50" i="254" s="1"/>
  <c r="AF51" i="254" s="1"/>
  <c r="AF52" i="254" s="1"/>
  <c r="AF53" i="254" s="1"/>
  <c r="AF54" i="254" s="1"/>
  <c r="AF55" i="254" s="1"/>
  <c r="AF56" i="254" s="1"/>
  <c r="AF57" i="254" s="1"/>
  <c r="AF58" i="254" s="1"/>
  <c r="AF59" i="254" s="1"/>
  <c r="AQ28" i="254"/>
  <c r="AR27" i="254"/>
  <c r="AQ27" i="254"/>
  <c r="I26" i="254"/>
  <c r="AO26" i="254" s="1"/>
  <c r="I25" i="254"/>
  <c r="P25" i="254" s="1"/>
  <c r="I24" i="254"/>
  <c r="Q24" i="254" s="1"/>
  <c r="I23" i="254"/>
  <c r="J23" i="254" s="1"/>
  <c r="I22" i="254"/>
  <c r="S22" i="254" s="1"/>
  <c r="I21" i="254"/>
  <c r="AR21" i="254" s="1"/>
  <c r="I20" i="254"/>
  <c r="I19" i="254"/>
  <c r="V19" i="254" s="1"/>
  <c r="I18" i="254"/>
  <c r="O18" i="254" s="1"/>
  <c r="I17" i="254"/>
  <c r="P17" i="254" s="1"/>
  <c r="I16" i="254"/>
  <c r="AS16" i="254" s="1"/>
  <c r="G16" i="254"/>
  <c r="I15" i="254"/>
  <c r="Q15" i="254" s="1"/>
  <c r="I14" i="254"/>
  <c r="I13" i="254"/>
  <c r="AS13" i="254" s="1"/>
  <c r="I12" i="254"/>
  <c r="AR12" i="254" s="1"/>
  <c r="I11" i="254"/>
  <c r="V11" i="254" s="1"/>
  <c r="I10" i="254"/>
  <c r="AQ10" i="254" s="1"/>
  <c r="I9" i="254"/>
  <c r="P9" i="254" s="1"/>
  <c r="I8" i="254"/>
  <c r="Q8" i="254" s="1"/>
  <c r="I7" i="254"/>
  <c r="I6" i="254"/>
  <c r="AS6" i="254" s="1"/>
  <c r="A1" i="254"/>
  <c r="B5" i="254" s="1"/>
  <c r="AG50" i="253"/>
  <c r="AG51" i="253" s="1"/>
  <c r="AG52" i="253" s="1"/>
  <c r="AG53" i="253" s="1"/>
  <c r="AG54" i="253" s="1"/>
  <c r="AG55" i="253" s="1"/>
  <c r="AG56" i="253" s="1"/>
  <c r="AG57" i="253" s="1"/>
  <c r="AG58" i="253" s="1"/>
  <c r="AG59" i="253" s="1"/>
  <c r="AG41" i="253"/>
  <c r="AG42" i="253" s="1"/>
  <c r="AG43" i="253" s="1"/>
  <c r="AG44" i="253" s="1"/>
  <c r="AG45" i="253" s="1"/>
  <c r="AG46" i="253" s="1"/>
  <c r="AG47" i="253" s="1"/>
  <c r="AG48" i="253" s="1"/>
  <c r="AH40" i="253"/>
  <c r="AH41" i="253" s="1"/>
  <c r="AH42" i="253" s="1"/>
  <c r="AH43" i="253" s="1"/>
  <c r="AH44" i="253" s="1"/>
  <c r="AH45" i="253" s="1"/>
  <c r="AH46" i="253" s="1"/>
  <c r="AH47" i="253" s="1"/>
  <c r="AH48" i="253" s="1"/>
  <c r="AH49" i="253" s="1"/>
  <c r="AH50" i="253" s="1"/>
  <c r="AH51" i="253" s="1"/>
  <c r="AH52" i="253" s="1"/>
  <c r="AH53" i="253" s="1"/>
  <c r="AH54" i="253" s="1"/>
  <c r="AH55" i="253" s="1"/>
  <c r="AH56" i="253" s="1"/>
  <c r="AH57" i="253" s="1"/>
  <c r="AH58" i="253" s="1"/>
  <c r="AH59" i="253" s="1"/>
  <c r="AG40" i="253"/>
  <c r="AF40" i="253"/>
  <c r="AF41" i="253" s="1"/>
  <c r="AF42" i="253" s="1"/>
  <c r="AF43" i="253" s="1"/>
  <c r="AF44" i="253" s="1"/>
  <c r="AF45" i="253" s="1"/>
  <c r="AF46" i="253" s="1"/>
  <c r="AF47" i="253" s="1"/>
  <c r="AF48" i="253" s="1"/>
  <c r="AF49" i="253" s="1"/>
  <c r="AF50" i="253" s="1"/>
  <c r="AF51" i="253" s="1"/>
  <c r="AF52" i="253" s="1"/>
  <c r="AF53" i="253" s="1"/>
  <c r="AF54" i="253" s="1"/>
  <c r="AF55" i="253" s="1"/>
  <c r="AF56" i="253" s="1"/>
  <c r="AF57" i="253" s="1"/>
  <c r="AF58" i="253" s="1"/>
  <c r="AF59" i="253" s="1"/>
  <c r="AQ28" i="253"/>
  <c r="AR27" i="253"/>
  <c r="AQ27" i="253"/>
  <c r="AO27" i="253"/>
  <c r="AN27" i="253"/>
  <c r="AK27" i="253"/>
  <c r="AJ27" i="253"/>
  <c r="Q27" i="253"/>
  <c r="N26" i="253"/>
  <c r="I26" i="253"/>
  <c r="AR26" i="253" s="1"/>
  <c r="N25" i="253"/>
  <c r="K25" i="253"/>
  <c r="I25" i="253"/>
  <c r="W25" i="253" s="1"/>
  <c r="N24" i="253"/>
  <c r="K24" i="253"/>
  <c r="I24" i="253"/>
  <c r="AP24" i="253" s="1"/>
  <c r="N23" i="253"/>
  <c r="K23" i="253"/>
  <c r="I23" i="253"/>
  <c r="AQ23" i="253" s="1"/>
  <c r="N22" i="253"/>
  <c r="K22" i="253"/>
  <c r="I22" i="253"/>
  <c r="AS22" i="253" s="1"/>
  <c r="N21" i="253"/>
  <c r="K21" i="253"/>
  <c r="I21" i="253"/>
  <c r="AP21" i="253" s="1"/>
  <c r="N20" i="253"/>
  <c r="K20" i="253"/>
  <c r="I20" i="253"/>
  <c r="AO20" i="253" s="1"/>
  <c r="N19" i="253"/>
  <c r="K19" i="253"/>
  <c r="I19" i="253"/>
  <c r="AG19" i="253" s="1"/>
  <c r="N18" i="253"/>
  <c r="K18" i="253"/>
  <c r="I18" i="253"/>
  <c r="AP18" i="253" s="1"/>
  <c r="N17" i="253"/>
  <c r="K17" i="253"/>
  <c r="I17" i="253"/>
  <c r="Y17" i="253" s="1"/>
  <c r="N16" i="253"/>
  <c r="K16" i="253"/>
  <c r="I16" i="253"/>
  <c r="AR16" i="253" s="1"/>
  <c r="G16" i="253"/>
  <c r="N15" i="253"/>
  <c r="K15" i="253"/>
  <c r="I15" i="253"/>
  <c r="AP15" i="253" s="1"/>
  <c r="N14" i="253"/>
  <c r="K14" i="253"/>
  <c r="I14" i="253"/>
  <c r="AC14" i="253" s="1"/>
  <c r="N13" i="253"/>
  <c r="K13" i="253"/>
  <c r="I13" i="253"/>
  <c r="AR13" i="253" s="1"/>
  <c r="N12" i="253"/>
  <c r="K12" i="253"/>
  <c r="I12" i="253"/>
  <c r="AO12" i="253" s="1"/>
  <c r="N11" i="253"/>
  <c r="K11" i="253"/>
  <c r="I11" i="253"/>
  <c r="AQ11" i="253" s="1"/>
  <c r="N10" i="253"/>
  <c r="K10" i="253"/>
  <c r="I10" i="253"/>
  <c r="AG10" i="253" s="1"/>
  <c r="N9" i="253"/>
  <c r="K9" i="253"/>
  <c r="I9" i="253"/>
  <c r="AP9" i="253" s="1"/>
  <c r="N8" i="253"/>
  <c r="K8" i="253"/>
  <c r="I8" i="253"/>
  <c r="AL8" i="253" s="1"/>
  <c r="N7" i="253"/>
  <c r="K7" i="253"/>
  <c r="I7" i="253"/>
  <c r="AQ7" i="253" s="1"/>
  <c r="N6" i="253"/>
  <c r="J6" i="253"/>
  <c r="I6" i="253"/>
  <c r="AN6" i="253" s="1"/>
  <c r="A1" i="253"/>
  <c r="B5" i="253" s="1"/>
  <c r="BH25" i="252"/>
  <c r="BD25" i="252"/>
  <c r="BH24" i="252"/>
  <c r="BD24" i="252"/>
  <c r="BH20" i="252"/>
  <c r="BH19" i="252"/>
  <c r="BH15" i="252"/>
  <c r="BH14" i="252"/>
  <c r="AG50" i="252"/>
  <c r="AG51" i="252" s="1"/>
  <c r="AG52" i="252" s="1"/>
  <c r="AG53" i="252" s="1"/>
  <c r="AG54" i="252" s="1"/>
  <c r="AG55" i="252" s="1"/>
  <c r="AG56" i="252" s="1"/>
  <c r="AG57" i="252" s="1"/>
  <c r="AG58" i="252" s="1"/>
  <c r="AG59" i="252" s="1"/>
  <c r="AH41" i="252"/>
  <c r="AH42" i="252" s="1"/>
  <c r="AH43" i="252" s="1"/>
  <c r="AH44" i="252" s="1"/>
  <c r="AH45" i="252" s="1"/>
  <c r="AH46" i="252" s="1"/>
  <c r="AH47" i="252" s="1"/>
  <c r="AH48" i="252" s="1"/>
  <c r="AH49" i="252" s="1"/>
  <c r="AH50" i="252" s="1"/>
  <c r="AH51" i="252" s="1"/>
  <c r="AH52" i="252" s="1"/>
  <c r="AH53" i="252" s="1"/>
  <c r="AH54" i="252" s="1"/>
  <c r="AH55" i="252" s="1"/>
  <c r="AH56" i="252" s="1"/>
  <c r="AH57" i="252" s="1"/>
  <c r="AH58" i="252" s="1"/>
  <c r="AH59" i="252" s="1"/>
  <c r="AH40" i="252"/>
  <c r="AG40" i="252"/>
  <c r="AG41" i="252" s="1"/>
  <c r="AG42" i="252" s="1"/>
  <c r="AG43" i="252" s="1"/>
  <c r="AG44" i="252" s="1"/>
  <c r="AG45" i="252" s="1"/>
  <c r="AG46" i="252" s="1"/>
  <c r="AG47" i="252" s="1"/>
  <c r="AG48" i="252" s="1"/>
  <c r="AF40" i="252"/>
  <c r="AF41" i="252" s="1"/>
  <c r="AF42" i="252" s="1"/>
  <c r="AF43" i="252" s="1"/>
  <c r="AF44" i="252" s="1"/>
  <c r="AF45" i="252" s="1"/>
  <c r="AF46" i="252" s="1"/>
  <c r="AF47" i="252" s="1"/>
  <c r="AF48" i="252" s="1"/>
  <c r="AF49" i="252" s="1"/>
  <c r="AF50" i="252" s="1"/>
  <c r="AF51" i="252" s="1"/>
  <c r="AF52" i="252" s="1"/>
  <c r="AF53" i="252" s="1"/>
  <c r="AF54" i="252" s="1"/>
  <c r="AF55" i="252" s="1"/>
  <c r="AF56" i="252" s="1"/>
  <c r="AF57" i="252" s="1"/>
  <c r="AF58" i="252" s="1"/>
  <c r="AF59" i="252" s="1"/>
  <c r="AQ28" i="252"/>
  <c r="AR27" i="252"/>
  <c r="AQ27" i="252"/>
  <c r="AO27" i="252"/>
  <c r="AN27" i="252"/>
  <c r="AK27" i="252"/>
  <c r="AJ27" i="252"/>
  <c r="Q27" i="252"/>
  <c r="N26" i="252"/>
  <c r="K26" i="252"/>
  <c r="I26" i="252"/>
  <c r="AI26" i="252" s="1"/>
  <c r="N25" i="252"/>
  <c r="K25" i="252"/>
  <c r="I25" i="252"/>
  <c r="AQ25" i="252" s="1"/>
  <c r="N24" i="252"/>
  <c r="K24" i="252"/>
  <c r="I24" i="252"/>
  <c r="AH24" i="252" s="1"/>
  <c r="N23" i="252"/>
  <c r="K23" i="252"/>
  <c r="I23" i="252"/>
  <c r="AO23" i="252" s="1"/>
  <c r="N22" i="252"/>
  <c r="K22" i="252"/>
  <c r="I22" i="252"/>
  <c r="AI22" i="252" s="1"/>
  <c r="N21" i="252"/>
  <c r="K21" i="252"/>
  <c r="I21" i="252"/>
  <c r="AI21" i="252" s="1"/>
  <c r="N20" i="252"/>
  <c r="K20" i="252"/>
  <c r="I20" i="252"/>
  <c r="AH20" i="252" s="1"/>
  <c r="N19" i="252"/>
  <c r="K19" i="252"/>
  <c r="I19" i="252"/>
  <c r="AQ19" i="252" s="1"/>
  <c r="N18" i="252"/>
  <c r="K18" i="252"/>
  <c r="I18" i="252"/>
  <c r="AH18" i="252" s="1"/>
  <c r="N17" i="252"/>
  <c r="K17" i="252"/>
  <c r="I17" i="252"/>
  <c r="AM17" i="252" s="1"/>
  <c r="N16" i="252"/>
  <c r="K16" i="252"/>
  <c r="I16" i="252"/>
  <c r="AP16" i="252" s="1"/>
  <c r="G16" i="252"/>
  <c r="N15" i="252"/>
  <c r="K15" i="252"/>
  <c r="I15" i="252"/>
  <c r="AH15" i="252" s="1"/>
  <c r="N14" i="252"/>
  <c r="K14" i="252"/>
  <c r="I14" i="252"/>
  <c r="AQ14" i="252" s="1"/>
  <c r="N13" i="252"/>
  <c r="K13" i="252"/>
  <c r="I13" i="252"/>
  <c r="AP13" i="252" s="1"/>
  <c r="N12" i="252"/>
  <c r="K12" i="252"/>
  <c r="I12" i="252"/>
  <c r="AQ12" i="252" s="1"/>
  <c r="N11" i="252"/>
  <c r="K11" i="252"/>
  <c r="I11" i="252"/>
  <c r="AR11" i="252" s="1"/>
  <c r="N10" i="252"/>
  <c r="K10" i="252"/>
  <c r="I10" i="252"/>
  <c r="AO10" i="252" s="1"/>
  <c r="N9" i="252"/>
  <c r="K9" i="252"/>
  <c r="I9" i="252"/>
  <c r="AG9" i="252" s="1"/>
  <c r="N8" i="252"/>
  <c r="K8" i="252"/>
  <c r="I8" i="252"/>
  <c r="AL8" i="252" s="1"/>
  <c r="N7" i="252"/>
  <c r="K7" i="252"/>
  <c r="I7" i="252"/>
  <c r="AQ7" i="252" s="1"/>
  <c r="N6" i="252"/>
  <c r="J6" i="252"/>
  <c r="I6" i="252"/>
  <c r="AN6" i="252" s="1"/>
  <c r="A1" i="252"/>
  <c r="B5" i="252" s="1"/>
  <c r="BH23" i="251"/>
  <c r="BG23" i="251"/>
  <c r="BF23" i="251"/>
  <c r="BD23" i="251"/>
  <c r="BH22" i="251"/>
  <c r="BD22" i="251"/>
  <c r="BH21" i="251"/>
  <c r="BD21" i="251"/>
  <c r="BH20" i="251"/>
  <c r="BD20" i="251"/>
  <c r="AG50" i="251"/>
  <c r="AG51" i="251" s="1"/>
  <c r="AG52" i="251" s="1"/>
  <c r="AG53" i="251" s="1"/>
  <c r="AG54" i="251" s="1"/>
  <c r="AG55" i="251" s="1"/>
  <c r="AG56" i="251" s="1"/>
  <c r="AG57" i="251" s="1"/>
  <c r="AG58" i="251" s="1"/>
  <c r="AG59" i="251" s="1"/>
  <c r="AF41" i="251"/>
  <c r="AF42" i="251" s="1"/>
  <c r="AF43" i="251" s="1"/>
  <c r="AF44" i="251" s="1"/>
  <c r="AF45" i="251" s="1"/>
  <c r="AF46" i="251" s="1"/>
  <c r="AF47" i="251" s="1"/>
  <c r="AF48" i="251" s="1"/>
  <c r="AF49" i="251" s="1"/>
  <c r="AF50" i="251" s="1"/>
  <c r="AF51" i="251" s="1"/>
  <c r="AF52" i="251" s="1"/>
  <c r="AF53" i="251" s="1"/>
  <c r="AF54" i="251" s="1"/>
  <c r="AF55" i="251" s="1"/>
  <c r="AF56" i="251" s="1"/>
  <c r="AF57" i="251" s="1"/>
  <c r="AF58" i="251" s="1"/>
  <c r="AF59" i="251" s="1"/>
  <c r="AH40" i="251"/>
  <c r="AH41" i="251" s="1"/>
  <c r="AH42" i="251" s="1"/>
  <c r="AH43" i="251" s="1"/>
  <c r="AH44" i="251" s="1"/>
  <c r="AH45" i="251" s="1"/>
  <c r="AH46" i="251" s="1"/>
  <c r="AH47" i="251" s="1"/>
  <c r="AH48" i="251" s="1"/>
  <c r="AH49" i="251" s="1"/>
  <c r="AH50" i="251" s="1"/>
  <c r="AH51" i="251" s="1"/>
  <c r="AH52" i="251" s="1"/>
  <c r="AH53" i="251" s="1"/>
  <c r="AH54" i="251" s="1"/>
  <c r="AH55" i="251" s="1"/>
  <c r="AH56" i="251" s="1"/>
  <c r="AH57" i="251" s="1"/>
  <c r="AH58" i="251" s="1"/>
  <c r="AH59" i="251" s="1"/>
  <c r="AG40" i="251"/>
  <c r="AG41" i="251" s="1"/>
  <c r="AG42" i="251" s="1"/>
  <c r="AG43" i="251" s="1"/>
  <c r="AG44" i="251" s="1"/>
  <c r="AG45" i="251" s="1"/>
  <c r="AG46" i="251" s="1"/>
  <c r="AG47" i="251" s="1"/>
  <c r="AG48" i="251" s="1"/>
  <c r="AF40" i="251"/>
  <c r="AQ28" i="251"/>
  <c r="AR27" i="251"/>
  <c r="AQ27" i="251"/>
  <c r="AO27" i="251"/>
  <c r="AN27" i="251"/>
  <c r="AK27" i="251"/>
  <c r="AJ27" i="251"/>
  <c r="Q27" i="251"/>
  <c r="N26" i="251"/>
  <c r="K26" i="251"/>
  <c r="I26" i="251"/>
  <c r="AN26" i="251" s="1"/>
  <c r="N25" i="251"/>
  <c r="K25" i="251"/>
  <c r="I25" i="251"/>
  <c r="AQ25" i="251" s="1"/>
  <c r="N24" i="251"/>
  <c r="K24" i="251"/>
  <c r="I24" i="251"/>
  <c r="AO24" i="251" s="1"/>
  <c r="N23" i="251"/>
  <c r="K23" i="251"/>
  <c r="I23" i="251"/>
  <c r="AL23" i="251" s="1"/>
  <c r="N22" i="251"/>
  <c r="K22" i="251"/>
  <c r="I22" i="251"/>
  <c r="AR22" i="251" s="1"/>
  <c r="N21" i="251"/>
  <c r="K21" i="251"/>
  <c r="I21" i="251"/>
  <c r="AO21" i="251" s="1"/>
  <c r="N20" i="251"/>
  <c r="K20" i="251"/>
  <c r="I20" i="251"/>
  <c r="AL20" i="251" s="1"/>
  <c r="N19" i="251"/>
  <c r="K19" i="251"/>
  <c r="I19" i="251"/>
  <c r="AP19" i="251" s="1"/>
  <c r="N18" i="251"/>
  <c r="K18" i="251"/>
  <c r="I18" i="251"/>
  <c r="AO18" i="251" s="1"/>
  <c r="N17" i="251"/>
  <c r="K17" i="251"/>
  <c r="I17" i="251"/>
  <c r="AR17" i="251" s="1"/>
  <c r="N16" i="251"/>
  <c r="K16" i="251"/>
  <c r="I16" i="251"/>
  <c r="AO16" i="251" s="1"/>
  <c r="G16" i="251"/>
  <c r="N15" i="251"/>
  <c r="K15" i="251"/>
  <c r="I15" i="251"/>
  <c r="Y15" i="251" s="1"/>
  <c r="N14" i="251"/>
  <c r="K14" i="251"/>
  <c r="I14" i="251"/>
  <c r="AR14" i="251" s="1"/>
  <c r="N13" i="251"/>
  <c r="K13" i="251"/>
  <c r="I13" i="251"/>
  <c r="AO13" i="251" s="1"/>
  <c r="N12" i="251"/>
  <c r="K12" i="251"/>
  <c r="I12" i="251"/>
  <c r="AL12" i="251" s="1"/>
  <c r="N11" i="251"/>
  <c r="K11" i="251"/>
  <c r="I11" i="251"/>
  <c r="AP11" i="251" s="1"/>
  <c r="N10" i="251"/>
  <c r="K10" i="251"/>
  <c r="I10" i="251"/>
  <c r="AR10" i="251" s="1"/>
  <c r="L10" i="251" s="1"/>
  <c r="N9" i="251"/>
  <c r="K9" i="251"/>
  <c r="I9" i="251"/>
  <c r="AM9" i="251" s="1"/>
  <c r="N8" i="251"/>
  <c r="K8" i="251"/>
  <c r="I8" i="251"/>
  <c r="AS8" i="251" s="1"/>
  <c r="N7" i="251"/>
  <c r="K7" i="251"/>
  <c r="I7" i="251"/>
  <c r="AN7" i="251" s="1"/>
  <c r="N6" i="251"/>
  <c r="J6" i="251"/>
  <c r="I6" i="251"/>
  <c r="AS6" i="251" s="1"/>
  <c r="A1" i="251"/>
  <c r="B5" i="251" s="1"/>
  <c r="BH23" i="250"/>
  <c r="BH22" i="250"/>
  <c r="AG50" i="250"/>
  <c r="AG51" i="250" s="1"/>
  <c r="AG52" i="250" s="1"/>
  <c r="AG53" i="250" s="1"/>
  <c r="AG54" i="250" s="1"/>
  <c r="AG55" i="250" s="1"/>
  <c r="AG56" i="250" s="1"/>
  <c r="AG57" i="250" s="1"/>
  <c r="AG58" i="250" s="1"/>
  <c r="AG59" i="250" s="1"/>
  <c r="AG41" i="250"/>
  <c r="AG42" i="250" s="1"/>
  <c r="AG43" i="250" s="1"/>
  <c r="AG44" i="250" s="1"/>
  <c r="AG45" i="250" s="1"/>
  <c r="AG46" i="250" s="1"/>
  <c r="AG47" i="250" s="1"/>
  <c r="AG48" i="250" s="1"/>
  <c r="AH40" i="250"/>
  <c r="AH41" i="250" s="1"/>
  <c r="AH42" i="250" s="1"/>
  <c r="AH43" i="250" s="1"/>
  <c r="AH44" i="250" s="1"/>
  <c r="AH45" i="250" s="1"/>
  <c r="AH46" i="250" s="1"/>
  <c r="AH47" i="250" s="1"/>
  <c r="AH48" i="250" s="1"/>
  <c r="AH49" i="250" s="1"/>
  <c r="AH50" i="250" s="1"/>
  <c r="AH51" i="250" s="1"/>
  <c r="AH52" i="250" s="1"/>
  <c r="AH53" i="250" s="1"/>
  <c r="AH54" i="250" s="1"/>
  <c r="AH55" i="250" s="1"/>
  <c r="AH56" i="250" s="1"/>
  <c r="AH57" i="250" s="1"/>
  <c r="AH58" i="250" s="1"/>
  <c r="AH59" i="250" s="1"/>
  <c r="AG40" i="250"/>
  <c r="AF40" i="250"/>
  <c r="AF41" i="250" s="1"/>
  <c r="AF42" i="250" s="1"/>
  <c r="AF43" i="250" s="1"/>
  <c r="AF44" i="250" s="1"/>
  <c r="AF45" i="250" s="1"/>
  <c r="AF46" i="250" s="1"/>
  <c r="AF47" i="250" s="1"/>
  <c r="AF48" i="250" s="1"/>
  <c r="AF49" i="250" s="1"/>
  <c r="AF50" i="250" s="1"/>
  <c r="AF51" i="250" s="1"/>
  <c r="AF52" i="250" s="1"/>
  <c r="AF53" i="250" s="1"/>
  <c r="AF54" i="250" s="1"/>
  <c r="AF55" i="250" s="1"/>
  <c r="AF56" i="250" s="1"/>
  <c r="AF57" i="250" s="1"/>
  <c r="AF58" i="250" s="1"/>
  <c r="AF59" i="250" s="1"/>
  <c r="AQ28" i="250"/>
  <c r="AR27" i="250"/>
  <c r="AQ27" i="250"/>
  <c r="AO27" i="250"/>
  <c r="AN27" i="250"/>
  <c r="AK27" i="250"/>
  <c r="AJ27" i="250"/>
  <c r="Q27" i="250"/>
  <c r="N26" i="250"/>
  <c r="K26" i="250"/>
  <c r="I26" i="250"/>
  <c r="AN26" i="250" s="1"/>
  <c r="N25" i="250"/>
  <c r="K25" i="250"/>
  <c r="I25" i="250"/>
  <c r="AP25" i="250" s="1"/>
  <c r="N24" i="250"/>
  <c r="K24" i="250"/>
  <c r="I24" i="250"/>
  <c r="Y24" i="250" s="1"/>
  <c r="N23" i="250"/>
  <c r="K23" i="250"/>
  <c r="I23" i="250"/>
  <c r="X23" i="250" s="1"/>
  <c r="N22" i="250"/>
  <c r="K22" i="250"/>
  <c r="I22" i="250"/>
  <c r="AR22" i="250" s="1"/>
  <c r="N21" i="250"/>
  <c r="K21" i="250"/>
  <c r="I21" i="250"/>
  <c r="AO21" i="250" s="1"/>
  <c r="N20" i="250"/>
  <c r="K20" i="250"/>
  <c r="I20" i="250"/>
  <c r="AQ20" i="250" s="1"/>
  <c r="N19" i="250"/>
  <c r="K19" i="250"/>
  <c r="I19" i="250"/>
  <c r="X19" i="250" s="1"/>
  <c r="N18" i="250"/>
  <c r="K18" i="250"/>
  <c r="I18" i="250"/>
  <c r="AR18" i="250" s="1"/>
  <c r="N17" i="250"/>
  <c r="K17" i="250"/>
  <c r="I17" i="250"/>
  <c r="AO17" i="250" s="1"/>
  <c r="N16" i="250"/>
  <c r="K16" i="250"/>
  <c r="I16" i="250"/>
  <c r="AQ16" i="250" s="1"/>
  <c r="G16" i="250"/>
  <c r="N15" i="250"/>
  <c r="K15" i="250"/>
  <c r="I15" i="250"/>
  <c r="AP15" i="250" s="1"/>
  <c r="N14" i="250"/>
  <c r="K14" i="250"/>
  <c r="I14" i="250"/>
  <c r="AR14" i="250" s="1"/>
  <c r="N13" i="250"/>
  <c r="K13" i="250"/>
  <c r="I13" i="250"/>
  <c r="AP13" i="250" s="1"/>
  <c r="N12" i="250"/>
  <c r="K12" i="250"/>
  <c r="I12" i="250"/>
  <c r="AR12" i="250" s="1"/>
  <c r="N11" i="250"/>
  <c r="K11" i="250"/>
  <c r="I11" i="250"/>
  <c r="AG11" i="250" s="1"/>
  <c r="N10" i="250"/>
  <c r="K10" i="250"/>
  <c r="I10" i="250"/>
  <c r="AP10" i="250" s="1"/>
  <c r="N9" i="250"/>
  <c r="K9" i="250"/>
  <c r="I9" i="250"/>
  <c r="AP9" i="250" s="1"/>
  <c r="N8" i="250"/>
  <c r="K8" i="250"/>
  <c r="I8" i="250"/>
  <c r="AS8" i="250" s="1"/>
  <c r="N7" i="250"/>
  <c r="K7" i="250"/>
  <c r="I7" i="250"/>
  <c r="AP7" i="250" s="1"/>
  <c r="N6" i="250"/>
  <c r="J6" i="250"/>
  <c r="I6" i="250"/>
  <c r="AM6" i="250" s="1"/>
  <c r="A1" i="250"/>
  <c r="B5" i="250" s="1"/>
  <c r="K23" i="247"/>
  <c r="K24" i="247"/>
  <c r="K25" i="247"/>
  <c r="K20" i="246"/>
  <c r="K21" i="246"/>
  <c r="K22" i="246"/>
  <c r="K23" i="246"/>
  <c r="K24" i="246"/>
  <c r="K25" i="246"/>
  <c r="K16" i="245"/>
  <c r="K17" i="245"/>
  <c r="K18" i="245"/>
  <c r="K19" i="245"/>
  <c r="K20" i="245"/>
  <c r="K21" i="245"/>
  <c r="K22" i="245"/>
  <c r="K23" i="245"/>
  <c r="K24" i="245"/>
  <c r="K25" i="245"/>
  <c r="K21" i="244"/>
  <c r="K22" i="244"/>
  <c r="K23" i="244"/>
  <c r="K24" i="244"/>
  <c r="K25" i="244"/>
  <c r="K20" i="243"/>
  <c r="K21" i="243"/>
  <c r="K22" i="243"/>
  <c r="K23" i="243"/>
  <c r="K24" i="243"/>
  <c r="K25" i="243"/>
  <c r="K22" i="242"/>
  <c r="K23" i="242"/>
  <c r="K24" i="242"/>
  <c r="K25" i="242"/>
  <c r="K15" i="241"/>
  <c r="K16" i="241"/>
  <c r="K17" i="241"/>
  <c r="K18" i="241"/>
  <c r="K19" i="241"/>
  <c r="K20" i="241"/>
  <c r="K21" i="241"/>
  <c r="K22" i="241"/>
  <c r="K23" i="241"/>
  <c r="K24" i="241"/>
  <c r="K25" i="241"/>
  <c r="K16" i="240"/>
  <c r="K17" i="240"/>
  <c r="K18" i="240"/>
  <c r="K19" i="240"/>
  <c r="K20" i="240"/>
  <c r="K21" i="240"/>
  <c r="K22" i="240"/>
  <c r="K23" i="240"/>
  <c r="K24" i="240"/>
  <c r="K25" i="240"/>
  <c r="K17" i="239"/>
  <c r="K18" i="239"/>
  <c r="K19" i="239"/>
  <c r="K20" i="239"/>
  <c r="K21" i="239"/>
  <c r="K22" i="239"/>
  <c r="K23" i="239"/>
  <c r="K24" i="239"/>
  <c r="K25" i="239"/>
  <c r="K22" i="238"/>
  <c r="K23" i="238"/>
  <c r="K24" i="238"/>
  <c r="K25" i="238"/>
  <c r="K19" i="248"/>
  <c r="K20" i="248"/>
  <c r="K21" i="248"/>
  <c r="K22" i="248"/>
  <c r="K23" i="248"/>
  <c r="K24" i="248"/>
  <c r="K25" i="248"/>
  <c r="K22" i="249"/>
  <c r="K23" i="249"/>
  <c r="K24" i="249"/>
  <c r="K25" i="249"/>
  <c r="K26" i="249"/>
  <c r="BH23" i="249"/>
  <c r="BH22" i="249"/>
  <c r="BH21" i="249"/>
  <c r="BH20" i="249"/>
  <c r="BH19" i="249"/>
  <c r="BH18" i="249"/>
  <c r="BH17" i="249"/>
  <c r="BH16" i="249"/>
  <c r="BH15" i="249"/>
  <c r="BH14" i="249"/>
  <c r="BH13" i="249"/>
  <c r="BH12" i="249"/>
  <c r="AG50" i="249"/>
  <c r="AG51" i="249" s="1"/>
  <c r="AG52" i="249" s="1"/>
  <c r="AG53" i="249" s="1"/>
  <c r="AG54" i="249" s="1"/>
  <c r="AG55" i="249" s="1"/>
  <c r="AG56" i="249" s="1"/>
  <c r="AG57" i="249" s="1"/>
  <c r="AG58" i="249" s="1"/>
  <c r="AG59" i="249" s="1"/>
  <c r="AH43" i="249"/>
  <c r="AH44" i="249" s="1"/>
  <c r="AH45" i="249" s="1"/>
  <c r="AH46" i="249" s="1"/>
  <c r="AH47" i="249" s="1"/>
  <c r="AH48" i="249" s="1"/>
  <c r="AH49" i="249" s="1"/>
  <c r="AH50" i="249" s="1"/>
  <c r="AH51" i="249" s="1"/>
  <c r="AH52" i="249" s="1"/>
  <c r="AH53" i="249" s="1"/>
  <c r="AH54" i="249" s="1"/>
  <c r="AH55" i="249" s="1"/>
  <c r="AH56" i="249" s="1"/>
  <c r="AH57" i="249" s="1"/>
  <c r="AH58" i="249" s="1"/>
  <c r="AH59" i="249" s="1"/>
  <c r="AH40" i="249"/>
  <c r="AH41" i="249" s="1"/>
  <c r="AH42" i="249" s="1"/>
  <c r="AG40" i="249"/>
  <c r="AG41" i="249" s="1"/>
  <c r="AG42" i="249" s="1"/>
  <c r="AG43" i="249" s="1"/>
  <c r="AG44" i="249" s="1"/>
  <c r="AG45" i="249" s="1"/>
  <c r="AG46" i="249" s="1"/>
  <c r="AG47" i="249" s="1"/>
  <c r="AG48" i="249" s="1"/>
  <c r="AF40" i="249"/>
  <c r="AF41" i="249" s="1"/>
  <c r="AF42" i="249" s="1"/>
  <c r="AF43" i="249" s="1"/>
  <c r="AF44" i="249" s="1"/>
  <c r="AF45" i="249" s="1"/>
  <c r="AF46" i="249" s="1"/>
  <c r="AF47" i="249" s="1"/>
  <c r="AF48" i="249" s="1"/>
  <c r="AF49" i="249" s="1"/>
  <c r="AF50" i="249" s="1"/>
  <c r="AF51" i="249" s="1"/>
  <c r="AF52" i="249" s="1"/>
  <c r="AF53" i="249" s="1"/>
  <c r="AF54" i="249" s="1"/>
  <c r="AF55" i="249" s="1"/>
  <c r="AF56" i="249" s="1"/>
  <c r="AF57" i="249" s="1"/>
  <c r="AF58" i="249" s="1"/>
  <c r="AF59" i="249" s="1"/>
  <c r="AQ28" i="249"/>
  <c r="AR27" i="249"/>
  <c r="AQ27" i="249"/>
  <c r="AO27" i="249"/>
  <c r="AN27" i="249"/>
  <c r="AK27" i="249"/>
  <c r="AJ27" i="249"/>
  <c r="Q27" i="249"/>
  <c r="N26" i="249"/>
  <c r="I26" i="249"/>
  <c r="AN26" i="249" s="1"/>
  <c r="N25" i="249"/>
  <c r="I25" i="249"/>
  <c r="AO25" i="249" s="1"/>
  <c r="N24" i="249"/>
  <c r="I24" i="249"/>
  <c r="AL24" i="249" s="1"/>
  <c r="N23" i="249"/>
  <c r="I23" i="249"/>
  <c r="AP23" i="249" s="1"/>
  <c r="N22" i="249"/>
  <c r="I22" i="249"/>
  <c r="AO22" i="249" s="1"/>
  <c r="N21" i="249"/>
  <c r="K21" i="249"/>
  <c r="I21" i="249"/>
  <c r="AR21" i="249" s="1"/>
  <c r="N20" i="249"/>
  <c r="K20" i="249"/>
  <c r="I20" i="249"/>
  <c r="AO20" i="249" s="1"/>
  <c r="N19" i="249"/>
  <c r="K19" i="249"/>
  <c r="I19" i="249"/>
  <c r="AO19" i="249" s="1"/>
  <c r="N18" i="249"/>
  <c r="K18" i="249"/>
  <c r="I18" i="249"/>
  <c r="AG18" i="249" s="1"/>
  <c r="N17" i="249"/>
  <c r="K17" i="249"/>
  <c r="I17" i="249"/>
  <c r="AR17" i="249" s="1"/>
  <c r="N16" i="249"/>
  <c r="K16" i="249"/>
  <c r="I16" i="249"/>
  <c r="AO16" i="249" s="1"/>
  <c r="G16" i="249"/>
  <c r="N15" i="249"/>
  <c r="K15" i="249"/>
  <c r="I15" i="249"/>
  <c r="AQ15" i="249" s="1"/>
  <c r="N14" i="249"/>
  <c r="K14" i="249"/>
  <c r="I14" i="249"/>
  <c r="AR14" i="249" s="1"/>
  <c r="N13" i="249"/>
  <c r="K13" i="249"/>
  <c r="I13" i="249"/>
  <c r="Y13" i="249" s="1"/>
  <c r="N12" i="249"/>
  <c r="K12" i="249"/>
  <c r="I12" i="249"/>
  <c r="AM12" i="249" s="1"/>
  <c r="N11" i="249"/>
  <c r="K11" i="249"/>
  <c r="I11" i="249"/>
  <c r="Y11" i="249" s="1"/>
  <c r="N10" i="249"/>
  <c r="K10" i="249"/>
  <c r="I10" i="249"/>
  <c r="AQ10" i="249" s="1"/>
  <c r="N9" i="249"/>
  <c r="K9" i="249"/>
  <c r="I9" i="249"/>
  <c r="AQ9" i="249" s="1"/>
  <c r="N8" i="249"/>
  <c r="K8" i="249"/>
  <c r="I8" i="249"/>
  <c r="AL8" i="249" s="1"/>
  <c r="N7" i="249"/>
  <c r="K7" i="249"/>
  <c r="I7" i="249"/>
  <c r="AQ7" i="249" s="1"/>
  <c r="N6" i="249"/>
  <c r="J6" i="249"/>
  <c r="I6" i="249"/>
  <c r="AN6" i="249" s="1"/>
  <c r="A1" i="249"/>
  <c r="B5" i="249" s="1"/>
  <c r="BH19" i="248"/>
  <c r="BD19" i="248"/>
  <c r="BH18" i="248"/>
  <c r="BD18" i="248"/>
  <c r="BH13" i="248"/>
  <c r="BH12" i="248"/>
  <c r="AG50" i="248"/>
  <c r="AG51" i="248" s="1"/>
  <c r="AG52" i="248" s="1"/>
  <c r="AG53" i="248" s="1"/>
  <c r="AG54" i="248" s="1"/>
  <c r="AG55" i="248" s="1"/>
  <c r="AG56" i="248" s="1"/>
  <c r="AG57" i="248" s="1"/>
  <c r="AG58" i="248" s="1"/>
  <c r="AG59" i="248" s="1"/>
  <c r="AH40" i="248"/>
  <c r="AH41" i="248" s="1"/>
  <c r="AH42" i="248" s="1"/>
  <c r="AH43" i="248" s="1"/>
  <c r="AH44" i="248" s="1"/>
  <c r="AH45" i="248" s="1"/>
  <c r="AH46" i="248" s="1"/>
  <c r="AH47" i="248" s="1"/>
  <c r="AH48" i="248" s="1"/>
  <c r="AH49" i="248" s="1"/>
  <c r="AH50" i="248" s="1"/>
  <c r="AH51" i="248" s="1"/>
  <c r="AH52" i="248" s="1"/>
  <c r="AH53" i="248" s="1"/>
  <c r="AH54" i="248" s="1"/>
  <c r="AH55" i="248" s="1"/>
  <c r="AH56" i="248" s="1"/>
  <c r="AH57" i="248" s="1"/>
  <c r="AH58" i="248" s="1"/>
  <c r="AH59" i="248" s="1"/>
  <c r="AG40" i="248"/>
  <c r="AG41" i="248" s="1"/>
  <c r="AG42" i="248" s="1"/>
  <c r="AG43" i="248" s="1"/>
  <c r="AG44" i="248" s="1"/>
  <c r="AG45" i="248" s="1"/>
  <c r="AG46" i="248" s="1"/>
  <c r="AG47" i="248" s="1"/>
  <c r="AG48" i="248" s="1"/>
  <c r="AF40" i="248"/>
  <c r="AF41" i="248" s="1"/>
  <c r="AF42" i="248" s="1"/>
  <c r="AF43" i="248" s="1"/>
  <c r="AF44" i="248" s="1"/>
  <c r="AF45" i="248" s="1"/>
  <c r="AF46" i="248" s="1"/>
  <c r="AF47" i="248" s="1"/>
  <c r="AF48" i="248" s="1"/>
  <c r="AF49" i="248" s="1"/>
  <c r="AF50" i="248" s="1"/>
  <c r="AF51" i="248" s="1"/>
  <c r="AF52" i="248" s="1"/>
  <c r="AF53" i="248" s="1"/>
  <c r="AF54" i="248" s="1"/>
  <c r="AF55" i="248" s="1"/>
  <c r="AF56" i="248" s="1"/>
  <c r="AF57" i="248" s="1"/>
  <c r="AF58" i="248" s="1"/>
  <c r="AF59" i="248" s="1"/>
  <c r="AQ28" i="248"/>
  <c r="AR27" i="248"/>
  <c r="AQ27" i="248"/>
  <c r="AO27" i="248"/>
  <c r="AN27" i="248"/>
  <c r="AK27" i="248"/>
  <c r="AJ27" i="248"/>
  <c r="Q27" i="248"/>
  <c r="N26" i="248"/>
  <c r="I26" i="248"/>
  <c r="AN26" i="248" s="1"/>
  <c r="N25" i="248"/>
  <c r="I25" i="248"/>
  <c r="AO25" i="248" s="1"/>
  <c r="N24" i="248"/>
  <c r="I24" i="248"/>
  <c r="Q24" i="248" s="1"/>
  <c r="N23" i="248"/>
  <c r="I23" i="248"/>
  <c r="AQ23" i="248" s="1"/>
  <c r="N22" i="248"/>
  <c r="I22" i="248"/>
  <c r="AO22" i="248" s="1"/>
  <c r="N21" i="248"/>
  <c r="I21" i="248"/>
  <c r="N20" i="248"/>
  <c r="I20" i="248"/>
  <c r="AS20" i="248" s="1"/>
  <c r="N19" i="248"/>
  <c r="I19" i="248"/>
  <c r="AO19" i="248" s="1"/>
  <c r="N18" i="248"/>
  <c r="K18" i="248"/>
  <c r="I18" i="248"/>
  <c r="Y18" i="248" s="1"/>
  <c r="N17" i="248"/>
  <c r="K17" i="248"/>
  <c r="I17" i="248"/>
  <c r="AP17" i="248" s="1"/>
  <c r="N16" i="248"/>
  <c r="K16" i="248"/>
  <c r="I16" i="248"/>
  <c r="AI16" i="248" s="1"/>
  <c r="G16" i="248"/>
  <c r="N15" i="248"/>
  <c r="K15" i="248"/>
  <c r="I15" i="248"/>
  <c r="AE15" i="248" s="1"/>
  <c r="N14" i="248"/>
  <c r="K14" i="248"/>
  <c r="I14" i="248"/>
  <c r="AP14" i="248" s="1"/>
  <c r="N13" i="248"/>
  <c r="K13" i="248"/>
  <c r="I13" i="248"/>
  <c r="AN13" i="248" s="1"/>
  <c r="N12" i="248"/>
  <c r="K12" i="248"/>
  <c r="I12" i="248"/>
  <c r="AR12" i="248" s="1"/>
  <c r="N11" i="248"/>
  <c r="K11" i="248"/>
  <c r="I11" i="248"/>
  <c r="AO11" i="248" s="1"/>
  <c r="N10" i="248"/>
  <c r="K10" i="248"/>
  <c r="I10" i="248"/>
  <c r="AS10" i="248" s="1"/>
  <c r="N9" i="248"/>
  <c r="K9" i="248"/>
  <c r="I9" i="248"/>
  <c r="AP9" i="248" s="1"/>
  <c r="N8" i="248"/>
  <c r="K8" i="248"/>
  <c r="I8" i="248"/>
  <c r="AN8" i="248" s="1"/>
  <c r="N7" i="248"/>
  <c r="K7" i="248"/>
  <c r="I7" i="248"/>
  <c r="AS7" i="248" s="1"/>
  <c r="N6" i="248"/>
  <c r="J6" i="248"/>
  <c r="I6" i="248"/>
  <c r="AP6" i="248" s="1"/>
  <c r="A1" i="248"/>
  <c r="B5" i="248" s="1"/>
  <c r="K22" i="247"/>
  <c r="K21" i="247"/>
  <c r="BH35" i="247"/>
  <c r="BG35" i="247"/>
  <c r="BH34" i="247"/>
  <c r="BG34" i="247"/>
  <c r="BH21" i="247"/>
  <c r="BH20" i="247"/>
  <c r="AG54" i="247"/>
  <c r="AG55" i="247" s="1"/>
  <c r="AG56" i="247" s="1"/>
  <c r="AG57" i="247" s="1"/>
  <c r="AG58" i="247" s="1"/>
  <c r="AG59" i="247" s="1"/>
  <c r="AG52" i="247"/>
  <c r="AG53" i="247" s="1"/>
  <c r="AG50" i="247"/>
  <c r="AG51" i="247" s="1"/>
  <c r="AG41" i="247"/>
  <c r="AG42" i="247" s="1"/>
  <c r="AG43" i="247" s="1"/>
  <c r="AG44" i="247" s="1"/>
  <c r="AG45" i="247" s="1"/>
  <c r="AG46" i="247" s="1"/>
  <c r="AG47" i="247" s="1"/>
  <c r="AG48" i="247" s="1"/>
  <c r="AH40" i="247"/>
  <c r="AH41" i="247" s="1"/>
  <c r="AH42" i="247" s="1"/>
  <c r="AH43" i="247" s="1"/>
  <c r="AH44" i="247" s="1"/>
  <c r="AH45" i="247" s="1"/>
  <c r="AH46" i="247" s="1"/>
  <c r="AH47" i="247" s="1"/>
  <c r="AH48" i="247" s="1"/>
  <c r="AH49" i="247" s="1"/>
  <c r="AH50" i="247" s="1"/>
  <c r="AH51" i="247" s="1"/>
  <c r="AH52" i="247" s="1"/>
  <c r="AH53" i="247" s="1"/>
  <c r="AH54" i="247" s="1"/>
  <c r="AH55" i="247" s="1"/>
  <c r="AH56" i="247" s="1"/>
  <c r="AH57" i="247" s="1"/>
  <c r="AH58" i="247" s="1"/>
  <c r="AH59" i="247" s="1"/>
  <c r="AG40" i="247"/>
  <c r="AF40" i="247"/>
  <c r="AF41" i="247" s="1"/>
  <c r="AF42" i="247" s="1"/>
  <c r="AF43" i="247" s="1"/>
  <c r="AF44" i="247" s="1"/>
  <c r="AF45" i="247" s="1"/>
  <c r="AF46" i="247" s="1"/>
  <c r="AF47" i="247" s="1"/>
  <c r="AF48" i="247" s="1"/>
  <c r="AF49" i="247" s="1"/>
  <c r="AF50" i="247" s="1"/>
  <c r="AF51" i="247" s="1"/>
  <c r="AF52" i="247" s="1"/>
  <c r="AF53" i="247" s="1"/>
  <c r="AF54" i="247" s="1"/>
  <c r="AF55" i="247" s="1"/>
  <c r="AF56" i="247" s="1"/>
  <c r="AF57" i="247" s="1"/>
  <c r="AF58" i="247" s="1"/>
  <c r="AF59" i="247" s="1"/>
  <c r="AQ28" i="247"/>
  <c r="AR27" i="247"/>
  <c r="AQ27" i="247"/>
  <c r="AO27" i="247"/>
  <c r="AN27" i="247"/>
  <c r="AK27" i="247"/>
  <c r="AJ27" i="247"/>
  <c r="Q27" i="247"/>
  <c r="N26" i="247"/>
  <c r="I26" i="247"/>
  <c r="AM26" i="247" s="1"/>
  <c r="N25" i="247"/>
  <c r="I25" i="247"/>
  <c r="AO25" i="247" s="1"/>
  <c r="N24" i="247"/>
  <c r="I24" i="247"/>
  <c r="AK24" i="247" s="1"/>
  <c r="N23" i="247"/>
  <c r="I23" i="247"/>
  <c r="AO23" i="247" s="1"/>
  <c r="N22" i="247"/>
  <c r="I22" i="247"/>
  <c r="N21" i="247"/>
  <c r="I21" i="247"/>
  <c r="AO21" i="247" s="1"/>
  <c r="N20" i="247"/>
  <c r="K20" i="247"/>
  <c r="I20" i="247"/>
  <c r="AI20" i="247" s="1"/>
  <c r="N19" i="247"/>
  <c r="K19" i="247"/>
  <c r="I19" i="247"/>
  <c r="AL19" i="247" s="1"/>
  <c r="N18" i="247"/>
  <c r="K18" i="247"/>
  <c r="I18" i="247"/>
  <c r="AR18" i="247" s="1"/>
  <c r="N17" i="247"/>
  <c r="K17" i="247"/>
  <c r="I17" i="247"/>
  <c r="AO17" i="247" s="1"/>
  <c r="N16" i="247"/>
  <c r="K16" i="247"/>
  <c r="I16" i="247"/>
  <c r="AS16" i="247" s="1"/>
  <c r="G16" i="247"/>
  <c r="N15" i="247"/>
  <c r="K15" i="247"/>
  <c r="I15" i="247"/>
  <c r="AG15" i="247" s="1"/>
  <c r="N14" i="247"/>
  <c r="K14" i="247"/>
  <c r="I14" i="247"/>
  <c r="AO14" i="247" s="1"/>
  <c r="N13" i="247"/>
  <c r="K13" i="247"/>
  <c r="I13" i="247"/>
  <c r="AN13" i="247" s="1"/>
  <c r="N12" i="247"/>
  <c r="K12" i="247"/>
  <c r="I12" i="247"/>
  <c r="AO12" i="247" s="1"/>
  <c r="N11" i="247"/>
  <c r="K11" i="247"/>
  <c r="I11" i="247"/>
  <c r="AM11" i="247" s="1"/>
  <c r="N10" i="247"/>
  <c r="K10" i="247"/>
  <c r="I10" i="247"/>
  <c r="AO10" i="247" s="1"/>
  <c r="N9" i="247"/>
  <c r="K9" i="247"/>
  <c r="I9" i="247"/>
  <c r="AQ9" i="247" s="1"/>
  <c r="N8" i="247"/>
  <c r="K8" i="247"/>
  <c r="I8" i="247"/>
  <c r="AM8" i="247" s="1"/>
  <c r="N7" i="247"/>
  <c r="K7" i="247"/>
  <c r="I7" i="247"/>
  <c r="AP7" i="247" s="1"/>
  <c r="N6" i="247"/>
  <c r="J6" i="247"/>
  <c r="I6" i="247"/>
  <c r="AO6" i="247" s="1"/>
  <c r="A1" i="247"/>
  <c r="B5" i="247" s="1"/>
  <c r="AG50" i="246"/>
  <c r="AG51" i="246" s="1"/>
  <c r="AG52" i="246" s="1"/>
  <c r="AG53" i="246" s="1"/>
  <c r="AG54" i="246" s="1"/>
  <c r="AG55" i="246" s="1"/>
  <c r="AG56" i="246" s="1"/>
  <c r="AG57" i="246" s="1"/>
  <c r="AG58" i="246" s="1"/>
  <c r="AG59" i="246" s="1"/>
  <c r="AF41" i="246"/>
  <c r="AF42" i="246" s="1"/>
  <c r="AF43" i="246" s="1"/>
  <c r="AF44" i="246" s="1"/>
  <c r="AF45" i="246" s="1"/>
  <c r="AF46" i="246" s="1"/>
  <c r="AF47" i="246" s="1"/>
  <c r="AF48" i="246" s="1"/>
  <c r="AF49" i="246" s="1"/>
  <c r="AF50" i="246" s="1"/>
  <c r="AF51" i="246" s="1"/>
  <c r="AF52" i="246" s="1"/>
  <c r="AF53" i="246" s="1"/>
  <c r="AF54" i="246" s="1"/>
  <c r="AF55" i="246" s="1"/>
  <c r="AF56" i="246" s="1"/>
  <c r="AF57" i="246" s="1"/>
  <c r="AF58" i="246" s="1"/>
  <c r="AF59" i="246" s="1"/>
  <c r="AH40" i="246"/>
  <c r="AH41" i="246" s="1"/>
  <c r="AH42" i="246" s="1"/>
  <c r="AH43" i="246" s="1"/>
  <c r="AH44" i="246" s="1"/>
  <c r="AH45" i="246" s="1"/>
  <c r="AH46" i="246" s="1"/>
  <c r="AH47" i="246" s="1"/>
  <c r="AH48" i="246" s="1"/>
  <c r="AH49" i="246" s="1"/>
  <c r="AH50" i="246" s="1"/>
  <c r="AH51" i="246" s="1"/>
  <c r="AH52" i="246" s="1"/>
  <c r="AH53" i="246" s="1"/>
  <c r="AH54" i="246" s="1"/>
  <c r="AH55" i="246" s="1"/>
  <c r="AH56" i="246" s="1"/>
  <c r="AH57" i="246" s="1"/>
  <c r="AH58" i="246" s="1"/>
  <c r="AH59" i="246" s="1"/>
  <c r="AG40" i="246"/>
  <c r="AG41" i="246" s="1"/>
  <c r="AG42" i="246" s="1"/>
  <c r="AG43" i="246" s="1"/>
  <c r="AG44" i="246" s="1"/>
  <c r="AG45" i="246" s="1"/>
  <c r="AG46" i="246" s="1"/>
  <c r="AG47" i="246" s="1"/>
  <c r="AG48" i="246" s="1"/>
  <c r="AF40" i="246"/>
  <c r="AQ28" i="246"/>
  <c r="AR27" i="246"/>
  <c r="AQ27" i="246"/>
  <c r="AO27" i="246"/>
  <c r="AN27" i="246"/>
  <c r="AK27" i="246"/>
  <c r="AJ27" i="246"/>
  <c r="Q27" i="246"/>
  <c r="N26" i="246"/>
  <c r="I26" i="246"/>
  <c r="AN26" i="246" s="1"/>
  <c r="N25" i="246"/>
  <c r="I25" i="246"/>
  <c r="AP25" i="246" s="1"/>
  <c r="N24" i="246"/>
  <c r="I24" i="246"/>
  <c r="AR24" i="246" s="1"/>
  <c r="N23" i="246"/>
  <c r="I23" i="246"/>
  <c r="AO23" i="246" s="1"/>
  <c r="N22" i="246"/>
  <c r="I22" i="246"/>
  <c r="AO22" i="246" s="1"/>
  <c r="N21" i="246"/>
  <c r="I21" i="246"/>
  <c r="AO21" i="246" s="1"/>
  <c r="N20" i="246"/>
  <c r="I20" i="246"/>
  <c r="AQ20" i="246" s="1"/>
  <c r="N19" i="246"/>
  <c r="K19" i="246"/>
  <c r="I19" i="246"/>
  <c r="AO19" i="246" s="1"/>
  <c r="N18" i="246"/>
  <c r="K18" i="246"/>
  <c r="I18" i="246"/>
  <c r="AR18" i="246" s="1"/>
  <c r="N17" i="246"/>
  <c r="K17" i="246"/>
  <c r="I17" i="246"/>
  <c r="AO17" i="246" s="1"/>
  <c r="N16" i="246"/>
  <c r="K16" i="246"/>
  <c r="I16" i="246"/>
  <c r="AR16" i="246" s="1"/>
  <c r="G16" i="246"/>
  <c r="N15" i="246"/>
  <c r="K15" i="246"/>
  <c r="I15" i="246"/>
  <c r="AR15" i="246" s="1"/>
  <c r="N14" i="246"/>
  <c r="K14" i="246"/>
  <c r="I14" i="246"/>
  <c r="AQ14" i="246" s="1"/>
  <c r="N13" i="246"/>
  <c r="K13" i="246"/>
  <c r="I13" i="246"/>
  <c r="AQ13" i="246" s="1"/>
  <c r="N12" i="246"/>
  <c r="K12" i="246"/>
  <c r="I12" i="246"/>
  <c r="AR12" i="246" s="1"/>
  <c r="N11" i="246"/>
  <c r="K11" i="246"/>
  <c r="I11" i="246"/>
  <c r="AR11" i="246" s="1"/>
  <c r="N10" i="246"/>
  <c r="K10" i="246"/>
  <c r="I10" i="246"/>
  <c r="AG10" i="246" s="1"/>
  <c r="N9" i="246"/>
  <c r="K9" i="246"/>
  <c r="I9" i="246"/>
  <c r="AR9" i="246" s="1"/>
  <c r="N8" i="246"/>
  <c r="K8" i="246"/>
  <c r="I8" i="246"/>
  <c r="AL8" i="246" s="1"/>
  <c r="N7" i="246"/>
  <c r="K7" i="246"/>
  <c r="I7" i="246"/>
  <c r="AQ7" i="246" s="1"/>
  <c r="N6" i="246"/>
  <c r="J6" i="246"/>
  <c r="I6" i="246"/>
  <c r="AO6" i="246" s="1"/>
  <c r="A1" i="246"/>
  <c r="B5" i="246" s="1"/>
  <c r="BH15" i="245"/>
  <c r="BD15" i="245"/>
  <c r="BH14" i="245"/>
  <c r="BD14" i="245"/>
  <c r="AG57" i="245"/>
  <c r="AG58" i="245" s="1"/>
  <c r="AG59" i="245" s="1"/>
  <c r="AG50" i="245"/>
  <c r="AG51" i="245" s="1"/>
  <c r="AG52" i="245" s="1"/>
  <c r="AG53" i="245" s="1"/>
  <c r="AG54" i="245" s="1"/>
  <c r="AG55" i="245" s="1"/>
  <c r="AG56" i="245" s="1"/>
  <c r="AF41" i="245"/>
  <c r="AF42" i="245" s="1"/>
  <c r="AF43" i="245" s="1"/>
  <c r="AF44" i="245" s="1"/>
  <c r="AF45" i="245" s="1"/>
  <c r="AF46" i="245" s="1"/>
  <c r="AF47" i="245" s="1"/>
  <c r="AF48" i="245" s="1"/>
  <c r="AF49" i="245" s="1"/>
  <c r="AF50" i="245" s="1"/>
  <c r="AF51" i="245" s="1"/>
  <c r="AF52" i="245" s="1"/>
  <c r="AF53" i="245" s="1"/>
  <c r="AF54" i="245" s="1"/>
  <c r="AF55" i="245" s="1"/>
  <c r="AF56" i="245" s="1"/>
  <c r="AF57" i="245" s="1"/>
  <c r="AF58" i="245" s="1"/>
  <c r="AF59" i="245" s="1"/>
  <c r="AH40" i="245"/>
  <c r="AH41" i="245" s="1"/>
  <c r="AH42" i="245" s="1"/>
  <c r="AH43" i="245" s="1"/>
  <c r="AH44" i="245" s="1"/>
  <c r="AH45" i="245" s="1"/>
  <c r="AH46" i="245" s="1"/>
  <c r="AH47" i="245" s="1"/>
  <c r="AH48" i="245" s="1"/>
  <c r="AH49" i="245" s="1"/>
  <c r="AH50" i="245" s="1"/>
  <c r="AH51" i="245" s="1"/>
  <c r="AH52" i="245" s="1"/>
  <c r="AH53" i="245" s="1"/>
  <c r="AH54" i="245" s="1"/>
  <c r="AH55" i="245" s="1"/>
  <c r="AH56" i="245" s="1"/>
  <c r="AH57" i="245" s="1"/>
  <c r="AH58" i="245" s="1"/>
  <c r="AH59" i="245" s="1"/>
  <c r="AG40" i="245"/>
  <c r="AG41" i="245" s="1"/>
  <c r="AG42" i="245" s="1"/>
  <c r="AG43" i="245" s="1"/>
  <c r="AG44" i="245" s="1"/>
  <c r="AG45" i="245" s="1"/>
  <c r="AG46" i="245" s="1"/>
  <c r="AG47" i="245" s="1"/>
  <c r="AG48" i="245" s="1"/>
  <c r="AF40" i="245"/>
  <c r="AQ28" i="245"/>
  <c r="AR27" i="245"/>
  <c r="AQ27" i="245"/>
  <c r="AO27" i="245"/>
  <c r="AN27" i="245"/>
  <c r="AK27" i="245"/>
  <c r="AJ27" i="245"/>
  <c r="Q27" i="245"/>
  <c r="N26" i="245"/>
  <c r="I26" i="245"/>
  <c r="AR26" i="245" s="1"/>
  <c r="N25" i="245"/>
  <c r="I25" i="245"/>
  <c r="AS25" i="245" s="1"/>
  <c r="N24" i="245"/>
  <c r="I24" i="245"/>
  <c r="AP24" i="245" s="1"/>
  <c r="N23" i="245"/>
  <c r="I23" i="245"/>
  <c r="AG23" i="245" s="1"/>
  <c r="N22" i="245"/>
  <c r="I22" i="245"/>
  <c r="AS22" i="245" s="1"/>
  <c r="N21" i="245"/>
  <c r="I21" i="245"/>
  <c r="AO21" i="245" s="1"/>
  <c r="N20" i="245"/>
  <c r="I20" i="245"/>
  <c r="AR20" i="245" s="1"/>
  <c r="N19" i="245"/>
  <c r="I19" i="245"/>
  <c r="AO19" i="245" s="1"/>
  <c r="N18" i="245"/>
  <c r="I18" i="245"/>
  <c r="AP18" i="245" s="1"/>
  <c r="N17" i="245"/>
  <c r="I17" i="245"/>
  <c r="AQ17" i="245" s="1"/>
  <c r="N16" i="245"/>
  <c r="I16" i="245"/>
  <c r="Y16" i="245" s="1"/>
  <c r="G16" i="245"/>
  <c r="N15" i="245"/>
  <c r="K15" i="245"/>
  <c r="I15" i="245"/>
  <c r="AN15" i="245" s="1"/>
  <c r="N14" i="245"/>
  <c r="K14" i="245"/>
  <c r="I14" i="245"/>
  <c r="AQ14" i="245" s="1"/>
  <c r="N13" i="245"/>
  <c r="K13" i="245"/>
  <c r="I13" i="245"/>
  <c r="AQ13" i="245" s="1"/>
  <c r="N12" i="245"/>
  <c r="K12" i="245"/>
  <c r="I12" i="245"/>
  <c r="AF12" i="245" s="1"/>
  <c r="N11" i="245"/>
  <c r="K11" i="245"/>
  <c r="I11" i="245"/>
  <c r="AS11" i="245" s="1"/>
  <c r="N10" i="245"/>
  <c r="K10" i="245"/>
  <c r="I10" i="245"/>
  <c r="AN10" i="245" s="1"/>
  <c r="N9" i="245"/>
  <c r="K9" i="245"/>
  <c r="I9" i="245"/>
  <c r="AR9" i="245" s="1"/>
  <c r="N8" i="245"/>
  <c r="K8" i="245"/>
  <c r="I8" i="245"/>
  <c r="AR8" i="245" s="1"/>
  <c r="L8" i="245" s="1"/>
  <c r="N7" i="245"/>
  <c r="K7" i="245"/>
  <c r="I7" i="245"/>
  <c r="AP7" i="245" s="1"/>
  <c r="N6" i="245"/>
  <c r="J6" i="245"/>
  <c r="I6" i="245"/>
  <c r="AO6" i="245" s="1"/>
  <c r="A1" i="245"/>
  <c r="B5" i="245" s="1"/>
  <c r="BH33" i="244"/>
  <c r="BG33" i="244"/>
  <c r="BH32" i="244"/>
  <c r="BG32" i="244"/>
  <c r="AG50" i="244"/>
  <c r="AG51" i="244" s="1"/>
  <c r="AG52" i="244" s="1"/>
  <c r="AG53" i="244" s="1"/>
  <c r="AG54" i="244" s="1"/>
  <c r="AG55" i="244" s="1"/>
  <c r="AG56" i="244" s="1"/>
  <c r="AG57" i="244" s="1"/>
  <c r="AG58" i="244" s="1"/>
  <c r="AG59" i="244" s="1"/>
  <c r="AF41" i="244"/>
  <c r="AF42" i="244" s="1"/>
  <c r="AF43" i="244" s="1"/>
  <c r="AF44" i="244" s="1"/>
  <c r="AF45" i="244" s="1"/>
  <c r="AF46" i="244" s="1"/>
  <c r="AF47" i="244" s="1"/>
  <c r="AF48" i="244" s="1"/>
  <c r="AF49" i="244" s="1"/>
  <c r="AF50" i="244" s="1"/>
  <c r="AF51" i="244" s="1"/>
  <c r="AF52" i="244" s="1"/>
  <c r="AF53" i="244" s="1"/>
  <c r="AF54" i="244" s="1"/>
  <c r="AF55" i="244" s="1"/>
  <c r="AF56" i="244" s="1"/>
  <c r="AF57" i="244" s="1"/>
  <c r="AF58" i="244" s="1"/>
  <c r="AF59" i="244" s="1"/>
  <c r="AH40" i="244"/>
  <c r="AH41" i="244" s="1"/>
  <c r="AH42" i="244" s="1"/>
  <c r="AH43" i="244" s="1"/>
  <c r="AH44" i="244" s="1"/>
  <c r="AH45" i="244" s="1"/>
  <c r="AH46" i="244" s="1"/>
  <c r="AH47" i="244" s="1"/>
  <c r="AH48" i="244" s="1"/>
  <c r="AH49" i="244" s="1"/>
  <c r="AH50" i="244" s="1"/>
  <c r="AH51" i="244" s="1"/>
  <c r="AH52" i="244" s="1"/>
  <c r="AH53" i="244" s="1"/>
  <c r="AH54" i="244" s="1"/>
  <c r="AH55" i="244" s="1"/>
  <c r="AH56" i="244" s="1"/>
  <c r="AH57" i="244" s="1"/>
  <c r="AH58" i="244" s="1"/>
  <c r="AH59" i="244" s="1"/>
  <c r="AG40" i="244"/>
  <c r="AG41" i="244" s="1"/>
  <c r="AG42" i="244" s="1"/>
  <c r="AG43" i="244" s="1"/>
  <c r="AG44" i="244" s="1"/>
  <c r="AG45" i="244" s="1"/>
  <c r="AG46" i="244" s="1"/>
  <c r="AG47" i="244" s="1"/>
  <c r="AG48" i="244" s="1"/>
  <c r="AF40" i="244"/>
  <c r="AQ28" i="244"/>
  <c r="AR27" i="244"/>
  <c r="AQ27" i="244"/>
  <c r="AO27" i="244"/>
  <c r="AN27" i="244"/>
  <c r="AK27" i="244"/>
  <c r="AJ27" i="244"/>
  <c r="Q27" i="244"/>
  <c r="N26" i="244"/>
  <c r="I26" i="244"/>
  <c r="AN26" i="244" s="1"/>
  <c r="N25" i="244"/>
  <c r="I25" i="244"/>
  <c r="AP25" i="244" s="1"/>
  <c r="N24" i="244"/>
  <c r="I24" i="244"/>
  <c r="AR24" i="244" s="1"/>
  <c r="N23" i="244"/>
  <c r="I23" i="244"/>
  <c r="AO23" i="244" s="1"/>
  <c r="N22" i="244"/>
  <c r="I22" i="244"/>
  <c r="AO22" i="244" s="1"/>
  <c r="N21" i="244"/>
  <c r="I21" i="244"/>
  <c r="AO21" i="244" s="1"/>
  <c r="N20" i="244"/>
  <c r="K20" i="244"/>
  <c r="I20" i="244"/>
  <c r="AP20" i="244" s="1"/>
  <c r="N19" i="244"/>
  <c r="K19" i="244"/>
  <c r="I19" i="244"/>
  <c r="N18" i="244"/>
  <c r="K18" i="244"/>
  <c r="I18" i="244"/>
  <c r="AS18" i="244" s="1"/>
  <c r="N17" i="244"/>
  <c r="K17" i="244"/>
  <c r="I17" i="244"/>
  <c r="AO17" i="244" s="1"/>
  <c r="N16" i="244"/>
  <c r="K16" i="244"/>
  <c r="I16" i="244"/>
  <c r="AR16" i="244" s="1"/>
  <c r="G16" i="244"/>
  <c r="N15" i="244"/>
  <c r="K15" i="244"/>
  <c r="I15" i="244"/>
  <c r="AO15" i="244" s="1"/>
  <c r="N14" i="244"/>
  <c r="K14" i="244"/>
  <c r="I14" i="244"/>
  <c r="AO14" i="244" s="1"/>
  <c r="N13" i="244"/>
  <c r="K13" i="244"/>
  <c r="I13" i="244"/>
  <c r="AM13" i="244" s="1"/>
  <c r="N12" i="244"/>
  <c r="K12" i="244"/>
  <c r="I12" i="244"/>
  <c r="AO12" i="244" s="1"/>
  <c r="N11" i="244"/>
  <c r="K11" i="244"/>
  <c r="I11" i="244"/>
  <c r="AQ11" i="244" s="1"/>
  <c r="N10" i="244"/>
  <c r="K10" i="244"/>
  <c r="I10" i="244"/>
  <c r="AR10" i="244" s="1"/>
  <c r="L10" i="244" s="1"/>
  <c r="N9" i="244"/>
  <c r="K9" i="244"/>
  <c r="I9" i="244"/>
  <c r="AK9" i="244" s="1"/>
  <c r="N8" i="244"/>
  <c r="K8" i="244"/>
  <c r="I8" i="244"/>
  <c r="AO8" i="244" s="1"/>
  <c r="N7" i="244"/>
  <c r="K7" i="244"/>
  <c r="I7" i="244"/>
  <c r="AN7" i="244" s="1"/>
  <c r="N6" i="244"/>
  <c r="J6" i="244"/>
  <c r="I6" i="244"/>
  <c r="AR6" i="244" s="1"/>
  <c r="A1" i="244"/>
  <c r="B5" i="244" s="1"/>
  <c r="BH15" i="243"/>
  <c r="BH14" i="243"/>
  <c r="AG50" i="243"/>
  <c r="AG51" i="243" s="1"/>
  <c r="AG52" i="243" s="1"/>
  <c r="AG53" i="243" s="1"/>
  <c r="AG54" i="243" s="1"/>
  <c r="AG55" i="243" s="1"/>
  <c r="AG56" i="243" s="1"/>
  <c r="AG57" i="243" s="1"/>
  <c r="AG58" i="243" s="1"/>
  <c r="AG59" i="243" s="1"/>
  <c r="AH43" i="243"/>
  <c r="AH44" i="243" s="1"/>
  <c r="AH45" i="243" s="1"/>
  <c r="AH46" i="243" s="1"/>
  <c r="AH47" i="243" s="1"/>
  <c r="AH48" i="243" s="1"/>
  <c r="AH49" i="243" s="1"/>
  <c r="AH50" i="243" s="1"/>
  <c r="AH51" i="243" s="1"/>
  <c r="AH52" i="243" s="1"/>
  <c r="AH53" i="243" s="1"/>
  <c r="AH54" i="243" s="1"/>
  <c r="AH55" i="243" s="1"/>
  <c r="AH56" i="243" s="1"/>
  <c r="AH57" i="243" s="1"/>
  <c r="AH58" i="243" s="1"/>
  <c r="AH59" i="243" s="1"/>
  <c r="AH40" i="243"/>
  <c r="AH41" i="243" s="1"/>
  <c r="AH42" i="243" s="1"/>
  <c r="AG40" i="243"/>
  <c r="AG41" i="243" s="1"/>
  <c r="AG42" i="243" s="1"/>
  <c r="AG43" i="243" s="1"/>
  <c r="AG44" i="243" s="1"/>
  <c r="AG45" i="243" s="1"/>
  <c r="AG46" i="243" s="1"/>
  <c r="AG47" i="243" s="1"/>
  <c r="AG48" i="243" s="1"/>
  <c r="AF40" i="243"/>
  <c r="AF41" i="243" s="1"/>
  <c r="AF42" i="243" s="1"/>
  <c r="AF43" i="243" s="1"/>
  <c r="AF44" i="243" s="1"/>
  <c r="AF45" i="243" s="1"/>
  <c r="AF46" i="243" s="1"/>
  <c r="AF47" i="243" s="1"/>
  <c r="AF48" i="243" s="1"/>
  <c r="AF49" i="243" s="1"/>
  <c r="AF50" i="243" s="1"/>
  <c r="AF51" i="243" s="1"/>
  <c r="AF52" i="243" s="1"/>
  <c r="AF53" i="243" s="1"/>
  <c r="AF54" i="243" s="1"/>
  <c r="AF55" i="243" s="1"/>
  <c r="AF56" i="243" s="1"/>
  <c r="AF57" i="243" s="1"/>
  <c r="AF58" i="243" s="1"/>
  <c r="AF59" i="243" s="1"/>
  <c r="AQ28" i="243"/>
  <c r="AR27" i="243"/>
  <c r="AQ27" i="243"/>
  <c r="AO27" i="243"/>
  <c r="AN27" i="243"/>
  <c r="AK27" i="243"/>
  <c r="AJ27" i="243"/>
  <c r="Q27" i="243"/>
  <c r="N26" i="243"/>
  <c r="I26" i="243"/>
  <c r="AN26" i="243" s="1"/>
  <c r="N25" i="243"/>
  <c r="I25" i="243"/>
  <c r="AP25" i="243" s="1"/>
  <c r="N24" i="243"/>
  <c r="I24" i="243"/>
  <c r="AR24" i="243" s="1"/>
  <c r="N23" i="243"/>
  <c r="I23" i="243"/>
  <c r="AO23" i="243" s="1"/>
  <c r="N22" i="243"/>
  <c r="I22" i="243"/>
  <c r="AO22" i="243" s="1"/>
  <c r="N21" i="243"/>
  <c r="I21" i="243"/>
  <c r="AO21" i="243" s="1"/>
  <c r="N20" i="243"/>
  <c r="I20" i="243"/>
  <c r="AQ20" i="243" s="1"/>
  <c r="N19" i="243"/>
  <c r="K19" i="243"/>
  <c r="I19" i="243"/>
  <c r="AF19" i="243" s="1"/>
  <c r="N18" i="243"/>
  <c r="K18" i="243"/>
  <c r="I18" i="243"/>
  <c r="AS18" i="243" s="1"/>
  <c r="N17" i="243"/>
  <c r="K17" i="243"/>
  <c r="I17" i="243"/>
  <c r="AG17" i="243" s="1"/>
  <c r="N16" i="243"/>
  <c r="K16" i="243"/>
  <c r="I16" i="243"/>
  <c r="AR16" i="243" s="1"/>
  <c r="G16" i="243"/>
  <c r="N15" i="243"/>
  <c r="K15" i="243"/>
  <c r="I15" i="243"/>
  <c r="AS15" i="243" s="1"/>
  <c r="N14" i="243"/>
  <c r="K14" i="243"/>
  <c r="I14" i="243"/>
  <c r="N13" i="243"/>
  <c r="K13" i="243"/>
  <c r="I13" i="243"/>
  <c r="AF13" i="243" s="1"/>
  <c r="N12" i="243"/>
  <c r="K12" i="243"/>
  <c r="I12" i="243"/>
  <c r="AO12" i="243" s="1"/>
  <c r="N11" i="243"/>
  <c r="K11" i="243"/>
  <c r="I11" i="243"/>
  <c r="AM11" i="243" s="1"/>
  <c r="N10" i="243"/>
  <c r="K10" i="243"/>
  <c r="I10" i="243"/>
  <c r="AO10" i="243" s="1"/>
  <c r="N9" i="243"/>
  <c r="K9" i="243"/>
  <c r="I9" i="243"/>
  <c r="AP9" i="243" s="1"/>
  <c r="N8" i="243"/>
  <c r="K8" i="243"/>
  <c r="I8" i="243"/>
  <c r="AO8" i="243" s="1"/>
  <c r="N7" i="243"/>
  <c r="K7" i="243"/>
  <c r="I7" i="243"/>
  <c r="AR7" i="243" s="1"/>
  <c r="N6" i="243"/>
  <c r="J6" i="243"/>
  <c r="I6" i="243"/>
  <c r="AP6" i="243" s="1"/>
  <c r="A1" i="243"/>
  <c r="B5" i="243" s="1"/>
  <c r="AG50" i="242"/>
  <c r="AG51" i="242" s="1"/>
  <c r="AG52" i="242" s="1"/>
  <c r="AG53" i="242" s="1"/>
  <c r="AG54" i="242" s="1"/>
  <c r="AG55" i="242" s="1"/>
  <c r="AG56" i="242" s="1"/>
  <c r="AG57" i="242" s="1"/>
  <c r="AG58" i="242" s="1"/>
  <c r="AG59" i="242" s="1"/>
  <c r="AH46" i="242"/>
  <c r="AH47" i="242" s="1"/>
  <c r="AH48" i="242" s="1"/>
  <c r="AH49" i="242" s="1"/>
  <c r="AH50" i="242" s="1"/>
  <c r="AH51" i="242" s="1"/>
  <c r="AH52" i="242" s="1"/>
  <c r="AH53" i="242" s="1"/>
  <c r="AH54" i="242" s="1"/>
  <c r="AH55" i="242" s="1"/>
  <c r="AH56" i="242" s="1"/>
  <c r="AH57" i="242" s="1"/>
  <c r="AH58" i="242" s="1"/>
  <c r="AH59" i="242" s="1"/>
  <c r="AH40" i="242"/>
  <c r="AH41" i="242" s="1"/>
  <c r="AH42" i="242" s="1"/>
  <c r="AH43" i="242" s="1"/>
  <c r="AH44" i="242" s="1"/>
  <c r="AH45" i="242" s="1"/>
  <c r="AG40" i="242"/>
  <c r="AG41" i="242" s="1"/>
  <c r="AG42" i="242" s="1"/>
  <c r="AG43" i="242" s="1"/>
  <c r="AG44" i="242" s="1"/>
  <c r="AG45" i="242" s="1"/>
  <c r="AG46" i="242" s="1"/>
  <c r="AG47" i="242" s="1"/>
  <c r="AG48" i="242" s="1"/>
  <c r="AF40" i="242"/>
  <c r="AF41" i="242" s="1"/>
  <c r="AF42" i="242" s="1"/>
  <c r="AF43" i="242" s="1"/>
  <c r="AF44" i="242" s="1"/>
  <c r="AF45" i="242" s="1"/>
  <c r="AF46" i="242" s="1"/>
  <c r="AF47" i="242" s="1"/>
  <c r="AF48" i="242" s="1"/>
  <c r="AF49" i="242" s="1"/>
  <c r="AF50" i="242" s="1"/>
  <c r="AF51" i="242" s="1"/>
  <c r="AF52" i="242" s="1"/>
  <c r="AF53" i="242" s="1"/>
  <c r="AF54" i="242" s="1"/>
  <c r="AF55" i="242" s="1"/>
  <c r="AF56" i="242" s="1"/>
  <c r="AF57" i="242" s="1"/>
  <c r="AF58" i="242" s="1"/>
  <c r="AF59" i="242" s="1"/>
  <c r="AQ28" i="242"/>
  <c r="AR27" i="242"/>
  <c r="AQ27" i="242"/>
  <c r="AO27" i="242"/>
  <c r="AN27" i="242"/>
  <c r="AK27" i="242"/>
  <c r="AJ27" i="242"/>
  <c r="Q27" i="242"/>
  <c r="N26" i="242"/>
  <c r="I26" i="242"/>
  <c r="AM26" i="242" s="1"/>
  <c r="N25" i="242"/>
  <c r="I25" i="242"/>
  <c r="AO25" i="242" s="1"/>
  <c r="N24" i="242"/>
  <c r="I24" i="242"/>
  <c r="AO24" i="242" s="1"/>
  <c r="N23" i="242"/>
  <c r="I23" i="242"/>
  <c r="AQ23" i="242" s="1"/>
  <c r="N22" i="242"/>
  <c r="I22" i="242"/>
  <c r="AR22" i="242" s="1"/>
  <c r="N21" i="242"/>
  <c r="K21" i="242"/>
  <c r="I21" i="242"/>
  <c r="AO21" i="242" s="1"/>
  <c r="N20" i="242"/>
  <c r="K20" i="242"/>
  <c r="I20" i="242"/>
  <c r="N19" i="242"/>
  <c r="K19" i="242"/>
  <c r="I19" i="242"/>
  <c r="AO19" i="242" s="1"/>
  <c r="N18" i="242"/>
  <c r="K18" i="242"/>
  <c r="I18" i="242"/>
  <c r="AG18" i="242" s="1"/>
  <c r="N17" i="242"/>
  <c r="K17" i="242"/>
  <c r="I17" i="242"/>
  <c r="AQ17" i="242" s="1"/>
  <c r="N16" i="242"/>
  <c r="K16" i="242"/>
  <c r="I16" i="242"/>
  <c r="AK16" i="242" s="1"/>
  <c r="G16" i="242"/>
  <c r="N15" i="242"/>
  <c r="K15" i="242"/>
  <c r="I15" i="242"/>
  <c r="AI15" i="242" s="1"/>
  <c r="N14" i="242"/>
  <c r="K14" i="242"/>
  <c r="I14" i="242"/>
  <c r="AO14" i="242" s="1"/>
  <c r="N13" i="242"/>
  <c r="K13" i="242"/>
  <c r="I13" i="242"/>
  <c r="AP13" i="242" s="1"/>
  <c r="N12" i="242"/>
  <c r="K12" i="242"/>
  <c r="I12" i="242"/>
  <c r="AN12" i="242" s="1"/>
  <c r="N11" i="242"/>
  <c r="K11" i="242"/>
  <c r="I11" i="242"/>
  <c r="AQ11" i="242" s="1"/>
  <c r="N10" i="242"/>
  <c r="K10" i="242"/>
  <c r="I10" i="242"/>
  <c r="AO10" i="242" s="1"/>
  <c r="N9" i="242"/>
  <c r="K9" i="242"/>
  <c r="I9" i="242"/>
  <c r="AP9" i="242" s="1"/>
  <c r="N8" i="242"/>
  <c r="K8" i="242"/>
  <c r="I8" i="242"/>
  <c r="AO8" i="242" s="1"/>
  <c r="N7" i="242"/>
  <c r="K7" i="242"/>
  <c r="I7" i="242"/>
  <c r="AO7" i="242" s="1"/>
  <c r="N6" i="242"/>
  <c r="J6" i="242"/>
  <c r="I6" i="242"/>
  <c r="AL6" i="242" s="1"/>
  <c r="A1" i="242"/>
  <c r="B5" i="242" s="1"/>
  <c r="BH23" i="241"/>
  <c r="BD23" i="241"/>
  <c r="BH22" i="241"/>
  <c r="BD22" i="241"/>
  <c r="BH11" i="241"/>
  <c r="BH10" i="241"/>
  <c r="AG50" i="241"/>
  <c r="AG51" i="241" s="1"/>
  <c r="AG52" i="241" s="1"/>
  <c r="AG53" i="241" s="1"/>
  <c r="AG54" i="241" s="1"/>
  <c r="AG55" i="241" s="1"/>
  <c r="AG56" i="241" s="1"/>
  <c r="AG57" i="241" s="1"/>
  <c r="AG58" i="241" s="1"/>
  <c r="AG59" i="241" s="1"/>
  <c r="AH40" i="241"/>
  <c r="AH41" i="241" s="1"/>
  <c r="AH42" i="241" s="1"/>
  <c r="AH43" i="241" s="1"/>
  <c r="AH44" i="241" s="1"/>
  <c r="AH45" i="241" s="1"/>
  <c r="AH46" i="241" s="1"/>
  <c r="AH47" i="241" s="1"/>
  <c r="AH48" i="241" s="1"/>
  <c r="AH49" i="241" s="1"/>
  <c r="AH50" i="241" s="1"/>
  <c r="AH51" i="241" s="1"/>
  <c r="AH52" i="241" s="1"/>
  <c r="AH53" i="241" s="1"/>
  <c r="AH54" i="241" s="1"/>
  <c r="AH55" i="241" s="1"/>
  <c r="AH56" i="241" s="1"/>
  <c r="AH57" i="241" s="1"/>
  <c r="AH58" i="241" s="1"/>
  <c r="AH59" i="241" s="1"/>
  <c r="AG40" i="241"/>
  <c r="AG41" i="241" s="1"/>
  <c r="AG42" i="241" s="1"/>
  <c r="AG43" i="241" s="1"/>
  <c r="AG44" i="241" s="1"/>
  <c r="AG45" i="241" s="1"/>
  <c r="AG46" i="241" s="1"/>
  <c r="AG47" i="241" s="1"/>
  <c r="AG48" i="241" s="1"/>
  <c r="AF40" i="241"/>
  <c r="AF41" i="241" s="1"/>
  <c r="AF42" i="241" s="1"/>
  <c r="AF43" i="241" s="1"/>
  <c r="AF44" i="241" s="1"/>
  <c r="AF45" i="241" s="1"/>
  <c r="AF46" i="241" s="1"/>
  <c r="AF47" i="241" s="1"/>
  <c r="AF48" i="241" s="1"/>
  <c r="AF49" i="241" s="1"/>
  <c r="AF50" i="241" s="1"/>
  <c r="AF51" i="241" s="1"/>
  <c r="AF52" i="241" s="1"/>
  <c r="AF53" i="241" s="1"/>
  <c r="AF54" i="241" s="1"/>
  <c r="AF55" i="241" s="1"/>
  <c r="AF56" i="241" s="1"/>
  <c r="AF57" i="241" s="1"/>
  <c r="AF58" i="241" s="1"/>
  <c r="AF59" i="241" s="1"/>
  <c r="AQ28" i="241"/>
  <c r="AR27" i="241"/>
  <c r="AQ27" i="241"/>
  <c r="AO27" i="241"/>
  <c r="AN27" i="241"/>
  <c r="AK27" i="241"/>
  <c r="AJ27" i="241"/>
  <c r="Q27" i="241"/>
  <c r="N26" i="241"/>
  <c r="I26" i="241"/>
  <c r="AM26" i="241" s="1"/>
  <c r="N25" i="241"/>
  <c r="I25" i="241"/>
  <c r="AO25" i="241" s="1"/>
  <c r="N24" i="241"/>
  <c r="I24" i="241"/>
  <c r="AS24" i="241" s="1"/>
  <c r="N23" i="241"/>
  <c r="I23" i="241"/>
  <c r="AP23" i="241" s="1"/>
  <c r="N22" i="241"/>
  <c r="I22" i="241"/>
  <c r="AP22" i="241" s="1"/>
  <c r="N21" i="241"/>
  <c r="I21" i="241"/>
  <c r="W21" i="241" s="1"/>
  <c r="N20" i="241"/>
  <c r="I20" i="241"/>
  <c r="AO20" i="241" s="1"/>
  <c r="N19" i="241"/>
  <c r="I19" i="241"/>
  <c r="Y19" i="241" s="1"/>
  <c r="N18" i="241"/>
  <c r="I18" i="241"/>
  <c r="AR18" i="241" s="1"/>
  <c r="N17" i="241"/>
  <c r="I17" i="241"/>
  <c r="AO17" i="241" s="1"/>
  <c r="N16" i="241"/>
  <c r="I16" i="241"/>
  <c r="AS16" i="241" s="1"/>
  <c r="G16" i="241"/>
  <c r="N15" i="241"/>
  <c r="I15" i="241"/>
  <c r="AL15" i="241" s="1"/>
  <c r="N14" i="241"/>
  <c r="K14" i="241"/>
  <c r="I14" i="241"/>
  <c r="AO14" i="241" s="1"/>
  <c r="N13" i="241"/>
  <c r="K13" i="241"/>
  <c r="I13" i="241"/>
  <c r="AS13" i="241" s="1"/>
  <c r="N12" i="241"/>
  <c r="K12" i="241"/>
  <c r="I12" i="241"/>
  <c r="AP12" i="241" s="1"/>
  <c r="N11" i="241"/>
  <c r="K11" i="241"/>
  <c r="I11" i="241"/>
  <c r="AN11" i="241" s="1"/>
  <c r="N10" i="241"/>
  <c r="K10" i="241"/>
  <c r="I10" i="241"/>
  <c r="AS10" i="241" s="1"/>
  <c r="N9" i="241"/>
  <c r="K9" i="241"/>
  <c r="I9" i="241"/>
  <c r="AP9" i="241" s="1"/>
  <c r="N8" i="241"/>
  <c r="K8" i="241"/>
  <c r="I8" i="241"/>
  <c r="AP8" i="241" s="1"/>
  <c r="N7" i="241"/>
  <c r="K7" i="241"/>
  <c r="I7" i="241"/>
  <c r="AN7" i="241" s="1"/>
  <c r="N6" i="241"/>
  <c r="J6" i="241"/>
  <c r="I6" i="241"/>
  <c r="AR6" i="241" s="1"/>
  <c r="A1" i="241"/>
  <c r="B5" i="241" s="1"/>
  <c r="AG50" i="240"/>
  <c r="AG51" i="240" s="1"/>
  <c r="AG52" i="240" s="1"/>
  <c r="AG53" i="240" s="1"/>
  <c r="AG54" i="240" s="1"/>
  <c r="AG55" i="240" s="1"/>
  <c r="AG56" i="240" s="1"/>
  <c r="AG57" i="240" s="1"/>
  <c r="AG58" i="240" s="1"/>
  <c r="AG59" i="240" s="1"/>
  <c r="AF41" i="240"/>
  <c r="AF42" i="240" s="1"/>
  <c r="AF43" i="240" s="1"/>
  <c r="AF44" i="240" s="1"/>
  <c r="AF45" i="240" s="1"/>
  <c r="AF46" i="240" s="1"/>
  <c r="AF47" i="240" s="1"/>
  <c r="AF48" i="240" s="1"/>
  <c r="AF49" i="240" s="1"/>
  <c r="AF50" i="240" s="1"/>
  <c r="AF51" i="240" s="1"/>
  <c r="AF52" i="240" s="1"/>
  <c r="AF53" i="240" s="1"/>
  <c r="AF54" i="240" s="1"/>
  <c r="AF55" i="240" s="1"/>
  <c r="AF56" i="240" s="1"/>
  <c r="AF57" i="240" s="1"/>
  <c r="AF58" i="240" s="1"/>
  <c r="AF59" i="240" s="1"/>
  <c r="AH40" i="240"/>
  <c r="AH41" i="240" s="1"/>
  <c r="AH42" i="240" s="1"/>
  <c r="AH43" i="240" s="1"/>
  <c r="AH44" i="240" s="1"/>
  <c r="AH45" i="240" s="1"/>
  <c r="AH46" i="240" s="1"/>
  <c r="AH47" i="240" s="1"/>
  <c r="AH48" i="240" s="1"/>
  <c r="AH49" i="240" s="1"/>
  <c r="AH50" i="240" s="1"/>
  <c r="AH51" i="240" s="1"/>
  <c r="AH52" i="240" s="1"/>
  <c r="AH53" i="240" s="1"/>
  <c r="AH54" i="240" s="1"/>
  <c r="AH55" i="240" s="1"/>
  <c r="AH56" i="240" s="1"/>
  <c r="AH57" i="240" s="1"/>
  <c r="AH58" i="240" s="1"/>
  <c r="AH59" i="240" s="1"/>
  <c r="AG40" i="240"/>
  <c r="AG41" i="240" s="1"/>
  <c r="AG42" i="240" s="1"/>
  <c r="AG43" i="240" s="1"/>
  <c r="AG44" i="240" s="1"/>
  <c r="AG45" i="240" s="1"/>
  <c r="AG46" i="240" s="1"/>
  <c r="AG47" i="240" s="1"/>
  <c r="AG48" i="240" s="1"/>
  <c r="AF40" i="240"/>
  <c r="AQ28" i="240"/>
  <c r="AR27" i="240"/>
  <c r="AQ27" i="240"/>
  <c r="AO27" i="240"/>
  <c r="AN27" i="240"/>
  <c r="AK27" i="240"/>
  <c r="AJ27" i="240"/>
  <c r="Q27" i="240"/>
  <c r="N26" i="240"/>
  <c r="I26" i="240"/>
  <c r="AI26" i="240" s="1"/>
  <c r="N25" i="240"/>
  <c r="I25" i="240"/>
  <c r="AO25" i="240" s="1"/>
  <c r="N24" i="240"/>
  <c r="I24" i="240"/>
  <c r="AL24" i="240" s="1"/>
  <c r="N23" i="240"/>
  <c r="I23" i="240"/>
  <c r="AP23" i="240" s="1"/>
  <c r="N22" i="240"/>
  <c r="I22" i="240"/>
  <c r="AO22" i="240" s="1"/>
  <c r="N21" i="240"/>
  <c r="I21" i="240"/>
  <c r="AR21" i="240" s="1"/>
  <c r="N20" i="240"/>
  <c r="I20" i="240"/>
  <c r="AO20" i="240" s="1"/>
  <c r="N19" i="240"/>
  <c r="I19" i="240"/>
  <c r="AJ19" i="240" s="1"/>
  <c r="N18" i="240"/>
  <c r="I18" i="240"/>
  <c r="Y18" i="240" s="1"/>
  <c r="N17" i="240"/>
  <c r="I17" i="240"/>
  <c r="AO17" i="240" s="1"/>
  <c r="N16" i="240"/>
  <c r="I16" i="240"/>
  <c r="AS16" i="240" s="1"/>
  <c r="G16" i="240"/>
  <c r="N15" i="240"/>
  <c r="K15" i="240"/>
  <c r="I15" i="240"/>
  <c r="AL15" i="240" s="1"/>
  <c r="N14" i="240"/>
  <c r="K14" i="240"/>
  <c r="I14" i="240"/>
  <c r="AG14" i="240" s="1"/>
  <c r="N13" i="240"/>
  <c r="K13" i="240"/>
  <c r="I13" i="240"/>
  <c r="AO13" i="240" s="1"/>
  <c r="N12" i="240"/>
  <c r="K12" i="240"/>
  <c r="I12" i="240"/>
  <c r="AP12" i="240" s="1"/>
  <c r="N11" i="240"/>
  <c r="K11" i="240"/>
  <c r="I11" i="240"/>
  <c r="AL11" i="240" s="1"/>
  <c r="N10" i="240"/>
  <c r="K10" i="240"/>
  <c r="I10" i="240"/>
  <c r="AR10" i="240" s="1"/>
  <c r="N9" i="240"/>
  <c r="K9" i="240"/>
  <c r="I9" i="240"/>
  <c r="AK9" i="240" s="1"/>
  <c r="N8" i="240"/>
  <c r="K8" i="240"/>
  <c r="I8" i="240"/>
  <c r="AM8" i="240" s="1"/>
  <c r="N7" i="240"/>
  <c r="K7" i="240"/>
  <c r="I7" i="240"/>
  <c r="AR7" i="240" s="1"/>
  <c r="N6" i="240"/>
  <c r="J6" i="240"/>
  <c r="I6" i="240"/>
  <c r="AO6" i="240" s="1"/>
  <c r="A1" i="240"/>
  <c r="B5" i="240" s="1"/>
  <c r="AG50" i="239"/>
  <c r="AG51" i="239" s="1"/>
  <c r="AG52" i="239" s="1"/>
  <c r="AG53" i="239" s="1"/>
  <c r="AG54" i="239" s="1"/>
  <c r="AG55" i="239" s="1"/>
  <c r="AG56" i="239" s="1"/>
  <c r="AG57" i="239" s="1"/>
  <c r="AG58" i="239" s="1"/>
  <c r="AG59" i="239" s="1"/>
  <c r="AH46" i="239"/>
  <c r="AH47" i="239" s="1"/>
  <c r="AH48" i="239" s="1"/>
  <c r="AH49" i="239" s="1"/>
  <c r="AH50" i="239" s="1"/>
  <c r="AH51" i="239" s="1"/>
  <c r="AH52" i="239" s="1"/>
  <c r="AH53" i="239" s="1"/>
  <c r="AH54" i="239" s="1"/>
  <c r="AH55" i="239" s="1"/>
  <c r="AH56" i="239" s="1"/>
  <c r="AH57" i="239" s="1"/>
  <c r="AH58" i="239" s="1"/>
  <c r="AH59" i="239" s="1"/>
  <c r="AH42" i="239"/>
  <c r="AH43" i="239" s="1"/>
  <c r="AH44" i="239" s="1"/>
  <c r="AH45" i="239" s="1"/>
  <c r="AH40" i="239"/>
  <c r="AH41" i="239" s="1"/>
  <c r="AG40" i="239"/>
  <c r="AG41" i="239" s="1"/>
  <c r="AG42" i="239" s="1"/>
  <c r="AG43" i="239" s="1"/>
  <c r="AG44" i="239" s="1"/>
  <c r="AG45" i="239" s="1"/>
  <c r="AG46" i="239" s="1"/>
  <c r="AG47" i="239" s="1"/>
  <c r="AG48" i="239" s="1"/>
  <c r="AF40" i="239"/>
  <c r="AF41" i="239" s="1"/>
  <c r="AF42" i="239" s="1"/>
  <c r="AF43" i="239" s="1"/>
  <c r="AF44" i="239" s="1"/>
  <c r="AF45" i="239" s="1"/>
  <c r="AF46" i="239" s="1"/>
  <c r="AF47" i="239" s="1"/>
  <c r="AF48" i="239" s="1"/>
  <c r="AF49" i="239" s="1"/>
  <c r="AF50" i="239" s="1"/>
  <c r="AF51" i="239" s="1"/>
  <c r="AF52" i="239" s="1"/>
  <c r="AF53" i="239" s="1"/>
  <c r="AF54" i="239" s="1"/>
  <c r="AF55" i="239" s="1"/>
  <c r="AF56" i="239" s="1"/>
  <c r="AF57" i="239" s="1"/>
  <c r="AF58" i="239" s="1"/>
  <c r="AF59" i="239" s="1"/>
  <c r="AQ28" i="239"/>
  <c r="AR27" i="239"/>
  <c r="AQ27" i="239"/>
  <c r="AO27" i="239"/>
  <c r="AN27" i="239"/>
  <c r="AK27" i="239"/>
  <c r="AJ27" i="239"/>
  <c r="Q27" i="239"/>
  <c r="N26" i="239"/>
  <c r="I26" i="239"/>
  <c r="AM26" i="239" s="1"/>
  <c r="N25" i="239"/>
  <c r="I25" i="239"/>
  <c r="AO25" i="239" s="1"/>
  <c r="N24" i="239"/>
  <c r="I24" i="239"/>
  <c r="AS24" i="239" s="1"/>
  <c r="N23" i="239"/>
  <c r="I23" i="239"/>
  <c r="AO23" i="239" s="1"/>
  <c r="N22" i="239"/>
  <c r="I22" i="239"/>
  <c r="Y22" i="239" s="1"/>
  <c r="N21" i="239"/>
  <c r="I21" i="239"/>
  <c r="AO21" i="239" s="1"/>
  <c r="N20" i="239"/>
  <c r="I20" i="239"/>
  <c r="AQ20" i="239" s="1"/>
  <c r="N19" i="239"/>
  <c r="I19" i="239"/>
  <c r="AM19" i="239" s="1"/>
  <c r="N18" i="239"/>
  <c r="I18" i="239"/>
  <c r="AR18" i="239" s="1"/>
  <c r="N17" i="239"/>
  <c r="I17" i="239"/>
  <c r="AO17" i="239" s="1"/>
  <c r="N16" i="239"/>
  <c r="K16" i="239"/>
  <c r="I16" i="239"/>
  <c r="AS16" i="239" s="1"/>
  <c r="G16" i="239"/>
  <c r="N15" i="239"/>
  <c r="K15" i="239"/>
  <c r="I15" i="239"/>
  <c r="AG15" i="239" s="1"/>
  <c r="N14" i="239"/>
  <c r="K14" i="239"/>
  <c r="I14" i="239"/>
  <c r="AO14" i="239" s="1"/>
  <c r="N13" i="239"/>
  <c r="K13" i="239"/>
  <c r="I13" i="239"/>
  <c r="AS13" i="239" s="1"/>
  <c r="N12" i="239"/>
  <c r="K12" i="239"/>
  <c r="I12" i="239"/>
  <c r="AO12" i="239" s="1"/>
  <c r="N11" i="239"/>
  <c r="K11" i="239"/>
  <c r="I11" i="239"/>
  <c r="AQ11" i="239" s="1"/>
  <c r="N10" i="239"/>
  <c r="K10" i="239"/>
  <c r="I10" i="239"/>
  <c r="N9" i="239"/>
  <c r="K9" i="239"/>
  <c r="I9" i="239"/>
  <c r="AO9" i="239" s="1"/>
  <c r="N8" i="239"/>
  <c r="K8" i="239"/>
  <c r="I8" i="239"/>
  <c r="AQ8" i="239" s="1"/>
  <c r="N7" i="239"/>
  <c r="K7" i="239"/>
  <c r="I7" i="239"/>
  <c r="AO7" i="239" s="1"/>
  <c r="N6" i="239"/>
  <c r="J6" i="239"/>
  <c r="I6" i="239"/>
  <c r="AL6" i="239" s="1"/>
  <c r="A1" i="239"/>
  <c r="B5" i="239" s="1"/>
  <c r="BH21" i="238"/>
  <c r="BH20" i="238"/>
  <c r="AG50" i="238"/>
  <c r="AG51" i="238" s="1"/>
  <c r="AG52" i="238" s="1"/>
  <c r="AG53" i="238" s="1"/>
  <c r="AG54" i="238" s="1"/>
  <c r="AG55" i="238" s="1"/>
  <c r="AG56" i="238" s="1"/>
  <c r="AG57" i="238" s="1"/>
  <c r="AG58" i="238" s="1"/>
  <c r="AG59" i="238" s="1"/>
  <c r="AG41" i="238"/>
  <c r="AG42" i="238" s="1"/>
  <c r="AG43" i="238" s="1"/>
  <c r="AG44" i="238" s="1"/>
  <c r="AG45" i="238" s="1"/>
  <c r="AG46" i="238" s="1"/>
  <c r="AG47" i="238" s="1"/>
  <c r="AG48" i="238" s="1"/>
  <c r="AH40" i="238"/>
  <c r="AH41" i="238" s="1"/>
  <c r="AH42" i="238" s="1"/>
  <c r="AH43" i="238" s="1"/>
  <c r="AH44" i="238" s="1"/>
  <c r="AH45" i="238" s="1"/>
  <c r="AH46" i="238" s="1"/>
  <c r="AH47" i="238" s="1"/>
  <c r="AH48" i="238" s="1"/>
  <c r="AH49" i="238" s="1"/>
  <c r="AH50" i="238" s="1"/>
  <c r="AH51" i="238" s="1"/>
  <c r="AH52" i="238" s="1"/>
  <c r="AH53" i="238" s="1"/>
  <c r="AH54" i="238" s="1"/>
  <c r="AH55" i="238" s="1"/>
  <c r="AH56" i="238" s="1"/>
  <c r="AH57" i="238" s="1"/>
  <c r="AH58" i="238" s="1"/>
  <c r="AH59" i="238" s="1"/>
  <c r="AG40" i="238"/>
  <c r="AF40" i="238"/>
  <c r="AF41" i="238" s="1"/>
  <c r="AF42" i="238" s="1"/>
  <c r="AF43" i="238" s="1"/>
  <c r="AF44" i="238" s="1"/>
  <c r="AF45" i="238" s="1"/>
  <c r="AF46" i="238" s="1"/>
  <c r="AF47" i="238" s="1"/>
  <c r="AF48" i="238" s="1"/>
  <c r="AF49" i="238" s="1"/>
  <c r="AF50" i="238" s="1"/>
  <c r="AF51" i="238" s="1"/>
  <c r="AF52" i="238" s="1"/>
  <c r="AF53" i="238" s="1"/>
  <c r="AF54" i="238" s="1"/>
  <c r="AF55" i="238" s="1"/>
  <c r="AF56" i="238" s="1"/>
  <c r="AF57" i="238" s="1"/>
  <c r="AF58" i="238" s="1"/>
  <c r="AF59" i="238" s="1"/>
  <c r="AQ28" i="238"/>
  <c r="AR27" i="238"/>
  <c r="AQ27" i="238"/>
  <c r="AO27" i="238"/>
  <c r="AN27" i="238"/>
  <c r="AK27" i="238"/>
  <c r="AJ27" i="238"/>
  <c r="Q27" i="238"/>
  <c r="N26" i="238"/>
  <c r="I26" i="238"/>
  <c r="AM26" i="238" s="1"/>
  <c r="N25" i="238"/>
  <c r="I25" i="238"/>
  <c r="AO25" i="238" s="1"/>
  <c r="N24" i="238"/>
  <c r="I24" i="238"/>
  <c r="AK24" i="238" s="1"/>
  <c r="N23" i="238"/>
  <c r="I23" i="238"/>
  <c r="AO23" i="238" s="1"/>
  <c r="N22" i="238"/>
  <c r="I22" i="238"/>
  <c r="AI22" i="238" s="1"/>
  <c r="N21" i="238"/>
  <c r="K21" i="238"/>
  <c r="I21" i="238"/>
  <c r="AO21" i="238" s="1"/>
  <c r="N20" i="238"/>
  <c r="K20" i="238"/>
  <c r="I20" i="238"/>
  <c r="N19" i="238"/>
  <c r="K19" i="238"/>
  <c r="I19" i="238"/>
  <c r="N18" i="238"/>
  <c r="K18" i="238"/>
  <c r="I18" i="238"/>
  <c r="AR18" i="238" s="1"/>
  <c r="N17" i="238"/>
  <c r="K17" i="238"/>
  <c r="I17" i="238"/>
  <c r="AO17" i="238" s="1"/>
  <c r="N16" i="238"/>
  <c r="K16" i="238"/>
  <c r="I16" i="238"/>
  <c r="AN16" i="238" s="1"/>
  <c r="G16" i="238"/>
  <c r="N15" i="238"/>
  <c r="K15" i="238"/>
  <c r="I15" i="238"/>
  <c r="N14" i="238"/>
  <c r="K14" i="238"/>
  <c r="I14" i="238"/>
  <c r="AO14" i="238" s="1"/>
  <c r="N13" i="238"/>
  <c r="K13" i="238"/>
  <c r="I13" i="238"/>
  <c r="N12" i="238"/>
  <c r="K12" i="238"/>
  <c r="I12" i="238"/>
  <c r="AO12" i="238" s="1"/>
  <c r="N11" i="238"/>
  <c r="K11" i="238"/>
  <c r="I11" i="238"/>
  <c r="AI11" i="238" s="1"/>
  <c r="N10" i="238"/>
  <c r="K10" i="238"/>
  <c r="I10" i="238"/>
  <c r="AO10" i="238" s="1"/>
  <c r="N9" i="238"/>
  <c r="K9" i="238"/>
  <c r="I9" i="238"/>
  <c r="AL9" i="238" s="1"/>
  <c r="N8" i="238"/>
  <c r="K8" i="238"/>
  <c r="I8" i="238"/>
  <c r="AM8" i="238" s="1"/>
  <c r="N7" i="238"/>
  <c r="K7" i="238"/>
  <c r="I7" i="238"/>
  <c r="AR7" i="238" s="1"/>
  <c r="N6" i="238"/>
  <c r="J6" i="238"/>
  <c r="I6" i="238"/>
  <c r="AO6" i="238" s="1"/>
  <c r="A1" i="238"/>
  <c r="B5" i="238" s="1"/>
  <c r="O6" i="284" l="1"/>
  <c r="W6" i="284" s="1"/>
  <c r="P11" i="284"/>
  <c r="P16" i="284"/>
  <c r="P24" i="284"/>
  <c r="P14" i="284"/>
  <c r="P19" i="284"/>
  <c r="P9" i="284"/>
  <c r="P22" i="284"/>
  <c r="P12" i="284"/>
  <c r="P17" i="284"/>
  <c r="P25" i="284"/>
  <c r="P7" i="284"/>
  <c r="P15" i="284"/>
  <c r="P20" i="284"/>
  <c r="P10" i="284"/>
  <c r="P23" i="284"/>
  <c r="P13" i="284"/>
  <c r="P18" i="284"/>
  <c r="P26" i="284"/>
  <c r="P8" i="284"/>
  <c r="P21" i="284"/>
  <c r="AL19" i="284"/>
  <c r="AQ11" i="284"/>
  <c r="AM16" i="284"/>
  <c r="AK9" i="284"/>
  <c r="AO22" i="284"/>
  <c r="AP12" i="284"/>
  <c r="AO17" i="284"/>
  <c r="AP25" i="284"/>
  <c r="AO7" i="284"/>
  <c r="AM15" i="284"/>
  <c r="AO20" i="284"/>
  <c r="AR10" i="284"/>
  <c r="L10" i="284" s="1"/>
  <c r="AP23" i="284"/>
  <c r="AH14" i="284"/>
  <c r="AO13" i="284"/>
  <c r="AS18" i="284"/>
  <c r="AN26" i="284"/>
  <c r="AR8" i="284"/>
  <c r="L8" i="284" s="1"/>
  <c r="AR21" i="284"/>
  <c r="AL6" i="284"/>
  <c r="P6" i="284"/>
  <c r="B4" i="298"/>
  <c r="AO26" i="297"/>
  <c r="M24" i="297"/>
  <c r="AC6" i="297"/>
  <c r="O15" i="297"/>
  <c r="W15" i="297" s="1"/>
  <c r="L23" i="297"/>
  <c r="AD23" i="297"/>
  <c r="AS6" i="297"/>
  <c r="AF23" i="297"/>
  <c r="AD6" i="297"/>
  <c r="AH23" i="297"/>
  <c r="AQ6" i="297"/>
  <c r="S13" i="297"/>
  <c r="Y16" i="297"/>
  <c r="AA18" i="297"/>
  <c r="AL25" i="297"/>
  <c r="T13" i="297"/>
  <c r="AC18" i="297"/>
  <c r="AD13" i="297"/>
  <c r="AR13" i="297"/>
  <c r="AP15" i="297"/>
  <c r="X21" i="297"/>
  <c r="T26" i="297"/>
  <c r="AG12" i="297"/>
  <c r="Y17" i="297"/>
  <c r="AK21" i="297"/>
  <c r="P23" i="297"/>
  <c r="AC24" i="297"/>
  <c r="AC26" i="297"/>
  <c r="AN26" i="297"/>
  <c r="O6" i="297"/>
  <c r="W6" i="297" s="1"/>
  <c r="AF6" i="297"/>
  <c r="X10" i="297"/>
  <c r="P11" i="297"/>
  <c r="AS13" i="297"/>
  <c r="P15" i="297"/>
  <c r="AQ17" i="297"/>
  <c r="AD18" i="297"/>
  <c r="T23" i="297"/>
  <c r="AJ23" i="297"/>
  <c r="AD24" i="297"/>
  <c r="AQ25" i="297"/>
  <c r="P6" i="297"/>
  <c r="AG6" i="297"/>
  <c r="P9" i="297"/>
  <c r="AA10" i="297"/>
  <c r="S11" i="297"/>
  <c r="Y15" i="297"/>
  <c r="AR17" i="297"/>
  <c r="L17" i="297" s="1"/>
  <c r="U17" i="297" s="1"/>
  <c r="AK18" i="297"/>
  <c r="U23" i="297"/>
  <c r="AK23" i="297"/>
  <c r="O24" i="297"/>
  <c r="AE24" i="297"/>
  <c r="S6" i="297"/>
  <c r="AK6" i="297"/>
  <c r="Q9" i="297"/>
  <c r="R9" i="297" s="1"/>
  <c r="Z9" i="297" s="1"/>
  <c r="AH10" i="297"/>
  <c r="AF11" i="297"/>
  <c r="AC15" i="297"/>
  <c r="AL18" i="297"/>
  <c r="V23" i="297"/>
  <c r="AQ23" i="297"/>
  <c r="P24" i="297"/>
  <c r="AF24" i="297"/>
  <c r="S25" i="297"/>
  <c r="V6" i="297"/>
  <c r="AL6" i="297"/>
  <c r="AQ9" i="297"/>
  <c r="AP10" i="297"/>
  <c r="AI11" i="297"/>
  <c r="Q13" i="297"/>
  <c r="R13" i="297" s="1"/>
  <c r="AM15" i="297"/>
  <c r="AS18" i="297"/>
  <c r="J23" i="297"/>
  <c r="Z23" i="297"/>
  <c r="AR23" i="297"/>
  <c r="S24" i="297"/>
  <c r="AK24" i="297"/>
  <c r="V25" i="297"/>
  <c r="O26" i="297"/>
  <c r="Y6" i="297"/>
  <c r="AM6" i="297"/>
  <c r="AS9" i="297"/>
  <c r="AQ10" i="297"/>
  <c r="AN15" i="297"/>
  <c r="AA23" i="297"/>
  <c r="AS23" i="297"/>
  <c r="U24" i="297"/>
  <c r="AL24" i="297"/>
  <c r="AA25" i="297"/>
  <c r="AA6" i="297"/>
  <c r="AN6" i="297"/>
  <c r="AO15" i="297"/>
  <c r="V18" i="297"/>
  <c r="W24" i="297"/>
  <c r="AQ24" i="297"/>
  <c r="AD25" i="297"/>
  <c r="X24" i="297"/>
  <c r="AS24" i="297"/>
  <c r="AI25" i="297"/>
  <c r="AF14" i="297"/>
  <c r="AC8" i="297"/>
  <c r="AR8" i="297"/>
  <c r="X9" i="297"/>
  <c r="AC10" i="297"/>
  <c r="AR10" i="297"/>
  <c r="L10" i="297" s="1"/>
  <c r="U10" i="297" s="1"/>
  <c r="V11" i="297"/>
  <c r="AK11" i="297"/>
  <c r="AO12" i="297"/>
  <c r="AO14" i="297"/>
  <c r="AA21" i="297"/>
  <c r="AL21" i="297"/>
  <c r="X25" i="297"/>
  <c r="AN25" i="297"/>
  <c r="V26" i="297"/>
  <c r="AQ8" i="297"/>
  <c r="Q6" i="297"/>
  <c r="R6" i="297" s="1"/>
  <c r="AE6" i="297"/>
  <c r="AO6" i="297"/>
  <c r="L8" i="297"/>
  <c r="U8" i="297" s="1"/>
  <c r="AD8" i="297"/>
  <c r="AS8" i="297"/>
  <c r="Y9" i="297"/>
  <c r="AF10" i="297"/>
  <c r="AS10" i="297"/>
  <c r="X11" i="297"/>
  <c r="AL11" i="297"/>
  <c r="P12" i="297"/>
  <c r="AP12" i="297"/>
  <c r="AC13" i="297"/>
  <c r="AR14" i="297"/>
  <c r="Q15" i="297"/>
  <c r="R15" i="297" s="1"/>
  <c r="AI18" i="297"/>
  <c r="X19" i="297"/>
  <c r="O21" i="297"/>
  <c r="AC21" i="297"/>
  <c r="AM21" i="297"/>
  <c r="Q22" i="297"/>
  <c r="R22" i="297" s="1"/>
  <c r="M23" i="297"/>
  <c r="X23" i="297"/>
  <c r="AI23" i="297"/>
  <c r="V24" i="297"/>
  <c r="AI24" i="297"/>
  <c r="J25" i="297"/>
  <c r="Z25" i="297"/>
  <c r="AP25" i="297"/>
  <c r="W26" i="297"/>
  <c r="AE8" i="297"/>
  <c r="AG9" i="297"/>
  <c r="AA11" i="297"/>
  <c r="AM11" i="297"/>
  <c r="Q12" i="297"/>
  <c r="R12" i="297" s="1"/>
  <c r="AJ12" i="297" s="1"/>
  <c r="AQ12" i="297"/>
  <c r="P14" i="297"/>
  <c r="P21" i="297"/>
  <c r="AD21" i="297"/>
  <c r="AN21" i="297"/>
  <c r="O8" i="297"/>
  <c r="W8" i="297" s="1"/>
  <c r="AI8" i="297"/>
  <c r="AH9" i="297"/>
  <c r="P10" i="297"/>
  <c r="AI10" i="297"/>
  <c r="AC11" i="297"/>
  <c r="AN11" i="297"/>
  <c r="S12" i="297"/>
  <c r="AG13" i="297"/>
  <c r="Q14" i="297"/>
  <c r="R14" i="297" s="1"/>
  <c r="AJ14" i="297" s="1"/>
  <c r="S21" i="297"/>
  <c r="AE21" i="297"/>
  <c r="AP21" i="297"/>
  <c r="AM22" i="297"/>
  <c r="AE26" i="297"/>
  <c r="X6" i="297"/>
  <c r="AI6" i="297"/>
  <c r="S8" i="297"/>
  <c r="AK8" i="297"/>
  <c r="AI9" i="297"/>
  <c r="S10" i="297"/>
  <c r="AK10" i="297"/>
  <c r="AD11" i="297"/>
  <c r="AQ11" i="297"/>
  <c r="AA12" i="297"/>
  <c r="T14" i="297"/>
  <c r="S18" i="297"/>
  <c r="AQ18" i="297"/>
  <c r="T21" i="297"/>
  <c r="AF21" i="297"/>
  <c r="AR21" i="297"/>
  <c r="L21" i="297" s="1"/>
  <c r="U21" i="297" s="1"/>
  <c r="AO22" i="297"/>
  <c r="R23" i="297"/>
  <c r="AB23" i="297"/>
  <c r="AN23" i="297"/>
  <c r="AA24" i="297"/>
  <c r="AM24" i="297"/>
  <c r="P25" i="297"/>
  <c r="AF25" i="297"/>
  <c r="L26" i="297"/>
  <c r="AF26" i="297"/>
  <c r="AA8" i="297"/>
  <c r="T8" i="297"/>
  <c r="AL8" i="297"/>
  <c r="O9" i="297"/>
  <c r="W9" i="297" s="1"/>
  <c r="T10" i="297"/>
  <c r="AN10" i="297"/>
  <c r="O11" i="297"/>
  <c r="W11" i="297" s="1"/>
  <c r="AE11" i="297"/>
  <c r="AS11" i="297"/>
  <c r="AD12" i="297"/>
  <c r="AD14" i="297"/>
  <c r="V21" i="297"/>
  <c r="AH21" i="297"/>
  <c r="AS21" i="297"/>
  <c r="S23" i="297"/>
  <c r="AC23" i="297"/>
  <c r="AP23" i="297"/>
  <c r="AN24" i="297"/>
  <c r="R25" i="297"/>
  <c r="AH25" i="297"/>
  <c r="AK26" i="297"/>
  <c r="V8" i="297"/>
  <c r="AM8" i="297"/>
  <c r="W21" i="297"/>
  <c r="AI21" i="297"/>
  <c r="M21" i="297"/>
  <c r="J7" i="297"/>
  <c r="J8" i="297" s="1"/>
  <c r="J9" i="297" s="1"/>
  <c r="J10" i="297" s="1"/>
  <c r="J11" i="297" s="1"/>
  <c r="J12" i="297" s="1"/>
  <c r="J13" i="297" s="1"/>
  <c r="J14" i="297" s="1"/>
  <c r="J15" i="297" s="1"/>
  <c r="J16" i="297" s="1"/>
  <c r="J17" i="297" s="1"/>
  <c r="J18" i="297" s="1"/>
  <c r="J19" i="297" s="1"/>
  <c r="J20" i="297" s="1"/>
  <c r="J21" i="297" s="1"/>
  <c r="J22" i="297" s="1"/>
  <c r="AH7" i="297"/>
  <c r="AP7" i="297"/>
  <c r="AP17" i="297"/>
  <c r="AH17" i="297"/>
  <c r="AN17" i="297"/>
  <c r="AF17" i="297"/>
  <c r="X17" i="297"/>
  <c r="P17" i="297"/>
  <c r="AM17" i="297"/>
  <c r="AE17" i="297"/>
  <c r="O17" i="297"/>
  <c r="W17" i="297" s="1"/>
  <c r="AL17" i="297"/>
  <c r="AD17" i="297"/>
  <c r="V17" i="297"/>
  <c r="AS17" i="297"/>
  <c r="AK17" i="297"/>
  <c r="AC17" i="297"/>
  <c r="AA17" i="297"/>
  <c r="AM19" i="297"/>
  <c r="AE19" i="297"/>
  <c r="O19" i="297"/>
  <c r="W19" i="297" s="1"/>
  <c r="AS19" i="297"/>
  <c r="AK19" i="297"/>
  <c r="AC19" i="297"/>
  <c r="AR19" i="297"/>
  <c r="T19" i="297"/>
  <c r="L19" i="297"/>
  <c r="U19" i="297" s="1"/>
  <c r="AQ19" i="297"/>
  <c r="AI19" i="297"/>
  <c r="AA19" i="297"/>
  <c r="S19" i="297"/>
  <c r="AP19" i="297"/>
  <c r="AH19" i="297"/>
  <c r="AD19" i="297"/>
  <c r="L20" i="297"/>
  <c r="AG20" i="297"/>
  <c r="S7" i="297"/>
  <c r="AA7" i="297"/>
  <c r="AI7" i="297"/>
  <c r="AQ7" i="297"/>
  <c r="AR9" i="297"/>
  <c r="T9" i="297"/>
  <c r="L9" i="297"/>
  <c r="M9" i="297" s="1"/>
  <c r="AA9" i="297"/>
  <c r="AK9" i="297"/>
  <c r="AP13" i="297"/>
  <c r="AH13" i="297"/>
  <c r="AN13" i="297"/>
  <c r="AF13" i="297"/>
  <c r="X13" i="297"/>
  <c r="P13" i="297"/>
  <c r="AM13" i="297"/>
  <c r="AE13" i="297"/>
  <c r="O13" i="297"/>
  <c r="W13" i="297" s="1"/>
  <c r="AI13" i="297"/>
  <c r="AS14" i="297"/>
  <c r="AK14" i="297"/>
  <c r="AC14" i="297"/>
  <c r="AQ14" i="297"/>
  <c r="AI14" i="297"/>
  <c r="AA14" i="297"/>
  <c r="S14" i="297"/>
  <c r="AP14" i="297"/>
  <c r="AH14" i="297"/>
  <c r="V14" i="297"/>
  <c r="AG14" i="297"/>
  <c r="AE16" i="297"/>
  <c r="AF19" i="297"/>
  <c r="AI20" i="297"/>
  <c r="AN22" i="297"/>
  <c r="AF22" i="297"/>
  <c r="X22" i="297"/>
  <c r="P22" i="297"/>
  <c r="AL22" i="297"/>
  <c r="AD22" i="297"/>
  <c r="V22" i="297"/>
  <c r="AS22" i="297"/>
  <c r="AK22" i="297"/>
  <c r="AC22" i="297"/>
  <c r="AR22" i="297"/>
  <c r="T22" i="297"/>
  <c r="L22" i="297"/>
  <c r="U22" i="297" s="1"/>
  <c r="AQ22" i="297"/>
  <c r="AI22" i="297"/>
  <c r="AA22" i="297"/>
  <c r="S22" i="297"/>
  <c r="Y22" i="297"/>
  <c r="Q7" i="297"/>
  <c r="R7" i="297" s="1"/>
  <c r="AG7" i="297"/>
  <c r="Q15" i="296"/>
  <c r="R15" i="296" s="1"/>
  <c r="AJ15" i="296" s="1"/>
  <c r="T7" i="297"/>
  <c r="AR7" i="297"/>
  <c r="L7" i="297" s="1"/>
  <c r="S9" i="297"/>
  <c r="AC9" i="297"/>
  <c r="AL9" i="297"/>
  <c r="AM12" i="297"/>
  <c r="AE12" i="297"/>
  <c r="O12" i="297"/>
  <c r="W12" i="297" s="1"/>
  <c r="AS12" i="297"/>
  <c r="AK12" i="297"/>
  <c r="AC12" i="297"/>
  <c r="AR12" i="297"/>
  <c r="T12" i="297"/>
  <c r="L12" i="297"/>
  <c r="U12" i="297" s="1"/>
  <c r="V12" i="297"/>
  <c r="AH12" i="297"/>
  <c r="V13" i="297"/>
  <c r="AL15" i="297"/>
  <c r="AD15" i="297"/>
  <c r="V15" i="297"/>
  <c r="AR15" i="297"/>
  <c r="T15" i="297"/>
  <c r="L15" i="297"/>
  <c r="U15" i="297" s="1"/>
  <c r="AQ15" i="297"/>
  <c r="AI15" i="297"/>
  <c r="AA15" i="297"/>
  <c r="S15" i="297"/>
  <c r="AF15" i="297"/>
  <c r="AS15" i="297"/>
  <c r="AG16" i="297"/>
  <c r="AG17" i="297"/>
  <c r="AG19" i="297"/>
  <c r="Q20" i="297"/>
  <c r="R20" i="297" s="1"/>
  <c r="AB20" i="297" s="1"/>
  <c r="AO7" i="297"/>
  <c r="AH6" i="297"/>
  <c r="AP6" i="297"/>
  <c r="AC7" i="297"/>
  <c r="AK7" i="297"/>
  <c r="AS7" i="297"/>
  <c r="P8" i="297"/>
  <c r="X8" i="297"/>
  <c r="AF8" i="297"/>
  <c r="AN8" i="297"/>
  <c r="AD9" i="297"/>
  <c r="AM9" i="297"/>
  <c r="X12" i="297"/>
  <c r="AI12" i="297"/>
  <c r="L13" i="297"/>
  <c r="U13" i="297" s="1"/>
  <c r="Y13" i="297"/>
  <c r="AK13" i="297"/>
  <c r="L14" i="297"/>
  <c r="U14" i="297" s="1"/>
  <c r="X14" i="297"/>
  <c r="AL14" i="297"/>
  <c r="AG15" i="297"/>
  <c r="O16" i="297"/>
  <c r="W16" i="297" s="1"/>
  <c r="AH16" i="297"/>
  <c r="AI17" i="297"/>
  <c r="P19" i="297"/>
  <c r="AL19" i="297"/>
  <c r="S20" i="297"/>
  <c r="AO20" i="297"/>
  <c r="AE22" i="297"/>
  <c r="Y7" i="297"/>
  <c r="X6" i="296"/>
  <c r="AF8" i="296"/>
  <c r="V7" i="297"/>
  <c r="AD7" i="297"/>
  <c r="AL7" i="297"/>
  <c r="Q8" i="297"/>
  <c r="R8" i="297" s="1"/>
  <c r="Y8" i="297"/>
  <c r="AG8" i="297"/>
  <c r="AO8" i="297"/>
  <c r="V9" i="297"/>
  <c r="AE9" i="297"/>
  <c r="AN9" i="297"/>
  <c r="Y12" i="297"/>
  <c r="AL12" i="297"/>
  <c r="AA13" i="297"/>
  <c r="AL13" i="297"/>
  <c r="Y14" i="297"/>
  <c r="AM14" i="297"/>
  <c r="AH15" i="297"/>
  <c r="Q16" i="297"/>
  <c r="R16" i="297" s="1"/>
  <c r="AM16" i="297"/>
  <c r="Q17" i="297"/>
  <c r="R17" i="297" s="1"/>
  <c r="Q19" i="297"/>
  <c r="R19" i="297" s="1"/>
  <c r="AN19" i="297"/>
  <c r="T20" i="297"/>
  <c r="AQ20" i="297"/>
  <c r="AG22" i="297"/>
  <c r="AD6" i="296"/>
  <c r="L6" i="297"/>
  <c r="T6" i="297"/>
  <c r="O7" i="297"/>
  <c r="W7" i="297" s="1"/>
  <c r="AE7" i="297"/>
  <c r="AM7" i="297"/>
  <c r="AH8" i="297"/>
  <c r="AF9" i="297"/>
  <c r="AO9" i="297"/>
  <c r="AN12" i="297"/>
  <c r="AO13" i="297"/>
  <c r="O14" i="297"/>
  <c r="W14" i="297" s="1"/>
  <c r="AN14" i="297"/>
  <c r="X15" i="297"/>
  <c r="AK15" i="297"/>
  <c r="S17" i="297"/>
  <c r="AO17" i="297"/>
  <c r="V19" i="297"/>
  <c r="AO19" i="297"/>
  <c r="Y20" i="297"/>
  <c r="O22" i="297"/>
  <c r="W22" i="297" s="1"/>
  <c r="AH22" i="297"/>
  <c r="P7" i="297"/>
  <c r="X7" i="297"/>
  <c r="AF7" i="297"/>
  <c r="AN16" i="297"/>
  <c r="AF16" i="297"/>
  <c r="X16" i="297"/>
  <c r="P16" i="297"/>
  <c r="AL16" i="297"/>
  <c r="AD16" i="297"/>
  <c r="V16" i="297"/>
  <c r="AS16" i="297"/>
  <c r="AK16" i="297"/>
  <c r="AC16" i="297"/>
  <c r="AR16" i="297"/>
  <c r="T16" i="297"/>
  <c r="L16" i="297"/>
  <c r="U16" i="297" s="1"/>
  <c r="AQ16" i="297"/>
  <c r="AI16" i="297"/>
  <c r="AA16" i="297"/>
  <c r="S16" i="297"/>
  <c r="AP16" i="297"/>
  <c r="AP20" i="297"/>
  <c r="AH20" i="297"/>
  <c r="AN20" i="297"/>
  <c r="AF20" i="297"/>
  <c r="X20" i="297"/>
  <c r="P20" i="297"/>
  <c r="AM20" i="297"/>
  <c r="AE20" i="297"/>
  <c r="W20" i="297"/>
  <c r="O20" i="297"/>
  <c r="AL20" i="297"/>
  <c r="AD20" i="297"/>
  <c r="V20" i="297"/>
  <c r="AS20" i="297"/>
  <c r="AK20" i="297"/>
  <c r="AC20" i="297"/>
  <c r="U20" i="297"/>
  <c r="M20" i="297"/>
  <c r="AA20" i="297"/>
  <c r="V10" i="297"/>
  <c r="AD10" i="297"/>
  <c r="AL10" i="297"/>
  <c r="Q11" i="297"/>
  <c r="R11" i="297" s="1"/>
  <c r="Y11" i="297"/>
  <c r="AG11" i="297"/>
  <c r="AO11" i="297"/>
  <c r="O18" i="297"/>
  <c r="W18" i="297" s="1"/>
  <c r="AE18" i="297"/>
  <c r="AM18" i="297"/>
  <c r="AL23" i="297"/>
  <c r="Q24" i="297"/>
  <c r="Y24" i="297"/>
  <c r="AG24" i="297"/>
  <c r="AO24" i="297"/>
  <c r="L25" i="297"/>
  <c r="T25" i="297"/>
  <c r="AB25" i="297"/>
  <c r="AJ25" i="297"/>
  <c r="AR25" i="297"/>
  <c r="P26" i="297"/>
  <c r="Y26" i="297"/>
  <c r="AG26" i="297"/>
  <c r="AP26" i="297"/>
  <c r="O10" i="297"/>
  <c r="W10" i="297" s="1"/>
  <c r="AE10" i="297"/>
  <c r="AM10" i="297"/>
  <c r="AH11" i="297"/>
  <c r="AP11" i="297"/>
  <c r="P18" i="297"/>
  <c r="X18" i="297"/>
  <c r="AF18" i="297"/>
  <c r="AN18" i="297"/>
  <c r="Q21" i="297"/>
  <c r="R21" i="297" s="1"/>
  <c r="Y21" i="297"/>
  <c r="AG21" i="297"/>
  <c r="AO21" i="297"/>
  <c r="O23" i="297"/>
  <c r="W23" i="297"/>
  <c r="AE23" i="297"/>
  <c r="AM23" i="297"/>
  <c r="J24" i="297"/>
  <c r="R24" i="297"/>
  <c r="Z24" i="297"/>
  <c r="AH24" i="297"/>
  <c r="AP24" i="297"/>
  <c r="M25" i="297"/>
  <c r="U25" i="297"/>
  <c r="AC25" i="297"/>
  <c r="AK25" i="297"/>
  <c r="AS25" i="297"/>
  <c r="Q26" i="297"/>
  <c r="Z26" i="297"/>
  <c r="AH26" i="297"/>
  <c r="AQ26" i="297"/>
  <c r="Q18" i="297"/>
  <c r="R18" i="297" s="1"/>
  <c r="Y18" i="297"/>
  <c r="AG18" i="297"/>
  <c r="AO18" i="297"/>
  <c r="R26" i="297"/>
  <c r="AA26" i="297"/>
  <c r="AI26" i="297"/>
  <c r="AR26" i="297"/>
  <c r="Q10" i="297"/>
  <c r="R10" i="297" s="1"/>
  <c r="Y10" i="297"/>
  <c r="AG10" i="297"/>
  <c r="L11" i="297"/>
  <c r="T11" i="297"/>
  <c r="AH18" i="297"/>
  <c r="AP18" i="297"/>
  <c r="Q23" i="297"/>
  <c r="Y23" i="297"/>
  <c r="AG23" i="297"/>
  <c r="L24" i="297"/>
  <c r="T24" i="297"/>
  <c r="AB24" i="297"/>
  <c r="AJ24" i="297"/>
  <c r="O25" i="297"/>
  <c r="W25" i="297"/>
  <c r="AE25" i="297"/>
  <c r="AM25" i="297"/>
  <c r="J26" i="297"/>
  <c r="S26" i="297"/>
  <c r="AB26" i="297"/>
  <c r="AJ26" i="297"/>
  <c r="AS26" i="297"/>
  <c r="L18" i="297"/>
  <c r="T18" i="297"/>
  <c r="Q25" i="297"/>
  <c r="Y25" i="297"/>
  <c r="AG25" i="297"/>
  <c r="M26" i="297"/>
  <c r="U26" i="297"/>
  <c r="AD26" i="297"/>
  <c r="AE6" i="296"/>
  <c r="AE18" i="296"/>
  <c r="O16" i="296"/>
  <c r="W16" i="296" s="1"/>
  <c r="O6" i="296"/>
  <c r="W6" i="296" s="1"/>
  <c r="O15" i="296"/>
  <c r="W15" i="296" s="1"/>
  <c r="V15" i="296"/>
  <c r="AG18" i="296"/>
  <c r="AP22" i="296"/>
  <c r="J25" i="296"/>
  <c r="AI17" i="296"/>
  <c r="AK18" i="296"/>
  <c r="Y26" i="296"/>
  <c r="Y9" i="296"/>
  <c r="L25" i="296"/>
  <c r="AF26" i="296"/>
  <c r="AR9" i="296"/>
  <c r="AB25" i="296"/>
  <c r="AH25" i="296"/>
  <c r="O18" i="296"/>
  <c r="W18" i="296" s="1"/>
  <c r="AH19" i="296"/>
  <c r="AJ25" i="296"/>
  <c r="AF6" i="296"/>
  <c r="O8" i="296"/>
  <c r="W8" i="296" s="1"/>
  <c r="AI8" i="296"/>
  <c r="O9" i="296"/>
  <c r="W9" i="296" s="1"/>
  <c r="AQ14" i="296"/>
  <c r="Y15" i="296"/>
  <c r="AE16" i="296"/>
  <c r="O20" i="296"/>
  <c r="W20" i="296" s="1"/>
  <c r="R25" i="296"/>
  <c r="AP25" i="296"/>
  <c r="AG26" i="296"/>
  <c r="AN6" i="296"/>
  <c r="P8" i="296"/>
  <c r="AN8" i="296"/>
  <c r="P9" i="296"/>
  <c r="T12" i="296"/>
  <c r="L14" i="296"/>
  <c r="M14" i="296" s="1"/>
  <c r="AR14" i="296"/>
  <c r="AG15" i="296"/>
  <c r="AO16" i="296"/>
  <c r="T25" i="296"/>
  <c r="AQ25" i="296"/>
  <c r="AP14" i="296"/>
  <c r="O7" i="295"/>
  <c r="W7" i="295" s="1"/>
  <c r="S8" i="296"/>
  <c r="AQ8" i="296"/>
  <c r="AI12" i="296"/>
  <c r="AL15" i="296"/>
  <c r="AQ16" i="296"/>
  <c r="S22" i="296"/>
  <c r="Z25" i="296"/>
  <c r="AR25" i="296"/>
  <c r="P7" i="295"/>
  <c r="T8" i="296"/>
  <c r="AR8" i="296"/>
  <c r="L8" i="296" s="1"/>
  <c r="X9" i="296"/>
  <c r="S14" i="296"/>
  <c r="AA25" i="296"/>
  <c r="AC8" i="296"/>
  <c r="AS8" i="296"/>
  <c r="T14" i="296"/>
  <c r="AD8" i="296"/>
  <c r="AO9" i="296"/>
  <c r="V14" i="296"/>
  <c r="AD25" i="296"/>
  <c r="P26" i="296"/>
  <c r="AE8" i="296"/>
  <c r="AQ9" i="296"/>
  <c r="V13" i="296"/>
  <c r="AI14" i="296"/>
  <c r="S17" i="296"/>
  <c r="P6" i="296"/>
  <c r="AG6" i="296"/>
  <c r="V8" i="296"/>
  <c r="AK8" i="296"/>
  <c r="AF9" i="296"/>
  <c r="AC10" i="296"/>
  <c r="AM10" i="296"/>
  <c r="X12" i="296"/>
  <c r="AN12" i="296"/>
  <c r="AG13" i="296"/>
  <c r="AA14" i="296"/>
  <c r="AK15" i="296"/>
  <c r="Q16" i="296"/>
  <c r="R16" i="296" s="1"/>
  <c r="AB16" i="296" s="1"/>
  <c r="AP17" i="296"/>
  <c r="Q18" i="296"/>
  <c r="R18" i="296" s="1"/>
  <c r="AJ18" i="296" s="1"/>
  <c r="AO18" i="296"/>
  <c r="S20" i="296"/>
  <c r="AC20" i="296"/>
  <c r="AN20" i="296"/>
  <c r="AH21" i="296"/>
  <c r="AS21" i="296"/>
  <c r="AA22" i="296"/>
  <c r="M23" i="296"/>
  <c r="AA23" i="296"/>
  <c r="AL23" i="296"/>
  <c r="P24" i="296"/>
  <c r="AO26" i="296"/>
  <c r="Q6" i="296"/>
  <c r="R6" i="296" s="1"/>
  <c r="AB6" i="296" s="1"/>
  <c r="AL6" i="296"/>
  <c r="X8" i="296"/>
  <c r="AL8" i="296"/>
  <c r="AG9" i="296"/>
  <c r="O10" i="296"/>
  <c r="W10" i="296" s="1"/>
  <c r="AD10" i="296"/>
  <c r="AN10" i="296"/>
  <c r="L12" i="296"/>
  <c r="M12" i="296" s="1"/>
  <c r="AA12" i="296"/>
  <c r="AQ12" i="296"/>
  <c r="AD14" i="296"/>
  <c r="Y16" i="296"/>
  <c r="AA17" i="296"/>
  <c r="AQ17" i="296"/>
  <c r="AS18" i="296"/>
  <c r="T20" i="296"/>
  <c r="AE20" i="296"/>
  <c r="AP20" i="296"/>
  <c r="X21" i="296"/>
  <c r="AI21" i="296"/>
  <c r="AH22" i="296"/>
  <c r="AB23" i="296"/>
  <c r="AN23" i="296"/>
  <c r="Q24" i="296"/>
  <c r="AP26" i="296"/>
  <c r="AE24" i="295"/>
  <c r="V6" i="296"/>
  <c r="AM6" i="296"/>
  <c r="AA8" i="296"/>
  <c r="AM8" i="296"/>
  <c r="AI9" i="296"/>
  <c r="P10" i="296"/>
  <c r="AE10" i="296"/>
  <c r="AP10" i="296"/>
  <c r="AC12" i="296"/>
  <c r="AR12" i="296"/>
  <c r="AH14" i="296"/>
  <c r="AO15" i="296"/>
  <c r="AA16" i="296"/>
  <c r="L17" i="296"/>
  <c r="U17" i="296" s="1"/>
  <c r="AR17" i="296"/>
  <c r="Y18" i="296"/>
  <c r="AF20" i="296"/>
  <c r="AQ20" i="296"/>
  <c r="O21" i="296"/>
  <c r="W21" i="296" s="1"/>
  <c r="AK21" i="296"/>
  <c r="AI22" i="296"/>
  <c r="P23" i="296"/>
  <c r="AC23" i="296"/>
  <c r="AQ23" i="296"/>
  <c r="X24" i="296"/>
  <c r="S25" i="296"/>
  <c r="AI25" i="296"/>
  <c r="O26" i="296"/>
  <c r="S10" i="296"/>
  <c r="AF10" i="296"/>
  <c r="AS10" i="296"/>
  <c r="P12" i="296"/>
  <c r="AD12" i="296"/>
  <c r="AS12" i="296"/>
  <c r="AD17" i="296"/>
  <c r="AC18" i="296"/>
  <c r="AH20" i="296"/>
  <c r="AR20" i="296"/>
  <c r="L20" i="296" s="1"/>
  <c r="P21" i="296"/>
  <c r="AA21" i="296"/>
  <c r="AL21" i="296"/>
  <c r="S23" i="296"/>
  <c r="AD23" i="296"/>
  <c r="AR23" i="296"/>
  <c r="Y24" i="296"/>
  <c r="Y6" i="296"/>
  <c r="AO6" i="296"/>
  <c r="V10" i="296"/>
  <c r="AH10" i="296"/>
  <c r="S12" i="296"/>
  <c r="AF12" i="296"/>
  <c r="AL14" i="296"/>
  <c r="AH17" i="296"/>
  <c r="AD18" i="296"/>
  <c r="X20" i="296"/>
  <c r="AI20" i="296"/>
  <c r="AS20" i="296"/>
  <c r="AC21" i="296"/>
  <c r="AM21" i="296"/>
  <c r="AQ22" i="296"/>
  <c r="T23" i="296"/>
  <c r="AF23" i="296"/>
  <c r="AS23" i="296"/>
  <c r="V25" i="296"/>
  <c r="AL25" i="296"/>
  <c r="W26" i="296"/>
  <c r="AI10" i="296"/>
  <c r="S21" i="296"/>
  <c r="AD21" i="296"/>
  <c r="AN21" i="296"/>
  <c r="U23" i="296"/>
  <c r="AI23" i="296"/>
  <c r="X10" i="296"/>
  <c r="AK10" i="296"/>
  <c r="AK12" i="296"/>
  <c r="T17" i="296"/>
  <c r="P20" i="296"/>
  <c r="AA20" i="296"/>
  <c r="AK20" i="296"/>
  <c r="AE21" i="296"/>
  <c r="AP21" i="296"/>
  <c r="V23" i="296"/>
  <c r="AJ23" i="296"/>
  <c r="AA10" i="296"/>
  <c r="AL10" i="296"/>
  <c r="V12" i="296"/>
  <c r="AL12" i="296"/>
  <c r="V17" i="296"/>
  <c r="AL17" i="296"/>
  <c r="AM20" i="296"/>
  <c r="V21" i="296"/>
  <c r="AF21" i="296"/>
  <c r="AQ21" i="296"/>
  <c r="L23" i="296"/>
  <c r="X23" i="296"/>
  <c r="AK23" i="296"/>
  <c r="AO7" i="296"/>
  <c r="S11" i="296"/>
  <c r="AC6" i="296"/>
  <c r="AK6" i="296"/>
  <c r="AS6" i="296"/>
  <c r="P7" i="296"/>
  <c r="X7" i="296"/>
  <c r="AF7" i="296"/>
  <c r="AN7" i="296"/>
  <c r="V9" i="296"/>
  <c r="AE9" i="296"/>
  <c r="AF11" i="296"/>
  <c r="S13" i="296"/>
  <c r="AL16" i="296"/>
  <c r="AD16" i="296"/>
  <c r="V16" i="296"/>
  <c r="AS16" i="296"/>
  <c r="AK16" i="296"/>
  <c r="AC16" i="296"/>
  <c r="AR16" i="296"/>
  <c r="T16" i="296"/>
  <c r="L16" i="296"/>
  <c r="U16" i="296" s="1"/>
  <c r="AP16" i="296"/>
  <c r="AH16" i="296"/>
  <c r="X16" i="296"/>
  <c r="AN16" i="296"/>
  <c r="Q19" i="296"/>
  <c r="R19" i="296" s="1"/>
  <c r="AJ19" i="296" s="1"/>
  <c r="AM11" i="296"/>
  <c r="AE11" i="296"/>
  <c r="O11" i="296"/>
  <c r="W11" i="296" s="1"/>
  <c r="AL11" i="296"/>
  <c r="AD11" i="296"/>
  <c r="V11" i="296"/>
  <c r="AR11" i="296"/>
  <c r="T11" i="296"/>
  <c r="L11" i="296"/>
  <c r="M11" i="296" s="1"/>
  <c r="J7" i="296"/>
  <c r="J8" i="296" s="1"/>
  <c r="J9" i="296" s="1"/>
  <c r="J10" i="296" s="1"/>
  <c r="J11" i="296" s="1"/>
  <c r="J12" i="296" s="1"/>
  <c r="J13" i="296" s="1"/>
  <c r="J14" i="296" s="1"/>
  <c r="J15" i="296" s="1"/>
  <c r="J16" i="296" s="1"/>
  <c r="J17" i="296" s="1"/>
  <c r="J18" i="296" s="1"/>
  <c r="J19" i="296" s="1"/>
  <c r="J20" i="296" s="1"/>
  <c r="J21" i="296" s="1"/>
  <c r="J22" i="296" s="1"/>
  <c r="AH7" i="296"/>
  <c r="AP7" i="296"/>
  <c r="AH11" i="296"/>
  <c r="AS13" i="296"/>
  <c r="AK13" i="296"/>
  <c r="AC13" i="296"/>
  <c r="AR13" i="296"/>
  <c r="T13" i="296"/>
  <c r="L13" i="296"/>
  <c r="U13" i="296" s="1"/>
  <c r="AP13" i="296"/>
  <c r="AH13" i="296"/>
  <c r="AI13" i="296"/>
  <c r="AM19" i="296"/>
  <c r="AE19" i="296"/>
  <c r="O19" i="296"/>
  <c r="W19" i="296" s="1"/>
  <c r="AL19" i="296"/>
  <c r="AD19" i="296"/>
  <c r="V19" i="296"/>
  <c r="AS19" i="296"/>
  <c r="AK19" i="296"/>
  <c r="AC19" i="296"/>
  <c r="AQ19" i="296"/>
  <c r="AI19" i="296"/>
  <c r="AA19" i="296"/>
  <c r="S19" i="296"/>
  <c r="T19" i="296"/>
  <c r="S7" i="296"/>
  <c r="AA7" i="296"/>
  <c r="AI7" i="296"/>
  <c r="AQ7" i="296"/>
  <c r="X11" i="296"/>
  <c r="AI11" i="296"/>
  <c r="X13" i="296"/>
  <c r="AL13" i="296"/>
  <c r="X19" i="296"/>
  <c r="AN19" i="296"/>
  <c r="P10" i="295"/>
  <c r="T7" i="296"/>
  <c r="AR7" i="296"/>
  <c r="L7" i="296" s="1"/>
  <c r="U7" i="296" s="1"/>
  <c r="AP9" i="296"/>
  <c r="AH9" i="296"/>
  <c r="Q9" i="296"/>
  <c r="R9" i="296" s="1"/>
  <c r="Z9" i="296" s="1"/>
  <c r="AA9" i="296"/>
  <c r="AS9" i="296"/>
  <c r="Y11" i="296"/>
  <c r="AK11" i="296"/>
  <c r="Y13" i="296"/>
  <c r="AM13" i="296"/>
  <c r="AR15" i="296"/>
  <c r="T15" i="296"/>
  <c r="L15" i="296"/>
  <c r="U15" i="296" s="1"/>
  <c r="AQ15" i="296"/>
  <c r="AI15" i="296"/>
  <c r="AA15" i="296"/>
  <c r="S15" i="296"/>
  <c r="AP15" i="296"/>
  <c r="AH15" i="296"/>
  <c r="AN15" i="296"/>
  <c r="AF15" i="296"/>
  <c r="X15" i="296"/>
  <c r="P15" i="296"/>
  <c r="AM15" i="296"/>
  <c r="P16" i="296"/>
  <c r="AF16" i="296"/>
  <c r="Y19" i="296"/>
  <c r="AO19" i="296"/>
  <c r="AG7" i="296"/>
  <c r="AP10" i="295"/>
  <c r="AH6" i="296"/>
  <c r="AP6" i="296"/>
  <c r="AC7" i="296"/>
  <c r="AK7" i="296"/>
  <c r="AS7" i="296"/>
  <c r="S9" i="296"/>
  <c r="AK9" i="296"/>
  <c r="AN11" i="296"/>
  <c r="O13" i="296"/>
  <c r="W13" i="296" s="1"/>
  <c r="AA13" i="296"/>
  <c r="AN13" i="296"/>
  <c r="L19" i="296"/>
  <c r="M19" i="296" s="1"/>
  <c r="AP19" i="296"/>
  <c r="AM24" i="296"/>
  <c r="AE24" i="296"/>
  <c r="W24" i="296"/>
  <c r="O24" i="296"/>
  <c r="AL24" i="296"/>
  <c r="AD24" i="296"/>
  <c r="V24" i="296"/>
  <c r="AS24" i="296"/>
  <c r="AK24" i="296"/>
  <c r="AC24" i="296"/>
  <c r="U24" i="296"/>
  <c r="M24" i="296"/>
  <c r="AR24" i="296"/>
  <c r="AJ24" i="296"/>
  <c r="AB24" i="296"/>
  <c r="T24" i="296"/>
  <c r="L24" i="296"/>
  <c r="AQ24" i="296"/>
  <c r="AI24" i="296"/>
  <c r="AA24" i="296"/>
  <c r="S24" i="296"/>
  <c r="AP24" i="296"/>
  <c r="AH24" i="296"/>
  <c r="Z24" i="296"/>
  <c r="R24" i="296"/>
  <c r="J24" i="296"/>
  <c r="AG24" i="296"/>
  <c r="Q7" i="296"/>
  <c r="R7" i="296" s="1"/>
  <c r="AS11" i="296"/>
  <c r="S6" i="296"/>
  <c r="AA6" i="296"/>
  <c r="AI6" i="296"/>
  <c r="AQ6" i="296"/>
  <c r="V7" i="296"/>
  <c r="AD7" i="296"/>
  <c r="AL7" i="296"/>
  <c r="Q8" i="296"/>
  <c r="R8" i="296" s="1"/>
  <c r="Y8" i="296"/>
  <c r="AG8" i="296"/>
  <c r="AO8" i="296"/>
  <c r="T9" i="296"/>
  <c r="AC9" i="296"/>
  <c r="AL9" i="296"/>
  <c r="P11" i="296"/>
  <c r="AA11" i="296"/>
  <c r="AO11" i="296"/>
  <c r="P13" i="296"/>
  <c r="AD13" i="296"/>
  <c r="AO13" i="296"/>
  <c r="AC15" i="296"/>
  <c r="AS15" i="296"/>
  <c r="S16" i="296"/>
  <c r="AI16" i="296"/>
  <c r="V18" i="296"/>
  <c r="AR19" i="296"/>
  <c r="AN24" i="296"/>
  <c r="Y7" i="296"/>
  <c r="AG11" i="296"/>
  <c r="L6" i="296"/>
  <c r="M6" i="296" s="1"/>
  <c r="T6" i="296"/>
  <c r="O7" i="296"/>
  <c r="W7" i="296" s="1"/>
  <c r="AE7" i="296"/>
  <c r="AH8" i="296"/>
  <c r="L9" i="296"/>
  <c r="M9" i="296" s="1"/>
  <c r="AD9" i="296"/>
  <c r="AM9" i="296"/>
  <c r="Q11" i="296"/>
  <c r="R11" i="296" s="1"/>
  <c r="AC11" i="296"/>
  <c r="AP11" i="296"/>
  <c r="Q13" i="296"/>
  <c r="R13" i="296" s="1"/>
  <c r="AJ13" i="296" s="1"/>
  <c r="AE13" i="296"/>
  <c r="AQ13" i="296"/>
  <c r="AD15" i="296"/>
  <c r="AM16" i="296"/>
  <c r="AR18" i="296"/>
  <c r="T18" i="296"/>
  <c r="L18" i="296"/>
  <c r="M18" i="296" s="1"/>
  <c r="AQ18" i="296"/>
  <c r="AI18" i="296"/>
  <c r="AA18" i="296"/>
  <c r="S18" i="296"/>
  <c r="AP18" i="296"/>
  <c r="AH18" i="296"/>
  <c r="AN18" i="296"/>
  <c r="AF18" i="296"/>
  <c r="X18" i="296"/>
  <c r="P18" i="296"/>
  <c r="AM18" i="296"/>
  <c r="P19" i="296"/>
  <c r="AF19" i="296"/>
  <c r="AO24" i="296"/>
  <c r="Q10" i="296"/>
  <c r="R10" i="296" s="1"/>
  <c r="Z10" i="296" s="1"/>
  <c r="Y10" i="296"/>
  <c r="AG10" i="296"/>
  <c r="AO10" i="296"/>
  <c r="O12" i="296"/>
  <c r="W12" i="296" s="1"/>
  <c r="AE12" i="296"/>
  <c r="AM12" i="296"/>
  <c r="AC14" i="296"/>
  <c r="AK14" i="296"/>
  <c r="AS14" i="296"/>
  <c r="AC17" i="296"/>
  <c r="AK17" i="296"/>
  <c r="AS17" i="296"/>
  <c r="V20" i="296"/>
  <c r="AD20" i="296"/>
  <c r="AL20" i="296"/>
  <c r="Q21" i="296"/>
  <c r="R21" i="296" s="1"/>
  <c r="Y21" i="296"/>
  <c r="AG21" i="296"/>
  <c r="AO21" i="296"/>
  <c r="L22" i="296"/>
  <c r="M22" i="296" s="1"/>
  <c r="T22" i="296"/>
  <c r="AR22" i="296"/>
  <c r="O23" i="296"/>
  <c r="W23" i="296"/>
  <c r="AE23" i="296"/>
  <c r="AM23" i="296"/>
  <c r="M25" i="296"/>
  <c r="U25" i="296"/>
  <c r="AC25" i="296"/>
  <c r="AK25" i="296"/>
  <c r="AS25" i="296"/>
  <c r="Q26" i="296"/>
  <c r="Z26" i="296"/>
  <c r="AH26" i="296"/>
  <c r="AQ26" i="296"/>
  <c r="AC22" i="296"/>
  <c r="AK22" i="296"/>
  <c r="AS22" i="296"/>
  <c r="R26" i="296"/>
  <c r="AA26" i="296"/>
  <c r="AI26" i="296"/>
  <c r="AR26" i="296"/>
  <c r="AQ10" i="296"/>
  <c r="Q12" i="296"/>
  <c r="R12" i="296" s="1"/>
  <c r="Z12" i="296" s="1"/>
  <c r="Y12" i="296"/>
  <c r="AG12" i="296"/>
  <c r="AO12" i="296"/>
  <c r="O14" i="296"/>
  <c r="W14" i="296" s="1"/>
  <c r="AE14" i="296"/>
  <c r="AM14" i="296"/>
  <c r="O17" i="296"/>
  <c r="W17" i="296" s="1"/>
  <c r="AE17" i="296"/>
  <c r="AM17" i="296"/>
  <c r="V22" i="296"/>
  <c r="AD22" i="296"/>
  <c r="AL22" i="296"/>
  <c r="Q23" i="296"/>
  <c r="Y23" i="296"/>
  <c r="AG23" i="296"/>
  <c r="AO23" i="296"/>
  <c r="O25" i="296"/>
  <c r="W25" i="296"/>
  <c r="AE25" i="296"/>
  <c r="AM25" i="296"/>
  <c r="J26" i="296"/>
  <c r="S26" i="296"/>
  <c r="AB26" i="296"/>
  <c r="AJ26" i="296"/>
  <c r="AS26" i="296"/>
  <c r="L10" i="296"/>
  <c r="T10" i="296"/>
  <c r="AH12" i="296"/>
  <c r="P14" i="296"/>
  <c r="X14" i="296"/>
  <c r="AF14" i="296"/>
  <c r="AN14" i="296"/>
  <c r="P17" i="296"/>
  <c r="X17" i="296"/>
  <c r="AF17" i="296"/>
  <c r="AN17" i="296"/>
  <c r="Q20" i="296"/>
  <c r="R20" i="296" s="1"/>
  <c r="Y20" i="296"/>
  <c r="AG20" i="296"/>
  <c r="L21" i="296"/>
  <c r="U21" i="296" s="1"/>
  <c r="T21" i="296"/>
  <c r="O22" i="296"/>
  <c r="W22" i="296" s="1"/>
  <c r="AE22" i="296"/>
  <c r="AM22" i="296"/>
  <c r="J23" i="296"/>
  <c r="R23" i="296"/>
  <c r="Z23" i="296"/>
  <c r="AH23" i="296"/>
  <c r="P25" i="296"/>
  <c r="X25" i="296"/>
  <c r="AF25" i="296"/>
  <c r="AN25" i="296"/>
  <c r="L26" i="296"/>
  <c r="T26" i="296"/>
  <c r="AC26" i="296"/>
  <c r="AK26" i="296"/>
  <c r="Q14" i="296"/>
  <c r="R14" i="296" s="1"/>
  <c r="Y14" i="296"/>
  <c r="AG14" i="296"/>
  <c r="Q17" i="296"/>
  <c r="R17" i="296" s="1"/>
  <c r="Y17" i="296"/>
  <c r="AG17" i="296"/>
  <c r="P22" i="296"/>
  <c r="X22" i="296"/>
  <c r="AF22" i="296"/>
  <c r="AN22" i="296"/>
  <c r="Q25" i="296"/>
  <c r="Y25" i="296"/>
  <c r="AG25" i="296"/>
  <c r="M26" i="296"/>
  <c r="U26" i="296"/>
  <c r="AD26" i="296"/>
  <c r="AM26" i="296"/>
  <c r="Q22" i="296"/>
  <c r="R22" i="296" s="1"/>
  <c r="Y22" i="296"/>
  <c r="AG22" i="296"/>
  <c r="V26" i="296"/>
  <c r="AE26" i="296"/>
  <c r="P6" i="295"/>
  <c r="S7" i="295"/>
  <c r="L23" i="295"/>
  <c r="Y6" i="295"/>
  <c r="AF7" i="295"/>
  <c r="AS6" i="295"/>
  <c r="AS7" i="295"/>
  <c r="V16" i="295"/>
  <c r="AR23" i="295"/>
  <c r="X16" i="295"/>
  <c r="AM10" i="295"/>
  <c r="AF6" i="295"/>
  <c r="AC7" i="295"/>
  <c r="O10" i="295"/>
  <c r="W10" i="295" s="1"/>
  <c r="AC12" i="295"/>
  <c r="AI16" i="295"/>
  <c r="AI7" i="295"/>
  <c r="T10" i="295"/>
  <c r="AE19" i="295"/>
  <c r="AN7" i="295"/>
  <c r="AE10" i="295"/>
  <c r="O11" i="295"/>
  <c r="AQ7" i="295"/>
  <c r="AE9" i="295"/>
  <c r="AF10" i="295"/>
  <c r="S11" i="295"/>
  <c r="AF22" i="295"/>
  <c r="AH10" i="295"/>
  <c r="AD7" i="295"/>
  <c r="AN9" i="295"/>
  <c r="AC10" i="295"/>
  <c r="AQ10" i="295"/>
  <c r="Y11" i="295"/>
  <c r="O16" i="295"/>
  <c r="W16" i="295" s="1"/>
  <c r="AK16" i="295"/>
  <c r="AS21" i="295"/>
  <c r="S24" i="295"/>
  <c r="AE7" i="295"/>
  <c r="AD10" i="295"/>
  <c r="AR10" i="295"/>
  <c r="L10" i="295" s="1"/>
  <c r="M10" i="295" s="1"/>
  <c r="AO11" i="295"/>
  <c r="P16" i="295"/>
  <c r="AL16" i="295"/>
  <c r="L18" i="295"/>
  <c r="U18" i="295" s="1"/>
  <c r="V23" i="295"/>
  <c r="X24" i="295"/>
  <c r="P13" i="295"/>
  <c r="AC15" i="295"/>
  <c r="S16" i="295"/>
  <c r="AS16" i="295"/>
  <c r="P21" i="295"/>
  <c r="AH23" i="295"/>
  <c r="AA24" i="295"/>
  <c r="S25" i="295"/>
  <c r="AS18" i="295"/>
  <c r="AF13" i="295"/>
  <c r="AD15" i="295"/>
  <c r="V18" i="295"/>
  <c r="T21" i="295"/>
  <c r="AA25" i="295"/>
  <c r="AA18" i="295"/>
  <c r="X21" i="295"/>
  <c r="AL24" i="295"/>
  <c r="AE16" i="295"/>
  <c r="AI18" i="295"/>
  <c r="AF21" i="295"/>
  <c r="AM24" i="295"/>
  <c r="AM21" i="295"/>
  <c r="AO6" i="295"/>
  <c r="T7" i="295"/>
  <c r="AR7" i="295"/>
  <c r="L7" i="295" s="1"/>
  <c r="U7" i="295" s="1"/>
  <c r="AA9" i="295"/>
  <c r="S10" i="295"/>
  <c r="AN10" i="295"/>
  <c r="P11" i="295"/>
  <c r="AP12" i="295"/>
  <c r="AF16" i="295"/>
  <c r="Q17" i="295"/>
  <c r="AR18" i="295"/>
  <c r="AH21" i="295"/>
  <c r="M24" i="295"/>
  <c r="AS24" i="295"/>
  <c r="AC6" i="295"/>
  <c r="AR6" i="295"/>
  <c r="L6" i="295" s="1"/>
  <c r="AH8" i="295"/>
  <c r="L12" i="295"/>
  <c r="AA12" i="295"/>
  <c r="AN12" i="295"/>
  <c r="O13" i="295"/>
  <c r="W13" i="295" s="1"/>
  <c r="AE13" i="295"/>
  <c r="AS13" i="295"/>
  <c r="AR15" i="295"/>
  <c r="L15" i="295" s="1"/>
  <c r="U15" i="295" s="1"/>
  <c r="AD18" i="295"/>
  <c r="AL21" i="295"/>
  <c r="AE22" i="295"/>
  <c r="U23" i="295"/>
  <c r="AF23" i="295"/>
  <c r="AQ23" i="295"/>
  <c r="P24" i="295"/>
  <c r="AD24" i="295"/>
  <c r="AQ24" i="295"/>
  <c r="AQ25" i="295"/>
  <c r="W26" i="295"/>
  <c r="Q6" i="295"/>
  <c r="R6" i="295" s="1"/>
  <c r="Z6" i="295" s="1"/>
  <c r="AG6" i="295"/>
  <c r="V7" i="295"/>
  <c r="AK7" i="295"/>
  <c r="AM8" i="295"/>
  <c r="AS9" i="295"/>
  <c r="V10" i="295"/>
  <c r="AI10" i="295"/>
  <c r="AS10" i="295"/>
  <c r="AE11" i="295"/>
  <c r="AD12" i="295"/>
  <c r="AQ12" i="295"/>
  <c r="S13" i="295"/>
  <c r="AI13" i="295"/>
  <c r="Q15" i="295"/>
  <c r="R15" i="295" s="1"/>
  <c r="AJ15" i="295" s="1"/>
  <c r="AA16" i="295"/>
  <c r="AM16" i="295"/>
  <c r="R17" i="295"/>
  <c r="Z17" i="295" s="1"/>
  <c r="AK18" i="295"/>
  <c r="V19" i="295"/>
  <c r="L21" i="295"/>
  <c r="M21" i="295" s="1"/>
  <c r="AC21" i="295"/>
  <c r="AN21" i="295"/>
  <c r="O22" i="295"/>
  <c r="AH22" i="295"/>
  <c r="M23" i="295"/>
  <c r="X23" i="295"/>
  <c r="AI23" i="295"/>
  <c r="AS23" i="295"/>
  <c r="U24" i="295"/>
  <c r="AF24" i="295"/>
  <c r="L26" i="295"/>
  <c r="AD26" i="295"/>
  <c r="AC26" i="295"/>
  <c r="S6" i="295"/>
  <c r="AI6" i="295"/>
  <c r="X7" i="295"/>
  <c r="AL7" i="295"/>
  <c r="AP8" i="295"/>
  <c r="X10" i="295"/>
  <c r="AK10" i="295"/>
  <c r="AI11" i="295"/>
  <c r="P12" i="295"/>
  <c r="AF12" i="295"/>
  <c r="AR12" i="295"/>
  <c r="V13" i="295"/>
  <c r="AK13" i="295"/>
  <c r="S15" i="295"/>
  <c r="AC16" i="295"/>
  <c r="AN16" i="295"/>
  <c r="Y17" i="295"/>
  <c r="S18" i="295"/>
  <c r="AL18" i="295"/>
  <c r="AD21" i="295"/>
  <c r="AP21" i="295"/>
  <c r="P22" i="295"/>
  <c r="AM22" i="295"/>
  <c r="Z23" i="295"/>
  <c r="AJ23" i="295"/>
  <c r="V24" i="295"/>
  <c r="AI24" i="295"/>
  <c r="M26" i="295"/>
  <c r="AF26" i="295"/>
  <c r="AL8" i="295"/>
  <c r="T6" i="295"/>
  <c r="AK6" i="295"/>
  <c r="AA7" i="295"/>
  <c r="AM7" i="295"/>
  <c r="O8" i="295"/>
  <c r="W8" i="295" s="1"/>
  <c r="AA10" i="295"/>
  <c r="AL10" i="295"/>
  <c r="AK11" i="295"/>
  <c r="S12" i="295"/>
  <c r="AH12" i="295"/>
  <c r="AS12" i="295"/>
  <c r="X13" i="295"/>
  <c r="AL13" i="295"/>
  <c r="Q14" i="295"/>
  <c r="R14" i="295" s="1"/>
  <c r="V15" i="295"/>
  <c r="AD16" i="295"/>
  <c r="AQ16" i="295"/>
  <c r="AG17" i="295"/>
  <c r="T18" i="295"/>
  <c r="AQ18" i="295"/>
  <c r="AO19" i="295"/>
  <c r="O21" i="295"/>
  <c r="W21" i="295" s="1"/>
  <c r="AE21" i="295"/>
  <c r="AR21" i="295"/>
  <c r="R22" i="295"/>
  <c r="AN22" i="295"/>
  <c r="P23" i="295"/>
  <c r="AA23" i="295"/>
  <c r="AK23" i="295"/>
  <c r="W24" i="295"/>
  <c r="AK24" i="295"/>
  <c r="AK26" i="295"/>
  <c r="X6" i="295"/>
  <c r="AN6" i="295"/>
  <c r="V8" i="295"/>
  <c r="T12" i="295"/>
  <c r="AI12" i="295"/>
  <c r="AA13" i="295"/>
  <c r="AM13" i="295"/>
  <c r="AD14" i="295"/>
  <c r="AH17" i="295"/>
  <c r="W22" i="295"/>
  <c r="AP22" i="295"/>
  <c r="R23" i="295"/>
  <c r="AB23" i="295"/>
  <c r="AL23" i="295"/>
  <c r="O26" i="295"/>
  <c r="AM26" i="295"/>
  <c r="AD8" i="295"/>
  <c r="V12" i="295"/>
  <c r="AK12" i="295"/>
  <c r="AC13" i="295"/>
  <c r="AN13" i="295"/>
  <c r="AP14" i="295"/>
  <c r="AO17" i="295"/>
  <c r="X22" i="295"/>
  <c r="S23" i="295"/>
  <c r="AC23" i="295"/>
  <c r="AN23" i="295"/>
  <c r="T26" i="295"/>
  <c r="AO26" i="295"/>
  <c r="AA6" i="295"/>
  <c r="AQ6" i="295"/>
  <c r="AE8" i="295"/>
  <c r="X12" i="295"/>
  <c r="AL12" i="295"/>
  <c r="AD13" i="295"/>
  <c r="AQ13" i="295"/>
  <c r="AQ15" i="295"/>
  <c r="AC18" i="295"/>
  <c r="V21" i="295"/>
  <c r="AK21" i="295"/>
  <c r="J22" i="295"/>
  <c r="Z22" i="295"/>
  <c r="J23" i="295"/>
  <c r="T23" i="295"/>
  <c r="AD23" i="295"/>
  <c r="AP23" i="295"/>
  <c r="O24" i="295"/>
  <c r="AC24" i="295"/>
  <c r="AN24" i="295"/>
  <c r="AI25" i="295"/>
  <c r="U26" i="295"/>
  <c r="AE9" i="294"/>
  <c r="AH6" i="295"/>
  <c r="AP6" i="295"/>
  <c r="P8" i="295"/>
  <c r="X8" i="295"/>
  <c r="AF8" i="295"/>
  <c r="AN8" i="295"/>
  <c r="S9" i="295"/>
  <c r="AK9" i="295"/>
  <c r="Q11" i="295"/>
  <c r="R11" i="295" s="1"/>
  <c r="AA11" i="295"/>
  <c r="AF14" i="295"/>
  <c r="AQ14" i="295"/>
  <c r="T15" i="295"/>
  <c r="AG15" i="295"/>
  <c r="S17" i="295"/>
  <c r="M18" i="295"/>
  <c r="U21" i="295"/>
  <c r="L17" i="294"/>
  <c r="U17" i="294" s="1"/>
  <c r="Q8" i="295"/>
  <c r="R8" i="295" s="1"/>
  <c r="Z8" i="295" s="1"/>
  <c r="Y8" i="295"/>
  <c r="AG8" i="295"/>
  <c r="AO8" i="295"/>
  <c r="L9" i="295"/>
  <c r="T9" i="295"/>
  <c r="AC9" i="295"/>
  <c r="AM9" i="295"/>
  <c r="AL11" i="295"/>
  <c r="AD11" i="295"/>
  <c r="V11" i="295"/>
  <c r="AR11" i="295"/>
  <c r="T11" i="295"/>
  <c r="L11" i="295"/>
  <c r="M11" i="295" s="1"/>
  <c r="AC11" i="295"/>
  <c r="AN11" i="295"/>
  <c r="S14" i="295"/>
  <c r="AP15" i="295"/>
  <c r="AH15" i="295"/>
  <c r="AN15" i="295"/>
  <c r="AF15" i="295"/>
  <c r="X15" i="295"/>
  <c r="P15" i="295"/>
  <c r="AM15" i="295"/>
  <c r="AE15" i="295"/>
  <c r="O15" i="295"/>
  <c r="W15" i="295" s="1"/>
  <c r="AI15" i="295"/>
  <c r="AM17" i="295"/>
  <c r="AE17" i="295"/>
  <c r="W17" i="295"/>
  <c r="O17" i="295"/>
  <c r="AL17" i="295"/>
  <c r="AD17" i="295"/>
  <c r="V17" i="295"/>
  <c r="AS17" i="295"/>
  <c r="AK17" i="295"/>
  <c r="AC17" i="295"/>
  <c r="U17" i="295"/>
  <c r="AR17" i="295"/>
  <c r="AB17" i="295"/>
  <c r="T17" i="295"/>
  <c r="L17" i="295"/>
  <c r="M17" i="295" s="1"/>
  <c r="X17" i="295"/>
  <c r="AN17" i="295"/>
  <c r="AN19" i="295"/>
  <c r="AF19" i="295"/>
  <c r="X19" i="295"/>
  <c r="P19" i="295"/>
  <c r="AS19" i="295"/>
  <c r="AK19" i="295"/>
  <c r="AC19" i="295"/>
  <c r="AR19" i="295"/>
  <c r="T19" i="295"/>
  <c r="L19" i="295"/>
  <c r="M19" i="295" s="1"/>
  <c r="AQ19" i="295"/>
  <c r="AI19" i="295"/>
  <c r="AA19" i="295"/>
  <c r="S19" i="295"/>
  <c r="AP19" i="295"/>
  <c r="AH19" i="295"/>
  <c r="AD19" i="295"/>
  <c r="AQ20" i="295"/>
  <c r="AI20" i="295"/>
  <c r="AA20" i="295"/>
  <c r="S20" i="295"/>
  <c r="AN20" i="295"/>
  <c r="AF20" i="295"/>
  <c r="X20" i="295"/>
  <c r="P20" i="295"/>
  <c r="AM20" i="295"/>
  <c r="AE20" i="295"/>
  <c r="O20" i="295"/>
  <c r="W20" i="295" s="1"/>
  <c r="AL20" i="295"/>
  <c r="AD20" i="295"/>
  <c r="V20" i="295"/>
  <c r="AS20" i="295"/>
  <c r="AK20" i="295"/>
  <c r="AC20" i="295"/>
  <c r="AR20" i="295"/>
  <c r="L20" i="295" s="1"/>
  <c r="AM14" i="295"/>
  <c r="AE14" i="295"/>
  <c r="O14" i="295"/>
  <c r="W14" i="295" s="1"/>
  <c r="AS14" i="295"/>
  <c r="AK14" i="295"/>
  <c r="AC14" i="295"/>
  <c r="AR14" i="295"/>
  <c r="T14" i="295"/>
  <c r="L14" i="295"/>
  <c r="U14" i="295" s="1"/>
  <c r="V14" i="295"/>
  <c r="AH14" i="295"/>
  <c r="AG20" i="295"/>
  <c r="S8" i="295"/>
  <c r="AA8" i="295"/>
  <c r="AI8" i="295"/>
  <c r="AQ8" i="295"/>
  <c r="AF9" i="295"/>
  <c r="AO9" i="295"/>
  <c r="AF11" i="295"/>
  <c r="AP11" i="295"/>
  <c r="X14" i="295"/>
  <c r="AI14" i="295"/>
  <c r="Y15" i="295"/>
  <c r="AK15" i="295"/>
  <c r="AP17" i="295"/>
  <c r="AG19" i="295"/>
  <c r="AH20" i="295"/>
  <c r="AN8" i="294"/>
  <c r="V6" i="295"/>
  <c r="AD6" i="295"/>
  <c r="AL6" i="295"/>
  <c r="Q7" i="295"/>
  <c r="R7" i="295" s="1"/>
  <c r="Z7" i="295" s="1"/>
  <c r="Y7" i="295"/>
  <c r="AG7" i="295"/>
  <c r="AO7" i="295"/>
  <c r="T8" i="295"/>
  <c r="AR8" i="295"/>
  <c r="L8" i="295" s="1"/>
  <c r="O9" i="295"/>
  <c r="W9" i="295" s="1"/>
  <c r="X9" i="295"/>
  <c r="AG9" i="295"/>
  <c r="AP9" i="295"/>
  <c r="W11" i="295"/>
  <c r="AG11" i="295"/>
  <c r="AQ11" i="295"/>
  <c r="Y14" i="295"/>
  <c r="AL14" i="295"/>
  <c r="AA15" i="295"/>
  <c r="AL15" i="295"/>
  <c r="AA17" i="295"/>
  <c r="AQ17" i="295"/>
  <c r="O19" i="295"/>
  <c r="W19" i="295" s="1"/>
  <c r="AL19" i="295"/>
  <c r="Q20" i="295"/>
  <c r="O6" i="295"/>
  <c r="W6" i="295" s="1"/>
  <c r="AE6" i="295"/>
  <c r="J7" i="295"/>
  <c r="AH7" i="295"/>
  <c r="AC8" i="295"/>
  <c r="AK8" i="295"/>
  <c r="P9" i="295"/>
  <c r="Y9" i="295"/>
  <c r="AH9" i="295"/>
  <c r="X11" i="295"/>
  <c r="AH11" i="295"/>
  <c r="AS11" i="295"/>
  <c r="AN14" i="295"/>
  <c r="AO15" i="295"/>
  <c r="P17" i="295"/>
  <c r="AF17" i="295"/>
  <c r="Q19" i="295"/>
  <c r="R19" i="295" s="1"/>
  <c r="AM19" i="295"/>
  <c r="R20" i="295"/>
  <c r="AJ20" i="295" s="1"/>
  <c r="AO20" i="295"/>
  <c r="Y20" i="295"/>
  <c r="AL9" i="295"/>
  <c r="AD9" i="295"/>
  <c r="V9" i="295"/>
  <c r="Q9" i="295"/>
  <c r="R9" i="295" s="1"/>
  <c r="AJ9" i="295" s="1"/>
  <c r="AI9" i="295"/>
  <c r="AR9" i="295"/>
  <c r="P14" i="295"/>
  <c r="AA14" i="295"/>
  <c r="AO14" i="295"/>
  <c r="T20" i="295"/>
  <c r="AP20" i="295"/>
  <c r="Q13" i="295"/>
  <c r="R13" i="295" s="1"/>
  <c r="Y13" i="295"/>
  <c r="AG13" i="295"/>
  <c r="AO13" i="295"/>
  <c r="Q16" i="295"/>
  <c r="Y16" i="295"/>
  <c r="AG16" i="295"/>
  <c r="AO16" i="295"/>
  <c r="O18" i="295"/>
  <c r="W18" i="295" s="1"/>
  <c r="AE18" i="295"/>
  <c r="AM18" i="295"/>
  <c r="S22" i="295"/>
  <c r="AA22" i="295"/>
  <c r="AI22" i="295"/>
  <c r="AQ22" i="295"/>
  <c r="Q24" i="295"/>
  <c r="Y24" i="295"/>
  <c r="AG24" i="295"/>
  <c r="AO24" i="295"/>
  <c r="L25" i="295"/>
  <c r="T25" i="295"/>
  <c r="AB25" i="295"/>
  <c r="AJ25" i="295"/>
  <c r="AR25" i="295"/>
  <c r="P26" i="295"/>
  <c r="Y26" i="295"/>
  <c r="AG26" i="295"/>
  <c r="AP26" i="295"/>
  <c r="Q10" i="295"/>
  <c r="R10" i="295" s="1"/>
  <c r="Y10" i="295"/>
  <c r="AG10" i="295"/>
  <c r="O12" i="295"/>
  <c r="W12" i="295" s="1"/>
  <c r="AE12" i="295"/>
  <c r="AM12" i="295"/>
  <c r="AH13" i="295"/>
  <c r="AP13" i="295"/>
  <c r="R16" i="295"/>
  <c r="AB16" i="295" s="1"/>
  <c r="AH16" i="295"/>
  <c r="AP16" i="295"/>
  <c r="P18" i="295"/>
  <c r="X18" i="295"/>
  <c r="AF18" i="295"/>
  <c r="AN18" i="295"/>
  <c r="Q21" i="295"/>
  <c r="R21" i="295" s="1"/>
  <c r="Y21" i="295"/>
  <c r="AG21" i="295"/>
  <c r="AO21" i="295"/>
  <c r="L22" i="295"/>
  <c r="T22" i="295"/>
  <c r="AB22" i="295"/>
  <c r="AJ22" i="295"/>
  <c r="AR22" i="295"/>
  <c r="O23" i="295"/>
  <c r="W23" i="295"/>
  <c r="AE23" i="295"/>
  <c r="AM23" i="295"/>
  <c r="J24" i="295"/>
  <c r="R24" i="295"/>
  <c r="Z24" i="295"/>
  <c r="AH24" i="295"/>
  <c r="AP24" i="295"/>
  <c r="M25" i="295"/>
  <c r="U25" i="295"/>
  <c r="AC25" i="295"/>
  <c r="AK25" i="295"/>
  <c r="AS25" i="295"/>
  <c r="Q26" i="295"/>
  <c r="Z26" i="295"/>
  <c r="AH26" i="295"/>
  <c r="AQ26" i="295"/>
  <c r="Q18" i="295"/>
  <c r="R18" i="295" s="1"/>
  <c r="Y18" i="295"/>
  <c r="AG18" i="295"/>
  <c r="AO18" i="295"/>
  <c r="M22" i="295"/>
  <c r="U22" i="295"/>
  <c r="AC22" i="295"/>
  <c r="AK22" i="295"/>
  <c r="AS22" i="295"/>
  <c r="V25" i="295"/>
  <c r="AD25" i="295"/>
  <c r="AL25" i="295"/>
  <c r="R26" i="295"/>
  <c r="AA26" i="295"/>
  <c r="AI26" i="295"/>
  <c r="AR26" i="295"/>
  <c r="Q12" i="295"/>
  <c r="R12" i="295" s="1"/>
  <c r="Y12" i="295"/>
  <c r="AG12" i="295"/>
  <c r="L13" i="295"/>
  <c r="T13" i="295"/>
  <c r="L16" i="295"/>
  <c r="T16" i="295"/>
  <c r="AH18" i="295"/>
  <c r="S21" i="295"/>
  <c r="AA21" i="295"/>
  <c r="AI21" i="295"/>
  <c r="V22" i="295"/>
  <c r="AD22" i="295"/>
  <c r="AL22" i="295"/>
  <c r="Q23" i="295"/>
  <c r="Y23" i="295"/>
  <c r="AG23" i="295"/>
  <c r="L24" i="295"/>
  <c r="T24" i="295"/>
  <c r="AB24" i="295"/>
  <c r="AJ24" i="295"/>
  <c r="O25" i="295"/>
  <c r="W25" i="295"/>
  <c r="AE25" i="295"/>
  <c r="AM25" i="295"/>
  <c r="J26" i="295"/>
  <c r="S26" i="295"/>
  <c r="AB26" i="295"/>
  <c r="AJ26" i="295"/>
  <c r="AS26" i="295"/>
  <c r="P25" i="295"/>
  <c r="X25" i="295"/>
  <c r="AF25" i="295"/>
  <c r="AN25" i="295"/>
  <c r="Q25" i="295"/>
  <c r="Y25" i="295"/>
  <c r="AG25" i="295"/>
  <c r="AO25" i="295"/>
  <c r="Q22" i="295"/>
  <c r="Y22" i="295"/>
  <c r="AG22" i="295"/>
  <c r="J25" i="295"/>
  <c r="R25" i="295"/>
  <c r="Z25" i="295"/>
  <c r="AH25" i="295"/>
  <c r="V26" i="295"/>
  <c r="AE26" i="295"/>
  <c r="V24" i="294"/>
  <c r="X10" i="294"/>
  <c r="AE7" i="294"/>
  <c r="S9" i="294"/>
  <c r="AL10" i="294"/>
  <c r="AF9" i="294"/>
  <c r="T13" i="294"/>
  <c r="AI9" i="294"/>
  <c r="AM8" i="294"/>
  <c r="AP8" i="294"/>
  <c r="AS9" i="294"/>
  <c r="AD13" i="294"/>
  <c r="O8" i="294"/>
  <c r="W8" i="294" s="1"/>
  <c r="L18" i="294"/>
  <c r="U18" i="294" s="1"/>
  <c r="O22" i="294"/>
  <c r="AI23" i="294"/>
  <c r="P8" i="294"/>
  <c r="P22" i="294"/>
  <c r="AJ23" i="294"/>
  <c r="X25" i="294"/>
  <c r="X8" i="294"/>
  <c r="AR18" i="294"/>
  <c r="AE22" i="294"/>
  <c r="AA8" i="294"/>
  <c r="AC20" i="294"/>
  <c r="AP21" i="294"/>
  <c r="AK22" i="294"/>
  <c r="AC8" i="294"/>
  <c r="AQ21" i="294"/>
  <c r="AQ22" i="294"/>
  <c r="AF7" i="294"/>
  <c r="AE22" i="293"/>
  <c r="AN7" i="294"/>
  <c r="AD21" i="294"/>
  <c r="AR21" i="294"/>
  <c r="L21" i="294" s="1"/>
  <c r="M21" i="294" s="1"/>
  <c r="S22" i="294"/>
  <c r="AR6" i="294"/>
  <c r="L6" i="294" s="1"/>
  <c r="AP7" i="294"/>
  <c r="AH9" i="294"/>
  <c r="AF21" i="294"/>
  <c r="AS21" i="294"/>
  <c r="U22" i="294"/>
  <c r="J23" i="294"/>
  <c r="T10" i="293"/>
  <c r="O6" i="294"/>
  <c r="W6" i="294" s="1"/>
  <c r="O7" i="294"/>
  <c r="W7" i="294" s="1"/>
  <c r="AQ7" i="294"/>
  <c r="T21" i="294"/>
  <c r="AH21" i="294"/>
  <c r="AA22" i="294"/>
  <c r="AF6" i="294"/>
  <c r="P7" i="294"/>
  <c r="AR7" i="294"/>
  <c r="AI21" i="294"/>
  <c r="AM6" i="294"/>
  <c r="AA7" i="294"/>
  <c r="AD8" i="294"/>
  <c r="P9" i="294"/>
  <c r="AQ11" i="294"/>
  <c r="V13" i="294"/>
  <c r="V21" i="294"/>
  <c r="M22" i="294"/>
  <c r="AF22" i="294"/>
  <c r="V23" i="294"/>
  <c r="Y24" i="294"/>
  <c r="U26" i="294"/>
  <c r="AN6" i="294"/>
  <c r="AC7" i="294"/>
  <c r="AL8" i="294"/>
  <c r="Q9" i="294"/>
  <c r="R9" i="294" s="1"/>
  <c r="Z9" i="294" s="1"/>
  <c r="AA13" i="294"/>
  <c r="X21" i="294"/>
  <c r="AL21" i="294"/>
  <c r="AI22" i="294"/>
  <c r="X23" i="294"/>
  <c r="Y26" i="294"/>
  <c r="AM19" i="294"/>
  <c r="V10" i="294"/>
  <c r="AK10" i="294"/>
  <c r="AL12" i="294"/>
  <c r="AG15" i="294"/>
  <c r="V19" i="294"/>
  <c r="AL19" i="294"/>
  <c r="X19" i="294"/>
  <c r="AR13" i="293"/>
  <c r="AA10" i="294"/>
  <c r="AN10" i="294"/>
  <c r="P11" i="294"/>
  <c r="AQ12" i="294"/>
  <c r="AQ15" i="294"/>
  <c r="AC19" i="294"/>
  <c r="AN19" i="294"/>
  <c r="L23" i="294"/>
  <c r="Z23" i="294"/>
  <c r="AL23" i="294"/>
  <c r="AC26" i="294"/>
  <c r="P6" i="294"/>
  <c r="S7" i="294"/>
  <c r="AH7" i="294"/>
  <c r="AS7" i="294"/>
  <c r="S8" i="294"/>
  <c r="AE8" i="294"/>
  <c r="AR8" i="294"/>
  <c r="L8" i="294" s="1"/>
  <c r="M8" i="294" s="1"/>
  <c r="V9" i="294"/>
  <c r="AM9" i="294"/>
  <c r="AC10" i="294"/>
  <c r="AP10" i="294"/>
  <c r="Q11" i="294"/>
  <c r="R11" i="294" s="1"/>
  <c r="Z11" i="294" s="1"/>
  <c r="AG13" i="294"/>
  <c r="L15" i="294"/>
  <c r="U15" i="294" s="1"/>
  <c r="Q17" i="294"/>
  <c r="R17" i="294" s="1"/>
  <c r="Z17" i="294" s="1"/>
  <c r="Q18" i="294"/>
  <c r="R18" i="294" s="1"/>
  <c r="Z18" i="294" s="1"/>
  <c r="L19" i="294"/>
  <c r="U19" i="294" s="1"/>
  <c r="AD19" i="294"/>
  <c r="AP19" i="294"/>
  <c r="W22" i="294"/>
  <c r="AM22" i="294"/>
  <c r="AA23" i="294"/>
  <c r="AN23" i="294"/>
  <c r="AK24" i="294"/>
  <c r="L26" i="294"/>
  <c r="AD26" i="294"/>
  <c r="AP12" i="294"/>
  <c r="AI15" i="294"/>
  <c r="T6" i="294"/>
  <c r="J7" i="294"/>
  <c r="J8" i="294" s="1"/>
  <c r="J9" i="294" s="1"/>
  <c r="J10" i="294" s="1"/>
  <c r="J11" i="294" s="1"/>
  <c r="J12" i="294" s="1"/>
  <c r="J13" i="294" s="1"/>
  <c r="T7" i="294"/>
  <c r="AI7" i="294"/>
  <c r="T8" i="294"/>
  <c r="AF8" i="294"/>
  <c r="AS8" i="294"/>
  <c r="Y9" i="294"/>
  <c r="AN9" i="294"/>
  <c r="P10" i="294"/>
  <c r="AD10" i="294"/>
  <c r="AQ10" i="294"/>
  <c r="AC11" i="294"/>
  <c r="Q12" i="294"/>
  <c r="R12" i="294" s="1"/>
  <c r="Z12" i="294" s="1"/>
  <c r="AK13" i="294"/>
  <c r="T17" i="294"/>
  <c r="T18" i="294"/>
  <c r="AE19" i="294"/>
  <c r="AR19" i="294"/>
  <c r="AP20" i="294"/>
  <c r="P21" i="294"/>
  <c r="AA21" i="294"/>
  <c r="AK21" i="294"/>
  <c r="X22" i="294"/>
  <c r="AN22" i="294"/>
  <c r="P23" i="294"/>
  <c r="AB23" i="294"/>
  <c r="AP23" i="294"/>
  <c r="M26" i="294"/>
  <c r="AG26" i="294"/>
  <c r="X6" i="294"/>
  <c r="AK7" i="294"/>
  <c r="AI8" i="294"/>
  <c r="AC9" i="294"/>
  <c r="AO9" i="294"/>
  <c r="S10" i="294"/>
  <c r="AF10" i="294"/>
  <c r="AR10" i="294"/>
  <c r="L10" i="294" s="1"/>
  <c r="M10" i="294" s="1"/>
  <c r="AD11" i="294"/>
  <c r="Y12" i="294"/>
  <c r="AO13" i="294"/>
  <c r="Q15" i="294"/>
  <c r="R15" i="294" s="1"/>
  <c r="AG17" i="294"/>
  <c r="AA18" i="294"/>
  <c r="O19" i="294"/>
  <c r="W19" i="294" s="1"/>
  <c r="AF19" i="294"/>
  <c r="AS19" i="294"/>
  <c r="AS20" i="294"/>
  <c r="R23" i="294"/>
  <c r="AD23" i="294"/>
  <c r="AQ23" i="294"/>
  <c r="AK26" i="294"/>
  <c r="AC24" i="293"/>
  <c r="AE6" i="294"/>
  <c r="L7" i="294"/>
  <c r="M7" i="294" s="1"/>
  <c r="X7" i="294"/>
  <c r="AM7" i="294"/>
  <c r="V8" i="294"/>
  <c r="AD9" i="294"/>
  <c r="AP9" i="294"/>
  <c r="T10" i="294"/>
  <c r="AH10" i="294"/>
  <c r="AS10" i="294"/>
  <c r="AK11" i="294"/>
  <c r="AD12" i="294"/>
  <c r="S15" i="294"/>
  <c r="AR17" i="294"/>
  <c r="AG18" i="294"/>
  <c r="P19" i="294"/>
  <c r="AH19" i="294"/>
  <c r="S21" i="294"/>
  <c r="AC21" i="294"/>
  <c r="AN21" i="294"/>
  <c r="AC22" i="294"/>
  <c r="AS22" i="294"/>
  <c r="S23" i="294"/>
  <c r="AF23" i="294"/>
  <c r="P26" i="294"/>
  <c r="AM26" i="294"/>
  <c r="AI10" i="294"/>
  <c r="AN11" i="294"/>
  <c r="AF12" i="294"/>
  <c r="AQ18" i="294"/>
  <c r="T19" i="294"/>
  <c r="AK19" i="294"/>
  <c r="T23" i="294"/>
  <c r="AH23" i="294"/>
  <c r="T26" i="294"/>
  <c r="AP26" i="294"/>
  <c r="Y14" i="294"/>
  <c r="AO14" i="294"/>
  <c r="AA16" i="294"/>
  <c r="AQ16" i="294"/>
  <c r="AP25" i="294"/>
  <c r="AH25" i="294"/>
  <c r="Z25" i="294"/>
  <c r="R25" i="294"/>
  <c r="J25" i="294"/>
  <c r="AM25" i="294"/>
  <c r="AE25" i="294"/>
  <c r="W25" i="294"/>
  <c r="O25" i="294"/>
  <c r="AL25" i="294"/>
  <c r="AD25" i="294"/>
  <c r="V25" i="294"/>
  <c r="AS25" i="294"/>
  <c r="AK25" i="294"/>
  <c r="AC25" i="294"/>
  <c r="U25" i="294"/>
  <c r="M25" i="294"/>
  <c r="AQ25" i="294"/>
  <c r="AI25" i="294"/>
  <c r="AA25" i="294"/>
  <c r="S25" i="294"/>
  <c r="Y25" i="294"/>
  <c r="Q6" i="294"/>
  <c r="R6" i="294" s="1"/>
  <c r="Z6" i="294" s="1"/>
  <c r="Y6" i="294"/>
  <c r="AG6" i="294"/>
  <c r="AO6" i="294"/>
  <c r="S11" i="294"/>
  <c r="AE11" i="294"/>
  <c r="S12" i="294"/>
  <c r="AM13" i="294"/>
  <c r="AE13" i="294"/>
  <c r="O13" i="294"/>
  <c r="W13" i="294" s="1"/>
  <c r="AR13" i="294"/>
  <c r="AP13" i="294"/>
  <c r="AH13" i="294"/>
  <c r="AN13" i="294"/>
  <c r="AF13" i="294"/>
  <c r="X13" i="294"/>
  <c r="P13" i="294"/>
  <c r="AI13" i="294"/>
  <c r="L14" i="294"/>
  <c r="U14" i="294" s="1"/>
  <c r="AR14" i="294"/>
  <c r="T15" i="294"/>
  <c r="AC16" i="294"/>
  <c r="AS16" i="294"/>
  <c r="V17" i="294"/>
  <c r="O18" i="294"/>
  <c r="W18" i="294" s="1"/>
  <c r="AE18" i="294"/>
  <c r="O20" i="294"/>
  <c r="W20" i="294" s="1"/>
  <c r="AE20" i="294"/>
  <c r="AM24" i="294"/>
  <c r="AE24" i="294"/>
  <c r="W24" i="294"/>
  <c r="O24" i="294"/>
  <c r="AR24" i="294"/>
  <c r="AJ24" i="294"/>
  <c r="AB24" i="294"/>
  <c r="T24" i="294"/>
  <c r="L24" i="294"/>
  <c r="AQ24" i="294"/>
  <c r="AI24" i="294"/>
  <c r="AA24" i="294"/>
  <c r="S24" i="294"/>
  <c r="AP24" i="294"/>
  <c r="AH24" i="294"/>
  <c r="Z24" i="294"/>
  <c r="R24" i="294"/>
  <c r="J24" i="294"/>
  <c r="AN24" i="294"/>
  <c r="AF24" i="294"/>
  <c r="X24" i="294"/>
  <c r="P24" i="294"/>
  <c r="AC24" i="294"/>
  <c r="AB25" i="294"/>
  <c r="AF6" i="293"/>
  <c r="L23" i="293"/>
  <c r="AH6" i="294"/>
  <c r="AP6" i="294"/>
  <c r="AO11" i="294"/>
  <c r="AG11" i="294"/>
  <c r="Y11" i="294"/>
  <c r="AR11" i="294"/>
  <c r="L11" i="294" s="1"/>
  <c r="M11" i="294" s="1"/>
  <c r="T11" i="294"/>
  <c r="AP11" i="294"/>
  <c r="AH11" i="294"/>
  <c r="AF11" i="294"/>
  <c r="AR12" i="294"/>
  <c r="T12" i="294"/>
  <c r="L12" i="294"/>
  <c r="M12" i="294" s="1"/>
  <c r="AM12" i="294"/>
  <c r="AE12" i="294"/>
  <c r="O12" i="294"/>
  <c r="W12" i="294" s="1"/>
  <c r="AS12" i="294"/>
  <c r="AK12" i="294"/>
  <c r="AC12" i="294"/>
  <c r="V12" i="294"/>
  <c r="AH12" i="294"/>
  <c r="AD14" i="294"/>
  <c r="AS15" i="294"/>
  <c r="AK15" i="294"/>
  <c r="AC15" i="294"/>
  <c r="AP15" i="294"/>
  <c r="AH15" i="294"/>
  <c r="AN15" i="294"/>
  <c r="AF15" i="294"/>
  <c r="X15" i="294"/>
  <c r="P15" i="294"/>
  <c r="AL15" i="294"/>
  <c r="AD15" i="294"/>
  <c r="V15" i="294"/>
  <c r="AM15" i="294"/>
  <c r="AD16" i="294"/>
  <c r="AP17" i="294"/>
  <c r="AH17" i="294"/>
  <c r="AM17" i="294"/>
  <c r="AE17" i="294"/>
  <c r="O17" i="294"/>
  <c r="W17" i="294" s="1"/>
  <c r="AS17" i="294"/>
  <c r="AK17" i="294"/>
  <c r="AC17" i="294"/>
  <c r="AQ17" i="294"/>
  <c r="AI17" i="294"/>
  <c r="AA17" i="294"/>
  <c r="S17" i="294"/>
  <c r="X17" i="294"/>
  <c r="AN17" i="294"/>
  <c r="Q20" i="294"/>
  <c r="R20" i="294" s="1"/>
  <c r="AG20" i="294"/>
  <c r="AD24" i="294"/>
  <c r="L25" i="294"/>
  <c r="AF25" i="294"/>
  <c r="AE21" i="293"/>
  <c r="S6" i="294"/>
  <c r="AA6" i="294"/>
  <c r="AI6" i="294"/>
  <c r="AQ6" i="294"/>
  <c r="V7" i="294"/>
  <c r="AD7" i="294"/>
  <c r="AL7" i="294"/>
  <c r="AO8" i="294"/>
  <c r="AG8" i="294"/>
  <c r="Q8" i="294"/>
  <c r="R8" i="294" s="1"/>
  <c r="Y8" i="294"/>
  <c r="AH8" i="294"/>
  <c r="AQ8" i="294"/>
  <c r="O9" i="294"/>
  <c r="W9" i="294" s="1"/>
  <c r="X9" i="294"/>
  <c r="AG9" i="294"/>
  <c r="V11" i="294"/>
  <c r="AI11" i="294"/>
  <c r="X12" i="294"/>
  <c r="AI12" i="294"/>
  <c r="L13" i="294"/>
  <c r="M13" i="294" s="1"/>
  <c r="Y13" i="294"/>
  <c r="AL13" i="294"/>
  <c r="P14" i="294"/>
  <c r="AF14" i="294"/>
  <c r="Y15" i="294"/>
  <c r="AO15" i="294"/>
  <c r="Q16" i="294"/>
  <c r="R16" i="294" s="1"/>
  <c r="Z16" i="294" s="1"/>
  <c r="Y17" i="294"/>
  <c r="AO17" i="294"/>
  <c r="S18" i="294"/>
  <c r="M24" i="294"/>
  <c r="AG24" i="294"/>
  <c r="AG25" i="294"/>
  <c r="AM16" i="294"/>
  <c r="AE16" i="294"/>
  <c r="O16" i="294"/>
  <c r="W16" i="294" s="1"/>
  <c r="AR16" i="294"/>
  <c r="T16" i="294"/>
  <c r="L16" i="294"/>
  <c r="M16" i="294" s="1"/>
  <c r="AP16" i="294"/>
  <c r="AH16" i="294"/>
  <c r="AN16" i="294"/>
  <c r="AF16" i="294"/>
  <c r="X16" i="294"/>
  <c r="P16" i="294"/>
  <c r="Y16" i="294"/>
  <c r="AO16" i="294"/>
  <c r="AI23" i="293"/>
  <c r="Q14" i="294"/>
  <c r="R14" i="294" s="1"/>
  <c r="AJ14" i="294" s="1"/>
  <c r="AG14" i="294"/>
  <c r="S16" i="294"/>
  <c r="AI16" i="294"/>
  <c r="AQ20" i="294"/>
  <c r="AI20" i="294"/>
  <c r="AA20" i="294"/>
  <c r="S20" i="294"/>
  <c r="AN20" i="294"/>
  <c r="AF20" i="294"/>
  <c r="X20" i="294"/>
  <c r="P20" i="294"/>
  <c r="AL20" i="294"/>
  <c r="AD20" i="294"/>
  <c r="V20" i="294"/>
  <c r="AR20" i="294"/>
  <c r="L20" i="294" s="1"/>
  <c r="U20" i="294" s="1"/>
  <c r="T20" i="294"/>
  <c r="AK20" i="294"/>
  <c r="P25" i="294"/>
  <c r="AJ25" i="294"/>
  <c r="AC6" i="294"/>
  <c r="AK6" i="294"/>
  <c r="AS6" i="294"/>
  <c r="X11" i="294"/>
  <c r="AL11" i="294"/>
  <c r="AN12" i="294"/>
  <c r="AQ13" i="294"/>
  <c r="T14" i="294"/>
  <c r="AR15" i="294"/>
  <c r="AK16" i="294"/>
  <c r="AD17" i="294"/>
  <c r="AS18" i="294"/>
  <c r="AK18" i="294"/>
  <c r="AC18" i="294"/>
  <c r="AP18" i="294"/>
  <c r="AH18" i="294"/>
  <c r="AN18" i="294"/>
  <c r="AF18" i="294"/>
  <c r="X18" i="294"/>
  <c r="P18" i="294"/>
  <c r="AL18" i="294"/>
  <c r="AD18" i="294"/>
  <c r="V18" i="294"/>
  <c r="AM18" i="294"/>
  <c r="AM20" i="294"/>
  <c r="Q24" i="294"/>
  <c r="AL24" i="294"/>
  <c r="Q25" i="294"/>
  <c r="AN25" i="294"/>
  <c r="AP14" i="294"/>
  <c r="AH14" i="294"/>
  <c r="AM14" i="294"/>
  <c r="AE14" i="294"/>
  <c r="O14" i="294"/>
  <c r="W14" i="294" s="1"/>
  <c r="AS14" i="294"/>
  <c r="AK14" i="294"/>
  <c r="AC14" i="294"/>
  <c r="AQ14" i="294"/>
  <c r="AI14" i="294"/>
  <c r="AA14" i="294"/>
  <c r="S14" i="294"/>
  <c r="X14" i="294"/>
  <c r="AN14" i="294"/>
  <c r="V6" i="294"/>
  <c r="AD6" i="294"/>
  <c r="Q7" i="294"/>
  <c r="R7" i="294" s="1"/>
  <c r="Y7" i="294"/>
  <c r="AG7" i="294"/>
  <c r="AL9" i="294"/>
  <c r="AR9" i="294"/>
  <c r="T9" i="294"/>
  <c r="L9" i="294"/>
  <c r="AA9" i="294"/>
  <c r="AK9" i="294"/>
  <c r="O11" i="294"/>
  <c r="W11" i="294" s="1"/>
  <c r="AA11" i="294"/>
  <c r="AM11" i="294"/>
  <c r="P12" i="294"/>
  <c r="AA12" i="294"/>
  <c r="AO12" i="294"/>
  <c r="Q13" i="294"/>
  <c r="R13" i="294" s="1"/>
  <c r="AC13" i="294"/>
  <c r="AS13" i="294"/>
  <c r="V14" i="294"/>
  <c r="AL14" i="294"/>
  <c r="O15" i="294"/>
  <c r="W15" i="294" s="1"/>
  <c r="AE15" i="294"/>
  <c r="V16" i="294"/>
  <c r="AL16" i="294"/>
  <c r="P17" i="294"/>
  <c r="AF17" i="294"/>
  <c r="Y18" i="294"/>
  <c r="AO18" i="294"/>
  <c r="Y20" i="294"/>
  <c r="AO20" i="294"/>
  <c r="U24" i="294"/>
  <c r="AO24" i="294"/>
  <c r="T25" i="294"/>
  <c r="AO25" i="294"/>
  <c r="O10" i="294"/>
  <c r="W10" i="294" s="1"/>
  <c r="AE10" i="294"/>
  <c r="AM10" i="294"/>
  <c r="Q19" i="294"/>
  <c r="R19" i="294" s="1"/>
  <c r="Y19" i="294"/>
  <c r="AG19" i="294"/>
  <c r="AO19" i="294"/>
  <c r="O21" i="294"/>
  <c r="W21" i="294" s="1"/>
  <c r="AE21" i="294"/>
  <c r="AM21" i="294"/>
  <c r="J22" i="294"/>
  <c r="R22" i="294"/>
  <c r="Z22" i="294"/>
  <c r="AH22" i="294"/>
  <c r="AP22" i="294"/>
  <c r="M23" i="294"/>
  <c r="U23" i="294"/>
  <c r="AC23" i="294"/>
  <c r="AK23" i="294"/>
  <c r="AS23" i="294"/>
  <c r="O26" i="294"/>
  <c r="W26" i="294"/>
  <c r="AF26" i="294"/>
  <c r="AO26" i="294"/>
  <c r="Q10" i="294"/>
  <c r="R10" i="294" s="1"/>
  <c r="Y10" i="294"/>
  <c r="AG10" i="294"/>
  <c r="S19" i="294"/>
  <c r="AA19" i="294"/>
  <c r="AI19" i="294"/>
  <c r="Q21" i="294"/>
  <c r="R21" i="294" s="1"/>
  <c r="Y21" i="294"/>
  <c r="AG21" i="294"/>
  <c r="L22" i="294"/>
  <c r="T22" i="294"/>
  <c r="AB22" i="294"/>
  <c r="AJ22" i="294"/>
  <c r="AR22" i="294"/>
  <c r="O23" i="294"/>
  <c r="W23" i="294"/>
  <c r="AE23" i="294"/>
  <c r="AM23" i="294"/>
  <c r="Q26" i="294"/>
  <c r="Z26" i="294"/>
  <c r="AH26" i="294"/>
  <c r="AQ26" i="294"/>
  <c r="R26" i="294"/>
  <c r="AA26" i="294"/>
  <c r="AI26" i="294"/>
  <c r="AR26" i="294"/>
  <c r="V22" i="294"/>
  <c r="AD22" i="294"/>
  <c r="AL22" i="294"/>
  <c r="Q23" i="294"/>
  <c r="Y23" i="294"/>
  <c r="AG23" i="294"/>
  <c r="AO23" i="294"/>
  <c r="J26" i="294"/>
  <c r="S26" i="294"/>
  <c r="AB26" i="294"/>
  <c r="AJ26" i="294"/>
  <c r="AS26" i="294"/>
  <c r="Q22" i="294"/>
  <c r="Y22" i="294"/>
  <c r="AG22" i="294"/>
  <c r="V26" i="294"/>
  <c r="AE26" i="294"/>
  <c r="P6" i="293"/>
  <c r="P13" i="293"/>
  <c r="AR21" i="293"/>
  <c r="AF24" i="293"/>
  <c r="AO20" i="293"/>
  <c r="AJ23" i="293"/>
  <c r="Q14" i="293"/>
  <c r="R14" i="293" s="1"/>
  <c r="AB14" i="293" s="1"/>
  <c r="S16" i="293"/>
  <c r="T21" i="293"/>
  <c r="O24" i="293"/>
  <c r="Q6" i="293"/>
  <c r="R6" i="293" s="1"/>
  <c r="Z6" i="293" s="1"/>
  <c r="L13" i="293"/>
  <c r="U13" i="293" s="1"/>
  <c r="X16" i="293"/>
  <c r="AN24" i="293"/>
  <c r="AE6" i="293"/>
  <c r="S10" i="293"/>
  <c r="AE16" i="293"/>
  <c r="Y17" i="293"/>
  <c r="AK16" i="293"/>
  <c r="AI6" i="293"/>
  <c r="AC10" i="293"/>
  <c r="AA13" i="293"/>
  <c r="AL16" i="293"/>
  <c r="AS6" i="293"/>
  <c r="AD10" i="293"/>
  <c r="AC12" i="293"/>
  <c r="AF13" i="293"/>
  <c r="AD14" i="293"/>
  <c r="L16" i="293"/>
  <c r="M16" i="293" s="1"/>
  <c r="AQ16" i="293"/>
  <c r="P23" i="293"/>
  <c r="U24" i="293"/>
  <c r="AP10" i="293"/>
  <c r="AH12" i="293"/>
  <c r="AL13" i="293"/>
  <c r="AG14" i="293"/>
  <c r="AS16" i="293"/>
  <c r="J21" i="293"/>
  <c r="AH23" i="293"/>
  <c r="AA24" i="293"/>
  <c r="O6" i="293"/>
  <c r="W6" i="293" s="1"/>
  <c r="AM13" i="293"/>
  <c r="P16" i="293"/>
  <c r="Z22" i="293"/>
  <c r="AQ18" i="293"/>
  <c r="S21" i="293"/>
  <c r="AD21" i="293"/>
  <c r="AQ21" i="293"/>
  <c r="AI12" i="293"/>
  <c r="U21" i="293"/>
  <c r="AH21" i="293"/>
  <c r="AF22" i="293"/>
  <c r="T6" i="293"/>
  <c r="AK6" i="293"/>
  <c r="AI10" i="293"/>
  <c r="AP12" i="293"/>
  <c r="S13" i="293"/>
  <c r="AS13" i="293"/>
  <c r="L21" i="293"/>
  <c r="V21" i="293"/>
  <c r="AI21" i="293"/>
  <c r="J22" i="293"/>
  <c r="AM22" i="293"/>
  <c r="T23" i="293"/>
  <c r="AN23" i="293"/>
  <c r="AI25" i="293"/>
  <c r="X6" i="293"/>
  <c r="AL6" i="293"/>
  <c r="P7" i="293"/>
  <c r="AK10" i="293"/>
  <c r="AR12" i="293"/>
  <c r="X13" i="293"/>
  <c r="V16" i="293"/>
  <c r="T18" i="293"/>
  <c r="M21" i="293"/>
  <c r="X21" i="293"/>
  <c r="AK21" i="293"/>
  <c r="AN22" i="293"/>
  <c r="U23" i="293"/>
  <c r="AP23" i="293"/>
  <c r="AF24" i="292"/>
  <c r="Y6" i="293"/>
  <c r="AM6" i="293"/>
  <c r="S7" i="293"/>
  <c r="T12" i="293"/>
  <c r="AS12" i="293"/>
  <c r="V18" i="293"/>
  <c r="Z21" i="293"/>
  <c r="AL21" i="293"/>
  <c r="X23" i="293"/>
  <c r="AS23" i="293"/>
  <c r="AA6" i="293"/>
  <c r="AO6" i="293"/>
  <c r="AQ10" i="293"/>
  <c r="X12" i="293"/>
  <c r="AE13" i="293"/>
  <c r="AD16" i="293"/>
  <c r="AI18" i="293"/>
  <c r="O21" i="293"/>
  <c r="AB21" i="293"/>
  <c r="AM21" i="293"/>
  <c r="P22" i="293"/>
  <c r="J23" i="293"/>
  <c r="AA23" i="293"/>
  <c r="AM24" i="293"/>
  <c r="W26" i="293"/>
  <c r="AC6" i="293"/>
  <c r="AQ6" i="293"/>
  <c r="Y12" i="293"/>
  <c r="AL18" i="293"/>
  <c r="P21" i="293"/>
  <c r="AC21" i="293"/>
  <c r="AN21" i="293"/>
  <c r="R22" i="293"/>
  <c r="AB23" i="293"/>
  <c r="AD8" i="293"/>
  <c r="AI15" i="293"/>
  <c r="AP20" i="293"/>
  <c r="AC26" i="293"/>
  <c r="V6" i="293"/>
  <c r="AG6" i="293"/>
  <c r="AR6" i="293"/>
  <c r="L6" i="293" s="1"/>
  <c r="U6" i="293" s="1"/>
  <c r="X7" i="293"/>
  <c r="L8" i="293"/>
  <c r="U8" i="293" s="1"/>
  <c r="AE8" i="293"/>
  <c r="L9" i="293"/>
  <c r="U9" i="293" s="1"/>
  <c r="O10" i="293"/>
  <c r="W10" i="293" s="1"/>
  <c r="AE10" i="293"/>
  <c r="AR10" i="293"/>
  <c r="L10" i="293" s="1"/>
  <c r="M10" i="293" s="1"/>
  <c r="S12" i="293"/>
  <c r="AO12" i="293"/>
  <c r="AC13" i="293"/>
  <c r="AN13" i="293"/>
  <c r="S14" i="293"/>
  <c r="L15" i="293"/>
  <c r="M15" i="293" s="1"/>
  <c r="AL15" i="293"/>
  <c r="AA16" i="293"/>
  <c r="AM16" i="293"/>
  <c r="AG17" i="293"/>
  <c r="AA18" i="293"/>
  <c r="R21" i="293"/>
  <c r="AA21" i="293"/>
  <c r="AJ21" i="293"/>
  <c r="AS21" i="293"/>
  <c r="W22" i="293"/>
  <c r="AP22" i="293"/>
  <c r="R23" i="293"/>
  <c r="AC23" i="293"/>
  <c r="AQ23" i="293"/>
  <c r="P24" i="293"/>
  <c r="AD24" i="293"/>
  <c r="AQ24" i="293"/>
  <c r="L26" i="293"/>
  <c r="AD26" i="293"/>
  <c r="AO19" i="293"/>
  <c r="AA7" i="293"/>
  <c r="AI8" i="293"/>
  <c r="P10" i="293"/>
  <c r="AH10" i="293"/>
  <c r="AS10" i="293"/>
  <c r="O13" i="293"/>
  <c r="W13" i="293" s="1"/>
  <c r="AD13" i="293"/>
  <c r="AQ13" i="293"/>
  <c r="AA14" i="293"/>
  <c r="AQ15" i="293"/>
  <c r="O16" i="293"/>
  <c r="W16" i="293" s="1"/>
  <c r="AC16" i="293"/>
  <c r="AN16" i="293"/>
  <c r="AD18" i="293"/>
  <c r="Q19" i="293"/>
  <c r="R19" i="293" s="1"/>
  <c r="AJ19" i="293" s="1"/>
  <c r="L20" i="293"/>
  <c r="X22" i="293"/>
  <c r="S23" i="293"/>
  <c r="AF23" i="293"/>
  <c r="AR23" i="293"/>
  <c r="S24" i="293"/>
  <c r="AE24" i="293"/>
  <c r="AS24" i="293"/>
  <c r="M26" i="293"/>
  <c r="AF26" i="293"/>
  <c r="AA8" i="293"/>
  <c r="S24" i="292"/>
  <c r="AF7" i="293"/>
  <c r="O8" i="293"/>
  <c r="W8" i="293" s="1"/>
  <c r="AK8" i="293"/>
  <c r="AG9" i="293"/>
  <c r="S15" i="293"/>
  <c r="AR15" i="293"/>
  <c r="V19" i="293"/>
  <c r="AK26" i="293"/>
  <c r="U24" i="292"/>
  <c r="AI7" i="293"/>
  <c r="S8" i="293"/>
  <c r="AM8" i="293"/>
  <c r="AQ9" i="293"/>
  <c r="T15" i="293"/>
  <c r="Y19" i="293"/>
  <c r="T20" i="293"/>
  <c r="V24" i="293"/>
  <c r="AI24" i="293"/>
  <c r="O26" i="293"/>
  <c r="AM26" i="293"/>
  <c r="AD15" i="293"/>
  <c r="AN7" i="293"/>
  <c r="T8" i="293"/>
  <c r="AN8" i="293"/>
  <c r="V10" i="293"/>
  <c r="AL10" i="293"/>
  <c r="T13" i="293"/>
  <c r="AI13" i="293"/>
  <c r="AI14" i="293"/>
  <c r="V15" i="293"/>
  <c r="T16" i="293"/>
  <c r="AF16" i="293"/>
  <c r="AE19" i="293"/>
  <c r="AG20" i="293"/>
  <c r="W24" i="293"/>
  <c r="AK24" i="293"/>
  <c r="T26" i="293"/>
  <c r="AO26" i="293"/>
  <c r="AK24" i="292"/>
  <c r="S6" i="293"/>
  <c r="AD6" i="293"/>
  <c r="AN6" i="293"/>
  <c r="O7" i="293"/>
  <c r="W7" i="293" s="1"/>
  <c r="AQ7" i="293"/>
  <c r="V8" i="293"/>
  <c r="AS8" i="293"/>
  <c r="AA10" i="293"/>
  <c r="AM10" i="293"/>
  <c r="AF12" i="293"/>
  <c r="V13" i="293"/>
  <c r="AK13" i="293"/>
  <c r="AQ14" i="293"/>
  <c r="AA15" i="293"/>
  <c r="AI16" i="293"/>
  <c r="S18" i="293"/>
  <c r="AR18" i="293"/>
  <c r="L18" i="293" s="1"/>
  <c r="W21" i="293"/>
  <c r="AF21" i="293"/>
  <c r="AP21" i="293"/>
  <c r="O22" i="293"/>
  <c r="AH22" i="293"/>
  <c r="M23" i="293"/>
  <c r="Z23" i="293"/>
  <c r="AK23" i="293"/>
  <c r="M24" i="293"/>
  <c r="X24" i="293"/>
  <c r="AL24" i="293"/>
  <c r="P25" i="293"/>
  <c r="U26" i="293"/>
  <c r="AR11" i="293"/>
  <c r="T11" i="293"/>
  <c r="L11" i="293"/>
  <c r="U11" i="293" s="1"/>
  <c r="AQ11" i="293"/>
  <c r="AI11" i="293"/>
  <c r="AA11" i="293"/>
  <c r="S11" i="293"/>
  <c r="AD11" i="293"/>
  <c r="T7" i="293"/>
  <c r="AR7" i="293"/>
  <c r="L7" i="293" s="1"/>
  <c r="X9" i="293"/>
  <c r="AH9" i="293"/>
  <c r="AR9" i="293"/>
  <c r="AE11" i="293"/>
  <c r="AO11" i="293"/>
  <c r="P17" i="293"/>
  <c r="AI17" i="293"/>
  <c r="Q25" i="293"/>
  <c r="AN25" i="293"/>
  <c r="M21" i="292"/>
  <c r="AH6" i="293"/>
  <c r="AC7" i="293"/>
  <c r="AK7" i="293"/>
  <c r="AS7" i="293"/>
  <c r="P8" i="293"/>
  <c r="X8" i="293"/>
  <c r="AF8" i="293"/>
  <c r="O9" i="293"/>
  <c r="W9" i="293" s="1"/>
  <c r="Y9" i="293"/>
  <c r="AI9" i="293"/>
  <c r="V11" i="293"/>
  <c r="AF11" i="293"/>
  <c r="AP11" i="293"/>
  <c r="P12" i="293"/>
  <c r="V14" i="293"/>
  <c r="AL14" i="293"/>
  <c r="Q17" i="293"/>
  <c r="R17" i="293" s="1"/>
  <c r="AN17" i="293"/>
  <c r="AQ20" i="293"/>
  <c r="AI20" i="293"/>
  <c r="AA20" i="293"/>
  <c r="S20" i="293"/>
  <c r="AN20" i="293"/>
  <c r="AF20" i="293"/>
  <c r="X20" i="293"/>
  <c r="P20" i="293"/>
  <c r="AM20" i="293"/>
  <c r="AE20" i="293"/>
  <c r="O20" i="293"/>
  <c r="W20" i="293" s="1"/>
  <c r="AL20" i="293"/>
  <c r="AD20" i="293"/>
  <c r="V20" i="293"/>
  <c r="AS20" i="293"/>
  <c r="AK20" i="293"/>
  <c r="AC20" i="293"/>
  <c r="U20" i="293"/>
  <c r="M20" i="293"/>
  <c r="Y20" i="293"/>
  <c r="AR20" i="293"/>
  <c r="S25" i="293"/>
  <c r="AO25" i="293"/>
  <c r="AN11" i="293"/>
  <c r="V7" i="293"/>
  <c r="AD7" i="293"/>
  <c r="AL7" i="293"/>
  <c r="AQ8" i="293"/>
  <c r="AP8" i="293"/>
  <c r="AH8" i="293"/>
  <c r="Q8" i="293"/>
  <c r="R8" i="293" s="1"/>
  <c r="Y8" i="293"/>
  <c r="AG8" i="293"/>
  <c r="AR8" i="293"/>
  <c r="P9" i="293"/>
  <c r="AG11" i="293"/>
  <c r="AS11" i="293"/>
  <c r="Q12" i="293"/>
  <c r="R12" i="293" s="1"/>
  <c r="AA12" i="293"/>
  <c r="X14" i="293"/>
  <c r="S17" i="293"/>
  <c r="AO17" i="293"/>
  <c r="X25" i="293"/>
  <c r="AQ25" i="293"/>
  <c r="AQ6" i="292"/>
  <c r="AE7" i="293"/>
  <c r="AM7" i="293"/>
  <c r="Q9" i="293"/>
  <c r="R9" i="293" s="1"/>
  <c r="AB9" i="293" s="1"/>
  <c r="AA9" i="293"/>
  <c r="X11" i="293"/>
  <c r="AH11" i="293"/>
  <c r="AM12" i="293"/>
  <c r="AE12" i="293"/>
  <c r="O12" i="293"/>
  <c r="W12" i="293" s="1"/>
  <c r="AL12" i="293"/>
  <c r="AD12" i="293"/>
  <c r="V12" i="293"/>
  <c r="AN12" i="293"/>
  <c r="AP14" i="293"/>
  <c r="AH14" i="293"/>
  <c r="AM14" i="293"/>
  <c r="AE14" i="293"/>
  <c r="O14" i="293"/>
  <c r="W14" i="293" s="1"/>
  <c r="AS14" i="293"/>
  <c r="AK14" i="293"/>
  <c r="AC14" i="293"/>
  <c r="AR14" i="293"/>
  <c r="T14" i="293"/>
  <c r="L14" i="293"/>
  <c r="U14" i="293" s="1"/>
  <c r="Y14" i="293"/>
  <c r="AO14" i="293"/>
  <c r="X17" i="293"/>
  <c r="AN19" i="293"/>
  <c r="AF19" i="293"/>
  <c r="X19" i="293"/>
  <c r="P19" i="293"/>
  <c r="AS19" i="293"/>
  <c r="AK19" i="293"/>
  <c r="AC19" i="293"/>
  <c r="AR19" i="293"/>
  <c r="L19" i="293" s="1"/>
  <c r="U19" i="293" s="1"/>
  <c r="T19" i="293"/>
  <c r="AQ19" i="293"/>
  <c r="AI19" i="293"/>
  <c r="AA19" i="293"/>
  <c r="S19" i="293"/>
  <c r="AP19" i="293"/>
  <c r="AH19" i="293"/>
  <c r="AD19" i="293"/>
  <c r="AL9" i="293"/>
  <c r="AD9" i="293"/>
  <c r="V9" i="293"/>
  <c r="AS9" i="293"/>
  <c r="AK9" i="293"/>
  <c r="AC9" i="293"/>
  <c r="AN9" i="293"/>
  <c r="U10" i="293"/>
  <c r="O11" i="293"/>
  <c r="W11" i="293" s="1"/>
  <c r="Y11" i="293"/>
  <c r="AK11" i="293"/>
  <c r="AP25" i="293"/>
  <c r="AH25" i="293"/>
  <c r="Z25" i="293"/>
  <c r="R25" i="293"/>
  <c r="J25" i="293"/>
  <c r="AM25" i="293"/>
  <c r="AE25" i="293"/>
  <c r="W25" i="293"/>
  <c r="O25" i="293"/>
  <c r="AL25" i="293"/>
  <c r="AD25" i="293"/>
  <c r="V25" i="293"/>
  <c r="AS25" i="293"/>
  <c r="AK25" i="293"/>
  <c r="AC25" i="293"/>
  <c r="U25" i="293"/>
  <c r="M25" i="293"/>
  <c r="AR25" i="293"/>
  <c r="AJ25" i="293"/>
  <c r="AB25" i="293"/>
  <c r="T25" i="293"/>
  <c r="L25" i="293"/>
  <c r="AA25" i="293"/>
  <c r="Q7" i="293"/>
  <c r="R7" i="293" s="1"/>
  <c r="AB7" i="293" s="1"/>
  <c r="Y7" i="293"/>
  <c r="AG7" i="293"/>
  <c r="AO7" i="293"/>
  <c r="S9" i="293"/>
  <c r="AE9" i="293"/>
  <c r="AO9" i="293"/>
  <c r="P11" i="293"/>
  <c r="AL11" i="293"/>
  <c r="AP17" i="293"/>
  <c r="AH17" i="293"/>
  <c r="AM17" i="293"/>
  <c r="AE17" i="293"/>
  <c r="O17" i="293"/>
  <c r="W17" i="293" s="1"/>
  <c r="AL17" i="293"/>
  <c r="AD17" i="293"/>
  <c r="V17" i="293"/>
  <c r="AS17" i="293"/>
  <c r="AK17" i="293"/>
  <c r="AC17" i="293"/>
  <c r="AR17" i="293"/>
  <c r="T17" i="293"/>
  <c r="L17" i="293"/>
  <c r="M17" i="293" s="1"/>
  <c r="AA17" i="293"/>
  <c r="AG19" i="293"/>
  <c r="AF25" i="293"/>
  <c r="J7" i="293"/>
  <c r="AH7" i="293"/>
  <c r="AC8" i="293"/>
  <c r="AL8" i="293"/>
  <c r="T9" i="293"/>
  <c r="AF9" i="293"/>
  <c r="AP9" i="293"/>
  <c r="Q11" i="293"/>
  <c r="R11" i="293" s="1"/>
  <c r="AC11" i="293"/>
  <c r="AM11" i="293"/>
  <c r="L12" i="293"/>
  <c r="M12" i="293" s="1"/>
  <c r="AG12" i="293"/>
  <c r="AQ12" i="293"/>
  <c r="P14" i="293"/>
  <c r="AF14" i="293"/>
  <c r="AF17" i="293"/>
  <c r="O19" i="293"/>
  <c r="W19" i="293" s="1"/>
  <c r="AL19" i="293"/>
  <c r="Q20" i="293"/>
  <c r="R20" i="293" s="1"/>
  <c r="Z20" i="293" s="1"/>
  <c r="AG25" i="293"/>
  <c r="X10" i="293"/>
  <c r="AF10" i="293"/>
  <c r="AN10" i="293"/>
  <c r="Q13" i="293"/>
  <c r="R13" i="293" s="1"/>
  <c r="Y13" i="293"/>
  <c r="AG13" i="293"/>
  <c r="AO13" i="293"/>
  <c r="O15" i="293"/>
  <c r="W15" i="293" s="1"/>
  <c r="AE15" i="293"/>
  <c r="AM15" i="293"/>
  <c r="Q16" i="293"/>
  <c r="R16" i="293" s="1"/>
  <c r="Y16" i="293"/>
  <c r="AG16" i="293"/>
  <c r="AO16" i="293"/>
  <c r="O18" i="293"/>
  <c r="W18" i="293" s="1"/>
  <c r="AE18" i="293"/>
  <c r="AM18" i="293"/>
  <c r="S22" i="293"/>
  <c r="AA22" i="293"/>
  <c r="AI22" i="293"/>
  <c r="AQ22" i="293"/>
  <c r="V23" i="293"/>
  <c r="AD23" i="293"/>
  <c r="AL23" i="293"/>
  <c r="Q24" i="293"/>
  <c r="Y24" i="293"/>
  <c r="AG24" i="293"/>
  <c r="AO24" i="293"/>
  <c r="P26" i="293"/>
  <c r="Y26" i="293"/>
  <c r="AG26" i="293"/>
  <c r="AP26" i="293"/>
  <c r="Q10" i="293"/>
  <c r="R10" i="293" s="1"/>
  <c r="Y10" i="293"/>
  <c r="AG10" i="293"/>
  <c r="AH13" i="293"/>
  <c r="P15" i="293"/>
  <c r="X15" i="293"/>
  <c r="AF15" i="293"/>
  <c r="AN15" i="293"/>
  <c r="AH16" i="293"/>
  <c r="AP16" i="293"/>
  <c r="P18" i="293"/>
  <c r="X18" i="293"/>
  <c r="AF18" i="293"/>
  <c r="AN18" i="293"/>
  <c r="Q21" i="293"/>
  <c r="Y21" i="293"/>
  <c r="AG21" i="293"/>
  <c r="L22" i="293"/>
  <c r="T22" i="293"/>
  <c r="AB22" i="293"/>
  <c r="AJ22" i="293"/>
  <c r="AR22" i="293"/>
  <c r="O23" i="293"/>
  <c r="W23" i="293"/>
  <c r="AE23" i="293"/>
  <c r="AM23" i="293"/>
  <c r="J24" i="293"/>
  <c r="R24" i="293"/>
  <c r="Z24" i="293"/>
  <c r="AH24" i="293"/>
  <c r="AP24" i="293"/>
  <c r="Q26" i="293"/>
  <c r="Z26" i="293"/>
  <c r="AH26" i="293"/>
  <c r="AQ26" i="293"/>
  <c r="Q15" i="293"/>
  <c r="R15" i="293" s="1"/>
  <c r="Y15" i="293"/>
  <c r="AG15" i="293"/>
  <c r="AO15" i="293"/>
  <c r="Q18" i="293"/>
  <c r="R18" i="293" s="1"/>
  <c r="Y18" i="293"/>
  <c r="AG18" i="293"/>
  <c r="AO18" i="293"/>
  <c r="M22" i="293"/>
  <c r="U22" i="293"/>
  <c r="AC22" i="293"/>
  <c r="AK22" i="293"/>
  <c r="AS22" i="293"/>
  <c r="R26" i="293"/>
  <c r="AA26" i="293"/>
  <c r="AI26" i="293"/>
  <c r="AR26" i="293"/>
  <c r="AH15" i="293"/>
  <c r="AP15" i="293"/>
  <c r="AH18" i="293"/>
  <c r="AP18" i="293"/>
  <c r="V22" i="293"/>
  <c r="AD22" i="293"/>
  <c r="AL22" i="293"/>
  <c r="Q23" i="293"/>
  <c r="Y23" i="293"/>
  <c r="AG23" i="293"/>
  <c r="L24" i="293"/>
  <c r="T24" i="293"/>
  <c r="AB24" i="293"/>
  <c r="AJ24" i="293"/>
  <c r="J26" i="293"/>
  <c r="S26" i="293"/>
  <c r="AB26" i="293"/>
  <c r="AJ26" i="293"/>
  <c r="AS26" i="293"/>
  <c r="AC15" i="293"/>
  <c r="AK15" i="293"/>
  <c r="AC18" i="293"/>
  <c r="AK18" i="293"/>
  <c r="Q22" i="293"/>
  <c r="Y22" i="293"/>
  <c r="AG22" i="293"/>
  <c r="V26" i="293"/>
  <c r="AE26" i="293"/>
  <c r="X21" i="292"/>
  <c r="AM21" i="292"/>
  <c r="Q15" i="292"/>
  <c r="AC15" i="292"/>
  <c r="AL8" i="292"/>
  <c r="W24" i="292"/>
  <c r="S7" i="292"/>
  <c r="AS24" i="292"/>
  <c r="AI7" i="292"/>
  <c r="O22" i="292"/>
  <c r="AS7" i="292"/>
  <c r="X16" i="292"/>
  <c r="P22" i="292"/>
  <c r="AL16" i="292"/>
  <c r="AF22" i="292"/>
  <c r="AN22" i="292"/>
  <c r="AL10" i="292"/>
  <c r="AD13" i="292"/>
  <c r="AM10" i="292"/>
  <c r="AE13" i="292"/>
  <c r="Z21" i="292"/>
  <c r="AN21" i="292"/>
  <c r="Z23" i="292"/>
  <c r="AR23" i="292"/>
  <c r="Q6" i="292"/>
  <c r="R6" i="292" s="1"/>
  <c r="AB6" i="292" s="1"/>
  <c r="AF13" i="292"/>
  <c r="S18" i="292"/>
  <c r="O21" i="292"/>
  <c r="AB21" i="292"/>
  <c r="AP21" i="292"/>
  <c r="R22" i="292"/>
  <c r="L23" i="292"/>
  <c r="AA23" i="292"/>
  <c r="AS23" i="292"/>
  <c r="AD24" i="292"/>
  <c r="S6" i="292"/>
  <c r="O13" i="292"/>
  <c r="W13" i="292" s="1"/>
  <c r="AI13" i="292"/>
  <c r="AA14" i="292"/>
  <c r="Q17" i="292"/>
  <c r="R17" i="292" s="1"/>
  <c r="Z17" i="292" s="1"/>
  <c r="T18" i="292"/>
  <c r="P21" i="292"/>
  <c r="AD21" i="292"/>
  <c r="AQ21" i="292"/>
  <c r="AE22" i="292"/>
  <c r="M23" i="292"/>
  <c r="AF23" i="292"/>
  <c r="AE24" i="292"/>
  <c r="AQ25" i="292"/>
  <c r="X6" i="292"/>
  <c r="X10" i="292"/>
  <c r="P13" i="292"/>
  <c r="AK13" i="292"/>
  <c r="AD17" i="292"/>
  <c r="V18" i="292"/>
  <c r="S21" i="292"/>
  <c r="AE21" i="292"/>
  <c r="AR21" i="292"/>
  <c r="AH23" i="292"/>
  <c r="X23" i="292"/>
  <c r="Y6" i="292"/>
  <c r="T7" i="292"/>
  <c r="AA10" i="292"/>
  <c r="S13" i="292"/>
  <c r="AN13" i="292"/>
  <c r="AF17" i="292"/>
  <c r="AD18" i="292"/>
  <c r="J21" i="292"/>
  <c r="U21" i="292"/>
  <c r="AF21" i="292"/>
  <c r="AH22" i="292"/>
  <c r="P23" i="292"/>
  <c r="AI23" i="292"/>
  <c r="AN6" i="292"/>
  <c r="AF7" i="292"/>
  <c r="AC10" i="292"/>
  <c r="V13" i="292"/>
  <c r="AQ13" i="292"/>
  <c r="AC16" i="292"/>
  <c r="AP17" i="292"/>
  <c r="V21" i="292"/>
  <c r="AH21" i="292"/>
  <c r="AM22" i="292"/>
  <c r="U23" i="292"/>
  <c r="AJ23" i="292"/>
  <c r="P24" i="292"/>
  <c r="AQ24" i="292"/>
  <c r="W26" i="292"/>
  <c r="AQ23" i="292"/>
  <c r="AO6" i="292"/>
  <c r="AK10" i="292"/>
  <c r="AC13" i="292"/>
  <c r="AS13" i="292"/>
  <c r="L21" i="292"/>
  <c r="W21" i="292"/>
  <c r="AI21" i="292"/>
  <c r="V23" i="292"/>
  <c r="AK23" i="292"/>
  <c r="AM8" i="292"/>
  <c r="AA12" i="292"/>
  <c r="AN12" i="292"/>
  <c r="AD14" i="292"/>
  <c r="AA16" i="292"/>
  <c r="AM16" i="292"/>
  <c r="AC26" i="292"/>
  <c r="X12" i="292"/>
  <c r="V7" i="292"/>
  <c r="AK7" i="292"/>
  <c r="L12" i="292"/>
  <c r="M12" i="292" s="1"/>
  <c r="AC12" i="292"/>
  <c r="AP12" i="292"/>
  <c r="AF14" i="292"/>
  <c r="AN16" i="292"/>
  <c r="L26" i="292"/>
  <c r="AD26" i="292"/>
  <c r="AI16" i="291"/>
  <c r="AA6" i="292"/>
  <c r="X7" i="292"/>
  <c r="AL7" i="292"/>
  <c r="O10" i="292"/>
  <c r="W10" i="292" s="1"/>
  <c r="AD10" i="292"/>
  <c r="AN10" i="292"/>
  <c r="O11" i="292"/>
  <c r="W11" i="292" s="1"/>
  <c r="AD12" i="292"/>
  <c r="AQ12" i="292"/>
  <c r="AG14" i="292"/>
  <c r="S15" i="292"/>
  <c r="AD16" i="292"/>
  <c r="AQ16" i="292"/>
  <c r="V24" i="292"/>
  <c r="AI24" i="292"/>
  <c r="M26" i="292"/>
  <c r="AF26" i="292"/>
  <c r="AF6" i="292"/>
  <c r="AA7" i="292"/>
  <c r="AM7" i="292"/>
  <c r="O8" i="292"/>
  <c r="W8" i="292" s="1"/>
  <c r="P10" i="292"/>
  <c r="AE10" i="292"/>
  <c r="AP10" i="292"/>
  <c r="P11" i="292"/>
  <c r="P12" i="292"/>
  <c r="AF12" i="292"/>
  <c r="AR12" i="292"/>
  <c r="AO14" i="292"/>
  <c r="O16" i="292"/>
  <c r="W16" i="292" s="1"/>
  <c r="AE16" i="292"/>
  <c r="AS16" i="292"/>
  <c r="AK26" i="292"/>
  <c r="AG6" i="292"/>
  <c r="AC7" i="292"/>
  <c r="AN7" i="292"/>
  <c r="V8" i="292"/>
  <c r="AA9" i="292"/>
  <c r="S10" i="292"/>
  <c r="AF10" i="292"/>
  <c r="AQ10" i="292"/>
  <c r="Y11" i="292"/>
  <c r="S12" i="292"/>
  <c r="AH12" i="292"/>
  <c r="AS12" i="292"/>
  <c r="X13" i="292"/>
  <c r="AL13" i="292"/>
  <c r="P14" i="292"/>
  <c r="AP14" i="292"/>
  <c r="AD15" i="292"/>
  <c r="P16" i="292"/>
  <c r="AF16" i="292"/>
  <c r="AQ17" i="292"/>
  <c r="AG18" i="292"/>
  <c r="R21" i="292"/>
  <c r="AA21" i="292"/>
  <c r="AJ21" i="292"/>
  <c r="AS21" i="292"/>
  <c r="W22" i="292"/>
  <c r="AP22" i="292"/>
  <c r="R23" i="292"/>
  <c r="AB23" i="292"/>
  <c r="AL23" i="292"/>
  <c r="M24" i="292"/>
  <c r="X24" i="292"/>
  <c r="AL24" i="292"/>
  <c r="S25" i="292"/>
  <c r="O26" i="292"/>
  <c r="AM26" i="292"/>
  <c r="S10" i="291"/>
  <c r="P6" i="292"/>
  <c r="AI6" i="292"/>
  <c r="O7" i="292"/>
  <c r="W7" i="292" s="1"/>
  <c r="AD7" i="292"/>
  <c r="AQ7" i="292"/>
  <c r="AD8" i="292"/>
  <c r="T10" i="292"/>
  <c r="AH10" i="292"/>
  <c r="AR10" i="292"/>
  <c r="L10" i="292" s="1"/>
  <c r="AI11" i="292"/>
  <c r="T12" i="292"/>
  <c r="AI12" i="292"/>
  <c r="AA13" i="292"/>
  <c r="AM13" i="292"/>
  <c r="Q14" i="292"/>
  <c r="R14" i="292" s="1"/>
  <c r="Z14" i="292" s="1"/>
  <c r="AQ14" i="292"/>
  <c r="AQ15" i="292"/>
  <c r="S16" i="292"/>
  <c r="AI16" i="292"/>
  <c r="AK21" i="292"/>
  <c r="X22" i="292"/>
  <c r="S23" i="292"/>
  <c r="AC23" i="292"/>
  <c r="AN23" i="292"/>
  <c r="AA24" i="292"/>
  <c r="AM24" i="292"/>
  <c r="AA25" i="292"/>
  <c r="T26" i="292"/>
  <c r="AO26" i="292"/>
  <c r="AL12" i="292"/>
  <c r="AD10" i="291"/>
  <c r="P7" i="292"/>
  <c r="AE7" i="292"/>
  <c r="AR7" i="292"/>
  <c r="L7" i="292" s="1"/>
  <c r="AE8" i="292"/>
  <c r="V10" i="292"/>
  <c r="AI10" i="292"/>
  <c r="AS10" i="292"/>
  <c r="AK11" i="292"/>
  <c r="V12" i="292"/>
  <c r="AK12" i="292"/>
  <c r="AR15" i="292"/>
  <c r="V16" i="292"/>
  <c r="AK16" i="292"/>
  <c r="T21" i="292"/>
  <c r="AC21" i="292"/>
  <c r="AL21" i="292"/>
  <c r="J22" i="292"/>
  <c r="Z22" i="292"/>
  <c r="J23" i="292"/>
  <c r="T23" i="292"/>
  <c r="AD23" i="292"/>
  <c r="AP23" i="292"/>
  <c r="O24" i="292"/>
  <c r="AC24" i="292"/>
  <c r="AN24" i="292"/>
  <c r="AI25" i="292"/>
  <c r="U26" i="292"/>
  <c r="AL9" i="292"/>
  <c r="AD9" i="292"/>
  <c r="V9" i="292"/>
  <c r="Q9" i="292"/>
  <c r="R9" i="292" s="1"/>
  <c r="AJ9" i="292" s="1"/>
  <c r="AI9" i="292"/>
  <c r="AR9" i="292"/>
  <c r="T20" i="292"/>
  <c r="AP20" i="292"/>
  <c r="AN19" i="292"/>
  <c r="AF19" i="292"/>
  <c r="AS19" i="292"/>
  <c r="AK19" i="292"/>
  <c r="AC19" i="292"/>
  <c r="AR19" i="292"/>
  <c r="T19" i="292"/>
  <c r="L19" i="292"/>
  <c r="M19" i="292" s="1"/>
  <c r="AQ19" i="292"/>
  <c r="AI19" i="292"/>
  <c r="AA19" i="292"/>
  <c r="S19" i="292"/>
  <c r="AP19" i="292"/>
  <c r="AH19" i="292"/>
  <c r="X19" i="292"/>
  <c r="Y20" i="292"/>
  <c r="J20" i="291"/>
  <c r="L22" i="291"/>
  <c r="AH6" i="292"/>
  <c r="AP6" i="292"/>
  <c r="P8" i="292"/>
  <c r="X8" i="292"/>
  <c r="AF8" i="292"/>
  <c r="AN8" i="292"/>
  <c r="S9" i="292"/>
  <c r="AK9" i="292"/>
  <c r="Q11" i="292"/>
  <c r="R11" i="292" s="1"/>
  <c r="AA11" i="292"/>
  <c r="T15" i="292"/>
  <c r="AG15" i="292"/>
  <c r="S17" i="292"/>
  <c r="AP18" i="292"/>
  <c r="AH18" i="292"/>
  <c r="AO18" i="292"/>
  <c r="AN18" i="292"/>
  <c r="AF18" i="292"/>
  <c r="X18" i="292"/>
  <c r="P18" i="292"/>
  <c r="AM18" i="292"/>
  <c r="AE18" i="292"/>
  <c r="O18" i="292"/>
  <c r="W18" i="292" s="1"/>
  <c r="AI18" i="292"/>
  <c r="Y19" i="292"/>
  <c r="AQ20" i="292"/>
  <c r="AI20" i="292"/>
  <c r="AA20" i="292"/>
  <c r="S20" i="292"/>
  <c r="AN20" i="292"/>
  <c r="AF20" i="292"/>
  <c r="X20" i="292"/>
  <c r="P20" i="292"/>
  <c r="AM20" i="292"/>
  <c r="AE20" i="292"/>
  <c r="O20" i="292"/>
  <c r="W20" i="292" s="1"/>
  <c r="AL20" i="292"/>
  <c r="AD20" i="292"/>
  <c r="V20" i="292"/>
  <c r="AS20" i="292"/>
  <c r="AK20" i="292"/>
  <c r="AC20" i="292"/>
  <c r="AR20" i="292"/>
  <c r="Q8" i="292"/>
  <c r="R8" i="292" s="1"/>
  <c r="Y8" i="292"/>
  <c r="AG8" i="292"/>
  <c r="AO8" i="292"/>
  <c r="L9" i="292"/>
  <c r="U9" i="292" s="1"/>
  <c r="T9" i="292"/>
  <c r="AC9" i="292"/>
  <c r="AM9" i="292"/>
  <c r="AL11" i="292"/>
  <c r="AD11" i="292"/>
  <c r="V11" i="292"/>
  <c r="AR11" i="292"/>
  <c r="L11" i="292" s="1"/>
  <c r="U11" i="292" s="1"/>
  <c r="T11" i="292"/>
  <c r="AC11" i="292"/>
  <c r="AN11" i="292"/>
  <c r="AP15" i="292"/>
  <c r="AH15" i="292"/>
  <c r="R15" i="292"/>
  <c r="AB15" i="292" s="1"/>
  <c r="AN15" i="292"/>
  <c r="AF15" i="292"/>
  <c r="X15" i="292"/>
  <c r="P15" i="292"/>
  <c r="AM15" i="292"/>
  <c r="AE15" i="292"/>
  <c r="O15" i="292"/>
  <c r="W15" i="292" s="1"/>
  <c r="AI15" i="292"/>
  <c r="AM17" i="292"/>
  <c r="AE17" i="292"/>
  <c r="O17" i="292"/>
  <c r="W17" i="292" s="1"/>
  <c r="AS17" i="292"/>
  <c r="AK17" i="292"/>
  <c r="AC17" i="292"/>
  <c r="AR17" i="292"/>
  <c r="T17" i="292"/>
  <c r="L17" i="292"/>
  <c r="U17" i="292" s="1"/>
  <c r="V17" i="292"/>
  <c r="AH17" i="292"/>
  <c r="AD19" i="292"/>
  <c r="T6" i="292"/>
  <c r="AR6" i="292"/>
  <c r="L6" i="292" s="1"/>
  <c r="AH8" i="292"/>
  <c r="AP8" i="292"/>
  <c r="AE9" i="292"/>
  <c r="AN9" i="292"/>
  <c r="S11" i="292"/>
  <c r="AE11" i="292"/>
  <c r="AO11" i="292"/>
  <c r="AM14" i="292"/>
  <c r="AE14" i="292"/>
  <c r="O14" i="292"/>
  <c r="W14" i="292" s="1"/>
  <c r="AS14" i="292"/>
  <c r="AK14" i="292"/>
  <c r="AC14" i="292"/>
  <c r="AR14" i="292"/>
  <c r="T14" i="292"/>
  <c r="L14" i="292"/>
  <c r="U14" i="292" s="1"/>
  <c r="V14" i="292"/>
  <c r="AH14" i="292"/>
  <c r="V15" i="292"/>
  <c r="X17" i="292"/>
  <c r="AI17" i="292"/>
  <c r="L18" i="292"/>
  <c r="U18" i="292" s="1"/>
  <c r="Y18" i="292"/>
  <c r="AK18" i="292"/>
  <c r="O19" i="292"/>
  <c r="W19" i="292" s="1"/>
  <c r="AE19" i="292"/>
  <c r="L20" i="292"/>
  <c r="U20" i="292" s="1"/>
  <c r="AG20" i="292"/>
  <c r="AC11" i="291"/>
  <c r="AC6" i="292"/>
  <c r="AK6" i="292"/>
  <c r="AS6" i="292"/>
  <c r="S8" i="292"/>
  <c r="AA8" i="292"/>
  <c r="AI8" i="292"/>
  <c r="AQ8" i="292"/>
  <c r="AF9" i="292"/>
  <c r="AO9" i="292"/>
  <c r="AF11" i="292"/>
  <c r="AP11" i="292"/>
  <c r="X14" i="292"/>
  <c r="AI14" i="292"/>
  <c r="L15" i="292"/>
  <c r="M15" i="292" s="1"/>
  <c r="Y15" i="292"/>
  <c r="AK15" i="292"/>
  <c r="Y17" i="292"/>
  <c r="AL17" i="292"/>
  <c r="AA18" i="292"/>
  <c r="AL18" i="292"/>
  <c r="P19" i="292"/>
  <c r="AG19" i="292"/>
  <c r="AH20" i="292"/>
  <c r="L20" i="290"/>
  <c r="AI11" i="291"/>
  <c r="V6" i="292"/>
  <c r="AD6" i="292"/>
  <c r="AL6" i="292"/>
  <c r="Q7" i="292"/>
  <c r="R7" i="292" s="1"/>
  <c r="Z7" i="292" s="1"/>
  <c r="Y7" i="292"/>
  <c r="AG7" i="292"/>
  <c r="AO7" i="292"/>
  <c r="L8" i="292"/>
  <c r="U8" i="292" s="1"/>
  <c r="T8" i="292"/>
  <c r="AR8" i="292"/>
  <c r="O9" i="292"/>
  <c r="W9" i="292" s="1"/>
  <c r="X9" i="292"/>
  <c r="AG9" i="292"/>
  <c r="AP9" i="292"/>
  <c r="AG11" i="292"/>
  <c r="AQ11" i="292"/>
  <c r="Y14" i="292"/>
  <c r="AL14" i="292"/>
  <c r="AA15" i="292"/>
  <c r="AL15" i="292"/>
  <c r="AN17" i="292"/>
  <c r="AQ18" i="292"/>
  <c r="Q19" i="292"/>
  <c r="R19" i="292" s="1"/>
  <c r="AL19" i="292"/>
  <c r="Q20" i="292"/>
  <c r="R20" i="292" s="1"/>
  <c r="O6" i="292"/>
  <c r="W6" i="292" s="1"/>
  <c r="AE6" i="292"/>
  <c r="J7" i="292"/>
  <c r="J8" i="292" s="1"/>
  <c r="J9" i="292" s="1"/>
  <c r="J10" i="292" s="1"/>
  <c r="J11" i="292" s="1"/>
  <c r="J12" i="292" s="1"/>
  <c r="J13" i="292" s="1"/>
  <c r="J14" i="292" s="1"/>
  <c r="J15" i="292" s="1"/>
  <c r="J16" i="292" s="1"/>
  <c r="J17" i="292" s="1"/>
  <c r="J18" i="292" s="1"/>
  <c r="J19" i="292" s="1"/>
  <c r="J20" i="292" s="1"/>
  <c r="AH7" i="292"/>
  <c r="AC8" i="292"/>
  <c r="AK8" i="292"/>
  <c r="P9" i="292"/>
  <c r="Y9" i="292"/>
  <c r="AH9" i="292"/>
  <c r="AQ9" i="292"/>
  <c r="X11" i="292"/>
  <c r="AH11" i="292"/>
  <c r="AS11" i="292"/>
  <c r="AN14" i="292"/>
  <c r="AO15" i="292"/>
  <c r="P17" i="292"/>
  <c r="AA17" i="292"/>
  <c r="AO17" i="292"/>
  <c r="Q18" i="292"/>
  <c r="R18" i="292" s="1"/>
  <c r="AC18" i="292"/>
  <c r="AR18" i="292"/>
  <c r="V19" i="292"/>
  <c r="AM19" i="292"/>
  <c r="AO20" i="292"/>
  <c r="Q13" i="292"/>
  <c r="R13" i="292" s="1"/>
  <c r="Y13" i="292"/>
  <c r="AG13" i="292"/>
  <c r="AO13" i="292"/>
  <c r="Q16" i="292"/>
  <c r="R16" i="292" s="1"/>
  <c r="Y16" i="292"/>
  <c r="AG16" i="292"/>
  <c r="AO16" i="292"/>
  <c r="S22" i="292"/>
  <c r="AA22" i="292"/>
  <c r="AI22" i="292"/>
  <c r="AQ22" i="292"/>
  <c r="Q24" i="292"/>
  <c r="Y24" i="292"/>
  <c r="AG24" i="292"/>
  <c r="AO24" i="292"/>
  <c r="L25" i="292"/>
  <c r="T25" i="292"/>
  <c r="AB25" i="292"/>
  <c r="AJ25" i="292"/>
  <c r="AR25" i="292"/>
  <c r="P26" i="292"/>
  <c r="Y26" i="292"/>
  <c r="AG26" i="292"/>
  <c r="AP26" i="292"/>
  <c r="Q10" i="292"/>
  <c r="R10" i="292" s="1"/>
  <c r="Y10" i="292"/>
  <c r="AG10" i="292"/>
  <c r="O12" i="292"/>
  <c r="W12" i="292" s="1"/>
  <c r="AE12" i="292"/>
  <c r="AM12" i="292"/>
  <c r="AH13" i="292"/>
  <c r="AP13" i="292"/>
  <c r="AH16" i="292"/>
  <c r="AP16" i="292"/>
  <c r="Q21" i="292"/>
  <c r="Y21" i="292"/>
  <c r="AG21" i="292"/>
  <c r="L22" i="292"/>
  <c r="T22" i="292"/>
  <c r="AB22" i="292"/>
  <c r="AJ22" i="292"/>
  <c r="AR22" i="292"/>
  <c r="O23" i="292"/>
  <c r="W23" i="292"/>
  <c r="AE23" i="292"/>
  <c r="AM23" i="292"/>
  <c r="J24" i="292"/>
  <c r="R24" i="292"/>
  <c r="Z24" i="292"/>
  <c r="AH24" i="292"/>
  <c r="AP24" i="292"/>
  <c r="M25" i="292"/>
  <c r="U25" i="292"/>
  <c r="AC25" i="292"/>
  <c r="AK25" i="292"/>
  <c r="AS25" i="292"/>
  <c r="Q26" i="292"/>
  <c r="Z26" i="292"/>
  <c r="AH26" i="292"/>
  <c r="AQ26" i="292"/>
  <c r="M22" i="292"/>
  <c r="U22" i="292"/>
  <c r="AC22" i="292"/>
  <c r="AK22" i="292"/>
  <c r="AS22" i="292"/>
  <c r="V25" i="292"/>
  <c r="AD25" i="292"/>
  <c r="AL25" i="292"/>
  <c r="R26" i="292"/>
  <c r="AA26" i="292"/>
  <c r="AI26" i="292"/>
  <c r="AR26" i="292"/>
  <c r="Q12" i="292"/>
  <c r="R12" i="292" s="1"/>
  <c r="Y12" i="292"/>
  <c r="AG12" i="292"/>
  <c r="L13" i="292"/>
  <c r="T13" i="292"/>
  <c r="L16" i="292"/>
  <c r="T16" i="292"/>
  <c r="V22" i="292"/>
  <c r="AD22" i="292"/>
  <c r="AL22" i="292"/>
  <c r="Q23" i="292"/>
  <c r="Y23" i="292"/>
  <c r="AG23" i="292"/>
  <c r="L24" i="292"/>
  <c r="T24" i="292"/>
  <c r="AB24" i="292"/>
  <c r="AJ24" i="292"/>
  <c r="O25" i="292"/>
  <c r="W25" i="292"/>
  <c r="AE25" i="292"/>
  <c r="AM25" i="292"/>
  <c r="J26" i="292"/>
  <c r="S26" i="292"/>
  <c r="AB26" i="292"/>
  <c r="AJ26" i="292"/>
  <c r="AS26" i="292"/>
  <c r="P25" i="292"/>
  <c r="X25" i="292"/>
  <c r="AF25" i="292"/>
  <c r="AN25" i="292"/>
  <c r="Q25" i="292"/>
  <c r="Y25" i="292"/>
  <c r="AG25" i="292"/>
  <c r="AO25" i="292"/>
  <c r="Q22" i="292"/>
  <c r="Y22" i="292"/>
  <c r="AG22" i="292"/>
  <c r="J25" i="292"/>
  <c r="R25" i="292"/>
  <c r="Z25" i="292"/>
  <c r="AH25" i="292"/>
  <c r="V26" i="292"/>
  <c r="AE26" i="292"/>
  <c r="AE10" i="291"/>
  <c r="AO6" i="291"/>
  <c r="AB20" i="291"/>
  <c r="AA22" i="291"/>
  <c r="AE12" i="291"/>
  <c r="T14" i="291"/>
  <c r="AB22" i="291"/>
  <c r="AN12" i="291"/>
  <c r="AI14" i="291"/>
  <c r="S11" i="291"/>
  <c r="AJ22" i="291"/>
  <c r="AN24" i="291"/>
  <c r="AC9" i="291"/>
  <c r="AM10" i="291"/>
  <c r="AO11" i="291"/>
  <c r="AN10" i="291"/>
  <c r="T17" i="291"/>
  <c r="AK17" i="291"/>
  <c r="V23" i="291"/>
  <c r="AF6" i="291"/>
  <c r="Q10" i="291"/>
  <c r="R10" i="291" s="1"/>
  <c r="Z10" i="291" s="1"/>
  <c r="AQ6" i="291"/>
  <c r="O10" i="291"/>
  <c r="W10" i="291" s="1"/>
  <c r="AF10" i="291"/>
  <c r="AD11" i="291"/>
  <c r="AP11" i="291"/>
  <c r="O14" i="291"/>
  <c r="W14" i="291" s="1"/>
  <c r="AH22" i="291"/>
  <c r="W23" i="291"/>
  <c r="P10" i="291"/>
  <c r="AL10" i="291"/>
  <c r="P11" i="291"/>
  <c r="AF11" i="291"/>
  <c r="S14" i="291"/>
  <c r="X15" i="291"/>
  <c r="AD18" i="291"/>
  <c r="J22" i="291"/>
  <c r="AI22" i="291"/>
  <c r="AJ23" i="291"/>
  <c r="Q11" i="291"/>
  <c r="R11" i="291" s="1"/>
  <c r="AJ11" i="291" s="1"/>
  <c r="AG11" i="291"/>
  <c r="V13" i="291"/>
  <c r="S20" i="291"/>
  <c r="AK23" i="291"/>
  <c r="AE13" i="291"/>
  <c r="T6" i="291"/>
  <c r="AP9" i="291"/>
  <c r="Y10" i="291"/>
  <c r="AO10" i="291"/>
  <c r="V11" i="291"/>
  <c r="AK11" i="291"/>
  <c r="V12" i="291"/>
  <c r="AO13" i="291"/>
  <c r="AK14" i="291"/>
  <c r="AI17" i="291"/>
  <c r="AK20" i="291"/>
  <c r="AE6" i="291"/>
  <c r="AC10" i="291"/>
  <c r="AP10" i="291"/>
  <c r="X11" i="291"/>
  <c r="AL11" i="291"/>
  <c r="AL14" i="291"/>
  <c r="R22" i="291"/>
  <c r="L23" i="291"/>
  <c r="Y26" i="291"/>
  <c r="Y11" i="291"/>
  <c r="AN11" i="291"/>
  <c r="X16" i="291"/>
  <c r="Q24" i="291"/>
  <c r="Z26" i="291"/>
  <c r="U11" i="291"/>
  <c r="M11" i="291"/>
  <c r="AA9" i="291"/>
  <c r="AN9" i="291"/>
  <c r="AC18" i="291"/>
  <c r="AA19" i="291"/>
  <c r="R20" i="291"/>
  <c r="AA20" i="291"/>
  <c r="AJ20" i="291"/>
  <c r="AS20" i="291"/>
  <c r="V6" i="291"/>
  <c r="AG6" i="291"/>
  <c r="AR6" i="291"/>
  <c r="L6" i="291" s="1"/>
  <c r="U6" i="291" s="1"/>
  <c r="AD9" i="291"/>
  <c r="AQ9" i="291"/>
  <c r="V17" i="291"/>
  <c r="AL17" i="291"/>
  <c r="AE18" i="291"/>
  <c r="AF19" i="291"/>
  <c r="T20" i="291"/>
  <c r="AC20" i="291"/>
  <c r="AL20" i="291"/>
  <c r="M23" i="291"/>
  <c r="X23" i="291"/>
  <c r="AL23" i="291"/>
  <c r="AF26" i="291"/>
  <c r="X20" i="290"/>
  <c r="X6" i="291"/>
  <c r="AI6" i="291"/>
  <c r="AS6" i="291"/>
  <c r="S8" i="291"/>
  <c r="O9" i="291"/>
  <c r="W9" i="291" s="1"/>
  <c r="AE9" i="291"/>
  <c r="AS9" i="291"/>
  <c r="V10" i="291"/>
  <c r="AG10" i="291"/>
  <c r="AQ10" i="291"/>
  <c r="V14" i="291"/>
  <c r="AP14" i="291"/>
  <c r="AL15" i="291"/>
  <c r="AA17" i="291"/>
  <c r="AM17" i="291"/>
  <c r="O18" i="291"/>
  <c r="W18" i="291" s="1"/>
  <c r="AK18" i="291"/>
  <c r="P19" i="291"/>
  <c r="AI19" i="291"/>
  <c r="L20" i="291"/>
  <c r="U20" i="291"/>
  <c r="AD20" i="291"/>
  <c r="AM20" i="291"/>
  <c r="AB23" i="291"/>
  <c r="AM23" i="291"/>
  <c r="P25" i="291"/>
  <c r="AG26" i="291"/>
  <c r="AS20" i="290"/>
  <c r="O6" i="291"/>
  <c r="W6" i="291" s="1"/>
  <c r="Y6" i="291"/>
  <c r="AK6" i="291"/>
  <c r="T8" i="291"/>
  <c r="P9" i="291"/>
  <c r="AF9" i="291"/>
  <c r="AH10" i="291"/>
  <c r="AS10" i="291"/>
  <c r="AQ11" i="291"/>
  <c r="AA14" i="291"/>
  <c r="AQ14" i="291"/>
  <c r="L17" i="291"/>
  <c r="AC17" i="291"/>
  <c r="AP17" i="291"/>
  <c r="P18" i="291"/>
  <c r="AM18" i="291"/>
  <c r="Q19" i="291"/>
  <c r="R19" i="291" s="1"/>
  <c r="AN19" i="291"/>
  <c r="M20" i="291"/>
  <c r="V20" i="291"/>
  <c r="AE20" i="291"/>
  <c r="AN20" i="291"/>
  <c r="Q21" i="291"/>
  <c r="S22" i="291"/>
  <c r="AP22" i="291"/>
  <c r="O23" i="291"/>
  <c r="AC23" i="291"/>
  <c r="AN23" i="291"/>
  <c r="AE25" i="291"/>
  <c r="O26" i="291"/>
  <c r="AH26" i="291"/>
  <c r="P6" i="291"/>
  <c r="AA6" i="291"/>
  <c r="AL6" i="291"/>
  <c r="AA8" i="291"/>
  <c r="T9" i="291"/>
  <c r="AH9" i="291"/>
  <c r="X10" i="291"/>
  <c r="T11" i="291"/>
  <c r="AH11" i="291"/>
  <c r="L14" i="291"/>
  <c r="U14" i="291" s="1"/>
  <c r="AC14" i="291"/>
  <c r="AR14" i="291"/>
  <c r="AD17" i="291"/>
  <c r="AQ17" i="291"/>
  <c r="Q18" i="291"/>
  <c r="R18" i="291" s="1"/>
  <c r="AJ18" i="291" s="1"/>
  <c r="AN18" i="291"/>
  <c r="AO19" i="291"/>
  <c r="W20" i="291"/>
  <c r="AF20" i="291"/>
  <c r="AP20" i="291"/>
  <c r="AN21" i="291"/>
  <c r="T22" i="291"/>
  <c r="AQ22" i="291"/>
  <c r="P23" i="291"/>
  <c r="AD23" i="291"/>
  <c r="AR23" i="291"/>
  <c r="AN25" i="291"/>
  <c r="P26" i="291"/>
  <c r="AO26" i="291"/>
  <c r="Q6" i="291"/>
  <c r="R6" i="291" s="1"/>
  <c r="Z6" i="291" s="1"/>
  <c r="AC6" i="291"/>
  <c r="AM6" i="291"/>
  <c r="AI8" i="291"/>
  <c r="V9" i="291"/>
  <c r="AL9" i="291"/>
  <c r="L13" i="291"/>
  <c r="U13" i="291" s="1"/>
  <c r="AD14" i="291"/>
  <c r="AS14" i="291"/>
  <c r="O17" i="291"/>
  <c r="W17" i="291" s="1"/>
  <c r="AE17" i="291"/>
  <c r="AR17" i="291"/>
  <c r="AO18" i="291"/>
  <c r="X19" i="291"/>
  <c r="AP19" i="291"/>
  <c r="O20" i="291"/>
  <c r="X20" i="291"/>
  <c r="AH20" i="291"/>
  <c r="AQ20" i="291"/>
  <c r="Z22" i="291"/>
  <c r="AR22" i="291"/>
  <c r="T23" i="291"/>
  <c r="AE23" i="291"/>
  <c r="AS23" i="291"/>
  <c r="Q26" i="291"/>
  <c r="AP26" i="291"/>
  <c r="S6" i="291"/>
  <c r="AD6" i="291"/>
  <c r="AN6" i="291"/>
  <c r="AR8" i="291"/>
  <c r="L8" i="291" s="1"/>
  <c r="X9" i="291"/>
  <c r="AH14" i="291"/>
  <c r="S17" i="291"/>
  <c r="AH17" i="291"/>
  <c r="AS17" i="291"/>
  <c r="Y18" i="291"/>
  <c r="AS18" i="291"/>
  <c r="P20" i="291"/>
  <c r="Z20" i="291"/>
  <c r="AI20" i="291"/>
  <c r="AR20" i="291"/>
  <c r="U23" i="291"/>
  <c r="AF23" i="291"/>
  <c r="W26" i="291"/>
  <c r="AQ26" i="291"/>
  <c r="AR26" i="290"/>
  <c r="J7" i="291"/>
  <c r="J8" i="291" s="1"/>
  <c r="J9" i="291" s="1"/>
  <c r="J10" i="291" s="1"/>
  <c r="J11" i="291" s="1"/>
  <c r="J12" i="291" s="1"/>
  <c r="AH7" i="291"/>
  <c r="AP7" i="291"/>
  <c r="AC8" i="291"/>
  <c r="AK8" i="291"/>
  <c r="AS8" i="291"/>
  <c r="AF12" i="291"/>
  <c r="AO12" i="291"/>
  <c r="AF13" i="291"/>
  <c r="AP13" i="291"/>
  <c r="Y15" i="291"/>
  <c r="AM15" i="291"/>
  <c r="Y16" i="291"/>
  <c r="AM16" i="291"/>
  <c r="AM19" i="291"/>
  <c r="AE19" i="291"/>
  <c r="O19" i="291"/>
  <c r="W19" i="291" s="1"/>
  <c r="AL19" i="291"/>
  <c r="AD19" i="291"/>
  <c r="V19" i="291"/>
  <c r="AS19" i="291"/>
  <c r="AK19" i="291"/>
  <c r="AC19" i="291"/>
  <c r="S19" i="291"/>
  <c r="AG19" i="291"/>
  <c r="AR19" i="291"/>
  <c r="W21" i="291"/>
  <c r="AO21" i="291"/>
  <c r="R24" i="291"/>
  <c r="AO24" i="291"/>
  <c r="AF25" i="291"/>
  <c r="Y7" i="291"/>
  <c r="S7" i="291"/>
  <c r="AA7" i="291"/>
  <c r="AI7" i="291"/>
  <c r="AQ7" i="291"/>
  <c r="V8" i="291"/>
  <c r="AD8" i="291"/>
  <c r="AL8" i="291"/>
  <c r="AO9" i="291"/>
  <c r="AG9" i="291"/>
  <c r="Y9" i="291"/>
  <c r="Q9" i="291"/>
  <c r="R9" i="291" s="1"/>
  <c r="AJ9" i="291" s="1"/>
  <c r="AI9" i="291"/>
  <c r="AR9" i="291"/>
  <c r="L9" i="291" s="1"/>
  <c r="O12" i="291"/>
  <c r="W12" i="291" s="1"/>
  <c r="X12" i="291"/>
  <c r="AG12" i="291"/>
  <c r="AQ12" i="291"/>
  <c r="O13" i="291"/>
  <c r="W13" i="291" s="1"/>
  <c r="X13" i="291"/>
  <c r="AG13" i="291"/>
  <c r="AQ13" i="291"/>
  <c r="O15" i="291"/>
  <c r="W15" i="291" s="1"/>
  <c r="AC15" i="291"/>
  <c r="AN15" i="291"/>
  <c r="O16" i="291"/>
  <c r="W16" i="291" s="1"/>
  <c r="AN16" i="291"/>
  <c r="AR18" i="291"/>
  <c r="T18" i="291"/>
  <c r="L18" i="291"/>
  <c r="U18" i="291" s="1"/>
  <c r="AQ18" i="291"/>
  <c r="AI18" i="291"/>
  <c r="AA18" i="291"/>
  <c r="S18" i="291"/>
  <c r="AP18" i="291"/>
  <c r="AH18" i="291"/>
  <c r="V18" i="291"/>
  <c r="AG18" i="291"/>
  <c r="T19" i="291"/>
  <c r="AH19" i="291"/>
  <c r="X24" i="291"/>
  <c r="O25" i="291"/>
  <c r="AM25" i="291"/>
  <c r="AG7" i="291"/>
  <c r="T7" i="291"/>
  <c r="AR7" i="291"/>
  <c r="L7" i="291" s="1"/>
  <c r="M7" i="291" s="1"/>
  <c r="O8" i="291"/>
  <c r="W8" i="291" s="1"/>
  <c r="AE8" i="291"/>
  <c r="AM8" i="291"/>
  <c r="P12" i="291"/>
  <c r="Y12" i="291"/>
  <c r="AI12" i="291"/>
  <c r="AR12" i="291"/>
  <c r="P13" i="291"/>
  <c r="Y13" i="291"/>
  <c r="AH13" i="291"/>
  <c r="AR13" i="291"/>
  <c r="P15" i="291"/>
  <c r="AD15" i="291"/>
  <c r="AO15" i="291"/>
  <c r="P16" i="291"/>
  <c r="AA16" i="291"/>
  <c r="AO16" i="291"/>
  <c r="AL21" i="291"/>
  <c r="AD21" i="291"/>
  <c r="V21" i="291"/>
  <c r="AS21" i="291"/>
  <c r="AK21" i="291"/>
  <c r="AC21" i="291"/>
  <c r="U21" i="291"/>
  <c r="M21" i="291"/>
  <c r="AR21" i="291"/>
  <c r="AJ21" i="291"/>
  <c r="AB21" i="291"/>
  <c r="T21" i="291"/>
  <c r="L21" i="291"/>
  <c r="AQ21" i="291"/>
  <c r="AI21" i="291"/>
  <c r="AA21" i="291"/>
  <c r="S21" i="291"/>
  <c r="AP21" i="291"/>
  <c r="AH21" i="291"/>
  <c r="Z21" i="291"/>
  <c r="R21" i="291"/>
  <c r="J21" i="291"/>
  <c r="Y21" i="291"/>
  <c r="AM24" i="291"/>
  <c r="AE24" i="291"/>
  <c r="W24" i="291"/>
  <c r="O24" i="291"/>
  <c r="AL24" i="291"/>
  <c r="AD24" i="291"/>
  <c r="V24" i="291"/>
  <c r="AS24" i="291"/>
  <c r="AK24" i="291"/>
  <c r="AC24" i="291"/>
  <c r="U24" i="291"/>
  <c r="M24" i="291"/>
  <c r="AR24" i="291"/>
  <c r="AJ24" i="291"/>
  <c r="AB24" i="291"/>
  <c r="T24" i="291"/>
  <c r="L24" i="291"/>
  <c r="AQ24" i="291"/>
  <c r="AI24" i="291"/>
  <c r="AA24" i="291"/>
  <c r="S24" i="291"/>
  <c r="Y24" i="291"/>
  <c r="AO7" i="291"/>
  <c r="AH10" i="290"/>
  <c r="M20" i="290"/>
  <c r="AH6" i="291"/>
  <c r="AC7" i="291"/>
  <c r="AK7" i="291"/>
  <c r="AS7" i="291"/>
  <c r="P8" i="291"/>
  <c r="X8" i="291"/>
  <c r="AF8" i="291"/>
  <c r="AN8" i="291"/>
  <c r="S9" i="291"/>
  <c r="AK9" i="291"/>
  <c r="AR10" i="291"/>
  <c r="T10" i="291"/>
  <c r="L10" i="291"/>
  <c r="AA10" i="291"/>
  <c r="AK10" i="291"/>
  <c r="AM11" i="291"/>
  <c r="AE11" i="291"/>
  <c r="O11" i="291"/>
  <c r="W11" i="291" s="1"/>
  <c r="AA11" i="291"/>
  <c r="AS11" i="291"/>
  <c r="Q12" i="291"/>
  <c r="R12" i="291" s="1"/>
  <c r="AA12" i="291"/>
  <c r="Q13" i="291"/>
  <c r="R13" i="291" s="1"/>
  <c r="Q15" i="291"/>
  <c r="R15" i="291" s="1"/>
  <c r="AE15" i="291"/>
  <c r="AS15" i="291"/>
  <c r="Q16" i="291"/>
  <c r="R16" i="291" s="1"/>
  <c r="AJ16" i="291" s="1"/>
  <c r="AE16" i="291"/>
  <c r="AP16" i="291"/>
  <c r="X18" i="291"/>
  <c r="AL18" i="291"/>
  <c r="L19" i="291"/>
  <c r="U19" i="291" s="1"/>
  <c r="Y19" i="291"/>
  <c r="AE21" i="291"/>
  <c r="J24" i="291"/>
  <c r="Z24" i="291"/>
  <c r="Q25" i="291"/>
  <c r="Q7" i="291"/>
  <c r="R7" i="291" s="1"/>
  <c r="V7" i="291"/>
  <c r="AD7" i="291"/>
  <c r="AL7" i="291"/>
  <c r="Q8" i="291"/>
  <c r="R8" i="291" s="1"/>
  <c r="Z8" i="291" s="1"/>
  <c r="Y8" i="291"/>
  <c r="AG8" i="291"/>
  <c r="AO8" i="291"/>
  <c r="AP12" i="291"/>
  <c r="AH12" i="291"/>
  <c r="S12" i="291"/>
  <c r="AK12" i="291"/>
  <c r="AL13" i="291"/>
  <c r="AS13" i="291"/>
  <c r="AK13" i="291"/>
  <c r="AC13" i="291"/>
  <c r="AA13" i="291"/>
  <c r="AF16" i="291"/>
  <c r="AF21" i="291"/>
  <c r="AF24" i="291"/>
  <c r="W25" i="291"/>
  <c r="O7" i="291"/>
  <c r="W7" i="291" s="1"/>
  <c r="AE7" i="291"/>
  <c r="AM7" i="291"/>
  <c r="AH8" i="291"/>
  <c r="AP8" i="291"/>
  <c r="T12" i="291"/>
  <c r="AC12" i="291"/>
  <c r="AL12" i="291"/>
  <c r="S13" i="291"/>
  <c r="AM13" i="291"/>
  <c r="AR15" i="291"/>
  <c r="T15" i="291"/>
  <c r="L15" i="291"/>
  <c r="M15" i="291" s="1"/>
  <c r="AQ15" i="291"/>
  <c r="AI15" i="291"/>
  <c r="AA15" i="291"/>
  <c r="S15" i="291"/>
  <c r="AP15" i="291"/>
  <c r="AH15" i="291"/>
  <c r="V15" i="291"/>
  <c r="AG15" i="291"/>
  <c r="AL16" i="291"/>
  <c r="AD16" i="291"/>
  <c r="V16" i="291"/>
  <c r="AS16" i="291"/>
  <c r="AK16" i="291"/>
  <c r="AC16" i="291"/>
  <c r="AR16" i="291"/>
  <c r="T16" i="291"/>
  <c r="L16" i="291"/>
  <c r="U16" i="291" s="1"/>
  <c r="S16" i="291"/>
  <c r="AG16" i="291"/>
  <c r="O21" i="291"/>
  <c r="AG21" i="291"/>
  <c r="AG24" i="291"/>
  <c r="P7" i="291"/>
  <c r="X7" i="291"/>
  <c r="AF7" i="291"/>
  <c r="L12" i="291"/>
  <c r="M12" i="291" s="1"/>
  <c r="AD12" i="291"/>
  <c r="AM12" i="291"/>
  <c r="T13" i="291"/>
  <c r="AD13" i="291"/>
  <c r="AN13" i="291"/>
  <c r="AK15" i="291"/>
  <c r="AH16" i="291"/>
  <c r="P21" i="291"/>
  <c r="AM21" i="291"/>
  <c r="P24" i="291"/>
  <c r="AH24" i="291"/>
  <c r="AL25" i="291"/>
  <c r="AD25" i="291"/>
  <c r="V25" i="291"/>
  <c r="AS25" i="291"/>
  <c r="AK25" i="291"/>
  <c r="AC25" i="291"/>
  <c r="U25" i="291"/>
  <c r="M25" i="291"/>
  <c r="AR25" i="291"/>
  <c r="AJ25" i="291"/>
  <c r="AB25" i="291"/>
  <c r="T25" i="291"/>
  <c r="L25" i="291"/>
  <c r="AQ25" i="291"/>
  <c r="AI25" i="291"/>
  <c r="AA25" i="291"/>
  <c r="S25" i="291"/>
  <c r="AP25" i="291"/>
  <c r="AH25" i="291"/>
  <c r="Z25" i="291"/>
  <c r="R25" i="291"/>
  <c r="J25" i="291"/>
  <c r="AO25" i="291"/>
  <c r="AG25" i="291"/>
  <c r="Y25" i="291"/>
  <c r="M22" i="291"/>
  <c r="U22" i="291"/>
  <c r="AC22" i="291"/>
  <c r="AK22" i="291"/>
  <c r="AS22" i="291"/>
  <c r="R26" i="291"/>
  <c r="AA26" i="291"/>
  <c r="AI26" i="291"/>
  <c r="AR26" i="291"/>
  <c r="AE14" i="291"/>
  <c r="AM14" i="291"/>
  <c r="V22" i="291"/>
  <c r="AD22" i="291"/>
  <c r="AL22" i="291"/>
  <c r="Q23" i="291"/>
  <c r="Y23" i="291"/>
  <c r="AG23" i="291"/>
  <c r="AO23" i="291"/>
  <c r="J26" i="291"/>
  <c r="S26" i="291"/>
  <c r="AB26" i="291"/>
  <c r="AJ26" i="291"/>
  <c r="AS26" i="291"/>
  <c r="P14" i="291"/>
  <c r="X14" i="291"/>
  <c r="AF14" i="291"/>
  <c r="AN14" i="291"/>
  <c r="P17" i="291"/>
  <c r="X17" i="291"/>
  <c r="AF17" i="291"/>
  <c r="AN17" i="291"/>
  <c r="Q20" i="291"/>
  <c r="Y20" i="291"/>
  <c r="AG20" i="291"/>
  <c r="O22" i="291"/>
  <c r="W22" i="291"/>
  <c r="AE22" i="291"/>
  <c r="AM22" i="291"/>
  <c r="J23" i="291"/>
  <c r="R23" i="291"/>
  <c r="Z23" i="291"/>
  <c r="AH23" i="291"/>
  <c r="AP23" i="291"/>
  <c r="L26" i="291"/>
  <c r="T26" i="291"/>
  <c r="AC26" i="291"/>
  <c r="AK26" i="291"/>
  <c r="Q14" i="291"/>
  <c r="R14" i="291" s="1"/>
  <c r="Y14" i="291"/>
  <c r="AG14" i="291"/>
  <c r="Q17" i="291"/>
  <c r="R17" i="291" s="1"/>
  <c r="Y17" i="291"/>
  <c r="AG17" i="291"/>
  <c r="P22" i="291"/>
  <c r="X22" i="291"/>
  <c r="AF22" i="291"/>
  <c r="AN22" i="291"/>
  <c r="S23" i="291"/>
  <c r="AA23" i="291"/>
  <c r="AI23" i="291"/>
  <c r="M26" i="291"/>
  <c r="U26" i="291"/>
  <c r="AD26" i="291"/>
  <c r="AM26" i="291"/>
  <c r="Q22" i="291"/>
  <c r="Y22" i="291"/>
  <c r="AG22" i="291"/>
  <c r="V26" i="291"/>
  <c r="AE26" i="291"/>
  <c r="Z20" i="290"/>
  <c r="AK20" i="290"/>
  <c r="AP20" i="290"/>
  <c r="AH11" i="290"/>
  <c r="O13" i="290"/>
  <c r="W13" i="290" s="1"/>
  <c r="O10" i="290"/>
  <c r="W10" i="290" s="1"/>
  <c r="AQ11" i="290"/>
  <c r="AF13" i="290"/>
  <c r="AC10" i="290"/>
  <c r="AL18" i="290"/>
  <c r="J21" i="290"/>
  <c r="AD10" i="290"/>
  <c r="P20" i="290"/>
  <c r="X23" i="290"/>
  <c r="AA7" i="290"/>
  <c r="V10" i="290"/>
  <c r="P11" i="290"/>
  <c r="AF24" i="290"/>
  <c r="T6" i="290"/>
  <c r="AH7" i="290"/>
  <c r="Q11" i="290"/>
  <c r="R11" i="290" s="1"/>
  <c r="Z11" i="290" s="1"/>
  <c r="O16" i="290"/>
  <c r="W16" i="290" s="1"/>
  <c r="AC6" i="290"/>
  <c r="AL7" i="290"/>
  <c r="AD9" i="290"/>
  <c r="AF11" i="290"/>
  <c r="P16" i="290"/>
  <c r="AL17" i="290"/>
  <c r="P19" i="290"/>
  <c r="AF6" i="290"/>
  <c r="AS7" i="290"/>
  <c r="AM9" i="290"/>
  <c r="AE16" i="290"/>
  <c r="AJ19" i="290"/>
  <c r="AN6" i="290"/>
  <c r="AS10" i="290"/>
  <c r="AL11" i="290"/>
  <c r="AI16" i="290"/>
  <c r="AF20" i="290"/>
  <c r="U21" i="290"/>
  <c r="AK23" i="290"/>
  <c r="Z25" i="290"/>
  <c r="AP11" i="290"/>
  <c r="AQ16" i="290"/>
  <c r="AM10" i="290"/>
  <c r="Y11" i="290"/>
  <c r="AS11" i="290"/>
  <c r="S13" i="290"/>
  <c r="V15" i="290"/>
  <c r="X16" i="290"/>
  <c r="Q19" i="290"/>
  <c r="AA20" i="290"/>
  <c r="AQ20" i="290"/>
  <c r="AE21" i="290"/>
  <c r="L23" i="290"/>
  <c r="AL23" i="290"/>
  <c r="AI24" i="290"/>
  <c r="AD25" i="290"/>
  <c r="AN10" i="290"/>
  <c r="AC11" i="290"/>
  <c r="Y13" i="290"/>
  <c r="Q14" i="290"/>
  <c r="R14" i="290" s="1"/>
  <c r="AB14" i="290" s="1"/>
  <c r="AC15" i="290"/>
  <c r="AD16" i="290"/>
  <c r="AB19" i="290"/>
  <c r="O20" i="290"/>
  <c r="AE20" i="290"/>
  <c r="AR20" i="290"/>
  <c r="AP21" i="290"/>
  <c r="M23" i="290"/>
  <c r="AR23" i="290"/>
  <c r="AQ24" i="290"/>
  <c r="AH25" i="290"/>
  <c r="V14" i="290"/>
  <c r="AI25" i="290"/>
  <c r="AG11" i="290"/>
  <c r="AG13" i="290"/>
  <c r="AA14" i="290"/>
  <c r="AF16" i="290"/>
  <c r="AN19" i="290"/>
  <c r="T20" i="290"/>
  <c r="AH20" i="290"/>
  <c r="S23" i="290"/>
  <c r="J25" i="290"/>
  <c r="AL25" i="290"/>
  <c r="AL13" i="290"/>
  <c r="AI14" i="290"/>
  <c r="AD17" i="290"/>
  <c r="U20" i="290"/>
  <c r="AI20" i="290"/>
  <c r="AC22" i="289"/>
  <c r="V9" i="290"/>
  <c r="AM13" i="290"/>
  <c r="AH17" i="290"/>
  <c r="W20" i="290"/>
  <c r="AJ20" i="290"/>
  <c r="U22" i="290"/>
  <c r="AA23" i="290"/>
  <c r="O24" i="290"/>
  <c r="AI17" i="290"/>
  <c r="AD23" i="290"/>
  <c r="W24" i="290"/>
  <c r="R25" i="290"/>
  <c r="AO26" i="290"/>
  <c r="R25" i="289"/>
  <c r="P6" i="290"/>
  <c r="AI6" i="290"/>
  <c r="L7" i="290"/>
  <c r="U7" i="290" s="1"/>
  <c r="V7" i="290"/>
  <c r="AI7" i="290"/>
  <c r="AE9" i="290"/>
  <c r="P10" i="290"/>
  <c r="AE10" i="290"/>
  <c r="AP10" i="290"/>
  <c r="V11" i="290"/>
  <c r="AI11" i="290"/>
  <c r="AA12" i="290"/>
  <c r="AQ12" i="290"/>
  <c r="V13" i="290"/>
  <c r="AN13" i="290"/>
  <c r="AO14" i="290"/>
  <c r="AM15" i="290"/>
  <c r="S16" i="290"/>
  <c r="AM16" i="290"/>
  <c r="S17" i="290"/>
  <c r="AP17" i="290"/>
  <c r="R20" i="290"/>
  <c r="AB20" i="290"/>
  <c r="AM20" i="290"/>
  <c r="V21" i="290"/>
  <c r="AF21" i="290"/>
  <c r="AQ21" i="290"/>
  <c r="AC22" i="290"/>
  <c r="AB23" i="290"/>
  <c r="AN23" i="290"/>
  <c r="P24" i="290"/>
  <c r="AM24" i="290"/>
  <c r="S25" i="290"/>
  <c r="AP25" i="290"/>
  <c r="AN12" i="290"/>
  <c r="S6" i="290"/>
  <c r="AK6" i="290"/>
  <c r="X7" i="290"/>
  <c r="AK7" i="290"/>
  <c r="AF9" i="290"/>
  <c r="S10" i="290"/>
  <c r="AF10" i="290"/>
  <c r="AQ10" i="290"/>
  <c r="X11" i="290"/>
  <c r="AK11" i="290"/>
  <c r="L12" i="290"/>
  <c r="U12" i="290" s="1"/>
  <c r="AC12" i="290"/>
  <c r="AR12" i="290"/>
  <c r="X13" i="290"/>
  <c r="AP14" i="290"/>
  <c r="AO15" i="290"/>
  <c r="V16" i="290"/>
  <c r="AN16" i="290"/>
  <c r="V17" i="290"/>
  <c r="AQ17" i="290"/>
  <c r="J20" i="290"/>
  <c r="S20" i="290"/>
  <c r="AC20" i="290"/>
  <c r="AN20" i="290"/>
  <c r="M21" i="290"/>
  <c r="W21" i="290"/>
  <c r="AH21" i="290"/>
  <c r="AS21" i="290"/>
  <c r="AG22" i="290"/>
  <c r="P23" i="290"/>
  <c r="AC23" i="290"/>
  <c r="AQ23" i="290"/>
  <c r="S24" i="290"/>
  <c r="AN24" i="290"/>
  <c r="V25" i="290"/>
  <c r="AQ25" i="290"/>
  <c r="AD12" i="290"/>
  <c r="AS12" i="290"/>
  <c r="X21" i="290"/>
  <c r="AI21" i="290"/>
  <c r="AO22" i="290"/>
  <c r="AQ6" i="290"/>
  <c r="O7" i="290"/>
  <c r="W7" i="290" s="1"/>
  <c r="AC7" i="290"/>
  <c r="AM7" i="290"/>
  <c r="AN9" i="290"/>
  <c r="AI10" i="290"/>
  <c r="AA11" i="290"/>
  <c r="P12" i="290"/>
  <c r="AF12" i="290"/>
  <c r="AA13" i="290"/>
  <c r="AA16" i="290"/>
  <c r="AA17" i="290"/>
  <c r="O21" i="290"/>
  <c r="Z21" i="290"/>
  <c r="AK21" i="290"/>
  <c r="AP22" i="290"/>
  <c r="T23" i="290"/>
  <c r="AF23" i="290"/>
  <c r="AS23" i="290"/>
  <c r="X24" i="290"/>
  <c r="AA25" i="290"/>
  <c r="X6" i="290"/>
  <c r="AR6" i="290"/>
  <c r="L6" i="290" s="1"/>
  <c r="M6" i="290" s="1"/>
  <c r="P7" i="290"/>
  <c r="AD7" i="290"/>
  <c r="AN7" i="290"/>
  <c r="X10" i="290"/>
  <c r="AK10" i="290"/>
  <c r="S12" i="290"/>
  <c r="AI12" i="290"/>
  <c r="P21" i="290"/>
  <c r="AA21" i="290"/>
  <c r="AL21" i="290"/>
  <c r="M22" i="290"/>
  <c r="U23" i="290"/>
  <c r="AI23" i="290"/>
  <c r="AA24" i="290"/>
  <c r="R26" i="290"/>
  <c r="X12" i="290"/>
  <c r="AA6" i="290"/>
  <c r="AS6" i="290"/>
  <c r="S7" i="290"/>
  <c r="AE7" i="290"/>
  <c r="AP7" i="290"/>
  <c r="AA10" i="290"/>
  <c r="AL10" i="290"/>
  <c r="T12" i="290"/>
  <c r="AK12" i="290"/>
  <c r="O15" i="290"/>
  <c r="W15" i="290" s="1"/>
  <c r="Q18" i="290"/>
  <c r="R18" i="290" s="1"/>
  <c r="R21" i="290"/>
  <c r="AC21" i="290"/>
  <c r="AM21" i="290"/>
  <c r="V23" i="290"/>
  <c r="AJ23" i="290"/>
  <c r="AE24" i="290"/>
  <c r="V26" i="290"/>
  <c r="T7" i="290"/>
  <c r="AF7" i="290"/>
  <c r="AQ7" i="290"/>
  <c r="V12" i="290"/>
  <c r="AL12" i="290"/>
  <c r="AK18" i="290"/>
  <c r="S21" i="290"/>
  <c r="AD21" i="290"/>
  <c r="AN21" i="290"/>
  <c r="R22" i="290"/>
  <c r="U9" i="290"/>
  <c r="M9" i="290"/>
  <c r="AO8" i="290"/>
  <c r="AH8" i="290"/>
  <c r="AP8" i="290"/>
  <c r="Y8" i="290"/>
  <c r="S8" i="290"/>
  <c r="AA8" i="290"/>
  <c r="AI8" i="290"/>
  <c r="AQ8" i="290"/>
  <c r="AP9" i="290"/>
  <c r="AM11" i="290"/>
  <c r="AE11" i="290"/>
  <c r="O11" i="290"/>
  <c r="W11" i="290" s="1"/>
  <c r="AR11" i="290"/>
  <c r="L11" i="290" s="1"/>
  <c r="T11" i="290"/>
  <c r="S11" i="290"/>
  <c r="AD11" i="290"/>
  <c r="AO11" i="290"/>
  <c r="P13" i="290"/>
  <c r="AD13" i="290"/>
  <c r="AO13" i="290"/>
  <c r="AD14" i="290"/>
  <c r="AQ14" i="290"/>
  <c r="Q15" i="290"/>
  <c r="R15" i="290" s="1"/>
  <c r="AD15" i="290"/>
  <c r="AR15" i="290"/>
  <c r="AO18" i="290"/>
  <c r="T19" i="290"/>
  <c r="AO19" i="290"/>
  <c r="AH22" i="290"/>
  <c r="W26" i="290"/>
  <c r="V6" i="290"/>
  <c r="AD6" i="290"/>
  <c r="AL6" i="290"/>
  <c r="Q7" i="290"/>
  <c r="R7" i="290" s="1"/>
  <c r="Z7" i="290" s="1"/>
  <c r="Y7" i="290"/>
  <c r="AG7" i="290"/>
  <c r="AO7" i="290"/>
  <c r="T8" i="290"/>
  <c r="AR8" i="290"/>
  <c r="L8" i="290" s="1"/>
  <c r="O9" i="290"/>
  <c r="W9" i="290" s="1"/>
  <c r="X9" i="290"/>
  <c r="AH9" i="290"/>
  <c r="AQ9" i="290"/>
  <c r="Q13" i="290"/>
  <c r="R13" i="290" s="1"/>
  <c r="Z13" i="290" s="1"/>
  <c r="AE13" i="290"/>
  <c r="S14" i="290"/>
  <c r="AG14" i="290"/>
  <c r="T15" i="290"/>
  <c r="AE15" i="290"/>
  <c r="V18" i="290"/>
  <c r="AS18" i="290"/>
  <c r="X19" i="290"/>
  <c r="Q22" i="290"/>
  <c r="AA26" i="290"/>
  <c r="AG8" i="290"/>
  <c r="O6" i="290"/>
  <c r="W6" i="290" s="1"/>
  <c r="AE6" i="290"/>
  <c r="AM6" i="290"/>
  <c r="J7" i="290"/>
  <c r="J8" i="290" s="1"/>
  <c r="J9" i="290" s="1"/>
  <c r="J10" i="290" s="1"/>
  <c r="J11" i="290" s="1"/>
  <c r="J12" i="290" s="1"/>
  <c r="J13" i="290" s="1"/>
  <c r="J14" i="290" s="1"/>
  <c r="J15" i="290" s="1"/>
  <c r="J16" i="290" s="1"/>
  <c r="J17" i="290" s="1"/>
  <c r="J18" i="290" s="1"/>
  <c r="AC8" i="290"/>
  <c r="AK8" i="290"/>
  <c r="AS8" i="290"/>
  <c r="P9" i="290"/>
  <c r="AI9" i="290"/>
  <c r="AN14" i="290"/>
  <c r="AF14" i="290"/>
  <c r="X14" i="290"/>
  <c r="P14" i="290"/>
  <c r="AM14" i="290"/>
  <c r="AE14" i="290"/>
  <c r="O14" i="290"/>
  <c r="W14" i="290" s="1"/>
  <c r="AS14" i="290"/>
  <c r="AK14" i="290"/>
  <c r="AC14" i="290"/>
  <c r="T14" i="290"/>
  <c r="AH14" i="290"/>
  <c r="AQ15" i="290"/>
  <c r="AI15" i="290"/>
  <c r="AA15" i="290"/>
  <c r="S15" i="290"/>
  <c r="AP15" i="290"/>
  <c r="AH15" i="290"/>
  <c r="AN15" i="290"/>
  <c r="AF15" i="290"/>
  <c r="X15" i="290"/>
  <c r="P15" i="290"/>
  <c r="AG15" i="290"/>
  <c r="AM19" i="290"/>
  <c r="AE19" i="290"/>
  <c r="W19" i="290"/>
  <c r="O19" i="290"/>
  <c r="AL19" i="290"/>
  <c r="AD19" i="290"/>
  <c r="V19" i="290"/>
  <c r="AS19" i="290"/>
  <c r="AK19" i="290"/>
  <c r="AC19" i="290"/>
  <c r="U19" i="290"/>
  <c r="M19" i="290"/>
  <c r="AQ19" i="290"/>
  <c r="AI19" i="290"/>
  <c r="AA19" i="290"/>
  <c r="S19" i="290"/>
  <c r="AP19" i="290"/>
  <c r="AH19" i="290"/>
  <c r="Z19" i="290"/>
  <c r="R19" i="290"/>
  <c r="J19" i="290"/>
  <c r="Y19" i="290"/>
  <c r="X17" i="289"/>
  <c r="V8" i="290"/>
  <c r="AD8" i="290"/>
  <c r="AL8" i="290"/>
  <c r="AO9" i="290"/>
  <c r="AG9" i="290"/>
  <c r="Y9" i="290"/>
  <c r="Q9" i="290"/>
  <c r="R9" i="290" s="1"/>
  <c r="AA9" i="290"/>
  <c r="AS9" i="290"/>
  <c r="AR18" i="290"/>
  <c r="T18" i="290"/>
  <c r="L18" i="290"/>
  <c r="U18" i="290" s="1"/>
  <c r="AQ18" i="290"/>
  <c r="AI18" i="290"/>
  <c r="AA18" i="290"/>
  <c r="S18" i="290"/>
  <c r="AP18" i="290"/>
  <c r="AH18" i="290"/>
  <c r="AN18" i="290"/>
  <c r="AF18" i="290"/>
  <c r="X18" i="290"/>
  <c r="P18" i="290"/>
  <c r="AM18" i="290"/>
  <c r="AE18" i="290"/>
  <c r="O18" i="290"/>
  <c r="W18" i="290" s="1"/>
  <c r="AC18" i="290"/>
  <c r="AM26" i="290"/>
  <c r="AD26" i="290"/>
  <c r="U26" i="290"/>
  <c r="M26" i="290"/>
  <c r="AK26" i="290"/>
  <c r="AC26" i="290"/>
  <c r="T26" i="290"/>
  <c r="L26" i="290"/>
  <c r="AS26" i="290"/>
  <c r="AJ26" i="290"/>
  <c r="AB26" i="290"/>
  <c r="S26" i="290"/>
  <c r="J26" i="290"/>
  <c r="AQ26" i="290"/>
  <c r="AH26" i="290"/>
  <c r="Z26" i="290"/>
  <c r="Q26" i="290"/>
  <c r="AP26" i="290"/>
  <c r="AG26" i="290"/>
  <c r="Y26" i="290"/>
  <c r="P26" i="290"/>
  <c r="AF26" i="290"/>
  <c r="Q8" i="290"/>
  <c r="R8" i="290" s="1"/>
  <c r="AF17" i="289"/>
  <c r="Q6" i="290"/>
  <c r="R6" i="290" s="1"/>
  <c r="Y6" i="290"/>
  <c r="AG6" i="290"/>
  <c r="AO6" i="290"/>
  <c r="O8" i="290"/>
  <c r="W8" i="290" s="1"/>
  <c r="AE8" i="290"/>
  <c r="AM8" i="290"/>
  <c r="S9" i="290"/>
  <c r="AK9" i="290"/>
  <c r="AS13" i="290"/>
  <c r="AK13" i="290"/>
  <c r="AC13" i="290"/>
  <c r="AR13" i="290"/>
  <c r="T13" i="290"/>
  <c r="L13" i="290"/>
  <c r="M13" i="290" s="1"/>
  <c r="AP13" i="290"/>
  <c r="AH13" i="290"/>
  <c r="AI13" i="290"/>
  <c r="Y14" i="290"/>
  <c r="L15" i="290"/>
  <c r="U15" i="290" s="1"/>
  <c r="AK15" i="290"/>
  <c r="AD18" i="290"/>
  <c r="L19" i="290"/>
  <c r="AF19" i="290"/>
  <c r="AN22" i="290"/>
  <c r="AF22" i="290"/>
  <c r="X22" i="290"/>
  <c r="P22" i="290"/>
  <c r="AM22" i="290"/>
  <c r="AE22" i="290"/>
  <c r="W22" i="290"/>
  <c r="O22" i="290"/>
  <c r="AL22" i="290"/>
  <c r="AD22" i="290"/>
  <c r="V22" i="290"/>
  <c r="AR22" i="290"/>
  <c r="AJ22" i="290"/>
  <c r="AB22" i="290"/>
  <c r="T22" i="290"/>
  <c r="L22" i="290"/>
  <c r="AQ22" i="290"/>
  <c r="AI22" i="290"/>
  <c r="AA22" i="290"/>
  <c r="S22" i="290"/>
  <c r="Y22" i="290"/>
  <c r="AS22" i="290"/>
  <c r="AI26" i="290"/>
  <c r="AL8" i="289"/>
  <c r="AK13" i="289"/>
  <c r="AM17" i="289"/>
  <c r="U22" i="289"/>
  <c r="AH6" i="290"/>
  <c r="P8" i="290"/>
  <c r="X8" i="290"/>
  <c r="AF8" i="290"/>
  <c r="T9" i="290"/>
  <c r="AC9" i="290"/>
  <c r="AL9" i="290"/>
  <c r="L14" i="290"/>
  <c r="U14" i="290" s="1"/>
  <c r="AL14" i="290"/>
  <c r="Y15" i="290"/>
  <c r="AL15" i="290"/>
  <c r="AG18" i="290"/>
  <c r="AG19" i="290"/>
  <c r="J22" i="290"/>
  <c r="Z22" i="290"/>
  <c r="O26" i="290"/>
  <c r="AN26" i="290"/>
  <c r="Q16" i="290"/>
  <c r="R16" i="290" s="1"/>
  <c r="Y16" i="290"/>
  <c r="AG16" i="290"/>
  <c r="AO16" i="290"/>
  <c r="L17" i="290"/>
  <c r="M17" i="290" s="1"/>
  <c r="T17" i="290"/>
  <c r="AR17" i="290"/>
  <c r="Q24" i="290"/>
  <c r="Y24" i="290"/>
  <c r="AG24" i="290"/>
  <c r="AO24" i="290"/>
  <c r="L25" i="290"/>
  <c r="T25" i="290"/>
  <c r="AB25" i="290"/>
  <c r="AJ25" i="290"/>
  <c r="AR25" i="290"/>
  <c r="Q10" i="290"/>
  <c r="R10" i="290" s="1"/>
  <c r="Z10" i="290" s="1"/>
  <c r="Y10" i="290"/>
  <c r="AG10" i="290"/>
  <c r="AO10" i="290"/>
  <c r="O12" i="290"/>
  <c r="W12" i="290" s="1"/>
  <c r="AE12" i="290"/>
  <c r="AM12" i="290"/>
  <c r="AH16" i="290"/>
  <c r="AP16" i="290"/>
  <c r="AC17" i="290"/>
  <c r="AK17" i="290"/>
  <c r="AS17" i="290"/>
  <c r="V20" i="290"/>
  <c r="AD20" i="290"/>
  <c r="AL20" i="290"/>
  <c r="Q21" i="290"/>
  <c r="Y21" i="290"/>
  <c r="AG21" i="290"/>
  <c r="AO21" i="290"/>
  <c r="O23" i="290"/>
  <c r="W23" i="290"/>
  <c r="AE23" i="290"/>
  <c r="AM23" i="290"/>
  <c r="J24" i="290"/>
  <c r="R24" i="290"/>
  <c r="Z24" i="290"/>
  <c r="AH24" i="290"/>
  <c r="AP24" i="290"/>
  <c r="M25" i="290"/>
  <c r="U25" i="290"/>
  <c r="AC25" i="290"/>
  <c r="AK25" i="290"/>
  <c r="AS25" i="290"/>
  <c r="Q12" i="290"/>
  <c r="R12" i="290" s="1"/>
  <c r="Y12" i="290"/>
  <c r="AG12" i="290"/>
  <c r="AO12" i="290"/>
  <c r="L16" i="290"/>
  <c r="M16" i="290" s="1"/>
  <c r="T16" i="290"/>
  <c r="AR16" i="290"/>
  <c r="O17" i="290"/>
  <c r="W17" i="290" s="1"/>
  <c r="AE17" i="290"/>
  <c r="AM17" i="290"/>
  <c r="Q23" i="290"/>
  <c r="Y23" i="290"/>
  <c r="AG23" i="290"/>
  <c r="AO23" i="290"/>
  <c r="L24" i="290"/>
  <c r="T24" i="290"/>
  <c r="AB24" i="290"/>
  <c r="AJ24" i="290"/>
  <c r="AR24" i="290"/>
  <c r="O25" i="290"/>
  <c r="W25" i="290"/>
  <c r="AE25" i="290"/>
  <c r="AM25" i="290"/>
  <c r="L10" i="290"/>
  <c r="T10" i="290"/>
  <c r="AH12" i="290"/>
  <c r="AC16" i="290"/>
  <c r="AK16" i="290"/>
  <c r="AS16" i="290"/>
  <c r="P17" i="290"/>
  <c r="X17" i="290"/>
  <c r="AF17" i="290"/>
  <c r="AN17" i="290"/>
  <c r="Q20" i="290"/>
  <c r="Y20" i="290"/>
  <c r="AG20" i="290"/>
  <c r="L21" i="290"/>
  <c r="T21" i="290"/>
  <c r="AB21" i="290"/>
  <c r="AJ21" i="290"/>
  <c r="J23" i="290"/>
  <c r="R23" i="290"/>
  <c r="Z23" i="290"/>
  <c r="AH23" i="290"/>
  <c r="M24" i="290"/>
  <c r="U24" i="290"/>
  <c r="AC24" i="290"/>
  <c r="AK24" i="290"/>
  <c r="AS24" i="290"/>
  <c r="P25" i="290"/>
  <c r="X25" i="290"/>
  <c r="AF25" i="290"/>
  <c r="AN25" i="290"/>
  <c r="Q17" i="290"/>
  <c r="R17" i="290" s="1"/>
  <c r="Y17" i="290"/>
  <c r="AG17" i="290"/>
  <c r="V24" i="290"/>
  <c r="AD24" i="290"/>
  <c r="Q25" i="290"/>
  <c r="Y25" i="290"/>
  <c r="AG25" i="290"/>
  <c r="V8" i="289"/>
  <c r="AC17" i="289"/>
  <c r="L19" i="289"/>
  <c r="AB23" i="289"/>
  <c r="AD8" i="289"/>
  <c r="Q10" i="289"/>
  <c r="R10" i="289" s="1"/>
  <c r="Y10" i="289"/>
  <c r="AL14" i="289"/>
  <c r="T19" i="289"/>
  <c r="AO10" i="289"/>
  <c r="AS14" i="289"/>
  <c r="AA19" i="289"/>
  <c r="AE19" i="289"/>
  <c r="AH13" i="289"/>
  <c r="AC18" i="289"/>
  <c r="AP19" i="289"/>
  <c r="AN23" i="289"/>
  <c r="Z25" i="289"/>
  <c r="AE8" i="289"/>
  <c r="AC13" i="289"/>
  <c r="R26" i="289"/>
  <c r="P8" i="289"/>
  <c r="AN8" i="289"/>
  <c r="S8" i="289"/>
  <c r="AP8" i="289"/>
  <c r="AR13" i="289"/>
  <c r="AH17" i="289"/>
  <c r="AH19" i="289"/>
  <c r="Q20" i="289"/>
  <c r="V21" i="289"/>
  <c r="P24" i="289"/>
  <c r="AD25" i="289"/>
  <c r="AC7" i="289"/>
  <c r="AK17" i="289"/>
  <c r="AM19" i="289"/>
  <c r="V20" i="289"/>
  <c r="AD21" i="289"/>
  <c r="AF24" i="289"/>
  <c r="AI25" i="289"/>
  <c r="AR7" i="289"/>
  <c r="X8" i="289"/>
  <c r="X15" i="289"/>
  <c r="AG20" i="289"/>
  <c r="AL25" i="289"/>
  <c r="AA8" i="289"/>
  <c r="O13" i="289"/>
  <c r="W13" i="289" s="1"/>
  <c r="AI15" i="289"/>
  <c r="O17" i="289"/>
  <c r="W17" i="289" s="1"/>
  <c r="AN17" i="289"/>
  <c r="AQ19" i="289"/>
  <c r="AK20" i="289"/>
  <c r="J25" i="289"/>
  <c r="T13" i="289"/>
  <c r="AE14" i="289"/>
  <c r="P17" i="289"/>
  <c r="S19" i="289"/>
  <c r="AS19" i="289"/>
  <c r="AS20" i="289"/>
  <c r="M22" i="289"/>
  <c r="AA9" i="289"/>
  <c r="AC16" i="289"/>
  <c r="P16" i="288"/>
  <c r="L7" i="289"/>
  <c r="M7" i="289" s="1"/>
  <c r="AA7" i="289"/>
  <c r="AQ7" i="289"/>
  <c r="O8" i="289"/>
  <c r="W8" i="289" s="1"/>
  <c r="AC8" i="289"/>
  <c r="AQ8" i="289"/>
  <c r="Y9" i="289"/>
  <c r="AO11" i="289"/>
  <c r="AM12" i="289"/>
  <c r="S13" i="289"/>
  <c r="AI13" i="289"/>
  <c r="AD14" i="289"/>
  <c r="AP14" i="289"/>
  <c r="AA16" i="289"/>
  <c r="AQ16" i="289"/>
  <c r="V17" i="289"/>
  <c r="AL17" i="289"/>
  <c r="Q18" i="289"/>
  <c r="R18" i="289" s="1"/>
  <c r="AJ18" i="289" s="1"/>
  <c r="AC19" i="289"/>
  <c r="AR19" i="289"/>
  <c r="Y20" i="289"/>
  <c r="AA21" i="289"/>
  <c r="AQ21" i="289"/>
  <c r="Z22" i="289"/>
  <c r="M23" i="289"/>
  <c r="AA23" i="289"/>
  <c r="AL23" i="289"/>
  <c r="O24" i="289"/>
  <c r="AE24" i="289"/>
  <c r="AH25" i="289"/>
  <c r="AO26" i="289"/>
  <c r="AF7" i="289"/>
  <c r="AS7" i="289"/>
  <c r="AI9" i="289"/>
  <c r="O11" i="289"/>
  <c r="W11" i="289" s="1"/>
  <c r="AM13" i="289"/>
  <c r="O14" i="289"/>
  <c r="W14" i="289" s="1"/>
  <c r="AF14" i="289"/>
  <c r="AE16" i="289"/>
  <c r="AS16" i="289"/>
  <c r="AG18" i="289"/>
  <c r="O21" i="289"/>
  <c r="AE21" i="289"/>
  <c r="AG22" i="289"/>
  <c r="P23" i="289"/>
  <c r="AC23" i="289"/>
  <c r="AQ23" i="289"/>
  <c r="S24" i="289"/>
  <c r="AI24" i="289"/>
  <c r="P7" i="289"/>
  <c r="AH7" i="289"/>
  <c r="T8" i="289"/>
  <c r="AF8" i="289"/>
  <c r="AL9" i="289"/>
  <c r="AA10" i="289"/>
  <c r="Y11" i="289"/>
  <c r="AP13" i="289"/>
  <c r="P14" i="289"/>
  <c r="AH14" i="289"/>
  <c r="L16" i="289"/>
  <c r="M16" i="289" s="1"/>
  <c r="AH16" i="289"/>
  <c r="AD17" i="289"/>
  <c r="AP17" i="289"/>
  <c r="AH18" i="289"/>
  <c r="AI19" i="289"/>
  <c r="AL20" i="289"/>
  <c r="P21" i="289"/>
  <c r="AF21" i="289"/>
  <c r="J22" i="289"/>
  <c r="AH22" i="289"/>
  <c r="S23" i="289"/>
  <c r="AD23" i="289"/>
  <c r="AR23" i="289"/>
  <c r="V24" i="289"/>
  <c r="AM24" i="289"/>
  <c r="S25" i="289"/>
  <c r="AP25" i="289"/>
  <c r="S7" i="289"/>
  <c r="AI7" i="289"/>
  <c r="O9" i="289"/>
  <c r="W9" i="289" s="1"/>
  <c r="AM9" i="289"/>
  <c r="AL10" i="289"/>
  <c r="AC11" i="289"/>
  <c r="O12" i="289"/>
  <c r="W12" i="289" s="1"/>
  <c r="L13" i="289"/>
  <c r="M13" i="289" s="1"/>
  <c r="AA13" i="289"/>
  <c r="AQ13" i="289"/>
  <c r="V14" i="289"/>
  <c r="AK14" i="289"/>
  <c r="AI16" i="289"/>
  <c r="AE17" i="289"/>
  <c r="AS17" i="289"/>
  <c r="AK18" i="289"/>
  <c r="O19" i="289"/>
  <c r="W19" i="289" s="1"/>
  <c r="AK19" i="289"/>
  <c r="S21" i="289"/>
  <c r="AI21" i="289"/>
  <c r="AP22" i="289"/>
  <c r="T23" i="289"/>
  <c r="AF23" i="289"/>
  <c r="AS23" i="289"/>
  <c r="W24" i="289"/>
  <c r="AN24" i="289"/>
  <c r="V25" i="289"/>
  <c r="AQ25" i="289"/>
  <c r="T7" i="289"/>
  <c r="AK7" i="289"/>
  <c r="P9" i="289"/>
  <c r="AN9" i="289"/>
  <c r="AK11" i="289"/>
  <c r="X12" i="289"/>
  <c r="O16" i="289"/>
  <c r="W16" i="289" s="1"/>
  <c r="AK16" i="289"/>
  <c r="AO18" i="289"/>
  <c r="AL21" i="289"/>
  <c r="U23" i="289"/>
  <c r="AI23" i="289"/>
  <c r="X24" i="289"/>
  <c r="AQ24" i="289"/>
  <c r="J7" i="289"/>
  <c r="J8" i="289" s="1"/>
  <c r="J9" i="289" s="1"/>
  <c r="J10" i="289" s="1"/>
  <c r="J11" i="289" s="1"/>
  <c r="J12" i="289" s="1"/>
  <c r="J13" i="289" s="1"/>
  <c r="J14" i="289" s="1"/>
  <c r="J15" i="289" s="1"/>
  <c r="J16" i="289" s="1"/>
  <c r="J17" i="289" s="1"/>
  <c r="J18" i="289" s="1"/>
  <c r="J19" i="289" s="1"/>
  <c r="J20" i="289" s="1"/>
  <c r="U7" i="289"/>
  <c r="AN7" i="289"/>
  <c r="AP10" i="289"/>
  <c r="AL11" i="289"/>
  <c r="Y12" i="289"/>
  <c r="AE13" i="289"/>
  <c r="AS13" i="289"/>
  <c r="X14" i="289"/>
  <c r="AM14" i="289"/>
  <c r="AF15" i="289"/>
  <c r="S16" i="289"/>
  <c r="AM16" i="289"/>
  <c r="W21" i="289"/>
  <c r="AM21" i="289"/>
  <c r="V23" i="289"/>
  <c r="AJ23" i="289"/>
  <c r="AA24" i="289"/>
  <c r="AA25" i="289"/>
  <c r="AN12" i="289"/>
  <c r="AR16" i="289"/>
  <c r="X7" i="289"/>
  <c r="AP7" i="289"/>
  <c r="X9" i="289"/>
  <c r="AM11" i="289"/>
  <c r="AH12" i="289"/>
  <c r="AC14" i="289"/>
  <c r="AN14" i="289"/>
  <c r="T16" i="289"/>
  <c r="AP16" i="289"/>
  <c r="X21" i="289"/>
  <c r="AN21" i="289"/>
  <c r="L23" i="289"/>
  <c r="X23" i="289"/>
  <c r="AK23" i="289"/>
  <c r="AD24" i="289"/>
  <c r="S6" i="289"/>
  <c r="AA6" i="289"/>
  <c r="AI6" i="289"/>
  <c r="AQ6" i="289"/>
  <c r="V7" i="289"/>
  <c r="AD7" i="289"/>
  <c r="AL7" i="289"/>
  <c r="AO8" i="289"/>
  <c r="AG8" i="289"/>
  <c r="AM8" i="289"/>
  <c r="Q8" i="289"/>
  <c r="R8" i="289" s="1"/>
  <c r="Z8" i="289" s="1"/>
  <c r="Y8" i="289"/>
  <c r="AH8" i="289"/>
  <c r="AR8" i="289"/>
  <c r="L8" i="289" s="1"/>
  <c r="Q9" i="289"/>
  <c r="R9" i="289" s="1"/>
  <c r="AB9" i="289" s="1"/>
  <c r="AD9" i="289"/>
  <c r="AO9" i="289"/>
  <c r="AD10" i="289"/>
  <c r="AQ10" i="289"/>
  <c r="Q11" i="289"/>
  <c r="R11" i="289" s="1"/>
  <c r="AB11" i="289" s="1"/>
  <c r="AD11" i="289"/>
  <c r="AR11" i="289"/>
  <c r="L11" i="289" s="1"/>
  <c r="M11" i="289" s="1"/>
  <c r="P12" i="289"/>
  <c r="AO12" i="289"/>
  <c r="Y15" i="289"/>
  <c r="AK15" i="289"/>
  <c r="AN18" i="289"/>
  <c r="AF18" i="289"/>
  <c r="X18" i="289"/>
  <c r="P18" i="289"/>
  <c r="AM18" i="289"/>
  <c r="AE18" i="289"/>
  <c r="O18" i="289"/>
  <c r="W18" i="289" s="1"/>
  <c r="AL18" i="289"/>
  <c r="AD18" i="289"/>
  <c r="V18" i="289"/>
  <c r="AR18" i="289"/>
  <c r="T18" i="289"/>
  <c r="L18" i="289"/>
  <c r="AQ18" i="289"/>
  <c r="AI18" i="289"/>
  <c r="AA18" i="289"/>
  <c r="S18" i="289"/>
  <c r="Y18" i="289"/>
  <c r="AS18" i="289"/>
  <c r="AR20" i="289"/>
  <c r="T20" i="289"/>
  <c r="L20" i="289"/>
  <c r="AQ20" i="289"/>
  <c r="AI20" i="289"/>
  <c r="AA20" i="289"/>
  <c r="S20" i="289"/>
  <c r="AP20" i="289"/>
  <c r="AH20" i="289"/>
  <c r="Z20" i="289"/>
  <c r="R20" i="289"/>
  <c r="AJ20" i="289" s="1"/>
  <c r="AN20" i="289"/>
  <c r="AF20" i="289"/>
  <c r="X20" i="289"/>
  <c r="P20" i="289"/>
  <c r="AM20" i="289"/>
  <c r="AE20" i="289"/>
  <c r="W20" i="289"/>
  <c r="O20" i="289"/>
  <c r="AC20" i="289"/>
  <c r="Q22" i="289"/>
  <c r="AK22" i="289"/>
  <c r="V26" i="289"/>
  <c r="AR26" i="289"/>
  <c r="T6" i="289"/>
  <c r="AR6" i="289"/>
  <c r="L6" i="289" s="1"/>
  <c r="M6" i="289" s="1"/>
  <c r="O7" i="289"/>
  <c r="W7" i="289" s="1"/>
  <c r="AE7" i="289"/>
  <c r="AM7" i="289"/>
  <c r="AI8" i="289"/>
  <c r="AS8" i="289"/>
  <c r="S9" i="289"/>
  <c r="AE9" i="289"/>
  <c r="S10" i="289"/>
  <c r="AG10" i="289"/>
  <c r="T11" i="289"/>
  <c r="AE11" i="289"/>
  <c r="Q12" i="289"/>
  <c r="R12" i="289" s="1"/>
  <c r="AE12" i="289"/>
  <c r="AN15" i="289"/>
  <c r="Z18" i="289"/>
  <c r="AD20" i="289"/>
  <c r="R22" i="289"/>
  <c r="W26" i="289"/>
  <c r="AP6" i="289"/>
  <c r="AC6" i="289"/>
  <c r="AK6" i="289"/>
  <c r="AS6" i="289"/>
  <c r="AS9" i="289"/>
  <c r="AK9" i="289"/>
  <c r="AC9" i="289"/>
  <c r="AR9" i="289"/>
  <c r="L9" i="289" s="1"/>
  <c r="M9" i="289" s="1"/>
  <c r="T9" i="289"/>
  <c r="AP9" i="289"/>
  <c r="AH9" i="289"/>
  <c r="AF9" i="289"/>
  <c r="AN10" i="289"/>
  <c r="AF10" i="289"/>
  <c r="X10" i="289"/>
  <c r="P10" i="289"/>
  <c r="AM10" i="289"/>
  <c r="AE10" i="289"/>
  <c r="O10" i="289"/>
  <c r="W10" i="289" s="1"/>
  <c r="AS10" i="289"/>
  <c r="AK10" i="289"/>
  <c r="AC10" i="289"/>
  <c r="U10" i="289"/>
  <c r="M10" i="289"/>
  <c r="T10" i="289"/>
  <c r="AH10" i="289"/>
  <c r="AQ11" i="289"/>
  <c r="AI11" i="289"/>
  <c r="AA11" i="289"/>
  <c r="S11" i="289"/>
  <c r="AP11" i="289"/>
  <c r="AH11" i="289"/>
  <c r="AN11" i="289"/>
  <c r="AF11" i="289"/>
  <c r="X11" i="289"/>
  <c r="P11" i="289"/>
  <c r="AG11" i="289"/>
  <c r="AL12" i="289"/>
  <c r="AD12" i="289"/>
  <c r="V12" i="289"/>
  <c r="AS12" i="289"/>
  <c r="AK12" i="289"/>
  <c r="AC12" i="289"/>
  <c r="AQ12" i="289"/>
  <c r="AI12" i="289"/>
  <c r="AA12" i="289"/>
  <c r="S12" i="289"/>
  <c r="AF12" i="289"/>
  <c r="AR12" i="289"/>
  <c r="L12" i="289" s="1"/>
  <c r="U12" i="289" s="1"/>
  <c r="P15" i="289"/>
  <c r="AA15" i="289"/>
  <c r="AO15" i="289"/>
  <c r="AA26" i="289"/>
  <c r="V6" i="289"/>
  <c r="AD6" i="289"/>
  <c r="AL6" i="289"/>
  <c r="Q7" i="289"/>
  <c r="R7" i="289" s="1"/>
  <c r="Y7" i="289"/>
  <c r="AG7" i="289"/>
  <c r="V9" i="289"/>
  <c r="AG9" i="289"/>
  <c r="V10" i="289"/>
  <c r="AI10" i="289"/>
  <c r="V11" i="289"/>
  <c r="T12" i="289"/>
  <c r="AG12" i="289"/>
  <c r="Q15" i="289"/>
  <c r="R15" i="289" s="1"/>
  <c r="Z15" i="289" s="1"/>
  <c r="AC15" i="289"/>
  <c r="AP15" i="289"/>
  <c r="AN22" i="289"/>
  <c r="AF22" i="289"/>
  <c r="X22" i="289"/>
  <c r="P22" i="289"/>
  <c r="AM22" i="289"/>
  <c r="AE22" i="289"/>
  <c r="W22" i="289"/>
  <c r="O22" i="289"/>
  <c r="AL22" i="289"/>
  <c r="AD22" i="289"/>
  <c r="V22" i="289"/>
  <c r="AR22" i="289"/>
  <c r="AJ22" i="289"/>
  <c r="AB22" i="289"/>
  <c r="T22" i="289"/>
  <c r="L22" i="289"/>
  <c r="AQ22" i="289"/>
  <c r="AI22" i="289"/>
  <c r="AA22" i="289"/>
  <c r="S22" i="289"/>
  <c r="Y22" i="289"/>
  <c r="AS22" i="289"/>
  <c r="AH6" i="289"/>
  <c r="O6" i="289"/>
  <c r="W6" i="289" s="1"/>
  <c r="AE6" i="289"/>
  <c r="AM6" i="289"/>
  <c r="U19" i="289"/>
  <c r="M19" i="289"/>
  <c r="AM26" i="289"/>
  <c r="AD26" i="289"/>
  <c r="U26" i="289"/>
  <c r="M26" i="289"/>
  <c r="AK26" i="289"/>
  <c r="AC26" i="289"/>
  <c r="T26" i="289"/>
  <c r="L26" i="289"/>
  <c r="AS26" i="289"/>
  <c r="AJ26" i="289"/>
  <c r="AB26" i="289"/>
  <c r="S26" i="289"/>
  <c r="J26" i="289"/>
  <c r="AQ26" i="289"/>
  <c r="AH26" i="289"/>
  <c r="Z26" i="289"/>
  <c r="Q26" i="289"/>
  <c r="AP26" i="289"/>
  <c r="AG26" i="289"/>
  <c r="Y26" i="289"/>
  <c r="P26" i="289"/>
  <c r="AF26" i="289"/>
  <c r="P6" i="289"/>
  <c r="X6" i="289"/>
  <c r="AF6" i="289"/>
  <c r="AN6" i="289"/>
  <c r="AM15" i="289"/>
  <c r="AE15" i="289"/>
  <c r="O15" i="289"/>
  <c r="W15" i="289" s="1"/>
  <c r="AL15" i="289"/>
  <c r="AD15" i="289"/>
  <c r="V15" i="289"/>
  <c r="AR15" i="289"/>
  <c r="T15" i="289"/>
  <c r="L15" i="289"/>
  <c r="M15" i="289" s="1"/>
  <c r="S15" i="289"/>
  <c r="AG15" i="289"/>
  <c r="AS15" i="289"/>
  <c r="AI26" i="289"/>
  <c r="Q6" i="289"/>
  <c r="R6" i="289" s="1"/>
  <c r="Y6" i="289"/>
  <c r="AG6" i="289"/>
  <c r="AH15" i="289"/>
  <c r="O26" i="289"/>
  <c r="AN26" i="289"/>
  <c r="Q21" i="289"/>
  <c r="Y21" i="289"/>
  <c r="AG21" i="289"/>
  <c r="AO21" i="289"/>
  <c r="Q24" i="289"/>
  <c r="Y24" i="289"/>
  <c r="AG24" i="289"/>
  <c r="AO24" i="289"/>
  <c r="L25" i="289"/>
  <c r="T25" i="289"/>
  <c r="AB25" i="289"/>
  <c r="AJ25" i="289"/>
  <c r="AR25" i="289"/>
  <c r="V13" i="289"/>
  <c r="AD13" i="289"/>
  <c r="AL13" i="289"/>
  <c r="Q14" i="289"/>
  <c r="R14" i="289" s="1"/>
  <c r="Z14" i="289" s="1"/>
  <c r="Y14" i="289"/>
  <c r="AG14" i="289"/>
  <c r="AO14" i="289"/>
  <c r="V16" i="289"/>
  <c r="AD16" i="289"/>
  <c r="AL16" i="289"/>
  <c r="Q17" i="289"/>
  <c r="R17" i="289" s="1"/>
  <c r="Z17" i="289" s="1"/>
  <c r="Y17" i="289"/>
  <c r="AG17" i="289"/>
  <c r="AO17" i="289"/>
  <c r="V19" i="289"/>
  <c r="AD19" i="289"/>
  <c r="AL19" i="289"/>
  <c r="J21" i="289"/>
  <c r="R21" i="289"/>
  <c r="Z21" i="289"/>
  <c r="AH21" i="289"/>
  <c r="AP21" i="289"/>
  <c r="O23" i="289"/>
  <c r="W23" i="289"/>
  <c r="AE23" i="289"/>
  <c r="AM23" i="289"/>
  <c r="J24" i="289"/>
  <c r="R24" i="289"/>
  <c r="Z24" i="289"/>
  <c r="AH24" i="289"/>
  <c r="AP24" i="289"/>
  <c r="M25" i="289"/>
  <c r="U25" i="289"/>
  <c r="AC25" i="289"/>
  <c r="AK25" i="289"/>
  <c r="AS25" i="289"/>
  <c r="P13" i="289"/>
  <c r="X13" i="289"/>
  <c r="AF13" i="289"/>
  <c r="AN13" i="289"/>
  <c r="S14" i="289"/>
  <c r="AA14" i="289"/>
  <c r="AI14" i="289"/>
  <c r="AQ14" i="289"/>
  <c r="P16" i="289"/>
  <c r="X16" i="289"/>
  <c r="AF16" i="289"/>
  <c r="AN16" i="289"/>
  <c r="S17" i="289"/>
  <c r="AA17" i="289"/>
  <c r="AI17" i="289"/>
  <c r="AQ17" i="289"/>
  <c r="P19" i="289"/>
  <c r="X19" i="289"/>
  <c r="AF19" i="289"/>
  <c r="AN19" i="289"/>
  <c r="L21" i="289"/>
  <c r="T21" i="289"/>
  <c r="AB21" i="289"/>
  <c r="AJ21" i="289"/>
  <c r="AR21" i="289"/>
  <c r="Q23" i="289"/>
  <c r="Y23" i="289"/>
  <c r="AG23" i="289"/>
  <c r="AO23" i="289"/>
  <c r="L24" i="289"/>
  <c r="T24" i="289"/>
  <c r="AB24" i="289"/>
  <c r="AJ24" i="289"/>
  <c r="AR24" i="289"/>
  <c r="O25" i="289"/>
  <c r="W25" i="289"/>
  <c r="AE25" i="289"/>
  <c r="AM25" i="289"/>
  <c r="Q13" i="289"/>
  <c r="R13" i="289" s="1"/>
  <c r="Y13" i="289"/>
  <c r="AG13" i="289"/>
  <c r="L14" i="289"/>
  <c r="T14" i="289"/>
  <c r="Q16" i="289"/>
  <c r="R16" i="289" s="1"/>
  <c r="Y16" i="289"/>
  <c r="AG16" i="289"/>
  <c r="L17" i="289"/>
  <c r="T17" i="289"/>
  <c r="AB17" i="289"/>
  <c r="AJ17" i="289"/>
  <c r="Q19" i="289"/>
  <c r="R19" i="289" s="1"/>
  <c r="Y19" i="289"/>
  <c r="AG19" i="289"/>
  <c r="M21" i="289"/>
  <c r="U21" i="289"/>
  <c r="AC21" i="289"/>
  <c r="AK21" i="289"/>
  <c r="J23" i="289"/>
  <c r="R23" i="289"/>
  <c r="Z23" i="289"/>
  <c r="AH23" i="289"/>
  <c r="M24" i="289"/>
  <c r="U24" i="289"/>
  <c r="AC24" i="289"/>
  <c r="AK24" i="289"/>
  <c r="AS24" i="289"/>
  <c r="P25" i="289"/>
  <c r="X25" i="289"/>
  <c r="AF25" i="289"/>
  <c r="AN25" i="289"/>
  <c r="Q25" i="289"/>
  <c r="Y25" i="289"/>
  <c r="AG25" i="289"/>
  <c r="X16" i="288"/>
  <c r="T23" i="288"/>
  <c r="AA25" i="288"/>
  <c r="AO12" i="288"/>
  <c r="Y16" i="288"/>
  <c r="AA23" i="288"/>
  <c r="AI25" i="288"/>
  <c r="AI17" i="288"/>
  <c r="AQ22" i="288"/>
  <c r="AB23" i="288"/>
  <c r="X24" i="288"/>
  <c r="O11" i="288"/>
  <c r="W11" i="288" s="1"/>
  <c r="AE20" i="288"/>
  <c r="AL23" i="288"/>
  <c r="V11" i="288"/>
  <c r="O18" i="288"/>
  <c r="W18" i="288" s="1"/>
  <c r="AN23" i="288"/>
  <c r="AG26" i="288"/>
  <c r="AE11" i="288"/>
  <c r="AR13" i="288"/>
  <c r="L13" i="288" s="1"/>
  <c r="M13" i="288" s="1"/>
  <c r="M23" i="288"/>
  <c r="AQ23" i="288"/>
  <c r="L25" i="288"/>
  <c r="AD7" i="288"/>
  <c r="AS13" i="288"/>
  <c r="AS23" i="288"/>
  <c r="P23" i="288"/>
  <c r="T25" i="288"/>
  <c r="S6" i="288"/>
  <c r="X10" i="288"/>
  <c r="AI11" i="288"/>
  <c r="X14" i="288"/>
  <c r="O20" i="288"/>
  <c r="W20" i="288" s="1"/>
  <c r="AF20" i="288"/>
  <c r="AH21" i="288"/>
  <c r="AC23" i="288"/>
  <c r="AJ25" i="288"/>
  <c r="AC21" i="288"/>
  <c r="AI6" i="288"/>
  <c r="AN10" i="288"/>
  <c r="AL11" i="288"/>
  <c r="AE14" i="288"/>
  <c r="S20" i="288"/>
  <c r="AI20" i="288"/>
  <c r="M21" i="288"/>
  <c r="AI21" i="288"/>
  <c r="AF23" i="288"/>
  <c r="P24" i="288"/>
  <c r="R25" i="288"/>
  <c r="AQ25" i="288"/>
  <c r="AQ11" i="288"/>
  <c r="AN14" i="288"/>
  <c r="AA17" i="288"/>
  <c r="T20" i="288"/>
  <c r="AM21" i="288"/>
  <c r="Q24" i="288"/>
  <c r="S25" i="288"/>
  <c r="AR25" i="288"/>
  <c r="AN20" i="288"/>
  <c r="O21" i="288"/>
  <c r="AS21" i="288"/>
  <c r="X20" i="288"/>
  <c r="AP20" i="288"/>
  <c r="R21" i="288"/>
  <c r="AF24" i="288"/>
  <c r="M23" i="287"/>
  <c r="AQ20" i="288"/>
  <c r="W21" i="288"/>
  <c r="AB25" i="288"/>
  <c r="O26" i="288"/>
  <c r="AL7" i="288"/>
  <c r="Q15" i="288"/>
  <c r="R15" i="288" s="1"/>
  <c r="AJ15" i="288" s="1"/>
  <c r="L20" i="288"/>
  <c r="U20" i="288" s="1"/>
  <c r="AC20" i="288"/>
  <c r="AS20" i="288"/>
  <c r="X21" i="288"/>
  <c r="AD25" i="288"/>
  <c r="AF26" i="288"/>
  <c r="AA6" i="287"/>
  <c r="AI10" i="288"/>
  <c r="S11" i="288"/>
  <c r="AM11" i="288"/>
  <c r="AM14" i="288"/>
  <c r="AN15" i="288"/>
  <c r="Q16" i="288"/>
  <c r="R16" i="288" s="1"/>
  <c r="L17" i="288"/>
  <c r="M17" i="288" s="1"/>
  <c r="AD17" i="288"/>
  <c r="AH20" i="288"/>
  <c r="AR20" i="288"/>
  <c r="P21" i="288"/>
  <c r="AA21" i="288"/>
  <c r="AL21" i="288"/>
  <c r="AP22" i="288"/>
  <c r="S23" i="288"/>
  <c r="AD23" i="288"/>
  <c r="AR23" i="288"/>
  <c r="Y24" i="288"/>
  <c r="AH25" i="288"/>
  <c r="AP26" i="288"/>
  <c r="V6" i="288"/>
  <c r="P10" i="288"/>
  <c r="AQ10" i="288"/>
  <c r="T13" i="288"/>
  <c r="O14" i="288"/>
  <c r="W14" i="288" s="1"/>
  <c r="V18" i="288"/>
  <c r="S21" i="288"/>
  <c r="AD21" i="288"/>
  <c r="AN21" i="288"/>
  <c r="R22" i="288"/>
  <c r="U23" i="288"/>
  <c r="AI23" i="288"/>
  <c r="P26" i="288"/>
  <c r="O12" i="287"/>
  <c r="W12" i="287" s="1"/>
  <c r="AA6" i="288"/>
  <c r="V7" i="288"/>
  <c r="S10" i="288"/>
  <c r="AR10" i="288"/>
  <c r="L10" i="288" s="1"/>
  <c r="AA11" i="288"/>
  <c r="AC13" i="288"/>
  <c r="P14" i="288"/>
  <c r="AF16" i="288"/>
  <c r="S17" i="288"/>
  <c r="AL17" i="288"/>
  <c r="P20" i="288"/>
  <c r="AA20" i="288"/>
  <c r="AK20" i="288"/>
  <c r="J21" i="288"/>
  <c r="U21" i="288"/>
  <c r="AE21" i="288"/>
  <c r="AP21" i="288"/>
  <c r="S22" i="288"/>
  <c r="V23" i="288"/>
  <c r="AJ23" i="288"/>
  <c r="V25" i="288"/>
  <c r="AL25" i="288"/>
  <c r="W26" i="288"/>
  <c r="AD6" i="288"/>
  <c r="Q9" i="288"/>
  <c r="R9" i="288" s="1"/>
  <c r="AJ9" i="288" s="1"/>
  <c r="T10" i="288"/>
  <c r="AD11" i="288"/>
  <c r="AK13" i="288"/>
  <c r="T17" i="288"/>
  <c r="AQ17" i="288"/>
  <c r="AD18" i="288"/>
  <c r="AM20" i="288"/>
  <c r="V21" i="288"/>
  <c r="AF21" i="288"/>
  <c r="AQ21" i="288"/>
  <c r="Z22" i="288"/>
  <c r="L23" i="288"/>
  <c r="X23" i="288"/>
  <c r="AK23" i="288"/>
  <c r="J25" i="288"/>
  <c r="Z25" i="288"/>
  <c r="AP25" i="288"/>
  <c r="Y26" i="288"/>
  <c r="AN9" i="288"/>
  <c r="V17" i="288"/>
  <c r="AR17" i="288"/>
  <c r="AE18" i="288"/>
  <c r="AA22" i="288"/>
  <c r="AL6" i="288"/>
  <c r="AA10" i="288"/>
  <c r="AL18" i="288"/>
  <c r="AH22" i="288"/>
  <c r="Y6" i="287"/>
  <c r="AF13" i="287"/>
  <c r="AQ6" i="288"/>
  <c r="AF10" i="288"/>
  <c r="AF14" i="288"/>
  <c r="AM18" i="288"/>
  <c r="Z21" i="288"/>
  <c r="AK21" i="288"/>
  <c r="J22" i="288"/>
  <c r="AI22" i="288"/>
  <c r="AO26" i="288"/>
  <c r="V12" i="287"/>
  <c r="Q19" i="287"/>
  <c r="T6" i="288"/>
  <c r="AR6" i="288"/>
  <c r="L6" i="288" s="1"/>
  <c r="M6" i="288" s="1"/>
  <c r="O7" i="288"/>
  <c r="W7" i="288" s="1"/>
  <c r="AE7" i="288"/>
  <c r="AM7" i="288"/>
  <c r="AH8" i="288"/>
  <c r="AQ8" i="288"/>
  <c r="AO9" i="288"/>
  <c r="AN12" i="288"/>
  <c r="AF12" i="288"/>
  <c r="X12" i="288"/>
  <c r="P12" i="288"/>
  <c r="AM12" i="288"/>
  <c r="AE12" i="288"/>
  <c r="O12" i="288"/>
  <c r="W12" i="288" s="1"/>
  <c r="AL12" i="288"/>
  <c r="AD12" i="288"/>
  <c r="V12" i="288"/>
  <c r="AS12" i="288"/>
  <c r="AK12" i="288"/>
  <c r="AC12" i="288"/>
  <c r="AR12" i="288"/>
  <c r="L12" i="288" s="1"/>
  <c r="U12" i="288" s="1"/>
  <c r="T12" i="288"/>
  <c r="AQ12" i="288"/>
  <c r="AI12" i="288"/>
  <c r="AA12" i="288"/>
  <c r="S12" i="288"/>
  <c r="AG12" i="288"/>
  <c r="AO15" i="288"/>
  <c r="Y19" i="288"/>
  <c r="AC6" i="288"/>
  <c r="AK6" i="288"/>
  <c r="AS6" i="288"/>
  <c r="P7" i="288"/>
  <c r="X7" i="288"/>
  <c r="AF7" i="288"/>
  <c r="AN7" i="288"/>
  <c r="S8" i="288"/>
  <c r="AA8" i="288"/>
  <c r="AI8" i="288"/>
  <c r="AS8" i="288"/>
  <c r="X9" i="288"/>
  <c r="AH12" i="288"/>
  <c r="P15" i="288"/>
  <c r="Q8" i="288"/>
  <c r="R8" i="288" s="1"/>
  <c r="Z8" i="288" s="1"/>
  <c r="Q7" i="288"/>
  <c r="R7" i="288" s="1"/>
  <c r="Z7" i="288" s="1"/>
  <c r="Y7" i="288"/>
  <c r="AG7" i="288"/>
  <c r="AO7" i="288"/>
  <c r="L8" i="288"/>
  <c r="M8" i="288" s="1"/>
  <c r="T8" i="288"/>
  <c r="AM9" i="288"/>
  <c r="AE9" i="288"/>
  <c r="O9" i="288"/>
  <c r="W9" i="288" s="1"/>
  <c r="AL9" i="288"/>
  <c r="AD9" i="288"/>
  <c r="V9" i="288"/>
  <c r="AR9" i="288"/>
  <c r="L9" i="288" s="1"/>
  <c r="M9" i="288" s="1"/>
  <c r="T9" i="288"/>
  <c r="AQ9" i="288"/>
  <c r="AI9" i="288"/>
  <c r="AA9" i="288"/>
  <c r="S9" i="288"/>
  <c r="AP9" i="288"/>
  <c r="AH9" i="288"/>
  <c r="Y9" i="288"/>
  <c r="AN19" i="288"/>
  <c r="AF19" i="288"/>
  <c r="X19" i="288"/>
  <c r="P19" i="288"/>
  <c r="AM19" i="288"/>
  <c r="AE19" i="288"/>
  <c r="O19" i="288"/>
  <c r="W19" i="288" s="1"/>
  <c r="AL19" i="288"/>
  <c r="AD19" i="288"/>
  <c r="V19" i="288"/>
  <c r="AS19" i="288"/>
  <c r="AK19" i="288"/>
  <c r="AC19" i="288"/>
  <c r="AR19" i="288"/>
  <c r="T19" i="288"/>
  <c r="L19" i="288"/>
  <c r="U19" i="288" s="1"/>
  <c r="AQ19" i="288"/>
  <c r="AI19" i="288"/>
  <c r="AA19" i="288"/>
  <c r="S19" i="288"/>
  <c r="AG19" i="288"/>
  <c r="AR8" i="288"/>
  <c r="AO8" i="288"/>
  <c r="AP8" i="288"/>
  <c r="O6" i="288"/>
  <c r="W6" i="288" s="1"/>
  <c r="AE6" i="288"/>
  <c r="AM6" i="288"/>
  <c r="J7" i="288"/>
  <c r="AH7" i="288"/>
  <c r="AP7" i="288"/>
  <c r="AC8" i="288"/>
  <c r="AK8" i="288"/>
  <c r="AC9" i="288"/>
  <c r="AP12" i="288"/>
  <c r="X15" i="288"/>
  <c r="AH19" i="288"/>
  <c r="P6" i="288"/>
  <c r="X6" i="288"/>
  <c r="AF6" i="288"/>
  <c r="AN6" i="288"/>
  <c r="S7" i="288"/>
  <c r="AA7" i="288"/>
  <c r="AI7" i="288"/>
  <c r="AQ7" i="288"/>
  <c r="V8" i="288"/>
  <c r="AD8" i="288"/>
  <c r="AL8" i="288"/>
  <c r="AF9" i="288"/>
  <c r="Q12" i="288"/>
  <c r="R12" i="288" s="1"/>
  <c r="Z12" i="288" s="1"/>
  <c r="Y15" i="288"/>
  <c r="AM16" i="288"/>
  <c r="AE16" i="288"/>
  <c r="O16" i="288"/>
  <c r="W16" i="288" s="1"/>
  <c r="AL16" i="288"/>
  <c r="AD16" i="288"/>
  <c r="V16" i="288"/>
  <c r="AS16" i="288"/>
  <c r="AK16" i="288"/>
  <c r="AC16" i="288"/>
  <c r="AR16" i="288"/>
  <c r="T16" i="288"/>
  <c r="L16" i="288"/>
  <c r="U16" i="288" s="1"/>
  <c r="AQ16" i="288"/>
  <c r="AI16" i="288"/>
  <c r="AA16" i="288"/>
  <c r="S16" i="288"/>
  <c r="AP16" i="288"/>
  <c r="AH16" i="288"/>
  <c r="AG16" i="288"/>
  <c r="AO19" i="288"/>
  <c r="AM24" i="288"/>
  <c r="AE24" i="288"/>
  <c r="W24" i="288"/>
  <c r="O24" i="288"/>
  <c r="AL24" i="288"/>
  <c r="AD24" i="288"/>
  <c r="V24" i="288"/>
  <c r="AS24" i="288"/>
  <c r="AK24" i="288"/>
  <c r="AC24" i="288"/>
  <c r="U24" i="288"/>
  <c r="M24" i="288"/>
  <c r="AR24" i="288"/>
  <c r="AJ24" i="288"/>
  <c r="AB24" i="288"/>
  <c r="T24" i="288"/>
  <c r="L24" i="288"/>
  <c r="AQ24" i="288"/>
  <c r="AI24" i="288"/>
  <c r="AA24" i="288"/>
  <c r="S24" i="288"/>
  <c r="AP24" i="288"/>
  <c r="AH24" i="288"/>
  <c r="Z24" i="288"/>
  <c r="R24" i="288"/>
  <c r="J24" i="288"/>
  <c r="AG24" i="288"/>
  <c r="Q6" i="288"/>
  <c r="R6" i="288" s="1"/>
  <c r="Y6" i="288"/>
  <c r="AG6" i="288"/>
  <c r="AO6" i="288"/>
  <c r="T7" i="288"/>
  <c r="AR7" i="288"/>
  <c r="L7" i="288" s="1"/>
  <c r="M7" i="288" s="1"/>
  <c r="O8" i="288"/>
  <c r="W8" i="288" s="1"/>
  <c r="AE8" i="288"/>
  <c r="AM8" i="288"/>
  <c r="AG9" i="288"/>
  <c r="AN16" i="288"/>
  <c r="AP19" i="288"/>
  <c r="AN24" i="288"/>
  <c r="Y8" i="288"/>
  <c r="AG8" i="288"/>
  <c r="AH6" i="288"/>
  <c r="AC7" i="288"/>
  <c r="AK7" i="288"/>
  <c r="P8" i="288"/>
  <c r="X8" i="288"/>
  <c r="AF8" i="288"/>
  <c r="AN8" i="288"/>
  <c r="P9" i="288"/>
  <c r="AK9" i="288"/>
  <c r="AM15" i="288"/>
  <c r="AE15" i="288"/>
  <c r="O15" i="288"/>
  <c r="W15" i="288" s="1"/>
  <c r="AL15" i="288"/>
  <c r="AD15" i="288"/>
  <c r="V15" i="288"/>
  <c r="AS15" i="288"/>
  <c r="AK15" i="288"/>
  <c r="AC15" i="288"/>
  <c r="AR15" i="288"/>
  <c r="T15" i="288"/>
  <c r="L15" i="288"/>
  <c r="U15" i="288" s="1"/>
  <c r="AQ15" i="288"/>
  <c r="AI15" i="288"/>
  <c r="AA15" i="288"/>
  <c r="S15" i="288"/>
  <c r="AP15" i="288"/>
  <c r="AH15" i="288"/>
  <c r="AG15" i="288"/>
  <c r="Q19" i="288"/>
  <c r="R19" i="288" s="1"/>
  <c r="AC10" i="288"/>
  <c r="AK10" i="288"/>
  <c r="AS10" i="288"/>
  <c r="P11" i="288"/>
  <c r="X11" i="288"/>
  <c r="AF11" i="288"/>
  <c r="AN11" i="288"/>
  <c r="V13" i="288"/>
  <c r="AD13" i="288"/>
  <c r="AL13" i="288"/>
  <c r="Q14" i="288"/>
  <c r="R14" i="288" s="1"/>
  <c r="Y14" i="288"/>
  <c r="AG14" i="288"/>
  <c r="AO14" i="288"/>
  <c r="AC17" i="288"/>
  <c r="AK17" i="288"/>
  <c r="AS17" i="288"/>
  <c r="P18" i="288"/>
  <c r="X18" i="288"/>
  <c r="AF18" i="288"/>
  <c r="AN18" i="288"/>
  <c r="V20" i="288"/>
  <c r="AD20" i="288"/>
  <c r="AL20" i="288"/>
  <c r="Q21" i="288"/>
  <c r="Y21" i="288"/>
  <c r="AG21" i="288"/>
  <c r="AO21" i="288"/>
  <c r="L22" i="288"/>
  <c r="T22" i="288"/>
  <c r="AB22" i="288"/>
  <c r="AJ22" i="288"/>
  <c r="AR22" i="288"/>
  <c r="O23" i="288"/>
  <c r="W23" i="288"/>
  <c r="AE23" i="288"/>
  <c r="AM23" i="288"/>
  <c r="M25" i="288"/>
  <c r="U25" i="288"/>
  <c r="AC25" i="288"/>
  <c r="AK25" i="288"/>
  <c r="AS25" i="288"/>
  <c r="Q26" i="288"/>
  <c r="Z26" i="288"/>
  <c r="AH26" i="288"/>
  <c r="AQ26" i="288"/>
  <c r="V10" i="288"/>
  <c r="AD10" i="288"/>
  <c r="AL10" i="288"/>
  <c r="Q11" i="288"/>
  <c r="R11" i="288" s="1"/>
  <c r="Y11" i="288"/>
  <c r="AG11" i="288"/>
  <c r="AO11" i="288"/>
  <c r="O13" i="288"/>
  <c r="W13" i="288" s="1"/>
  <c r="AE13" i="288"/>
  <c r="AM13" i="288"/>
  <c r="AH14" i="288"/>
  <c r="AP14" i="288"/>
  <c r="Q18" i="288"/>
  <c r="R18" i="288" s="1"/>
  <c r="Z18" i="288" s="1"/>
  <c r="Y18" i="288"/>
  <c r="AG18" i="288"/>
  <c r="AO18" i="288"/>
  <c r="M22" i="288"/>
  <c r="U22" i="288"/>
  <c r="AC22" i="288"/>
  <c r="AK22" i="288"/>
  <c r="AS22" i="288"/>
  <c r="R26" i="288"/>
  <c r="AA26" i="288"/>
  <c r="AI26" i="288"/>
  <c r="AR26" i="288"/>
  <c r="O10" i="288"/>
  <c r="W10" i="288" s="1"/>
  <c r="AE10" i="288"/>
  <c r="AM10" i="288"/>
  <c r="AH11" i="288"/>
  <c r="AP11" i="288"/>
  <c r="P13" i="288"/>
  <c r="X13" i="288"/>
  <c r="AF13" i="288"/>
  <c r="AN13" i="288"/>
  <c r="S14" i="288"/>
  <c r="AA14" i="288"/>
  <c r="AI14" i="288"/>
  <c r="AQ14" i="288"/>
  <c r="O17" i="288"/>
  <c r="W17" i="288" s="1"/>
  <c r="AE17" i="288"/>
  <c r="AM17" i="288"/>
  <c r="AH18" i="288"/>
  <c r="AP18" i="288"/>
  <c r="V22" i="288"/>
  <c r="AD22" i="288"/>
  <c r="AL22" i="288"/>
  <c r="Q23" i="288"/>
  <c r="Y23" i="288"/>
  <c r="AG23" i="288"/>
  <c r="AO23" i="288"/>
  <c r="O25" i="288"/>
  <c r="W25" i="288"/>
  <c r="AE25" i="288"/>
  <c r="AM25" i="288"/>
  <c r="J26" i="288"/>
  <c r="S26" i="288"/>
  <c r="AB26" i="288"/>
  <c r="AJ26" i="288"/>
  <c r="AS26" i="288"/>
  <c r="Q13" i="288"/>
  <c r="R13" i="288" s="1"/>
  <c r="Z13" i="288" s="1"/>
  <c r="Y13" i="288"/>
  <c r="AG13" i="288"/>
  <c r="AO13" i="288"/>
  <c r="L14" i="288"/>
  <c r="M14" i="288" s="1"/>
  <c r="T14" i="288"/>
  <c r="AR14" i="288"/>
  <c r="P17" i="288"/>
  <c r="X17" i="288"/>
  <c r="AF17" i="288"/>
  <c r="AN17" i="288"/>
  <c r="S18" i="288"/>
  <c r="AA18" i="288"/>
  <c r="AI18" i="288"/>
  <c r="AQ18" i="288"/>
  <c r="Q20" i="288"/>
  <c r="R20" i="288" s="1"/>
  <c r="Y20" i="288"/>
  <c r="AG20" i="288"/>
  <c r="L21" i="288"/>
  <c r="T21" i="288"/>
  <c r="AB21" i="288"/>
  <c r="AJ21" i="288"/>
  <c r="O22" i="288"/>
  <c r="W22" i="288"/>
  <c r="AE22" i="288"/>
  <c r="AM22" i="288"/>
  <c r="J23" i="288"/>
  <c r="R23" i="288"/>
  <c r="Z23" i="288"/>
  <c r="AH23" i="288"/>
  <c r="P25" i="288"/>
  <c r="X25" i="288"/>
  <c r="AF25" i="288"/>
  <c r="AN25" i="288"/>
  <c r="L26" i="288"/>
  <c r="T26" i="288"/>
  <c r="AC26" i="288"/>
  <c r="AK26" i="288"/>
  <c r="Q10" i="288"/>
  <c r="R10" i="288" s="1"/>
  <c r="Z10" i="288" s="1"/>
  <c r="Y10" i="288"/>
  <c r="AG10" i="288"/>
  <c r="AO10" i="288"/>
  <c r="T11" i="288"/>
  <c r="AR11" i="288"/>
  <c r="L11" i="288" s="1"/>
  <c r="AH13" i="288"/>
  <c r="AP13" i="288"/>
  <c r="AC14" i="288"/>
  <c r="AK14" i="288"/>
  <c r="AS14" i="288"/>
  <c r="Q17" i="288"/>
  <c r="R17" i="288" s="1"/>
  <c r="Y17" i="288"/>
  <c r="AG17" i="288"/>
  <c r="AO17" i="288"/>
  <c r="L18" i="288"/>
  <c r="M18" i="288" s="1"/>
  <c r="T18" i="288"/>
  <c r="AR18" i="288"/>
  <c r="P22" i="288"/>
  <c r="X22" i="288"/>
  <c r="AF22" i="288"/>
  <c r="AN22" i="288"/>
  <c r="Q25" i="288"/>
  <c r="Y25" i="288"/>
  <c r="AG25" i="288"/>
  <c r="M26" i="288"/>
  <c r="U26" i="288"/>
  <c r="AD26" i="288"/>
  <c r="AM26" i="288"/>
  <c r="AH10" i="288"/>
  <c r="AC11" i="288"/>
  <c r="AK11" i="288"/>
  <c r="S13" i="288"/>
  <c r="AA13" i="288"/>
  <c r="AI13" i="288"/>
  <c r="V14" i="288"/>
  <c r="AD14" i="288"/>
  <c r="AH17" i="288"/>
  <c r="AC18" i="288"/>
  <c r="AK18" i="288"/>
  <c r="Q22" i="288"/>
  <c r="Y22" i="288"/>
  <c r="AG22" i="288"/>
  <c r="V26" i="288"/>
  <c r="AE26" i="288"/>
  <c r="AC6" i="287"/>
  <c r="O14" i="287"/>
  <c r="W14" i="287" s="1"/>
  <c r="P19" i="287"/>
  <c r="AI6" i="287"/>
  <c r="AC14" i="287"/>
  <c r="W21" i="287"/>
  <c r="AQ6" i="287"/>
  <c r="O11" i="287"/>
  <c r="W11" i="287" s="1"/>
  <c r="AM14" i="287"/>
  <c r="Q16" i="287"/>
  <c r="R16" i="287" s="1"/>
  <c r="P18" i="287"/>
  <c r="AI19" i="287"/>
  <c r="AO16" i="287"/>
  <c r="V18" i="287"/>
  <c r="AO13" i="287"/>
  <c r="AN18" i="287"/>
  <c r="AD11" i="287"/>
  <c r="X12" i="287"/>
  <c r="AR13" i="287"/>
  <c r="L13" i="287" s="1"/>
  <c r="AD18" i="287"/>
  <c r="X19" i="287"/>
  <c r="M21" i="287"/>
  <c r="W24" i="287"/>
  <c r="W26" i="287"/>
  <c r="AF11" i="287"/>
  <c r="AM12" i="287"/>
  <c r="AM18" i="287"/>
  <c r="Y19" i="287"/>
  <c r="AM24" i="287"/>
  <c r="AO26" i="287"/>
  <c r="AO12" i="287"/>
  <c r="AE21" i="287"/>
  <c r="AJ21" i="287"/>
  <c r="T12" i="287"/>
  <c r="L24" i="287"/>
  <c r="J26" i="287"/>
  <c r="AL6" i="287"/>
  <c r="AS11" i="287"/>
  <c r="AF12" i="287"/>
  <c r="P13" i="287"/>
  <c r="T16" i="287"/>
  <c r="AO19" i="287"/>
  <c r="P21" i="287"/>
  <c r="AQ21" i="287"/>
  <c r="M24" i="287"/>
  <c r="X24" i="287"/>
  <c r="AQ24" i="287"/>
  <c r="O6" i="287"/>
  <c r="W6" i="287" s="1"/>
  <c r="AM6" i="287"/>
  <c r="AI12" i="287"/>
  <c r="S13" i="287"/>
  <c r="AD15" i="287"/>
  <c r="AA16" i="287"/>
  <c r="T21" i="287"/>
  <c r="AR21" i="287"/>
  <c r="R23" i="287"/>
  <c r="AB24" i="287"/>
  <c r="AR24" i="287"/>
  <c r="S26" i="287"/>
  <c r="Q6" i="287"/>
  <c r="R6" i="287" s="1"/>
  <c r="Z6" i="287" s="1"/>
  <c r="AO6" i="287"/>
  <c r="X13" i="287"/>
  <c r="AH15" i="287"/>
  <c r="AF16" i="287"/>
  <c r="V21" i="287"/>
  <c r="AC23" i="287"/>
  <c r="O24" i="287"/>
  <c r="AC24" i="287"/>
  <c r="AS24" i="287"/>
  <c r="T26" i="287"/>
  <c r="AH8" i="287"/>
  <c r="AH23" i="287"/>
  <c r="P24" i="287"/>
  <c r="AE24" i="287"/>
  <c r="AG13" i="287"/>
  <c r="AP16" i="287"/>
  <c r="Z21" i="287"/>
  <c r="AK23" i="287"/>
  <c r="S24" i="287"/>
  <c r="AF24" i="287"/>
  <c r="AM26" i="287"/>
  <c r="U24" i="287"/>
  <c r="AI24" i="287"/>
  <c r="AD6" i="287"/>
  <c r="AP13" i="287"/>
  <c r="AH21" i="287"/>
  <c r="V24" i="287"/>
  <c r="AJ24" i="287"/>
  <c r="AK9" i="287"/>
  <c r="AI17" i="287"/>
  <c r="S6" i="287"/>
  <c r="AE6" i="287"/>
  <c r="AR6" i="287"/>
  <c r="L6" i="287" s="1"/>
  <c r="AI8" i="287"/>
  <c r="AA9" i="287"/>
  <c r="AL9" i="287"/>
  <c r="Q11" i="287"/>
  <c r="R11" i="287" s="1"/>
  <c r="AJ11" i="287" s="1"/>
  <c r="AG11" i="287"/>
  <c r="L12" i="287"/>
  <c r="M12" i="287" s="1"/>
  <c r="AD12" i="287"/>
  <c r="AP12" i="287"/>
  <c r="P14" i="287"/>
  <c r="AD14" i="287"/>
  <c r="AN14" i="287"/>
  <c r="O15" i="287"/>
  <c r="W15" i="287" s="1"/>
  <c r="AO15" i="287"/>
  <c r="X17" i="287"/>
  <c r="AK17" i="287"/>
  <c r="AE18" i="287"/>
  <c r="R21" i="287"/>
  <c r="AA21" i="287"/>
  <c r="AK21" i="287"/>
  <c r="J22" i="287"/>
  <c r="X22" i="287"/>
  <c r="AN22" i="287"/>
  <c r="S23" i="287"/>
  <c r="AP23" i="287"/>
  <c r="AA24" i="287"/>
  <c r="AK24" i="287"/>
  <c r="L26" i="287"/>
  <c r="AC26" i="287"/>
  <c r="V17" i="287"/>
  <c r="T6" i="287"/>
  <c r="AG6" i="287"/>
  <c r="AS6" i="287"/>
  <c r="O8" i="287"/>
  <c r="W8" i="287" s="1"/>
  <c r="AK8" i="287"/>
  <c r="AC9" i="287"/>
  <c r="AM9" i="287"/>
  <c r="X10" i="287"/>
  <c r="V11" i="287"/>
  <c r="AM11" i="287"/>
  <c r="AE12" i="287"/>
  <c r="AR12" i="287"/>
  <c r="T13" i="287"/>
  <c r="AQ13" i="287"/>
  <c r="S14" i="287"/>
  <c r="AE14" i="287"/>
  <c r="AP14" i="287"/>
  <c r="P15" i="287"/>
  <c r="AP15" i="287"/>
  <c r="L17" i="287"/>
  <c r="M17" i="287" s="1"/>
  <c r="AA17" i="287"/>
  <c r="AL17" i="287"/>
  <c r="AF18" i="287"/>
  <c r="AF19" i="287"/>
  <c r="L20" i="287"/>
  <c r="J21" i="287"/>
  <c r="S21" i="287"/>
  <c r="AB21" i="287"/>
  <c r="AL21" i="287"/>
  <c r="Z22" i="287"/>
  <c r="AP22" i="287"/>
  <c r="U23" i="287"/>
  <c r="AQ23" i="287"/>
  <c r="AL24" i="287"/>
  <c r="M26" i="287"/>
  <c r="AD26" i="287"/>
  <c r="S8" i="287"/>
  <c r="AM8" i="287"/>
  <c r="O9" i="287"/>
  <c r="W9" i="287" s="1"/>
  <c r="AD9" i="287"/>
  <c r="AN9" i="287"/>
  <c r="AG10" i="287"/>
  <c r="AN11" i="287"/>
  <c r="T14" i="287"/>
  <c r="AF14" i="287"/>
  <c r="AQ14" i="287"/>
  <c r="Q15" i="287"/>
  <c r="R15" i="287" s="1"/>
  <c r="AJ15" i="287" s="1"/>
  <c r="AC17" i="287"/>
  <c r="AM17" i="287"/>
  <c r="AH18" i="287"/>
  <c r="AC21" i="287"/>
  <c r="AM21" i="287"/>
  <c r="AD22" i="287"/>
  <c r="Z23" i="287"/>
  <c r="AS23" i="287"/>
  <c r="S25" i="287"/>
  <c r="AF26" i="287"/>
  <c r="AS17" i="287"/>
  <c r="AM22" i="287"/>
  <c r="V6" i="287"/>
  <c r="AK6" i="287"/>
  <c r="T8" i="287"/>
  <c r="AP8" i="287"/>
  <c r="P9" i="287"/>
  <c r="AE9" i="287"/>
  <c r="AO9" i="287"/>
  <c r="AP10" i="287"/>
  <c r="X11" i="287"/>
  <c r="AO11" i="287"/>
  <c r="Q12" i="287"/>
  <c r="R12" i="287" s="1"/>
  <c r="Z12" i="287" s="1"/>
  <c r="AG12" i="287"/>
  <c r="AC13" i="287"/>
  <c r="V14" i="287"/>
  <c r="AH14" i="287"/>
  <c r="AR14" i="287"/>
  <c r="L14" i="287" s="1"/>
  <c r="M14" i="287" s="1"/>
  <c r="AH16" i="287"/>
  <c r="O17" i="287"/>
  <c r="W17" i="287" s="1"/>
  <c r="AD17" i="287"/>
  <c r="AN17" i="287"/>
  <c r="O18" i="287"/>
  <c r="W18" i="287" s="1"/>
  <c r="AL18" i="287"/>
  <c r="AN19" i="287"/>
  <c r="R20" i="287"/>
  <c r="L21" i="287"/>
  <c r="U21" i="287"/>
  <c r="AD21" i="287"/>
  <c r="AP21" i="287"/>
  <c r="O22" i="287"/>
  <c r="AE22" i="287"/>
  <c r="J23" i="287"/>
  <c r="AA23" i="287"/>
  <c r="T24" i="287"/>
  <c r="AD24" i="287"/>
  <c r="AN24" i="287"/>
  <c r="AA25" i="287"/>
  <c r="O26" i="287"/>
  <c r="AK26" i="287"/>
  <c r="Y9" i="287"/>
  <c r="W22" i="287"/>
  <c r="AA8" i="287"/>
  <c r="AQ8" i="287"/>
  <c r="S9" i="287"/>
  <c r="AF9" i="287"/>
  <c r="AP9" i="287"/>
  <c r="AA11" i="287"/>
  <c r="AQ11" i="287"/>
  <c r="AI14" i="287"/>
  <c r="AS14" i="287"/>
  <c r="P17" i="287"/>
  <c r="AE17" i="287"/>
  <c r="AP17" i="287"/>
  <c r="AB20" i="287"/>
  <c r="P22" i="287"/>
  <c r="AF22" i="287"/>
  <c r="AI25" i="287"/>
  <c r="AO20" i="287"/>
  <c r="AC8" i="287"/>
  <c r="AR8" i="287"/>
  <c r="L8" i="287" s="1"/>
  <c r="V9" i="287"/>
  <c r="AG9" i="287"/>
  <c r="AQ9" i="287"/>
  <c r="X14" i="287"/>
  <c r="AK14" i="287"/>
  <c r="AE15" i="287"/>
  <c r="S17" i="287"/>
  <c r="AF17" i="287"/>
  <c r="AQ17" i="287"/>
  <c r="AG20" i="287"/>
  <c r="R22" i="287"/>
  <c r="AH22" i="287"/>
  <c r="AQ25" i="287"/>
  <c r="AE8" i="287"/>
  <c r="AS8" i="287"/>
  <c r="X9" i="287"/>
  <c r="AE11" i="287"/>
  <c r="AN12" i="287"/>
  <c r="AH13" i="287"/>
  <c r="AA14" i="287"/>
  <c r="AL14" i="287"/>
  <c r="P16" i="287"/>
  <c r="T17" i="287"/>
  <c r="AH17" i="287"/>
  <c r="AR17" i="287"/>
  <c r="X18" i="287"/>
  <c r="AP18" i="287"/>
  <c r="S19" i="287"/>
  <c r="AH20" i="287"/>
  <c r="O21" i="287"/>
  <c r="X21" i="287"/>
  <c r="AI21" i="287"/>
  <c r="AS21" i="287"/>
  <c r="V22" i="287"/>
  <c r="AL22" i="287"/>
  <c r="AI23" i="287"/>
  <c r="U26" i="287"/>
  <c r="Z16" i="287"/>
  <c r="AB16" i="287"/>
  <c r="M11" i="287"/>
  <c r="U11" i="287"/>
  <c r="AO7" i="287"/>
  <c r="J7" i="287"/>
  <c r="AH7" i="287"/>
  <c r="AP7" i="287"/>
  <c r="P10" i="287"/>
  <c r="Y10" i="287"/>
  <c r="AH10" i="287"/>
  <c r="AQ10" i="287"/>
  <c r="AG7" i="287"/>
  <c r="P6" i="287"/>
  <c r="X6" i="287"/>
  <c r="AF6" i="287"/>
  <c r="AN6" i="287"/>
  <c r="S7" i="287"/>
  <c r="AA7" i="287"/>
  <c r="AI7" i="287"/>
  <c r="AQ7" i="287"/>
  <c r="V8" i="287"/>
  <c r="AD8" i="287"/>
  <c r="AL8" i="287"/>
  <c r="AR9" i="287"/>
  <c r="L9" i="287" s="1"/>
  <c r="T9" i="287"/>
  <c r="Q9" i="287"/>
  <c r="R9" i="287" s="1"/>
  <c r="Z9" i="287" s="1"/>
  <c r="AI9" i="287"/>
  <c r="AS9" i="287"/>
  <c r="Q10" i="287"/>
  <c r="R10" i="287" s="1"/>
  <c r="AI10" i="287"/>
  <c r="P11" i="287"/>
  <c r="Y11" i="287"/>
  <c r="AI11" i="287"/>
  <c r="P12" i="287"/>
  <c r="Y12" i="287"/>
  <c r="AH12" i="287"/>
  <c r="Y13" i="287"/>
  <c r="AI13" i="287"/>
  <c r="AS13" i="287"/>
  <c r="AS15" i="287"/>
  <c r="AK15" i="287"/>
  <c r="AC15" i="287"/>
  <c r="AR15" i="287"/>
  <c r="T15" i="287"/>
  <c r="L15" i="287"/>
  <c r="U15" i="287" s="1"/>
  <c r="AQ15" i="287"/>
  <c r="AI15" i="287"/>
  <c r="AA15" i="287"/>
  <c r="S15" i="287"/>
  <c r="V15" i="287"/>
  <c r="AG15" i="287"/>
  <c r="AQ16" i="287"/>
  <c r="AI16" i="287"/>
  <c r="AM16" i="287"/>
  <c r="AE16" i="287"/>
  <c r="O16" i="287"/>
  <c r="W16" i="287" s="1"/>
  <c r="AL16" i="287"/>
  <c r="AD16" i="287"/>
  <c r="V16" i="287"/>
  <c r="AS16" i="287"/>
  <c r="AK16" i="287"/>
  <c r="AC16" i="287"/>
  <c r="S16" i="287"/>
  <c r="AG16" i="287"/>
  <c r="U17" i="287"/>
  <c r="Q20" i="287"/>
  <c r="AJ20" i="287"/>
  <c r="T7" i="287"/>
  <c r="AR7" i="287"/>
  <c r="L7" i="287" s="1"/>
  <c r="AM10" i="287"/>
  <c r="AE10" i="287"/>
  <c r="O10" i="287"/>
  <c r="W10" i="287" s="1"/>
  <c r="AA10" i="287"/>
  <c r="AS10" i="287"/>
  <c r="Q7" i="287"/>
  <c r="R7" i="287" s="1"/>
  <c r="Z7" i="287" s="1"/>
  <c r="AH6" i="287"/>
  <c r="AC7" i="287"/>
  <c r="AK7" i="287"/>
  <c r="AS7" i="287"/>
  <c r="P8" i="287"/>
  <c r="X8" i="287"/>
  <c r="AF8" i="287"/>
  <c r="AN8" i="287"/>
  <c r="S10" i="287"/>
  <c r="AK10" i="287"/>
  <c r="AP11" i="287"/>
  <c r="AH11" i="287"/>
  <c r="S11" i="287"/>
  <c r="AK11" i="287"/>
  <c r="AS12" i="287"/>
  <c r="AK12" i="287"/>
  <c r="AC12" i="287"/>
  <c r="AA12" i="287"/>
  <c r="Q13" i="287"/>
  <c r="R13" i="287" s="1"/>
  <c r="AB13" i="287" s="1"/>
  <c r="AA13" i="287"/>
  <c r="X15" i="287"/>
  <c r="AL15" i="287"/>
  <c r="X16" i="287"/>
  <c r="AJ16" i="287"/>
  <c r="AP19" i="287"/>
  <c r="AH19" i="287"/>
  <c r="Z19" i="287"/>
  <c r="R19" i="287"/>
  <c r="J19" i="287"/>
  <c r="AM19" i="287"/>
  <c r="AE19" i="287"/>
  <c r="W19" i="287"/>
  <c r="O19" i="287"/>
  <c r="AL19" i="287"/>
  <c r="AD19" i="287"/>
  <c r="V19" i="287"/>
  <c r="AS19" i="287"/>
  <c r="AK19" i="287"/>
  <c r="AC19" i="287"/>
  <c r="U19" i="287"/>
  <c r="M19" i="287"/>
  <c r="AR19" i="287"/>
  <c r="AJ19" i="287"/>
  <c r="AB19" i="287"/>
  <c r="T19" i="287"/>
  <c r="L19" i="287"/>
  <c r="AA19" i="287"/>
  <c r="T20" i="287"/>
  <c r="Y7" i="287"/>
  <c r="V7" i="287"/>
  <c r="AD7" i="287"/>
  <c r="AL7" i="287"/>
  <c r="Q8" i="287"/>
  <c r="R8" i="287" s="1"/>
  <c r="Y8" i="287"/>
  <c r="AG8" i="287"/>
  <c r="T10" i="287"/>
  <c r="AC10" i="287"/>
  <c r="AL10" i="287"/>
  <c r="T11" i="287"/>
  <c r="AC11" i="287"/>
  <c r="AL11" i="287"/>
  <c r="S12" i="287"/>
  <c r="AL12" i="287"/>
  <c r="AM13" i="287"/>
  <c r="AE13" i="287"/>
  <c r="O13" i="287"/>
  <c r="W13" i="287" s="1"/>
  <c r="AL13" i="287"/>
  <c r="AD13" i="287"/>
  <c r="V13" i="287"/>
  <c r="AN13" i="287"/>
  <c r="Y15" i="287"/>
  <c r="AM15" i="287"/>
  <c r="L16" i="287"/>
  <c r="U16" i="287" s="1"/>
  <c r="Y16" i="287"/>
  <c r="AN16" i="287"/>
  <c r="AQ20" i="287"/>
  <c r="AI20" i="287"/>
  <c r="AA20" i="287"/>
  <c r="S20" i="287"/>
  <c r="AN20" i="287"/>
  <c r="AF20" i="287"/>
  <c r="X20" i="287"/>
  <c r="P20" i="287"/>
  <c r="AM20" i="287"/>
  <c r="AE20" i="287"/>
  <c r="W20" i="287"/>
  <c r="O20" i="287"/>
  <c r="AL20" i="287"/>
  <c r="AD20" i="287"/>
  <c r="V20" i="287"/>
  <c r="AS20" i="287"/>
  <c r="AK20" i="287"/>
  <c r="AC20" i="287"/>
  <c r="U20" i="287"/>
  <c r="M20" i="287"/>
  <c r="Y20" i="287"/>
  <c r="AR20" i="287"/>
  <c r="O7" i="287"/>
  <c r="W7" i="287" s="1"/>
  <c r="AE7" i="287"/>
  <c r="AM7" i="287"/>
  <c r="L10" i="287"/>
  <c r="U10" i="287" s="1"/>
  <c r="AD10" i="287"/>
  <c r="AN10" i="287"/>
  <c r="AN15" i="287"/>
  <c r="AG19" i="287"/>
  <c r="J20" i="287"/>
  <c r="Z20" i="287"/>
  <c r="P7" i="287"/>
  <c r="X7" i="287"/>
  <c r="AF7" i="287"/>
  <c r="V10" i="287"/>
  <c r="AF10" i="287"/>
  <c r="AO10" i="287"/>
  <c r="S18" i="287"/>
  <c r="AA18" i="287"/>
  <c r="AI18" i="287"/>
  <c r="AQ18" i="287"/>
  <c r="AF21" i="287"/>
  <c r="AN21" i="287"/>
  <c r="S22" i="287"/>
  <c r="AA22" i="287"/>
  <c r="AI22" i="287"/>
  <c r="AQ22" i="287"/>
  <c r="V23" i="287"/>
  <c r="AD23" i="287"/>
  <c r="AL23" i="287"/>
  <c r="Q24" i="287"/>
  <c r="Y24" i="287"/>
  <c r="AG24" i="287"/>
  <c r="AO24" i="287"/>
  <c r="L25" i="287"/>
  <c r="T25" i="287"/>
  <c r="AB25" i="287"/>
  <c r="AJ25" i="287"/>
  <c r="AR25" i="287"/>
  <c r="P26" i="287"/>
  <c r="Y26" i="287"/>
  <c r="AG26" i="287"/>
  <c r="AP26" i="287"/>
  <c r="Q14" i="287"/>
  <c r="R14" i="287" s="1"/>
  <c r="Y14" i="287"/>
  <c r="AG14" i="287"/>
  <c r="Q17" i="287"/>
  <c r="R17" i="287" s="1"/>
  <c r="Y17" i="287"/>
  <c r="AG17" i="287"/>
  <c r="L18" i="287"/>
  <c r="M18" i="287" s="1"/>
  <c r="T18" i="287"/>
  <c r="AJ18" i="287"/>
  <c r="AR18" i="287"/>
  <c r="Q21" i="287"/>
  <c r="Y21" i="287"/>
  <c r="AG21" i="287"/>
  <c r="L22" i="287"/>
  <c r="T22" i="287"/>
  <c r="AB22" i="287"/>
  <c r="AJ22" i="287"/>
  <c r="AR22" i="287"/>
  <c r="O23" i="287"/>
  <c r="W23" i="287"/>
  <c r="AE23" i="287"/>
  <c r="AM23" i="287"/>
  <c r="J24" i="287"/>
  <c r="R24" i="287"/>
  <c r="Z24" i="287"/>
  <c r="AH24" i="287"/>
  <c r="M25" i="287"/>
  <c r="U25" i="287"/>
  <c r="AC25" i="287"/>
  <c r="AK25" i="287"/>
  <c r="AS25" i="287"/>
  <c r="Q26" i="287"/>
  <c r="Z26" i="287"/>
  <c r="AH26" i="287"/>
  <c r="AQ26" i="287"/>
  <c r="AC18" i="287"/>
  <c r="AK18" i="287"/>
  <c r="AS18" i="287"/>
  <c r="M22" i="287"/>
  <c r="U22" i="287"/>
  <c r="AC22" i="287"/>
  <c r="AK22" i="287"/>
  <c r="AS22" i="287"/>
  <c r="P23" i="287"/>
  <c r="X23" i="287"/>
  <c r="AF23" i="287"/>
  <c r="AN23" i="287"/>
  <c r="V25" i="287"/>
  <c r="AD25" i="287"/>
  <c r="AL25" i="287"/>
  <c r="R26" i="287"/>
  <c r="AA26" i="287"/>
  <c r="AI26" i="287"/>
  <c r="AR26" i="287"/>
  <c r="Q23" i="287"/>
  <c r="Y23" i="287"/>
  <c r="AG23" i="287"/>
  <c r="AO23" i="287"/>
  <c r="O25" i="287"/>
  <c r="W25" i="287"/>
  <c r="AE25" i="287"/>
  <c r="AM25" i="287"/>
  <c r="AB26" i="287"/>
  <c r="AJ26" i="287"/>
  <c r="AS26" i="287"/>
  <c r="P25" i="287"/>
  <c r="X25" i="287"/>
  <c r="AF25" i="287"/>
  <c r="AN25" i="287"/>
  <c r="Q25" i="287"/>
  <c r="Y25" i="287"/>
  <c r="AG25" i="287"/>
  <c r="AO25" i="287"/>
  <c r="Q18" i="287"/>
  <c r="R18" i="287" s="1"/>
  <c r="Z18" i="287" s="1"/>
  <c r="Y18" i="287"/>
  <c r="AG18" i="287"/>
  <c r="Q22" i="287"/>
  <c r="Y22" i="287"/>
  <c r="AG22" i="287"/>
  <c r="L23" i="287"/>
  <c r="T23" i="287"/>
  <c r="AB23" i="287"/>
  <c r="AJ23" i="287"/>
  <c r="J25" i="287"/>
  <c r="R25" i="287"/>
  <c r="Z25" i="287"/>
  <c r="AH25" i="287"/>
  <c r="V26" i="287"/>
  <c r="AE26" i="287"/>
  <c r="AE20" i="286"/>
  <c r="O26" i="286"/>
  <c r="AF14" i="286"/>
  <c r="M24" i="286"/>
  <c r="AO26" i="286"/>
  <c r="V21" i="286"/>
  <c r="AC21" i="286"/>
  <c r="AE21" i="286"/>
  <c r="X14" i="286"/>
  <c r="AA24" i="286"/>
  <c r="AN14" i="286"/>
  <c r="L21" i="286"/>
  <c r="M21" i="286" s="1"/>
  <c r="AI21" i="286"/>
  <c r="P16" i="286"/>
  <c r="AM21" i="286"/>
  <c r="AA6" i="286"/>
  <c r="V16" i="286"/>
  <c r="AD17" i="286"/>
  <c r="P21" i="286"/>
  <c r="AQ21" i="286"/>
  <c r="R25" i="286"/>
  <c r="AK6" i="286"/>
  <c r="AC16" i="286"/>
  <c r="T21" i="286"/>
  <c r="AI25" i="286"/>
  <c r="T15" i="286"/>
  <c r="AF16" i="286"/>
  <c r="P15" i="285"/>
  <c r="P17" i="285"/>
  <c r="AC9" i="286"/>
  <c r="Q14" i="286"/>
  <c r="R14" i="286" s="1"/>
  <c r="AK16" i="286"/>
  <c r="AN16" i="286"/>
  <c r="AD6" i="286"/>
  <c r="AF10" i="286"/>
  <c r="AC13" i="286"/>
  <c r="AD14" i="286"/>
  <c r="Q15" i="286"/>
  <c r="R15" i="286" s="1"/>
  <c r="AB15" i="286" s="1"/>
  <c r="S16" i="286"/>
  <c r="AL16" i="286"/>
  <c r="AG17" i="286"/>
  <c r="AP20" i="286"/>
  <c r="O21" i="286"/>
  <c r="W21" i="286" s="1"/>
  <c r="AN21" i="286"/>
  <c r="AN22" i="286"/>
  <c r="X24" i="286"/>
  <c r="AD25" i="286"/>
  <c r="AI10" i="286"/>
  <c r="AN13" i="286"/>
  <c r="AQ20" i="286"/>
  <c r="AL6" i="286"/>
  <c r="O10" i="286"/>
  <c r="W10" i="286" s="1"/>
  <c r="AK10" i="286"/>
  <c r="AI14" i="286"/>
  <c r="AG15" i="286"/>
  <c r="X16" i="286"/>
  <c r="AQ16" i="286"/>
  <c r="S21" i="286"/>
  <c r="AD21" i="286"/>
  <c r="AR21" i="286"/>
  <c r="AM24" i="286"/>
  <c r="AL25" i="286"/>
  <c r="AS6" i="286"/>
  <c r="P10" i="286"/>
  <c r="AM10" i="286"/>
  <c r="AD10" i="286"/>
  <c r="T10" i="286"/>
  <c r="AN10" i="286"/>
  <c r="AP14" i="286"/>
  <c r="AD16" i="286"/>
  <c r="S18" i="286"/>
  <c r="AH21" i="286"/>
  <c r="J25" i="286"/>
  <c r="X10" i="286"/>
  <c r="AQ10" i="286"/>
  <c r="AR18" i="286"/>
  <c r="L18" i="286" s="1"/>
  <c r="U18" i="286" s="1"/>
  <c r="V6" i="286"/>
  <c r="AO9" i="286"/>
  <c r="AC10" i="286"/>
  <c r="AS10" i="286"/>
  <c r="AI16" i="286"/>
  <c r="Q17" i="286"/>
  <c r="R17" i="286" s="1"/>
  <c r="Z17" i="286" s="1"/>
  <c r="X21" i="286"/>
  <c r="AL21" i="286"/>
  <c r="O22" i="286"/>
  <c r="W22" i="286" s="1"/>
  <c r="AF26" i="286"/>
  <c r="V12" i="286"/>
  <c r="AK12" i="286"/>
  <c r="AC23" i="286"/>
  <c r="AN23" i="286"/>
  <c r="AC6" i="286"/>
  <c r="AN7" i="286"/>
  <c r="O9" i="286"/>
  <c r="W9" i="286" s="1"/>
  <c r="AE9" i="286"/>
  <c r="AP9" i="286"/>
  <c r="S10" i="286"/>
  <c r="AE10" i="286"/>
  <c r="AP10" i="286"/>
  <c r="X12" i="286"/>
  <c r="AL12" i="286"/>
  <c r="AD13" i="286"/>
  <c r="AQ13" i="286"/>
  <c r="S14" i="286"/>
  <c r="AO14" i="286"/>
  <c r="AC15" i="286"/>
  <c r="O16" i="286"/>
  <c r="W16" i="286" s="1"/>
  <c r="AE16" i="286"/>
  <c r="AS16" i="286"/>
  <c r="AP17" i="286"/>
  <c r="AE19" i="286"/>
  <c r="Q20" i="286"/>
  <c r="R20" i="286" s="1"/>
  <c r="AA21" i="286"/>
  <c r="AS21" i="286"/>
  <c r="J23" i="286"/>
  <c r="T23" i="286"/>
  <c r="AD23" i="286"/>
  <c r="AP23" i="286"/>
  <c r="O24" i="286"/>
  <c r="AC24" i="286"/>
  <c r="AN24" i="286"/>
  <c r="S25" i="286"/>
  <c r="AP25" i="286"/>
  <c r="P9" i="286"/>
  <c r="AF9" i="286"/>
  <c r="AQ9" i="286"/>
  <c r="AA12" i="286"/>
  <c r="AN12" i="286"/>
  <c r="O13" i="286"/>
  <c r="W13" i="286" s="1"/>
  <c r="AE13" i="286"/>
  <c r="AS13" i="286"/>
  <c r="AF19" i="286"/>
  <c r="AK21" i="286"/>
  <c r="U23" i="286"/>
  <c r="AF23" i="286"/>
  <c r="AQ23" i="286"/>
  <c r="P24" i="286"/>
  <c r="AD24" i="286"/>
  <c r="AQ24" i="286"/>
  <c r="V25" i="286"/>
  <c r="AQ25" i="286"/>
  <c r="AI6" i="286"/>
  <c r="P7" i="286"/>
  <c r="S9" i="286"/>
  <c r="AG9" i="286"/>
  <c r="V10" i="286"/>
  <c r="AH10" i="286"/>
  <c r="AR10" i="286"/>
  <c r="L10" i="286" s="1"/>
  <c r="M10" i="286" s="1"/>
  <c r="AC12" i="286"/>
  <c r="AP12" i="286"/>
  <c r="P13" i="286"/>
  <c r="AF13" i="286"/>
  <c r="AA14" i="286"/>
  <c r="AQ14" i="286"/>
  <c r="AQ15" i="286"/>
  <c r="L23" i="286"/>
  <c r="V23" i="286"/>
  <c r="AH23" i="286"/>
  <c r="AR23" i="286"/>
  <c r="S24" i="286"/>
  <c r="AE24" i="286"/>
  <c r="AS24" i="286"/>
  <c r="Z25" i="286"/>
  <c r="V7" i="286"/>
  <c r="T9" i="286"/>
  <c r="AH9" i="286"/>
  <c r="P12" i="286"/>
  <c r="AD12" i="286"/>
  <c r="AQ12" i="286"/>
  <c r="S13" i="286"/>
  <c r="AI13" i="286"/>
  <c r="AS15" i="286"/>
  <c r="P19" i="286"/>
  <c r="AO19" i="286"/>
  <c r="M23" i="286"/>
  <c r="X23" i="286"/>
  <c r="AI23" i="286"/>
  <c r="AS23" i="286"/>
  <c r="U24" i="286"/>
  <c r="AF24" i="286"/>
  <c r="AA25" i="286"/>
  <c r="X7" i="286"/>
  <c r="AK9" i="286"/>
  <c r="S12" i="286"/>
  <c r="AF12" i="286"/>
  <c r="AR12" i="286"/>
  <c r="L12" i="286" s="1"/>
  <c r="M12" i="286" s="1"/>
  <c r="V13" i="286"/>
  <c r="AK13" i="286"/>
  <c r="Q19" i="286"/>
  <c r="R19" i="286" s="1"/>
  <c r="Z19" i="286" s="1"/>
  <c r="AR19" i="286"/>
  <c r="L19" i="286" s="1"/>
  <c r="Z23" i="286"/>
  <c r="AJ23" i="286"/>
  <c r="V24" i="286"/>
  <c r="AI24" i="286"/>
  <c r="AL7" i="286"/>
  <c r="AD19" i="286"/>
  <c r="S23" i="286"/>
  <c r="Z19" i="285"/>
  <c r="P24" i="285"/>
  <c r="S6" i="286"/>
  <c r="AQ6" i="286"/>
  <c r="AD7" i="286"/>
  <c r="X9" i="286"/>
  <c r="AM9" i="286"/>
  <c r="AA10" i="286"/>
  <c r="AL10" i="286"/>
  <c r="T12" i="286"/>
  <c r="AH12" i="286"/>
  <c r="AS12" i="286"/>
  <c r="X13" i="286"/>
  <c r="AL13" i="286"/>
  <c r="P14" i="286"/>
  <c r="AA16" i="286"/>
  <c r="AM16" i="286"/>
  <c r="S17" i="286"/>
  <c r="AD18" i="286"/>
  <c r="T19" i="286"/>
  <c r="AF21" i="286"/>
  <c r="AP21" i="286"/>
  <c r="P23" i="286"/>
  <c r="AA23" i="286"/>
  <c r="AK23" i="286"/>
  <c r="W24" i="286"/>
  <c r="AK24" i="286"/>
  <c r="AH25" i="286"/>
  <c r="W26" i="286"/>
  <c r="AF7" i="286"/>
  <c r="Y9" i="286"/>
  <c r="AI12" i="286"/>
  <c r="AA13" i="286"/>
  <c r="AM13" i="286"/>
  <c r="R23" i="286"/>
  <c r="AB23" i="286"/>
  <c r="AL23" i="286"/>
  <c r="AL24" i="286"/>
  <c r="Q8" i="286"/>
  <c r="R8" i="286" s="1"/>
  <c r="Z8" i="286" s="1"/>
  <c r="Y8" i="286"/>
  <c r="AG8" i="286"/>
  <c r="AO8" i="286"/>
  <c r="AR11" i="286"/>
  <c r="L11" i="286" s="1"/>
  <c r="T11" i="286"/>
  <c r="AA11" i="286"/>
  <c r="AK11" i="286"/>
  <c r="T6" i="286"/>
  <c r="AR6" i="286"/>
  <c r="L6" i="286" s="1"/>
  <c r="O7" i="286"/>
  <c r="W7" i="286" s="1"/>
  <c r="AE7" i="286"/>
  <c r="AM7" i="286"/>
  <c r="AH8" i="286"/>
  <c r="AP8" i="286"/>
  <c r="S11" i="286"/>
  <c r="AC11" i="286"/>
  <c r="AL11" i="286"/>
  <c r="S15" i="286"/>
  <c r="AD15" i="286"/>
  <c r="AF17" i="286"/>
  <c r="T18" i="286"/>
  <c r="AG18" i="286"/>
  <c r="AN20" i="286"/>
  <c r="AF20" i="286"/>
  <c r="X20" i="286"/>
  <c r="P20" i="286"/>
  <c r="AL20" i="286"/>
  <c r="AD20" i="286"/>
  <c r="V20" i="286"/>
  <c r="AS20" i="286"/>
  <c r="AK20" i="286"/>
  <c r="AC20" i="286"/>
  <c r="S20" i="286"/>
  <c r="AG20" i="286"/>
  <c r="AR20" i="286"/>
  <c r="L20" i="286" s="1"/>
  <c r="U20" i="286" s="1"/>
  <c r="P22" i="286"/>
  <c r="AC22" i="286"/>
  <c r="AO22" i="286"/>
  <c r="L19" i="284"/>
  <c r="S8" i="286"/>
  <c r="AA8" i="286"/>
  <c r="AI8" i="286"/>
  <c r="AQ8" i="286"/>
  <c r="AD11" i="286"/>
  <c r="AM11" i="286"/>
  <c r="AP18" i="286"/>
  <c r="AH18" i="286"/>
  <c r="AN18" i="286"/>
  <c r="AF18" i="286"/>
  <c r="X18" i="286"/>
  <c r="P18" i="286"/>
  <c r="AM18" i="286"/>
  <c r="AE18" i="286"/>
  <c r="O18" i="286"/>
  <c r="W18" i="286" s="1"/>
  <c r="AI18" i="286"/>
  <c r="AS19" i="286"/>
  <c r="AK19" i="286"/>
  <c r="AC19" i="286"/>
  <c r="AQ19" i="286"/>
  <c r="AI19" i="286"/>
  <c r="AA19" i="286"/>
  <c r="S19" i="286"/>
  <c r="AP19" i="286"/>
  <c r="AH19" i="286"/>
  <c r="V19" i="286"/>
  <c r="AG19" i="286"/>
  <c r="T20" i="286"/>
  <c r="AH20" i="286"/>
  <c r="Q22" i="286"/>
  <c r="R22" i="286" s="1"/>
  <c r="Z22" i="286" s="1"/>
  <c r="AE22" i="286"/>
  <c r="Q7" i="286"/>
  <c r="R7" i="286" s="1"/>
  <c r="Z7" i="286" s="1"/>
  <c r="Y7" i="286"/>
  <c r="AG7" i="286"/>
  <c r="AO7" i="286"/>
  <c r="T8" i="286"/>
  <c r="AR8" i="286"/>
  <c r="L8" i="286" s="1"/>
  <c r="V11" i="286"/>
  <c r="AE11" i="286"/>
  <c r="AN11" i="286"/>
  <c r="AP15" i="286"/>
  <c r="AH15" i="286"/>
  <c r="AN15" i="286"/>
  <c r="AF15" i="286"/>
  <c r="X15" i="286"/>
  <c r="P15" i="286"/>
  <c r="AM15" i="286"/>
  <c r="AE15" i="286"/>
  <c r="O15" i="286"/>
  <c r="W15" i="286" s="1"/>
  <c r="AI15" i="286"/>
  <c r="AM17" i="286"/>
  <c r="AE17" i="286"/>
  <c r="O17" i="286"/>
  <c r="W17" i="286" s="1"/>
  <c r="AS17" i="286"/>
  <c r="AK17" i="286"/>
  <c r="AC17" i="286"/>
  <c r="AR17" i="286"/>
  <c r="L17" i="286" s="1"/>
  <c r="M17" i="286" s="1"/>
  <c r="T17" i="286"/>
  <c r="V17" i="286"/>
  <c r="AH17" i="286"/>
  <c r="V18" i="286"/>
  <c r="AL22" i="286"/>
  <c r="AD22" i="286"/>
  <c r="V22" i="286"/>
  <c r="AR22" i="286"/>
  <c r="T22" i="286"/>
  <c r="L22" i="286"/>
  <c r="U22" i="286" s="1"/>
  <c r="AQ22" i="286"/>
  <c r="AI22" i="286"/>
  <c r="AA22" i="286"/>
  <c r="S22" i="286"/>
  <c r="AF22" i="286"/>
  <c r="AS22" i="286"/>
  <c r="O6" i="286"/>
  <c r="W6" i="286" s="1"/>
  <c r="AE6" i="286"/>
  <c r="AM6" i="286"/>
  <c r="J7" i="286"/>
  <c r="J8" i="286" s="1"/>
  <c r="AH7" i="286"/>
  <c r="AP7" i="286"/>
  <c r="AC8" i="286"/>
  <c r="AK8" i="286"/>
  <c r="AS8" i="286"/>
  <c r="AF11" i="286"/>
  <c r="AO11" i="286"/>
  <c r="AM14" i="286"/>
  <c r="AE14" i="286"/>
  <c r="O14" i="286"/>
  <c r="W14" i="286" s="1"/>
  <c r="AS14" i="286"/>
  <c r="AK14" i="286"/>
  <c r="AC14" i="286"/>
  <c r="AR14" i="286"/>
  <c r="L14" i="286" s="1"/>
  <c r="U14" i="286" s="1"/>
  <c r="T14" i="286"/>
  <c r="V14" i="286"/>
  <c r="AH14" i="286"/>
  <c r="V15" i="286"/>
  <c r="X17" i="286"/>
  <c r="AI17" i="286"/>
  <c r="Y18" i="286"/>
  <c r="AK18" i="286"/>
  <c r="X19" i="286"/>
  <c r="AL19" i="286"/>
  <c r="Y20" i="286"/>
  <c r="AG22" i="286"/>
  <c r="P6" i="286"/>
  <c r="X6" i="286"/>
  <c r="AF6" i="286"/>
  <c r="AN6" i="286"/>
  <c r="S7" i="286"/>
  <c r="AA7" i="286"/>
  <c r="AI7" i="286"/>
  <c r="AQ7" i="286"/>
  <c r="V8" i="286"/>
  <c r="AD8" i="286"/>
  <c r="AL8" i="286"/>
  <c r="AL9" i="286"/>
  <c r="AD9" i="286"/>
  <c r="V9" i="286"/>
  <c r="Q9" i="286"/>
  <c r="R9" i="286" s="1"/>
  <c r="AI9" i="286"/>
  <c r="AR9" i="286"/>
  <c r="L9" i="286" s="1"/>
  <c r="U9" i="286" s="1"/>
  <c r="O11" i="286"/>
  <c r="W11" i="286" s="1"/>
  <c r="X11" i="286"/>
  <c r="AG11" i="286"/>
  <c r="AP11" i="286"/>
  <c r="L15" i="286"/>
  <c r="M15" i="286" s="1"/>
  <c r="Y15" i="286"/>
  <c r="AK15" i="286"/>
  <c r="Y17" i="286"/>
  <c r="AL17" i="286"/>
  <c r="AA18" i="286"/>
  <c r="AL18" i="286"/>
  <c r="Y19" i="286"/>
  <c r="AM19" i="286"/>
  <c r="AM20" i="286"/>
  <c r="AH22" i="286"/>
  <c r="Q6" i="286"/>
  <c r="R6" i="286" s="1"/>
  <c r="AJ6" i="286" s="1"/>
  <c r="Y6" i="286"/>
  <c r="AG6" i="286"/>
  <c r="AO6" i="286"/>
  <c r="T7" i="286"/>
  <c r="AR7" i="286"/>
  <c r="L7" i="286" s="1"/>
  <c r="O8" i="286"/>
  <c r="W8" i="286" s="1"/>
  <c r="AE8" i="286"/>
  <c r="AM8" i="286"/>
  <c r="AA9" i="286"/>
  <c r="AS9" i="286"/>
  <c r="P11" i="286"/>
  <c r="Y11" i="286"/>
  <c r="AH11" i="286"/>
  <c r="AQ11" i="286"/>
  <c r="Y14" i="286"/>
  <c r="AL14" i="286"/>
  <c r="AA15" i="286"/>
  <c r="AL15" i="286"/>
  <c r="AN17" i="286"/>
  <c r="AO18" i="286"/>
  <c r="O19" i="286"/>
  <c r="W19" i="286" s="1"/>
  <c r="AN19" i="286"/>
  <c r="O20" i="286"/>
  <c r="W20" i="286" s="1"/>
  <c r="AA20" i="286"/>
  <c r="AO20" i="286"/>
  <c r="X22" i="286"/>
  <c r="AK22" i="286"/>
  <c r="AH6" i="286"/>
  <c r="AC7" i="286"/>
  <c r="AK7" i="286"/>
  <c r="P8" i="286"/>
  <c r="X8" i="286"/>
  <c r="AF8" i="286"/>
  <c r="Q11" i="286"/>
  <c r="R11" i="286" s="1"/>
  <c r="AI11" i="286"/>
  <c r="AS11" i="286"/>
  <c r="AO15" i="286"/>
  <c r="P17" i="286"/>
  <c r="AA17" i="286"/>
  <c r="AO17" i="286"/>
  <c r="Q18" i="286"/>
  <c r="R18" i="286" s="1"/>
  <c r="AC18" i="286"/>
  <c r="AQ18" i="286"/>
  <c r="Y22" i="286"/>
  <c r="AM22" i="286"/>
  <c r="Q13" i="286"/>
  <c r="R13" i="286" s="1"/>
  <c r="Y13" i="286"/>
  <c r="AG13" i="286"/>
  <c r="AO13" i="286"/>
  <c r="Q16" i="286"/>
  <c r="R16" i="286" s="1"/>
  <c r="Z16" i="286" s="1"/>
  <c r="Y16" i="286"/>
  <c r="AG16" i="286"/>
  <c r="AO16" i="286"/>
  <c r="Q24" i="286"/>
  <c r="Y24" i="286"/>
  <c r="AG24" i="286"/>
  <c r="AO24" i="286"/>
  <c r="L25" i="286"/>
  <c r="T25" i="286"/>
  <c r="AB25" i="286"/>
  <c r="AJ25" i="286"/>
  <c r="AR25" i="286"/>
  <c r="P26" i="286"/>
  <c r="Y26" i="286"/>
  <c r="AG26" i="286"/>
  <c r="AP26" i="286"/>
  <c r="Q10" i="286"/>
  <c r="R10" i="286" s="1"/>
  <c r="Y10" i="286"/>
  <c r="AG10" i="286"/>
  <c r="O12" i="286"/>
  <c r="W12" i="286" s="1"/>
  <c r="AE12" i="286"/>
  <c r="AM12" i="286"/>
  <c r="AH13" i="286"/>
  <c r="AP13" i="286"/>
  <c r="AH16" i="286"/>
  <c r="AP16" i="286"/>
  <c r="Q21" i="286"/>
  <c r="R21" i="286" s="1"/>
  <c r="Y21" i="286"/>
  <c r="AG21" i="286"/>
  <c r="O23" i="286"/>
  <c r="W23" i="286"/>
  <c r="AE23" i="286"/>
  <c r="AM23" i="286"/>
  <c r="J24" i="286"/>
  <c r="R24" i="286"/>
  <c r="Z24" i="286"/>
  <c r="AH24" i="286"/>
  <c r="AP24" i="286"/>
  <c r="M25" i="286"/>
  <c r="U25" i="286"/>
  <c r="AC25" i="286"/>
  <c r="AK25" i="286"/>
  <c r="AS25" i="286"/>
  <c r="Q26" i="286"/>
  <c r="Z26" i="286"/>
  <c r="AH26" i="286"/>
  <c r="AQ26" i="286"/>
  <c r="R26" i="286"/>
  <c r="AA26" i="286"/>
  <c r="AI26" i="286"/>
  <c r="AR26" i="286"/>
  <c r="Q12" i="286"/>
  <c r="R12" i="286" s="1"/>
  <c r="Y12" i="286"/>
  <c r="AG12" i="286"/>
  <c r="L13" i="286"/>
  <c r="T13" i="286"/>
  <c r="L16" i="286"/>
  <c r="T16" i="286"/>
  <c r="Q23" i="286"/>
  <c r="Y23" i="286"/>
  <c r="AG23" i="286"/>
  <c r="L24" i="286"/>
  <c r="T24" i="286"/>
  <c r="AB24" i="286"/>
  <c r="AJ24" i="286"/>
  <c r="O25" i="286"/>
  <c r="W25" i="286"/>
  <c r="AE25" i="286"/>
  <c r="AM25" i="286"/>
  <c r="J26" i="286"/>
  <c r="S26" i="286"/>
  <c r="AB26" i="286"/>
  <c r="AJ26" i="286"/>
  <c r="AS26" i="286"/>
  <c r="P25" i="286"/>
  <c r="X25" i="286"/>
  <c r="AF25" i="286"/>
  <c r="AN25" i="286"/>
  <c r="L26" i="286"/>
  <c r="T26" i="286"/>
  <c r="AC26" i="286"/>
  <c r="AK26" i="286"/>
  <c r="Q25" i="286"/>
  <c r="Y25" i="286"/>
  <c r="AG25" i="286"/>
  <c r="M26" i="286"/>
  <c r="U26" i="286"/>
  <c r="AD26" i="286"/>
  <c r="AM26" i="286"/>
  <c r="V26" i="286"/>
  <c r="AE26" i="286"/>
  <c r="Y17" i="285"/>
  <c r="AP19" i="285"/>
  <c r="AE7" i="285"/>
  <c r="J25" i="285"/>
  <c r="T10" i="285"/>
  <c r="X10" i="285"/>
  <c r="AI12" i="285"/>
  <c r="AI25" i="285"/>
  <c r="AR10" i="285"/>
  <c r="L10" i="285" s="1"/>
  <c r="AJ25" i="285"/>
  <c r="AI7" i="285"/>
  <c r="AC9" i="285"/>
  <c r="S21" i="285"/>
  <c r="AE24" i="285"/>
  <c r="AL16" i="285"/>
  <c r="L20" i="285"/>
  <c r="U21" i="285"/>
  <c r="T13" i="285"/>
  <c r="W21" i="285"/>
  <c r="V13" i="285"/>
  <c r="AB20" i="285"/>
  <c r="AF21" i="285"/>
  <c r="AL8" i="285"/>
  <c r="P10" i="285"/>
  <c r="AA13" i="285"/>
  <c r="AD15" i="285"/>
  <c r="AI20" i="285"/>
  <c r="AI21" i="285"/>
  <c r="AL21" i="285"/>
  <c r="AP12" i="285"/>
  <c r="AE15" i="285"/>
  <c r="AM16" i="285"/>
  <c r="AO17" i="285"/>
  <c r="AD19" i="285"/>
  <c r="L21" i="285"/>
  <c r="X21" i="285"/>
  <c r="AM21" i="285"/>
  <c r="AQ23" i="285"/>
  <c r="AP26" i="285"/>
  <c r="AI8" i="285"/>
  <c r="AO15" i="285"/>
  <c r="AN16" i="285"/>
  <c r="AQ17" i="285"/>
  <c r="O19" i="285"/>
  <c r="AE19" i="285"/>
  <c r="M21" i="285"/>
  <c r="AB21" i="285"/>
  <c r="AQ21" i="285"/>
  <c r="M23" i="285"/>
  <c r="X11" i="285"/>
  <c r="P19" i="285"/>
  <c r="AF19" i="285"/>
  <c r="AC21" i="285"/>
  <c r="AR21" i="285"/>
  <c r="U25" i="285"/>
  <c r="AL11" i="285"/>
  <c r="Q19" i="285"/>
  <c r="AH19" i="285"/>
  <c r="P21" i="285"/>
  <c r="AE21" i="285"/>
  <c r="AS21" i="285"/>
  <c r="R23" i="285"/>
  <c r="V25" i="285"/>
  <c r="R19" i="285"/>
  <c r="AM19" i="285"/>
  <c r="Y23" i="285"/>
  <c r="AO23" i="285"/>
  <c r="X19" i="285"/>
  <c r="AN19" i="285"/>
  <c r="AC23" i="285"/>
  <c r="Q9" i="285"/>
  <c r="R9" i="285" s="1"/>
  <c r="Q15" i="285"/>
  <c r="R15" i="285" s="1"/>
  <c r="AJ15" i="285" s="1"/>
  <c r="O16" i="285"/>
  <c r="W16" i="285" s="1"/>
  <c r="J19" i="285"/>
  <c r="Y19" i="285"/>
  <c r="AO19" i="285"/>
  <c r="V21" i="285"/>
  <c r="AJ21" i="285"/>
  <c r="AK23" i="285"/>
  <c r="V11" i="285"/>
  <c r="AK11" i="285"/>
  <c r="P18" i="285"/>
  <c r="AI18" i="285"/>
  <c r="AR18" i="285"/>
  <c r="AO22" i="285"/>
  <c r="AO26" i="285"/>
  <c r="AS10" i="284"/>
  <c r="AK7" i="285"/>
  <c r="O8" i="285"/>
  <c r="W8" i="285" s="1"/>
  <c r="AP8" i="285"/>
  <c r="AF10" i="285"/>
  <c r="AA11" i="285"/>
  <c r="AM11" i="285"/>
  <c r="O12" i="285"/>
  <c r="W12" i="285" s="1"/>
  <c r="AQ12" i="285"/>
  <c r="AD13" i="285"/>
  <c r="V14" i="285"/>
  <c r="AS15" i="285"/>
  <c r="Q16" i="285"/>
  <c r="R16" i="285" s="1"/>
  <c r="AJ16" i="285" s="1"/>
  <c r="AS16" i="285"/>
  <c r="S18" i="285"/>
  <c r="AK18" i="285"/>
  <c r="W19" i="285"/>
  <c r="M20" i="285"/>
  <c r="AJ20" i="285"/>
  <c r="O21" i="285"/>
  <c r="AA21" i="285"/>
  <c r="AK21" i="285"/>
  <c r="Z23" i="285"/>
  <c r="Q24" i="285"/>
  <c r="L25" i="285"/>
  <c r="Z25" i="285"/>
  <c r="AK25" i="285"/>
  <c r="O26" i="285"/>
  <c r="AA18" i="285"/>
  <c r="Q6" i="285"/>
  <c r="R6" i="285" s="1"/>
  <c r="Z6" i="285" s="1"/>
  <c r="O7" i="285"/>
  <c r="W7" i="285" s="1"/>
  <c r="AM7" i="285"/>
  <c r="P8" i="285"/>
  <c r="AR8" i="285"/>
  <c r="L8" i="285" s="1"/>
  <c r="U8" i="285" s="1"/>
  <c r="AG10" i="285"/>
  <c r="AC11" i="285"/>
  <c r="AN11" i="285"/>
  <c r="V12" i="285"/>
  <c r="AH13" i="285"/>
  <c r="X14" i="285"/>
  <c r="X16" i="285"/>
  <c r="AA17" i="285"/>
  <c r="T18" i="285"/>
  <c r="AC18" i="285"/>
  <c r="AL18" i="285"/>
  <c r="AK20" i="285"/>
  <c r="AA23" i="285"/>
  <c r="AA24" i="285"/>
  <c r="M25" i="285"/>
  <c r="AA25" i="285"/>
  <c r="AL25" i="285"/>
  <c r="P26" i="285"/>
  <c r="Y6" i="285"/>
  <c r="S7" i="285"/>
  <c r="AQ7" i="285"/>
  <c r="S8" i="285"/>
  <c r="AS8" i="285"/>
  <c r="AH10" i="285"/>
  <c r="O11" i="285"/>
  <c r="W11" i="285" s="1"/>
  <c r="AD11" i="285"/>
  <c r="AQ11" i="285"/>
  <c r="AK13" i="285"/>
  <c r="AE14" i="285"/>
  <c r="Y16" i="285"/>
  <c r="AF17" i="285"/>
  <c r="L18" i="285"/>
  <c r="U18" i="285" s="1"/>
  <c r="AD18" i="285"/>
  <c r="AM18" i="285"/>
  <c r="Q20" i="285"/>
  <c r="AP20" i="285"/>
  <c r="P22" i="285"/>
  <c r="AB25" i="285"/>
  <c r="AP25" i="285"/>
  <c r="W26" i="285"/>
  <c r="AG6" i="285"/>
  <c r="T7" i="285"/>
  <c r="AR7" i="285"/>
  <c r="L7" i="285" s="1"/>
  <c r="U7" i="285" s="1"/>
  <c r="X8" i="285"/>
  <c r="AP10" i="285"/>
  <c r="P11" i="285"/>
  <c r="AE11" i="285"/>
  <c r="AR11" i="285"/>
  <c r="L11" i="285" s="1"/>
  <c r="Y12" i="285"/>
  <c r="AL13" i="285"/>
  <c r="AF14" i="285"/>
  <c r="AC16" i="285"/>
  <c r="V18" i="285"/>
  <c r="AE18" i="285"/>
  <c r="AN18" i="285"/>
  <c r="U20" i="285"/>
  <c r="T21" i="285"/>
  <c r="AD21" i="285"/>
  <c r="AN21" i="285"/>
  <c r="Q22" i="285"/>
  <c r="L23" i="285"/>
  <c r="AJ23" i="285"/>
  <c r="AO24" i="285"/>
  <c r="R25" i="285"/>
  <c r="AC25" i="285"/>
  <c r="AQ25" i="285"/>
  <c r="Y26" i="285"/>
  <c r="AP22" i="285"/>
  <c r="AO6" i="285"/>
  <c r="AA7" i="285"/>
  <c r="AS7" i="285"/>
  <c r="AD8" i="285"/>
  <c r="AQ10" i="285"/>
  <c r="S11" i="285"/>
  <c r="AF11" i="285"/>
  <c r="AS11" i="285"/>
  <c r="AF12" i="285"/>
  <c r="Q13" i="285"/>
  <c r="R13" i="285" s="1"/>
  <c r="AJ13" i="285" s="1"/>
  <c r="AK14" i="285"/>
  <c r="AE16" i="285"/>
  <c r="AN17" i="285"/>
  <c r="AF18" i="285"/>
  <c r="AP18" i="285"/>
  <c r="Y20" i="285"/>
  <c r="AA22" i="285"/>
  <c r="AP24" i="285"/>
  <c r="S25" i="285"/>
  <c r="AD25" i="285"/>
  <c r="AR25" i="285"/>
  <c r="AF26" i="285"/>
  <c r="AS18" i="285"/>
  <c r="AC7" i="285"/>
  <c r="T11" i="285"/>
  <c r="AI11" i="285"/>
  <c r="AG12" i="285"/>
  <c r="AS14" i="285"/>
  <c r="O18" i="285"/>
  <c r="W18" i="285" s="1"/>
  <c r="X18" i="285"/>
  <c r="AH18" i="285"/>
  <c r="AQ18" i="285"/>
  <c r="Z20" i="285"/>
  <c r="AE22" i="285"/>
  <c r="T25" i="285"/>
  <c r="AH25" i="285"/>
  <c r="AS25" i="285"/>
  <c r="AG26" i="285"/>
  <c r="AH6" i="285"/>
  <c r="AP6" i="285"/>
  <c r="AR9" i="285"/>
  <c r="T9" i="285"/>
  <c r="L9" i="285"/>
  <c r="U9" i="285" s="1"/>
  <c r="AQ9" i="285"/>
  <c r="AI9" i="285"/>
  <c r="AA9" i="285"/>
  <c r="S9" i="285"/>
  <c r="AD9" i="285"/>
  <c r="AN9" i="285"/>
  <c r="S6" i="285"/>
  <c r="AA6" i="285"/>
  <c r="AI6" i="285"/>
  <c r="AQ6" i="285"/>
  <c r="V7" i="285"/>
  <c r="AD7" i="285"/>
  <c r="AL7" i="285"/>
  <c r="AO8" i="285"/>
  <c r="AG8" i="285"/>
  <c r="Y8" i="285"/>
  <c r="Q8" i="285"/>
  <c r="R8" i="285" s="1"/>
  <c r="AN8" i="285"/>
  <c r="AF8" i="285"/>
  <c r="AA8" i="285"/>
  <c r="AK8" i="285"/>
  <c r="AE9" i="285"/>
  <c r="AO9" i="285"/>
  <c r="Y10" i="285"/>
  <c r="AI10" i="285"/>
  <c r="AS10" i="285"/>
  <c r="X12" i="285"/>
  <c r="AH12" i="285"/>
  <c r="AN13" i="285"/>
  <c r="AF13" i="285"/>
  <c r="X13" i="285"/>
  <c r="P13" i="285"/>
  <c r="AM13" i="285"/>
  <c r="AE13" i="285"/>
  <c r="O13" i="285"/>
  <c r="W13" i="285" s="1"/>
  <c r="S13" i="285"/>
  <c r="AC13" i="285"/>
  <c r="AO13" i="285"/>
  <c r="P16" i="285"/>
  <c r="AD16" i="285"/>
  <c r="AO16" i="285"/>
  <c r="Q17" i="285"/>
  <c r="R17" i="285" s="1"/>
  <c r="AA20" i="285"/>
  <c r="AO20" i="285"/>
  <c r="R22" i="285"/>
  <c r="AF22" i="285"/>
  <c r="Q23" i="285"/>
  <c r="AB23" i="285"/>
  <c r="R24" i="285"/>
  <c r="AF24" i="285"/>
  <c r="AM18" i="284"/>
  <c r="T6" i="285"/>
  <c r="AR6" i="285"/>
  <c r="L6" i="285" s="1"/>
  <c r="V9" i="285"/>
  <c r="AF9" i="285"/>
  <c r="AP9" i="285"/>
  <c r="AR15" i="285"/>
  <c r="T15" i="285"/>
  <c r="L15" i="285"/>
  <c r="M15" i="285" s="1"/>
  <c r="AQ15" i="285"/>
  <c r="AI15" i="285"/>
  <c r="AA15" i="285"/>
  <c r="S15" i="285"/>
  <c r="AP15" i="285"/>
  <c r="AH15" i="285"/>
  <c r="V15" i="285"/>
  <c r="AG15" i="285"/>
  <c r="AL22" i="285"/>
  <c r="AD22" i="285"/>
  <c r="V22" i="285"/>
  <c r="AS22" i="285"/>
  <c r="AK22" i="285"/>
  <c r="AC22" i="285"/>
  <c r="U22" i="285"/>
  <c r="M22" i="285"/>
  <c r="AR22" i="285"/>
  <c r="AJ22" i="285"/>
  <c r="AB22" i="285"/>
  <c r="T22" i="285"/>
  <c r="L22" i="285"/>
  <c r="S22" i="285"/>
  <c r="AG22" i="285"/>
  <c r="AL24" i="285"/>
  <c r="AD24" i="285"/>
  <c r="V24" i="285"/>
  <c r="AS24" i="285"/>
  <c r="AK24" i="285"/>
  <c r="AC24" i="285"/>
  <c r="U24" i="285"/>
  <c r="M24" i="285"/>
  <c r="AR24" i="285"/>
  <c r="AJ24" i="285"/>
  <c r="AB24" i="285"/>
  <c r="T24" i="285"/>
  <c r="L24" i="285"/>
  <c r="S24" i="285"/>
  <c r="AG24" i="285"/>
  <c r="AR6" i="284"/>
  <c r="L6" i="284" s="1"/>
  <c r="U6" i="284" s="1"/>
  <c r="AC6" i="285"/>
  <c r="AK6" i="285"/>
  <c r="AS6" i="285"/>
  <c r="P7" i="285"/>
  <c r="X7" i="285"/>
  <c r="AF7" i="285"/>
  <c r="AN7" i="285"/>
  <c r="T8" i="285"/>
  <c r="AC8" i="285"/>
  <c r="AM8" i="285"/>
  <c r="AG9" i="285"/>
  <c r="AS9" i="285"/>
  <c r="Q10" i="285"/>
  <c r="R10" i="285" s="1"/>
  <c r="AB10" i="285" s="1"/>
  <c r="AA10" i="285"/>
  <c r="P12" i="285"/>
  <c r="AL12" i="285"/>
  <c r="AG13" i="285"/>
  <c r="AQ13" i="285"/>
  <c r="O14" i="285"/>
  <c r="W14" i="285" s="1"/>
  <c r="Y14" i="285"/>
  <c r="AL14" i="285"/>
  <c r="AK15" i="285"/>
  <c r="AM17" i="285"/>
  <c r="AE17" i="285"/>
  <c r="O17" i="285"/>
  <c r="W17" i="285" s="1"/>
  <c r="AL17" i="285"/>
  <c r="AD17" i="285"/>
  <c r="V17" i="285"/>
  <c r="AS17" i="285"/>
  <c r="AK17" i="285"/>
  <c r="AC17" i="285"/>
  <c r="S17" i="285"/>
  <c r="AG17" i="285"/>
  <c r="AR17" i="285"/>
  <c r="L17" i="285" s="1"/>
  <c r="R20" i="285"/>
  <c r="AC20" i="285"/>
  <c r="J22" i="285"/>
  <c r="W22" i="285"/>
  <c r="AH22" i="285"/>
  <c r="AN23" i="285"/>
  <c r="AF23" i="285"/>
  <c r="X23" i="285"/>
  <c r="P23" i="285"/>
  <c r="AM23" i="285"/>
  <c r="AE23" i="285"/>
  <c r="W23" i="285"/>
  <c r="O23" i="285"/>
  <c r="AL23" i="285"/>
  <c r="AD23" i="285"/>
  <c r="V23" i="285"/>
  <c r="S23" i="285"/>
  <c r="AG23" i="285"/>
  <c r="AR23" i="285"/>
  <c r="J24" i="285"/>
  <c r="W24" i="285"/>
  <c r="AH24" i="285"/>
  <c r="V6" i="285"/>
  <c r="AD6" i="285"/>
  <c r="AL6" i="285"/>
  <c r="Q7" i="285"/>
  <c r="R7" i="285" s="1"/>
  <c r="Z7" i="285" s="1"/>
  <c r="Y7" i="285"/>
  <c r="AG7" i="285"/>
  <c r="AO7" i="285"/>
  <c r="X9" i="285"/>
  <c r="AH9" i="285"/>
  <c r="AM10" i="285"/>
  <c r="AE10" i="285"/>
  <c r="O10" i="285"/>
  <c r="W10" i="285" s="1"/>
  <c r="AL10" i="285"/>
  <c r="AD10" i="285"/>
  <c r="V10" i="285"/>
  <c r="AN10" i="285"/>
  <c r="Q12" i="285"/>
  <c r="R12" i="285" s="1"/>
  <c r="AJ12" i="285" s="1"/>
  <c r="AA12" i="285"/>
  <c r="AM12" i="285"/>
  <c r="AR13" i="285"/>
  <c r="L13" i="285" s="1"/>
  <c r="U13" i="285" s="1"/>
  <c r="P14" i="285"/>
  <c r="AM14" i="285"/>
  <c r="X15" i="285"/>
  <c r="AL15" i="285"/>
  <c r="AR16" i="285"/>
  <c r="T16" i="285"/>
  <c r="L16" i="285"/>
  <c r="M16" i="285" s="1"/>
  <c r="AQ16" i="285"/>
  <c r="AI16" i="285"/>
  <c r="AA16" i="285"/>
  <c r="S16" i="285"/>
  <c r="AP16" i="285"/>
  <c r="AH16" i="285"/>
  <c r="V16" i="285"/>
  <c r="AG16" i="285"/>
  <c r="T17" i="285"/>
  <c r="AH17" i="285"/>
  <c r="AN20" i="285"/>
  <c r="AF20" i="285"/>
  <c r="X20" i="285"/>
  <c r="P20" i="285"/>
  <c r="AM20" i="285"/>
  <c r="AE20" i="285"/>
  <c r="W20" i="285"/>
  <c r="O20" i="285"/>
  <c r="AL20" i="285"/>
  <c r="AD20" i="285"/>
  <c r="V20" i="285"/>
  <c r="S20" i="285"/>
  <c r="AG20" i="285"/>
  <c r="AR20" i="285"/>
  <c r="X22" i="285"/>
  <c r="AI22" i="285"/>
  <c r="J23" i="285"/>
  <c r="T23" i="285"/>
  <c r="AH23" i="285"/>
  <c r="AS23" i="285"/>
  <c r="X24" i="285"/>
  <c r="AI24" i="285"/>
  <c r="O6" i="285"/>
  <c r="W6" i="285" s="1"/>
  <c r="AE6" i="285"/>
  <c r="AM6" i="285"/>
  <c r="J7" i="285"/>
  <c r="AH7" i="285"/>
  <c r="V8" i="285"/>
  <c r="AE8" i="285"/>
  <c r="AQ8" i="285"/>
  <c r="O9" i="285"/>
  <c r="W9" i="285" s="1"/>
  <c r="Y9" i="285"/>
  <c r="AK9" i="285"/>
  <c r="S10" i="285"/>
  <c r="AC10" i="285"/>
  <c r="AO10" i="285"/>
  <c r="AD12" i="285"/>
  <c r="Y13" i="285"/>
  <c r="AI13" i="285"/>
  <c r="AS13" i="285"/>
  <c r="Q14" i="285"/>
  <c r="R14" i="285" s="1"/>
  <c r="AJ14" i="285" s="1"/>
  <c r="AC14" i="285"/>
  <c r="Y15" i="285"/>
  <c r="AM15" i="285"/>
  <c r="AK16" i="285"/>
  <c r="X17" i="285"/>
  <c r="AI17" i="285"/>
  <c r="AS19" i="285"/>
  <c r="AK19" i="285"/>
  <c r="AC19" i="285"/>
  <c r="U19" i="285"/>
  <c r="M19" i="285"/>
  <c r="AR19" i="285"/>
  <c r="AJ19" i="285"/>
  <c r="AB19" i="285"/>
  <c r="T19" i="285"/>
  <c r="L19" i="285"/>
  <c r="AQ19" i="285"/>
  <c r="AI19" i="285"/>
  <c r="AA19" i="285"/>
  <c r="S19" i="285"/>
  <c r="V19" i="285"/>
  <c r="AG19" i="285"/>
  <c r="J20" i="285"/>
  <c r="T20" i="285"/>
  <c r="AH20" i="285"/>
  <c r="AS20" i="285"/>
  <c r="Y22" i="285"/>
  <c r="AM22" i="285"/>
  <c r="U23" i="285"/>
  <c r="AI23" i="285"/>
  <c r="Y24" i="285"/>
  <c r="AM24" i="285"/>
  <c r="P6" i="285"/>
  <c r="X6" i="285"/>
  <c r="AF6" i="285"/>
  <c r="P9" i="285"/>
  <c r="AL9" i="285"/>
  <c r="AS12" i="285"/>
  <c r="AK12" i="285"/>
  <c r="AC12" i="285"/>
  <c r="AR12" i="285"/>
  <c r="L12" i="285" s="1"/>
  <c r="M12" i="285" s="1"/>
  <c r="T12" i="285"/>
  <c r="S12" i="285"/>
  <c r="AE12" i="285"/>
  <c r="AO12" i="285"/>
  <c r="AQ14" i="285"/>
  <c r="AI14" i="285"/>
  <c r="AA14" i="285"/>
  <c r="S14" i="285"/>
  <c r="AP14" i="285"/>
  <c r="AH14" i="285"/>
  <c r="AO14" i="285"/>
  <c r="AG14" i="285"/>
  <c r="T14" i="285"/>
  <c r="AD14" i="285"/>
  <c r="AR14" i="285"/>
  <c r="L14" i="285" s="1"/>
  <c r="U14" i="285" s="1"/>
  <c r="O15" i="285"/>
  <c r="W15" i="285" s="1"/>
  <c r="AC15" i="285"/>
  <c r="AN15" i="285"/>
  <c r="O22" i="285"/>
  <c r="Z22" i="285"/>
  <c r="AN22" i="285"/>
  <c r="O24" i="285"/>
  <c r="Z24" i="285"/>
  <c r="AN24" i="285"/>
  <c r="Q26" i="285"/>
  <c r="Z26" i="285"/>
  <c r="AH26" i="285"/>
  <c r="AQ26" i="285"/>
  <c r="R26" i="285"/>
  <c r="AA26" i="285"/>
  <c r="AI26" i="285"/>
  <c r="AR26" i="285"/>
  <c r="Q21" i="285"/>
  <c r="Y21" i="285"/>
  <c r="AG21" i="285"/>
  <c r="AO21" i="285"/>
  <c r="O25" i="285"/>
  <c r="W25" i="285"/>
  <c r="AE25" i="285"/>
  <c r="AM25" i="285"/>
  <c r="J26" i="285"/>
  <c r="S26" i="285"/>
  <c r="AB26" i="285"/>
  <c r="AJ26" i="285"/>
  <c r="AS26" i="285"/>
  <c r="Q11" i="285"/>
  <c r="R11" i="285" s="1"/>
  <c r="Y11" i="285"/>
  <c r="AG11" i="285"/>
  <c r="AO11" i="285"/>
  <c r="Q18" i="285"/>
  <c r="R18" i="285" s="1"/>
  <c r="Y18" i="285"/>
  <c r="AG18" i="285"/>
  <c r="J21" i="285"/>
  <c r="R21" i="285"/>
  <c r="Z21" i="285"/>
  <c r="AH21" i="285"/>
  <c r="P25" i="285"/>
  <c r="X25" i="285"/>
  <c r="AF25" i="285"/>
  <c r="AN25" i="285"/>
  <c r="L26" i="285"/>
  <c r="T26" i="285"/>
  <c r="AC26" i="285"/>
  <c r="AK26" i="285"/>
  <c r="AH11" i="285"/>
  <c r="Q25" i="285"/>
  <c r="Y25" i="285"/>
  <c r="AG25" i="285"/>
  <c r="M26" i="285"/>
  <c r="U26" i="285"/>
  <c r="AD26" i="285"/>
  <c r="AM26" i="285"/>
  <c r="V26" i="285"/>
  <c r="AE26" i="285"/>
  <c r="AI22" i="284"/>
  <c r="AM7" i="284"/>
  <c r="AC11" i="284"/>
  <c r="V13" i="284"/>
  <c r="AI11" i="284"/>
  <c r="AA13" i="284"/>
  <c r="AB19" i="284"/>
  <c r="AP26" i="284"/>
  <c r="AH10" i="284"/>
  <c r="AL13" i="284"/>
  <c r="AP19" i="284"/>
  <c r="AO6" i="284"/>
  <c r="AP10" i="284"/>
  <c r="AR19" i="284"/>
  <c r="Q6" i="284"/>
  <c r="R6" i="284" s="1"/>
  <c r="Z6" i="284" s="1"/>
  <c r="W7" i="284"/>
  <c r="R17" i="284"/>
  <c r="J20" i="284"/>
  <c r="Z20" i="284"/>
  <c r="AR23" i="284"/>
  <c r="AJ25" i="284"/>
  <c r="AS20" i="284"/>
  <c r="AF6" i="284"/>
  <c r="X7" i="284"/>
  <c r="V17" i="284"/>
  <c r="AA20" i="284"/>
  <c r="M23" i="284"/>
  <c r="AS23" i="284"/>
  <c r="AQ23" i="284"/>
  <c r="AD7" i="284"/>
  <c r="AE8" i="284"/>
  <c r="S10" i="284"/>
  <c r="Q14" i="284"/>
  <c r="R14" i="284" s="1"/>
  <c r="Z14" i="284" s="1"/>
  <c r="AH17" i="284"/>
  <c r="L20" i="284"/>
  <c r="AF20" i="284"/>
  <c r="X24" i="283"/>
  <c r="AQ6" i="284"/>
  <c r="AE7" i="284"/>
  <c r="V10" i="284"/>
  <c r="Q11" i="284"/>
  <c r="R11" i="284" s="1"/>
  <c r="Z11" i="284" s="1"/>
  <c r="T14" i="284"/>
  <c r="AL17" i="284"/>
  <c r="AI20" i="284"/>
  <c r="Y26" i="284"/>
  <c r="AJ20" i="284"/>
  <c r="S23" i="284"/>
  <c r="X20" i="284"/>
  <c r="AP7" i="284"/>
  <c r="J17" i="284"/>
  <c r="AN20" i="284"/>
  <c r="T23" i="284"/>
  <c r="AQ7" i="284"/>
  <c r="AQ10" i="284"/>
  <c r="S20" i="284"/>
  <c r="AQ20" i="284"/>
  <c r="AF23" i="284"/>
  <c r="AI16" i="284"/>
  <c r="AF13" i="284"/>
  <c r="AE16" i="284"/>
  <c r="AA22" i="284"/>
  <c r="Y6" i="284"/>
  <c r="AF7" i="284"/>
  <c r="W8" i="284"/>
  <c r="AC10" i="284"/>
  <c r="AM13" i="284"/>
  <c r="AD14" i="284"/>
  <c r="AQ16" i="284"/>
  <c r="AB17" i="284"/>
  <c r="Z19" i="284"/>
  <c r="AC20" i="284"/>
  <c r="AQ22" i="284"/>
  <c r="AA23" i="284"/>
  <c r="AR25" i="284"/>
  <c r="AC6" i="284"/>
  <c r="AC8" i="284"/>
  <c r="S9" i="284"/>
  <c r="AE10" i="284"/>
  <c r="W13" i="284"/>
  <c r="AN13" i="284"/>
  <c r="AD17" i="284"/>
  <c r="W18" i="284"/>
  <c r="AC23" i="284"/>
  <c r="AN24" i="283"/>
  <c r="AE6" i="284"/>
  <c r="AD8" i="284"/>
  <c r="AF10" i="284"/>
  <c r="AC12" i="284"/>
  <c r="S13" i="284"/>
  <c r="W16" i="284"/>
  <c r="AE18" i="284"/>
  <c r="AD23" i="284"/>
  <c r="AD12" i="284"/>
  <c r="S16" i="284"/>
  <c r="AM6" i="284"/>
  <c r="AR7" i="284"/>
  <c r="L7" i="284" s="1"/>
  <c r="M7" i="284" s="1"/>
  <c r="AL8" i="284"/>
  <c r="AM10" i="284"/>
  <c r="Y11" i="284"/>
  <c r="AR12" i="284"/>
  <c r="X13" i="284"/>
  <c r="L17" i="284"/>
  <c r="AR17" i="284"/>
  <c r="U20" i="284"/>
  <c r="AK20" i="284"/>
  <c r="AL23" i="284"/>
  <c r="AG26" i="284"/>
  <c r="AS8" i="284"/>
  <c r="AS12" i="284"/>
  <c r="Y16" i="284"/>
  <c r="L25" i="284"/>
  <c r="AN21" i="284"/>
  <c r="S6" i="284"/>
  <c r="AG6" i="284"/>
  <c r="AS6" i="284"/>
  <c r="S7" i="284"/>
  <c r="AH7" i="284"/>
  <c r="AK8" i="284"/>
  <c r="AI10" i="284"/>
  <c r="AK11" i="284"/>
  <c r="AF12" i="284"/>
  <c r="Y13" i="284"/>
  <c r="AQ13" i="284"/>
  <c r="AG14" i="284"/>
  <c r="AG16" i="284"/>
  <c r="AJ17" i="284"/>
  <c r="AE19" i="284"/>
  <c r="R20" i="284"/>
  <c r="AB20" i="284"/>
  <c r="AM20" i="284"/>
  <c r="V21" i="284"/>
  <c r="AF21" i="284"/>
  <c r="AS21" i="284"/>
  <c r="U23" i="284"/>
  <c r="AI23" i="284"/>
  <c r="R25" i="284"/>
  <c r="U21" i="284"/>
  <c r="T6" i="284"/>
  <c r="AI6" i="284"/>
  <c r="T7" i="284"/>
  <c r="AI7" i="284"/>
  <c r="X10" i="284"/>
  <c r="AK10" i="284"/>
  <c r="AN11" i="284"/>
  <c r="S12" i="284"/>
  <c r="AI12" i="284"/>
  <c r="AR14" i="284"/>
  <c r="L14" i="284" s="1"/>
  <c r="AF19" i="284"/>
  <c r="M21" i="284"/>
  <c r="W21" i="284"/>
  <c r="AH21" i="284"/>
  <c r="V23" i="284"/>
  <c r="AJ23" i="284"/>
  <c r="T25" i="284"/>
  <c r="S21" i="284"/>
  <c r="S20" i="283"/>
  <c r="X6" i="284"/>
  <c r="AK6" i="284"/>
  <c r="J7" i="284"/>
  <c r="J8" i="284" s="1"/>
  <c r="V7" i="284"/>
  <c r="AL7" i="284"/>
  <c r="AM8" i="284"/>
  <c r="AA10" i="284"/>
  <c r="AL10" i="284"/>
  <c r="AP11" i="284"/>
  <c r="T12" i="284"/>
  <c r="AK12" i="284"/>
  <c r="AE13" i="284"/>
  <c r="AO16" i="284"/>
  <c r="T17" i="284"/>
  <c r="AP17" i="284"/>
  <c r="R19" i="284"/>
  <c r="AH19" i="284"/>
  <c r="T20" i="284"/>
  <c r="AE20" i="284"/>
  <c r="AP20" i="284"/>
  <c r="X21" i="284"/>
  <c r="AI21" i="284"/>
  <c r="L23" i="284"/>
  <c r="X23" i="284"/>
  <c r="AK23" i="284"/>
  <c r="V25" i="284"/>
  <c r="AP21" i="284"/>
  <c r="V12" i="284"/>
  <c r="AL12" i="284"/>
  <c r="T19" i="284"/>
  <c r="AJ19" i="284"/>
  <c r="Z21" i="284"/>
  <c r="AK21" i="284"/>
  <c r="Z25" i="284"/>
  <c r="AE21" i="284"/>
  <c r="AA6" i="284"/>
  <c r="AN6" i="284"/>
  <c r="AA7" i="284"/>
  <c r="AN7" i="284"/>
  <c r="V8" i="284"/>
  <c r="W10" i="284"/>
  <c r="AD10" i="284"/>
  <c r="AN10" i="284"/>
  <c r="X11" i="284"/>
  <c r="X12" i="284"/>
  <c r="AN12" i="284"/>
  <c r="Q13" i="284"/>
  <c r="R13" i="284" s="1"/>
  <c r="Z13" i="284" s="1"/>
  <c r="AG13" i="284"/>
  <c r="Z17" i="284"/>
  <c r="J19" i="284"/>
  <c r="W19" i="284"/>
  <c r="AM19" i="284"/>
  <c r="M20" i="284"/>
  <c r="W20" i="284"/>
  <c r="AH20" i="284"/>
  <c r="AR20" i="284"/>
  <c r="AA21" i="284"/>
  <c r="AL21" i="284"/>
  <c r="S22" i="284"/>
  <c r="AB23" i="284"/>
  <c r="AN23" i="284"/>
  <c r="J25" i="284"/>
  <c r="AB25" i="284"/>
  <c r="AD21" i="284"/>
  <c r="J21" i="284"/>
  <c r="L12" i="284"/>
  <c r="AA12" i="284"/>
  <c r="AQ12" i="284"/>
  <c r="X19" i="284"/>
  <c r="AN19" i="284"/>
  <c r="R21" i="284"/>
  <c r="AC21" i="284"/>
  <c r="AM21" i="284"/>
  <c r="AD25" i="284"/>
  <c r="AO9" i="284"/>
  <c r="AG9" i="284"/>
  <c r="Y9" i="284"/>
  <c r="Q9" i="284"/>
  <c r="R9" i="284" s="1"/>
  <c r="AA9" i="284"/>
  <c r="AS9" i="284"/>
  <c r="AQ15" i="284"/>
  <c r="AI15" i="284"/>
  <c r="AA15" i="284"/>
  <c r="S15" i="284"/>
  <c r="AP15" i="284"/>
  <c r="AH15" i="284"/>
  <c r="AN15" i="284"/>
  <c r="AF15" i="284"/>
  <c r="X15" i="284"/>
  <c r="AL15" i="284"/>
  <c r="AD15" i="284"/>
  <c r="V15" i="284"/>
  <c r="AK15" i="284"/>
  <c r="AM24" i="284"/>
  <c r="AE24" i="284"/>
  <c r="W24" i="284"/>
  <c r="AL24" i="284"/>
  <c r="AD24" i="284"/>
  <c r="V24" i="284"/>
  <c r="AS24" i="284"/>
  <c r="AK24" i="284"/>
  <c r="AC24" i="284"/>
  <c r="U24" i="284"/>
  <c r="M24" i="284"/>
  <c r="AR24" i="284"/>
  <c r="AJ24" i="284"/>
  <c r="AB24" i="284"/>
  <c r="T24" i="284"/>
  <c r="L24" i="284"/>
  <c r="AQ24" i="284"/>
  <c r="AI24" i="284"/>
  <c r="AA24" i="284"/>
  <c r="S24" i="284"/>
  <c r="AP24" i="284"/>
  <c r="AH24" i="284"/>
  <c r="Z24" i="284"/>
  <c r="R24" i="284"/>
  <c r="J24" i="284"/>
  <c r="AN24" i="284"/>
  <c r="AF24" i="284"/>
  <c r="X24" i="284"/>
  <c r="AH6" i="284"/>
  <c r="AP6" i="284"/>
  <c r="AC7" i="284"/>
  <c r="AK7" i="284"/>
  <c r="AS7" i="284"/>
  <c r="X8" i="284"/>
  <c r="AF8" i="284"/>
  <c r="AN8" i="284"/>
  <c r="T9" i="284"/>
  <c r="AC9" i="284"/>
  <c r="AL9" i="284"/>
  <c r="AA11" i="284"/>
  <c r="AO11" i="284"/>
  <c r="AD13" i="284"/>
  <c r="Y15" i="284"/>
  <c r="AO15" i="284"/>
  <c r="Q16" i="284"/>
  <c r="R16" i="284" s="1"/>
  <c r="Q8" i="284"/>
  <c r="R8" i="284" s="1"/>
  <c r="Y8" i="284"/>
  <c r="AG8" i="284"/>
  <c r="AO8" i="284"/>
  <c r="AD9" i="284"/>
  <c r="AM9" i="284"/>
  <c r="AR15" i="284"/>
  <c r="L15" i="284" s="1"/>
  <c r="AF16" i="283"/>
  <c r="AH8" i="284"/>
  <c r="AP8" i="284"/>
  <c r="V9" i="284"/>
  <c r="AE9" i="284"/>
  <c r="AN9" i="284"/>
  <c r="AF11" i="284"/>
  <c r="AN14" i="284"/>
  <c r="AF14" i="284"/>
  <c r="X14" i="284"/>
  <c r="AM14" i="284"/>
  <c r="AE14" i="284"/>
  <c r="W14" i="284"/>
  <c r="AS14" i="284"/>
  <c r="AK14" i="284"/>
  <c r="AC14" i="284"/>
  <c r="AQ14" i="284"/>
  <c r="AI14" i="284"/>
  <c r="AA14" i="284"/>
  <c r="S14" i="284"/>
  <c r="V14" i="284"/>
  <c r="AL14" i="284"/>
  <c r="AC15" i="284"/>
  <c r="AS15" i="284"/>
  <c r="Q24" i="284"/>
  <c r="M24" i="283"/>
  <c r="S8" i="284"/>
  <c r="AA8" i="284"/>
  <c r="AI8" i="284"/>
  <c r="AQ8" i="284"/>
  <c r="AF9" i="284"/>
  <c r="AP9" i="284"/>
  <c r="AM11" i="284"/>
  <c r="AE11" i="284"/>
  <c r="W11" i="284"/>
  <c r="AL11" i="284"/>
  <c r="AD11" i="284"/>
  <c r="V11" i="284"/>
  <c r="AR11" i="284"/>
  <c r="L11" i="284" s="1"/>
  <c r="M11" i="284" s="1"/>
  <c r="T11" i="284"/>
  <c r="S11" i="284"/>
  <c r="AG11" i="284"/>
  <c r="AS11" i="284"/>
  <c r="Y14" i="284"/>
  <c r="AO14" i="284"/>
  <c r="W15" i="284"/>
  <c r="AE15" i="284"/>
  <c r="Y24" i="284"/>
  <c r="V6" i="284"/>
  <c r="AD6" i="284"/>
  <c r="Q7" i="284"/>
  <c r="R7" i="284" s="1"/>
  <c r="Y7" i="284"/>
  <c r="AG7" i="284"/>
  <c r="T8" i="284"/>
  <c r="W9" i="284"/>
  <c r="X9" i="284"/>
  <c r="AH9" i="284"/>
  <c r="AQ9" i="284"/>
  <c r="AH11" i="284"/>
  <c r="AS13" i="284"/>
  <c r="AK13" i="284"/>
  <c r="AC13" i="284"/>
  <c r="AR13" i="284"/>
  <c r="L13" i="284" s="1"/>
  <c r="U13" i="284" s="1"/>
  <c r="T13" i="284"/>
  <c r="AP13" i="284"/>
  <c r="AH13" i="284"/>
  <c r="AI13" i="284"/>
  <c r="AP14" i="284"/>
  <c r="Q15" i="284"/>
  <c r="R15" i="284" s="1"/>
  <c r="AG15" i="284"/>
  <c r="AL16" i="284"/>
  <c r="AD16" i="284"/>
  <c r="V16" i="284"/>
  <c r="AS16" i="284"/>
  <c r="AK16" i="284"/>
  <c r="AC16" i="284"/>
  <c r="AR16" i="284"/>
  <c r="T16" i="284"/>
  <c r="L16" i="284"/>
  <c r="U16" i="284" s="1"/>
  <c r="AP16" i="284"/>
  <c r="AH16" i="284"/>
  <c r="AN16" i="284"/>
  <c r="AF16" i="284"/>
  <c r="X16" i="284"/>
  <c r="AA16" i="284"/>
  <c r="AG24" i="284"/>
  <c r="AI9" i="284"/>
  <c r="AR9" i="284"/>
  <c r="L9" i="284" s="1"/>
  <c r="M9" i="284" s="1"/>
  <c r="T15" i="284"/>
  <c r="AO24" i="284"/>
  <c r="S17" i="284"/>
  <c r="AA17" i="284"/>
  <c r="AI17" i="284"/>
  <c r="AQ17" i="284"/>
  <c r="V18" i="284"/>
  <c r="AD18" i="284"/>
  <c r="AL18" i="284"/>
  <c r="Q19" i="284"/>
  <c r="Y19" i="284"/>
  <c r="AG19" i="284"/>
  <c r="AO19" i="284"/>
  <c r="J22" i="284"/>
  <c r="R22" i="284"/>
  <c r="Z22" i="284"/>
  <c r="AH22" i="284"/>
  <c r="AP22" i="284"/>
  <c r="S25" i="284"/>
  <c r="AA25" i="284"/>
  <c r="AI25" i="284"/>
  <c r="AQ25" i="284"/>
  <c r="W26" i="284"/>
  <c r="AF26" i="284"/>
  <c r="AO26" i="284"/>
  <c r="Q10" i="284"/>
  <c r="R10" i="284" s="1"/>
  <c r="Z10" i="284" s="1"/>
  <c r="Y10" i="284"/>
  <c r="AG10" i="284"/>
  <c r="AO10" i="284"/>
  <c r="W12" i="284"/>
  <c r="AE12" i="284"/>
  <c r="AM12" i="284"/>
  <c r="M17" i="284"/>
  <c r="U17" i="284"/>
  <c r="AC17" i="284"/>
  <c r="AK17" i="284"/>
  <c r="AS17" i="284"/>
  <c r="X18" i="284"/>
  <c r="AF18" i="284"/>
  <c r="AN18" i="284"/>
  <c r="S19" i="284"/>
  <c r="AA19" i="284"/>
  <c r="AI19" i="284"/>
  <c r="AQ19" i="284"/>
  <c r="V20" i="284"/>
  <c r="AD20" i="284"/>
  <c r="AL20" i="284"/>
  <c r="Q21" i="284"/>
  <c r="Y21" i="284"/>
  <c r="AG21" i="284"/>
  <c r="AO21" i="284"/>
  <c r="L22" i="284"/>
  <c r="T22" i="284"/>
  <c r="AB22" i="284"/>
  <c r="AJ22" i="284"/>
  <c r="AR22" i="284"/>
  <c r="W23" i="284"/>
  <c r="AE23" i="284"/>
  <c r="AM23" i="284"/>
  <c r="M25" i="284"/>
  <c r="U25" i="284"/>
  <c r="AC25" i="284"/>
  <c r="AK25" i="284"/>
  <c r="AS25" i="284"/>
  <c r="Q26" i="284"/>
  <c r="Z26" i="284"/>
  <c r="AH26" i="284"/>
  <c r="AQ26" i="284"/>
  <c r="Q18" i="284"/>
  <c r="Y18" i="284"/>
  <c r="AG18" i="284"/>
  <c r="AO18" i="284"/>
  <c r="M22" i="284"/>
  <c r="U22" i="284"/>
  <c r="AC22" i="284"/>
  <c r="AK22" i="284"/>
  <c r="AS22" i="284"/>
  <c r="AL25" i="284"/>
  <c r="R26" i="284"/>
  <c r="AA26" i="284"/>
  <c r="AI26" i="284"/>
  <c r="AR26" i="284"/>
  <c r="Q12" i="284"/>
  <c r="R12" i="284" s="1"/>
  <c r="Z12" i="284" s="1"/>
  <c r="Y12" i="284"/>
  <c r="AG12" i="284"/>
  <c r="AO12" i="284"/>
  <c r="W17" i="284"/>
  <c r="AE17" i="284"/>
  <c r="AM17" i="284"/>
  <c r="J18" i="284"/>
  <c r="R18" i="284"/>
  <c r="Z18" i="284"/>
  <c r="AH18" i="284"/>
  <c r="AP18" i="284"/>
  <c r="M19" i="284"/>
  <c r="U19" i="284"/>
  <c r="AC19" i="284"/>
  <c r="AK19" i="284"/>
  <c r="AS19" i="284"/>
  <c r="AQ21" i="284"/>
  <c r="V22" i="284"/>
  <c r="AD22" i="284"/>
  <c r="AL22" i="284"/>
  <c r="Q23" i="284"/>
  <c r="Y23" i="284"/>
  <c r="AG23" i="284"/>
  <c r="AO23" i="284"/>
  <c r="W25" i="284"/>
  <c r="AE25" i="284"/>
  <c r="AM25" i="284"/>
  <c r="J26" i="284"/>
  <c r="S26" i="284"/>
  <c r="AB26" i="284"/>
  <c r="AJ26" i="284"/>
  <c r="AS26" i="284"/>
  <c r="T10" i="284"/>
  <c r="AH12" i="284"/>
  <c r="X17" i="284"/>
  <c r="AF17" i="284"/>
  <c r="AN17" i="284"/>
  <c r="S18" i="284"/>
  <c r="AA18" i="284"/>
  <c r="AI18" i="284"/>
  <c r="AQ18" i="284"/>
  <c r="V19" i="284"/>
  <c r="AD19" i="284"/>
  <c r="Q20" i="284"/>
  <c r="Y20" i="284"/>
  <c r="AG20" i="284"/>
  <c r="L21" i="284"/>
  <c r="T21" i="284"/>
  <c r="AB21" i="284"/>
  <c r="AJ21" i="284"/>
  <c r="W22" i="284"/>
  <c r="AE22" i="284"/>
  <c r="AM22" i="284"/>
  <c r="J23" i="284"/>
  <c r="R23" i="284"/>
  <c r="Z23" i="284"/>
  <c r="AH23" i="284"/>
  <c r="X25" i="284"/>
  <c r="AF25" i="284"/>
  <c r="AN25" i="284"/>
  <c r="L26" i="284"/>
  <c r="T26" i="284"/>
  <c r="AC26" i="284"/>
  <c r="AK26" i="284"/>
  <c r="Q17" i="284"/>
  <c r="Y17" i="284"/>
  <c r="AG17" i="284"/>
  <c r="L18" i="284"/>
  <c r="T18" i="284"/>
  <c r="AB18" i="284"/>
  <c r="AJ18" i="284"/>
  <c r="AR18" i="284"/>
  <c r="X22" i="284"/>
  <c r="AF22" i="284"/>
  <c r="AN22" i="284"/>
  <c r="Q25" i="284"/>
  <c r="Y25" i="284"/>
  <c r="AG25" i="284"/>
  <c r="AO25" i="284"/>
  <c r="M26" i="284"/>
  <c r="U26" i="284"/>
  <c r="AD26" i="284"/>
  <c r="AM26" i="284"/>
  <c r="M18" i="284"/>
  <c r="U18" i="284"/>
  <c r="AC18" i="284"/>
  <c r="AK18" i="284"/>
  <c r="Q22" i="284"/>
  <c r="Y22" i="284"/>
  <c r="AG22" i="284"/>
  <c r="AH25" i="284"/>
  <c r="V26" i="284"/>
  <c r="AE26" i="284"/>
  <c r="V14" i="283"/>
  <c r="AI16" i="283"/>
  <c r="W20" i="283"/>
  <c r="AM20" i="283"/>
  <c r="S24" i="283"/>
  <c r="Y19" i="283"/>
  <c r="V24" i="283"/>
  <c r="S25" i="283"/>
  <c r="J20" i="283"/>
  <c r="AJ23" i="283"/>
  <c r="AA24" i="283"/>
  <c r="S6" i="283"/>
  <c r="L16" i="283"/>
  <c r="U16" i="283" s="1"/>
  <c r="AE21" i="283"/>
  <c r="AL24" i="283"/>
  <c r="V7" i="283"/>
  <c r="AL13" i="283"/>
  <c r="X14" i="283"/>
  <c r="AL16" i="283"/>
  <c r="J21" i="283"/>
  <c r="U21" i="283"/>
  <c r="AF21" i="283"/>
  <c r="AD24" i="283"/>
  <c r="AA25" i="283"/>
  <c r="L12" i="283"/>
  <c r="U12" i="283" s="1"/>
  <c r="AM13" i="283"/>
  <c r="AL14" i="283"/>
  <c r="R20" i="283"/>
  <c r="V21" i="283"/>
  <c r="AH21" i="283"/>
  <c r="AI24" i="283"/>
  <c r="AQ25" i="283"/>
  <c r="X10" i="283"/>
  <c r="P13" i="283"/>
  <c r="AQ13" i="283"/>
  <c r="AP14" i="283"/>
  <c r="L21" i="283"/>
  <c r="W21" i="283"/>
  <c r="AK21" i="283"/>
  <c r="AK13" i="283"/>
  <c r="T21" i="283"/>
  <c r="AK10" i="283"/>
  <c r="Q12" i="283"/>
  <c r="R12" i="283" s="1"/>
  <c r="AJ12" i="283" s="1"/>
  <c r="V13" i="283"/>
  <c r="AQ14" i="283"/>
  <c r="M21" i="283"/>
  <c r="X21" i="283"/>
  <c r="AL21" i="283"/>
  <c r="AA6" i="283"/>
  <c r="AH12" i="283"/>
  <c r="X13" i="283"/>
  <c r="V16" i="283"/>
  <c r="S17" i="283"/>
  <c r="AO19" i="283"/>
  <c r="AH20" i="283"/>
  <c r="AB21" i="283"/>
  <c r="AM21" i="283"/>
  <c r="L23" i="283"/>
  <c r="AF26" i="283"/>
  <c r="AI12" i="283"/>
  <c r="AA13" i="283"/>
  <c r="X16" i="283"/>
  <c r="AI20" i="283"/>
  <c r="O21" i="283"/>
  <c r="AC21" i="283"/>
  <c r="AN21" i="283"/>
  <c r="AO26" i="283"/>
  <c r="AQ12" i="283"/>
  <c r="AD13" i="283"/>
  <c r="P14" i="283"/>
  <c r="S21" i="283"/>
  <c r="AD21" i="283"/>
  <c r="AQ21" i="283"/>
  <c r="X23" i="283"/>
  <c r="AI6" i="283"/>
  <c r="AD7" i="283"/>
  <c r="AA9" i="283"/>
  <c r="AN9" i="283"/>
  <c r="AA10" i="283"/>
  <c r="AL10" i="283"/>
  <c r="X12" i="283"/>
  <c r="AR12" i="283"/>
  <c r="S13" i="283"/>
  <c r="AE13" i="283"/>
  <c r="AR13" i="283"/>
  <c r="L13" i="283" s="1"/>
  <c r="M13" i="283" s="1"/>
  <c r="AF14" i="283"/>
  <c r="O16" i="283"/>
  <c r="W16" i="283" s="1"/>
  <c r="AA16" i="283"/>
  <c r="AM16" i="283"/>
  <c r="V17" i="283"/>
  <c r="Z20" i="283"/>
  <c r="AP20" i="283"/>
  <c r="AP21" i="283"/>
  <c r="R22" i="283"/>
  <c r="M23" i="283"/>
  <c r="Z23" i="283"/>
  <c r="AK23" i="283"/>
  <c r="AQ24" i="283"/>
  <c r="AQ6" i="283"/>
  <c r="AE7" i="283"/>
  <c r="AC9" i="283"/>
  <c r="AO9" i="283"/>
  <c r="O10" i="283"/>
  <c r="W10" i="283" s="1"/>
  <c r="AC10" i="283"/>
  <c r="AM10" i="283"/>
  <c r="Y12" i="283"/>
  <c r="AS12" i="283"/>
  <c r="T13" i="283"/>
  <c r="AF13" i="283"/>
  <c r="AS13" i="283"/>
  <c r="AG14" i="283"/>
  <c r="P16" i="283"/>
  <c r="AC16" i="283"/>
  <c r="AN16" i="283"/>
  <c r="AA17" i="283"/>
  <c r="M18" i="283"/>
  <c r="L20" i="283"/>
  <c r="AA20" i="283"/>
  <c r="AQ20" i="283"/>
  <c r="Z22" i="283"/>
  <c r="AA23" i="283"/>
  <c r="AN23" i="283"/>
  <c r="AM9" i="283"/>
  <c r="AR6" i="283"/>
  <c r="L6" i="283" s="1"/>
  <c r="M6" i="283" s="1"/>
  <c r="AL7" i="283"/>
  <c r="O9" i="283"/>
  <c r="W9" i="283" s="1"/>
  <c r="AE9" i="283"/>
  <c r="AP9" i="283"/>
  <c r="P10" i="283"/>
  <c r="AD10" i="283"/>
  <c r="AN10" i="283"/>
  <c r="AA12" i="283"/>
  <c r="AI13" i="283"/>
  <c r="AH14" i="283"/>
  <c r="S16" i="283"/>
  <c r="AD16" i="283"/>
  <c r="AQ16" i="283"/>
  <c r="AD17" i="283"/>
  <c r="AB20" i="283"/>
  <c r="AR20" i="283"/>
  <c r="P21" i="283"/>
  <c r="Z21" i="283"/>
  <c r="AI21" i="283"/>
  <c r="AR21" i="283"/>
  <c r="AH22" i="283"/>
  <c r="P23" i="283"/>
  <c r="AB23" i="283"/>
  <c r="AP23" i="283"/>
  <c r="O24" i="283"/>
  <c r="AE24" i="283"/>
  <c r="O26" i="283"/>
  <c r="AM7" i="283"/>
  <c r="P9" i="283"/>
  <c r="AF9" i="283"/>
  <c r="AQ9" i="283"/>
  <c r="S10" i="283"/>
  <c r="AE10" i="283"/>
  <c r="AP10" i="283"/>
  <c r="AG12" i="283"/>
  <c r="T16" i="283"/>
  <c r="AE16" i="283"/>
  <c r="AS16" i="283"/>
  <c r="AH17" i="283"/>
  <c r="U18" i="283"/>
  <c r="Q19" i="283"/>
  <c r="O20" i="283"/>
  <c r="AE20" i="283"/>
  <c r="R21" i="283"/>
  <c r="AA21" i="283"/>
  <c r="AJ21" i="283"/>
  <c r="AS21" i="283"/>
  <c r="AP22" i="283"/>
  <c r="R23" i="283"/>
  <c r="AC23" i="283"/>
  <c r="AQ23" i="283"/>
  <c r="P24" i="283"/>
  <c r="AF24" i="283"/>
  <c r="W26" i="283"/>
  <c r="Y9" i="283"/>
  <c r="AL18" i="283"/>
  <c r="S9" i="283"/>
  <c r="AG9" i="283"/>
  <c r="T10" i="283"/>
  <c r="AF10" i="283"/>
  <c r="AQ10" i="283"/>
  <c r="AI17" i="283"/>
  <c r="V18" i="283"/>
  <c r="S23" i="283"/>
  <c r="AF23" i="283"/>
  <c r="AR23" i="283"/>
  <c r="T9" i="283"/>
  <c r="AH9" i="283"/>
  <c r="V10" i="283"/>
  <c r="AH10" i="283"/>
  <c r="AR10" i="283"/>
  <c r="L10" i="283" s="1"/>
  <c r="AP17" i="283"/>
  <c r="AC18" i="283"/>
  <c r="J22" i="283"/>
  <c r="J23" i="283"/>
  <c r="T23" i="283"/>
  <c r="AH23" i="283"/>
  <c r="AS23" i="283"/>
  <c r="T6" i="283"/>
  <c r="O7" i="283"/>
  <c r="W7" i="283" s="1"/>
  <c r="X9" i="283"/>
  <c r="AI10" i="283"/>
  <c r="AS10" i="283"/>
  <c r="O13" i="283"/>
  <c r="W13" i="283" s="1"/>
  <c r="AC13" i="283"/>
  <c r="AN13" i="283"/>
  <c r="M16" i="283"/>
  <c r="AK16" i="283"/>
  <c r="AQ17" i="283"/>
  <c r="AD18" i="283"/>
  <c r="T20" i="283"/>
  <c r="AJ20" i="283"/>
  <c r="U23" i="283"/>
  <c r="AI23" i="283"/>
  <c r="W24" i="283"/>
  <c r="AM24" i="283"/>
  <c r="AI25" i="283"/>
  <c r="AH8" i="283"/>
  <c r="AP8" i="283"/>
  <c r="AE11" i="283"/>
  <c r="AO11" i="283"/>
  <c r="AP15" i="283"/>
  <c r="AH15" i="283"/>
  <c r="AN15" i="283"/>
  <c r="AF15" i="283"/>
  <c r="X15" i="283"/>
  <c r="P15" i="283"/>
  <c r="AM15" i="283"/>
  <c r="AE15" i="283"/>
  <c r="O15" i="283"/>
  <c r="W15" i="283" s="1"/>
  <c r="S15" i="283"/>
  <c r="AC15" i="283"/>
  <c r="AQ15" i="283"/>
  <c r="Q8" i="283"/>
  <c r="R8" i="283" s="1"/>
  <c r="AC6" i="283"/>
  <c r="AK6" i="283"/>
  <c r="AS6" i="283"/>
  <c r="P7" i="283"/>
  <c r="X7" i="283"/>
  <c r="AF7" i="283"/>
  <c r="AN7" i="283"/>
  <c r="S8" i="283"/>
  <c r="AA8" i="283"/>
  <c r="AI8" i="283"/>
  <c r="AQ8" i="283"/>
  <c r="V11" i="283"/>
  <c r="AF11" i="283"/>
  <c r="AP11" i="283"/>
  <c r="P12" i="283"/>
  <c r="O14" i="283"/>
  <c r="W14" i="283" s="1"/>
  <c r="Y14" i="283"/>
  <c r="AI14" i="283"/>
  <c r="T15" i="283"/>
  <c r="AD15" i="283"/>
  <c r="AR15" i="283"/>
  <c r="L15" i="283" s="1"/>
  <c r="V6" i="283"/>
  <c r="AD6" i="283"/>
  <c r="AL6" i="283"/>
  <c r="Q7" i="283"/>
  <c r="R7" i="283" s="1"/>
  <c r="Y7" i="283"/>
  <c r="AG7" i="283"/>
  <c r="AO7" i="283"/>
  <c r="T8" i="283"/>
  <c r="AR8" i="283"/>
  <c r="L8" i="283" s="1"/>
  <c r="U8" i="283" s="1"/>
  <c r="AG11" i="283"/>
  <c r="AS11" i="283"/>
  <c r="AG15" i="283"/>
  <c r="AS15" i="283"/>
  <c r="O14" i="282"/>
  <c r="W14" i="282" s="1"/>
  <c r="O6" i="283"/>
  <c r="W6" i="283" s="1"/>
  <c r="AE6" i="283"/>
  <c r="AM6" i="283"/>
  <c r="J7" i="283"/>
  <c r="AH7" i="283"/>
  <c r="AP7" i="283"/>
  <c r="AC8" i="283"/>
  <c r="AK8" i="283"/>
  <c r="AS8" i="283"/>
  <c r="X11" i="283"/>
  <c r="AM12" i="283"/>
  <c r="AE12" i="283"/>
  <c r="O12" i="283"/>
  <c r="W12" i="283" s="1"/>
  <c r="AL12" i="283"/>
  <c r="AD12" i="283"/>
  <c r="V12" i="283"/>
  <c r="AN12" i="283"/>
  <c r="Q14" i="283"/>
  <c r="R14" i="283" s="1"/>
  <c r="Z14" i="283" s="1"/>
  <c r="AA14" i="283"/>
  <c r="AM14" i="283"/>
  <c r="V15" i="283"/>
  <c r="AI15" i="283"/>
  <c r="AG8" i="283"/>
  <c r="AR11" i="283"/>
  <c r="L11" i="283" s="1"/>
  <c r="U11" i="283" s="1"/>
  <c r="T11" i="283"/>
  <c r="AQ11" i="283"/>
  <c r="AI11" i="283"/>
  <c r="AA11" i="283"/>
  <c r="S11" i="283"/>
  <c r="AD11" i="283"/>
  <c r="X14" i="282"/>
  <c r="P6" i="283"/>
  <c r="X6" i="283"/>
  <c r="AF6" i="283"/>
  <c r="AN6" i="283"/>
  <c r="S7" i="283"/>
  <c r="AA7" i="283"/>
  <c r="AI7" i="283"/>
  <c r="AQ7" i="283"/>
  <c r="V8" i="283"/>
  <c r="AD8" i="283"/>
  <c r="AL8" i="283"/>
  <c r="AL9" i="283"/>
  <c r="AD9" i="283"/>
  <c r="V9" i="283"/>
  <c r="Q9" i="283"/>
  <c r="R9" i="283" s="1"/>
  <c r="Z9" i="283" s="1"/>
  <c r="AI9" i="283"/>
  <c r="AR9" i="283"/>
  <c r="L9" i="283" s="1"/>
  <c r="O11" i="283"/>
  <c r="W11" i="283" s="1"/>
  <c r="Y11" i="283"/>
  <c r="AK11" i="283"/>
  <c r="S12" i="283"/>
  <c r="AC12" i="283"/>
  <c r="AO12" i="283"/>
  <c r="AD14" i="283"/>
  <c r="Y15" i="283"/>
  <c r="AN19" i="283"/>
  <c r="AF19" i="283"/>
  <c r="X19" i="283"/>
  <c r="P19" i="283"/>
  <c r="AM19" i="283"/>
  <c r="AE19" i="283"/>
  <c r="W19" i="283"/>
  <c r="O19" i="283"/>
  <c r="AL19" i="283"/>
  <c r="AD19" i="283"/>
  <c r="V19" i="283"/>
  <c r="AS19" i="283"/>
  <c r="AK19" i="283"/>
  <c r="AC19" i="283"/>
  <c r="U19" i="283"/>
  <c r="M19" i="283"/>
  <c r="AR19" i="283"/>
  <c r="AJ19" i="283"/>
  <c r="AB19" i="283"/>
  <c r="T19" i="283"/>
  <c r="L19" i="283"/>
  <c r="AQ19" i="283"/>
  <c r="AI19" i="283"/>
  <c r="AA19" i="283"/>
  <c r="S19" i="283"/>
  <c r="AP19" i="283"/>
  <c r="AH19" i="283"/>
  <c r="Z19" i="283"/>
  <c r="R19" i="283"/>
  <c r="J19" i="283"/>
  <c r="AN11" i="283"/>
  <c r="T19" i="282"/>
  <c r="Q6" i="283"/>
  <c r="R6" i="283" s="1"/>
  <c r="Z6" i="283" s="1"/>
  <c r="Y6" i="283"/>
  <c r="AG6" i="283"/>
  <c r="AO6" i="283"/>
  <c r="T7" i="283"/>
  <c r="AR7" i="283"/>
  <c r="L7" i="283" s="1"/>
  <c r="O8" i="283"/>
  <c r="W8" i="283" s="1"/>
  <c r="AE8" i="283"/>
  <c r="AM8" i="283"/>
  <c r="AS9" i="283"/>
  <c r="P11" i="283"/>
  <c r="AL11" i="283"/>
  <c r="T12" i="283"/>
  <c r="AF12" i="283"/>
  <c r="AP12" i="283"/>
  <c r="AS14" i="283"/>
  <c r="AK14" i="283"/>
  <c r="AC14" i="283"/>
  <c r="AR14" i="283"/>
  <c r="T14" i="283"/>
  <c r="L14" i="283"/>
  <c r="U14" i="283" s="1"/>
  <c r="S14" i="283"/>
  <c r="AE14" i="283"/>
  <c r="AO14" i="283"/>
  <c r="AK15" i="283"/>
  <c r="Y8" i="283"/>
  <c r="AO8" i="283"/>
  <c r="AS19" i="282"/>
  <c r="AH6" i="283"/>
  <c r="AC7" i="283"/>
  <c r="AK7" i="283"/>
  <c r="P8" i="283"/>
  <c r="X8" i="283"/>
  <c r="AF8" i="283"/>
  <c r="Q11" i="283"/>
  <c r="R11" i="283" s="1"/>
  <c r="AC11" i="283"/>
  <c r="AM11" i="283"/>
  <c r="Q15" i="283"/>
  <c r="R15" i="283" s="1"/>
  <c r="AB15" i="283" s="1"/>
  <c r="AA15" i="283"/>
  <c r="AL15" i="283"/>
  <c r="Q13" i="283"/>
  <c r="R13" i="283" s="1"/>
  <c r="Y13" i="283"/>
  <c r="AG13" i="283"/>
  <c r="AO13" i="283"/>
  <c r="Q16" i="283"/>
  <c r="Y16" i="283"/>
  <c r="AG16" i="283"/>
  <c r="AO16" i="283"/>
  <c r="L17" i="283"/>
  <c r="M17" i="283" s="1"/>
  <c r="T17" i="283"/>
  <c r="AR17" i="283"/>
  <c r="O18" i="283"/>
  <c r="W18" i="283"/>
  <c r="AE18" i="283"/>
  <c r="AM18" i="283"/>
  <c r="M20" i="283"/>
  <c r="U20" i="283"/>
  <c r="AC20" i="283"/>
  <c r="AK20" i="283"/>
  <c r="AS20" i="283"/>
  <c r="S22" i="283"/>
  <c r="AA22" i="283"/>
  <c r="AI22" i="283"/>
  <c r="AQ22" i="283"/>
  <c r="V23" i="283"/>
  <c r="AD23" i="283"/>
  <c r="AL23" i="283"/>
  <c r="Q24" i="283"/>
  <c r="Y24" i="283"/>
  <c r="AG24" i="283"/>
  <c r="AO24" i="283"/>
  <c r="L25" i="283"/>
  <c r="T25" i="283"/>
  <c r="AB25" i="283"/>
  <c r="AJ25" i="283"/>
  <c r="AR25" i="283"/>
  <c r="P26" i="283"/>
  <c r="Y26" i="283"/>
  <c r="AG26" i="283"/>
  <c r="AP26" i="283"/>
  <c r="Q10" i="283"/>
  <c r="R10" i="283" s="1"/>
  <c r="Y10" i="283"/>
  <c r="AG10" i="283"/>
  <c r="AH13" i="283"/>
  <c r="R16" i="283"/>
  <c r="Z16" i="283" s="1"/>
  <c r="AH16" i="283"/>
  <c r="AP16" i="283"/>
  <c r="AC17" i="283"/>
  <c r="AK17" i="283"/>
  <c r="AS17" i="283"/>
  <c r="P18" i="283"/>
  <c r="X18" i="283"/>
  <c r="AF18" i="283"/>
  <c r="AN18" i="283"/>
  <c r="V20" i="283"/>
  <c r="AD20" i="283"/>
  <c r="AL20" i="283"/>
  <c r="Q21" i="283"/>
  <c r="Y21" i="283"/>
  <c r="AG21" i="283"/>
  <c r="L22" i="283"/>
  <c r="T22" i="283"/>
  <c r="AB22" i="283"/>
  <c r="AJ22" i="283"/>
  <c r="AR22" i="283"/>
  <c r="O23" i="283"/>
  <c r="W23" i="283"/>
  <c r="AE23" i="283"/>
  <c r="AM23" i="283"/>
  <c r="J24" i="283"/>
  <c r="R24" i="283"/>
  <c r="Z24" i="283"/>
  <c r="AH24" i="283"/>
  <c r="AP24" i="283"/>
  <c r="M25" i="283"/>
  <c r="U25" i="283"/>
  <c r="AC25" i="283"/>
  <c r="AK25" i="283"/>
  <c r="AS25" i="283"/>
  <c r="Q26" i="283"/>
  <c r="Z26" i="283"/>
  <c r="AH26" i="283"/>
  <c r="AQ26" i="283"/>
  <c r="AL17" i="283"/>
  <c r="Q18" i="283"/>
  <c r="Y18" i="283"/>
  <c r="AG18" i="283"/>
  <c r="AO18" i="283"/>
  <c r="M22" i="283"/>
  <c r="U22" i="283"/>
  <c r="AC22" i="283"/>
  <c r="AK22" i="283"/>
  <c r="AS22" i="283"/>
  <c r="V25" i="283"/>
  <c r="AD25" i="283"/>
  <c r="AL25" i="283"/>
  <c r="R26" i="283"/>
  <c r="AA26" i="283"/>
  <c r="AI26" i="283"/>
  <c r="AR26" i="283"/>
  <c r="AB16" i="283"/>
  <c r="O17" i="283"/>
  <c r="W17" i="283" s="1"/>
  <c r="AE17" i="283"/>
  <c r="AM17" i="283"/>
  <c r="J18" i="283"/>
  <c r="R18" i="283"/>
  <c r="Z18" i="283"/>
  <c r="AH18" i="283"/>
  <c r="AP18" i="283"/>
  <c r="P20" i="283"/>
  <c r="X20" i="283"/>
  <c r="AF20" i="283"/>
  <c r="AN20" i="283"/>
  <c r="V22" i="283"/>
  <c r="AD22" i="283"/>
  <c r="AL22" i="283"/>
  <c r="Q23" i="283"/>
  <c r="Y23" i="283"/>
  <c r="AG23" i="283"/>
  <c r="L24" i="283"/>
  <c r="T24" i="283"/>
  <c r="AB24" i="283"/>
  <c r="AJ24" i="283"/>
  <c r="AR24" i="283"/>
  <c r="O25" i="283"/>
  <c r="W25" i="283"/>
  <c r="AE25" i="283"/>
  <c r="AM25" i="283"/>
  <c r="J26" i="283"/>
  <c r="S26" i="283"/>
  <c r="AB26" i="283"/>
  <c r="AJ26" i="283"/>
  <c r="AS26" i="283"/>
  <c r="P17" i="283"/>
  <c r="X17" i="283"/>
  <c r="AF17" i="283"/>
  <c r="AN17" i="283"/>
  <c r="S18" i="283"/>
  <c r="AA18" i="283"/>
  <c r="AI18" i="283"/>
  <c r="AQ18" i="283"/>
  <c r="Q20" i="283"/>
  <c r="Y20" i="283"/>
  <c r="AG20" i="283"/>
  <c r="O22" i="283"/>
  <c r="W22" i="283"/>
  <c r="AE22" i="283"/>
  <c r="AM22" i="283"/>
  <c r="U24" i="283"/>
  <c r="AC24" i="283"/>
  <c r="AK24" i="283"/>
  <c r="P25" i="283"/>
  <c r="X25" i="283"/>
  <c r="AF25" i="283"/>
  <c r="AN25" i="283"/>
  <c r="L26" i="283"/>
  <c r="T26" i="283"/>
  <c r="AC26" i="283"/>
  <c r="AK26" i="283"/>
  <c r="Q17" i="283"/>
  <c r="R17" i="283" s="1"/>
  <c r="Z17" i="283" s="1"/>
  <c r="Y17" i="283"/>
  <c r="AG17" i="283"/>
  <c r="L18" i="283"/>
  <c r="T18" i="283"/>
  <c r="AB18" i="283"/>
  <c r="AJ18" i="283"/>
  <c r="AR18" i="283"/>
  <c r="P22" i="283"/>
  <c r="X22" i="283"/>
  <c r="AF22" i="283"/>
  <c r="AN22" i="283"/>
  <c r="Q25" i="283"/>
  <c r="Y25" i="283"/>
  <c r="AG25" i="283"/>
  <c r="AO25" i="283"/>
  <c r="M26" i="283"/>
  <c r="U26" i="283"/>
  <c r="AD26" i="283"/>
  <c r="AM26" i="283"/>
  <c r="AK18" i="283"/>
  <c r="Q22" i="283"/>
  <c r="Y22" i="283"/>
  <c r="AG22" i="283"/>
  <c r="J25" i="283"/>
  <c r="R25" i="283"/>
  <c r="Z25" i="283"/>
  <c r="AH25" i="283"/>
  <c r="V26" i="283"/>
  <c r="AE26" i="283"/>
  <c r="AI6" i="282"/>
  <c r="L24" i="282"/>
  <c r="AA9" i="282"/>
  <c r="T24" i="282"/>
  <c r="AL20" i="282"/>
  <c r="AL10" i="282"/>
  <c r="Y12" i="282"/>
  <c r="AN10" i="282"/>
  <c r="AK20" i="282"/>
  <c r="AS9" i="282"/>
  <c r="AD14" i="282"/>
  <c r="AI14" i="282"/>
  <c r="AC18" i="282"/>
  <c r="AG11" i="282"/>
  <c r="AI13" i="282"/>
  <c r="AN14" i="282"/>
  <c r="T16" i="282"/>
  <c r="V20" i="282"/>
  <c r="S21" i="282"/>
  <c r="X20" i="282"/>
  <c r="AP21" i="282"/>
  <c r="Y10" i="282"/>
  <c r="AC20" i="282"/>
  <c r="AQ21" i="282"/>
  <c r="S6" i="282"/>
  <c r="AC9" i="282"/>
  <c r="O12" i="282"/>
  <c r="W12" i="282" s="1"/>
  <c r="O13" i="282"/>
  <c r="W13" i="282" s="1"/>
  <c r="P14" i="282"/>
  <c r="AL14" i="282"/>
  <c r="X15" i="282"/>
  <c r="AE18" i="282"/>
  <c r="X19" i="282"/>
  <c r="AN20" i="282"/>
  <c r="U25" i="282"/>
  <c r="V21" i="280"/>
  <c r="AA6" i="282"/>
  <c r="AD9" i="282"/>
  <c r="V11" i="282"/>
  <c r="T12" i="282"/>
  <c r="AA13" i="282"/>
  <c r="V14" i="282"/>
  <c r="AM14" i="282"/>
  <c r="AH15" i="282"/>
  <c r="AP18" i="282"/>
  <c r="AC19" i="282"/>
  <c r="AI25" i="282"/>
  <c r="AE9" i="282"/>
  <c r="AF19" i="282"/>
  <c r="U22" i="282"/>
  <c r="AQ6" i="282"/>
  <c r="AK9" i="282"/>
  <c r="AL11" i="282"/>
  <c r="AF12" i="282"/>
  <c r="AM13" i="282"/>
  <c r="AA14" i="282"/>
  <c r="AP14" i="282"/>
  <c r="AH19" i="282"/>
  <c r="AC22" i="282"/>
  <c r="AM9" i="282"/>
  <c r="AS11" i="282"/>
  <c r="AM12" i="282"/>
  <c r="AC14" i="282"/>
  <c r="AS14" i="282"/>
  <c r="L19" i="282"/>
  <c r="M19" i="282" s="1"/>
  <c r="AI19" i="282"/>
  <c r="AD22" i="282"/>
  <c r="W26" i="282"/>
  <c r="O9" i="282"/>
  <c r="W9" i="282" s="1"/>
  <c r="AN9" i="282"/>
  <c r="Q18" i="282"/>
  <c r="AP19" i="282"/>
  <c r="AF26" i="282"/>
  <c r="P9" i="282"/>
  <c r="AQ9" i="282"/>
  <c r="AE14" i="282"/>
  <c r="Y18" i="282"/>
  <c r="P19" i="282"/>
  <c r="AR19" i="282"/>
  <c r="AO26" i="282"/>
  <c r="S9" i="282"/>
  <c r="AF9" i="282"/>
  <c r="AN12" i="282"/>
  <c r="AO13" i="282"/>
  <c r="S14" i="282"/>
  <c r="AF14" i="282"/>
  <c r="AQ14" i="282"/>
  <c r="AK15" i="282"/>
  <c r="X17" i="282"/>
  <c r="AK17" i="282"/>
  <c r="AM18" i="282"/>
  <c r="S19" i="282"/>
  <c r="AK19" i="282"/>
  <c r="AD20" i="282"/>
  <c r="AQ20" i="282"/>
  <c r="Z21" i="282"/>
  <c r="M22" i="282"/>
  <c r="AB24" i="282"/>
  <c r="L25" i="282"/>
  <c r="X25" i="282"/>
  <c r="AJ25" i="282"/>
  <c r="V9" i="282"/>
  <c r="AI9" i="282"/>
  <c r="T11" i="282"/>
  <c r="T14" i="282"/>
  <c r="AH14" i="282"/>
  <c r="AR14" i="282"/>
  <c r="L14" i="282" s="1"/>
  <c r="AA17" i="282"/>
  <c r="AL17" i="282"/>
  <c r="AO18" i="282"/>
  <c r="AN19" i="282"/>
  <c r="O20" i="282"/>
  <c r="W20" i="282" s="1"/>
  <c r="AE20" i="282"/>
  <c r="AS20" i="282"/>
  <c r="AA21" i="282"/>
  <c r="AJ24" i="282"/>
  <c r="M25" i="282"/>
  <c r="Z25" i="282"/>
  <c r="AK25" i="282"/>
  <c r="V7" i="282"/>
  <c r="O17" i="282"/>
  <c r="W17" i="282" s="1"/>
  <c r="AC17" i="282"/>
  <c r="AM17" i="282"/>
  <c r="P20" i="282"/>
  <c r="AF20" i="282"/>
  <c r="AH21" i="282"/>
  <c r="AR24" i="282"/>
  <c r="AA25" i="282"/>
  <c r="AN25" i="282"/>
  <c r="AC7" i="282"/>
  <c r="X9" i="282"/>
  <c r="AL9" i="282"/>
  <c r="AA11" i="282"/>
  <c r="AK14" i="282"/>
  <c r="P17" i="282"/>
  <c r="AD17" i="282"/>
  <c r="AN17" i="282"/>
  <c r="AA19" i="282"/>
  <c r="AQ19" i="282"/>
  <c r="S20" i="282"/>
  <c r="AI20" i="282"/>
  <c r="J21" i="282"/>
  <c r="AI21" i="282"/>
  <c r="V22" i="282"/>
  <c r="P25" i="282"/>
  <c r="AB25" i="282"/>
  <c r="AP25" i="282"/>
  <c r="O26" i="282"/>
  <c r="AS17" i="282"/>
  <c r="AD7" i="282"/>
  <c r="S17" i="282"/>
  <c r="AE17" i="282"/>
  <c r="AP17" i="282"/>
  <c r="R25" i="282"/>
  <c r="AC25" i="282"/>
  <c r="AQ25" i="282"/>
  <c r="AS7" i="282"/>
  <c r="AK7" i="282"/>
  <c r="T17" i="282"/>
  <c r="AF17" i="282"/>
  <c r="AQ17" i="282"/>
  <c r="S25" i="282"/>
  <c r="AF25" i="282"/>
  <c r="AR25" i="282"/>
  <c r="AI17" i="282"/>
  <c r="AL7" i="282"/>
  <c r="AO11" i="282"/>
  <c r="V17" i="282"/>
  <c r="AH17" i="282"/>
  <c r="AR17" i="282"/>
  <c r="L17" i="282" s="1"/>
  <c r="M17" i="282" s="1"/>
  <c r="AA20" i="282"/>
  <c r="AM20" i="282"/>
  <c r="R21" i="282"/>
  <c r="AL22" i="282"/>
  <c r="S24" i="282"/>
  <c r="J25" i="282"/>
  <c r="T25" i="282"/>
  <c r="AH25" i="282"/>
  <c r="AS25" i="282"/>
  <c r="AH6" i="282"/>
  <c r="AP6" i="282"/>
  <c r="P8" i="282"/>
  <c r="AA8" i="282"/>
  <c r="AK8" i="282"/>
  <c r="AN16" i="282"/>
  <c r="AF16" i="282"/>
  <c r="X16" i="282"/>
  <c r="P16" i="282"/>
  <c r="AL16" i="282"/>
  <c r="AD16" i="282"/>
  <c r="V16" i="282"/>
  <c r="AS16" i="282"/>
  <c r="AK16" i="282"/>
  <c r="AC16" i="282"/>
  <c r="S16" i="282"/>
  <c r="AG16" i="282"/>
  <c r="AR16" i="282"/>
  <c r="T6" i="282"/>
  <c r="AR6" i="282"/>
  <c r="L6" i="282" s="1"/>
  <c r="O7" i="282"/>
  <c r="W7" i="282" s="1"/>
  <c r="AE7" i="282"/>
  <c r="AM7" i="282"/>
  <c r="S8" i="282"/>
  <c r="AC8" i="282"/>
  <c r="AN8" i="282"/>
  <c r="P10" i="282"/>
  <c r="AA10" i="282"/>
  <c r="AO10" i="282"/>
  <c r="Q11" i="282"/>
  <c r="R11" i="282" s="1"/>
  <c r="AC11" i="282"/>
  <c r="AQ11" i="282"/>
  <c r="P12" i="282"/>
  <c r="AD12" i="282"/>
  <c r="AO12" i="282"/>
  <c r="Q13" i="282"/>
  <c r="R13" i="282" s="1"/>
  <c r="AP13" i="282"/>
  <c r="Y15" i="282"/>
  <c r="AM15" i="282"/>
  <c r="AI16" i="282"/>
  <c r="AL18" i="282"/>
  <c r="AD18" i="282"/>
  <c r="V18" i="282"/>
  <c r="AR18" i="282"/>
  <c r="L18" i="282" s="1"/>
  <c r="T18" i="282"/>
  <c r="AQ18" i="282"/>
  <c r="AI18" i="282"/>
  <c r="AA18" i="282"/>
  <c r="S18" i="282"/>
  <c r="R18" i="282"/>
  <c r="AJ18" i="282" s="1"/>
  <c r="AF18" i="282"/>
  <c r="AS18" i="282"/>
  <c r="AE24" i="280"/>
  <c r="AC6" i="282"/>
  <c r="AK6" i="282"/>
  <c r="AS6" i="282"/>
  <c r="P7" i="282"/>
  <c r="X7" i="282"/>
  <c r="AF7" i="282"/>
  <c r="AN7" i="282"/>
  <c r="T8" i="282"/>
  <c r="AD8" i="282"/>
  <c r="AP8" i="282"/>
  <c r="Q10" i="282"/>
  <c r="R10" i="282" s="1"/>
  <c r="AD10" i="282"/>
  <c r="AP10" i="282"/>
  <c r="S11" i="282"/>
  <c r="AD11" i="282"/>
  <c r="Q12" i="282"/>
  <c r="R12" i="282" s="1"/>
  <c r="Z12" i="282" s="1"/>
  <c r="AE12" i="282"/>
  <c r="AE13" i="282"/>
  <c r="O15" i="282"/>
  <c r="W15" i="282" s="1"/>
  <c r="AN15" i="282"/>
  <c r="L16" i="282"/>
  <c r="U16" i="282" s="1"/>
  <c r="Y16" i="282"/>
  <c r="AG18" i="282"/>
  <c r="V6" i="282"/>
  <c r="AD6" i="282"/>
  <c r="AL6" i="282"/>
  <c r="Q7" i="282"/>
  <c r="R7" i="282" s="1"/>
  <c r="Y7" i="282"/>
  <c r="AG7" i="282"/>
  <c r="AO7" i="282"/>
  <c r="L8" i="282"/>
  <c r="U8" i="282" s="1"/>
  <c r="AF8" i="282"/>
  <c r="AQ8" i="282"/>
  <c r="AF10" i="282"/>
  <c r="AQ10" i="282"/>
  <c r="AN13" i="282"/>
  <c r="AF13" i="282"/>
  <c r="X13" i="282"/>
  <c r="P13" i="282"/>
  <c r="AL13" i="282"/>
  <c r="AD13" i="282"/>
  <c r="V13" i="282"/>
  <c r="AS13" i="282"/>
  <c r="AK13" i="282"/>
  <c r="AC13" i="282"/>
  <c r="S13" i="282"/>
  <c r="AG13" i="282"/>
  <c r="AR13" i="282"/>
  <c r="L13" i="282" s="1"/>
  <c r="P15" i="282"/>
  <c r="AC15" i="282"/>
  <c r="AO15" i="282"/>
  <c r="AM16" i="282"/>
  <c r="AH18" i="282"/>
  <c r="AN23" i="282"/>
  <c r="AF23" i="282"/>
  <c r="X23" i="282"/>
  <c r="P23" i="282"/>
  <c r="AM23" i="282"/>
  <c r="AE23" i="282"/>
  <c r="W23" i="282"/>
  <c r="O23" i="282"/>
  <c r="AL23" i="282"/>
  <c r="AD23" i="282"/>
  <c r="V23" i="282"/>
  <c r="AS23" i="282"/>
  <c r="AK23" i="282"/>
  <c r="AC23" i="282"/>
  <c r="U23" i="282"/>
  <c r="M23" i="282"/>
  <c r="AR23" i="282"/>
  <c r="AJ23" i="282"/>
  <c r="AB23" i="282"/>
  <c r="T23" i="282"/>
  <c r="L23" i="282"/>
  <c r="AQ23" i="282"/>
  <c r="AI23" i="282"/>
  <c r="AA23" i="282"/>
  <c r="S23" i="282"/>
  <c r="AP23" i="282"/>
  <c r="AH23" i="282"/>
  <c r="Z23" i="282"/>
  <c r="R23" i="282"/>
  <c r="J23" i="282"/>
  <c r="O6" i="282"/>
  <c r="W6" i="282" s="1"/>
  <c r="AE6" i="282"/>
  <c r="AM6" i="282"/>
  <c r="J7" i="282"/>
  <c r="AH7" i="282"/>
  <c r="AP7" i="282"/>
  <c r="V8" i="282"/>
  <c r="AH8" i="282"/>
  <c r="S10" i="282"/>
  <c r="AP11" i="282"/>
  <c r="AH11" i="282"/>
  <c r="AN11" i="282"/>
  <c r="AF11" i="282"/>
  <c r="X11" i="282"/>
  <c r="P11" i="282"/>
  <c r="AM11" i="282"/>
  <c r="AE11" i="282"/>
  <c r="O11" i="282"/>
  <c r="W11" i="282" s="1"/>
  <c r="AI11" i="282"/>
  <c r="AS12" i="282"/>
  <c r="AK12" i="282"/>
  <c r="AC12" i="282"/>
  <c r="AQ12" i="282"/>
  <c r="AI12" i="282"/>
  <c r="AA12" i="282"/>
  <c r="S12" i="282"/>
  <c r="AP12" i="282"/>
  <c r="AH12" i="282"/>
  <c r="V12" i="282"/>
  <c r="AG12" i="282"/>
  <c r="T13" i="282"/>
  <c r="AH13" i="282"/>
  <c r="Q15" i="282"/>
  <c r="R15" i="282" s="1"/>
  <c r="AE15" i="282"/>
  <c r="O16" i="282"/>
  <c r="W16" i="282" s="1"/>
  <c r="AA16" i="282"/>
  <c r="AO16" i="282"/>
  <c r="X18" i="282"/>
  <c r="AK18" i="282"/>
  <c r="U19" i="282"/>
  <c r="Y23" i="282"/>
  <c r="AO8" i="282"/>
  <c r="AG8" i="282"/>
  <c r="Y8" i="282"/>
  <c r="Q8" i="282"/>
  <c r="R8" i="282" s="1"/>
  <c r="AM8" i="282"/>
  <c r="AE8" i="282"/>
  <c r="AL8" i="282"/>
  <c r="P6" i="282"/>
  <c r="X6" i="282"/>
  <c r="AF6" i="282"/>
  <c r="AN6" i="282"/>
  <c r="S7" i="282"/>
  <c r="AA7" i="282"/>
  <c r="AI7" i="282"/>
  <c r="AQ7" i="282"/>
  <c r="X8" i="282"/>
  <c r="AI8" i="282"/>
  <c r="AS8" i="282"/>
  <c r="AM10" i="282"/>
  <c r="AE10" i="282"/>
  <c r="O10" i="282"/>
  <c r="W10" i="282" s="1"/>
  <c r="AS10" i="282"/>
  <c r="AK10" i="282"/>
  <c r="AC10" i="282"/>
  <c r="AR10" i="282"/>
  <c r="L10" i="282" s="1"/>
  <c r="U10" i="282" s="1"/>
  <c r="T10" i="282"/>
  <c r="V10" i="282"/>
  <c r="AH10" i="282"/>
  <c r="AL15" i="282"/>
  <c r="AD15" i="282"/>
  <c r="V15" i="282"/>
  <c r="AR15" i="282"/>
  <c r="L15" i="282" s="1"/>
  <c r="M15" i="282" s="1"/>
  <c r="T15" i="282"/>
  <c r="AQ15" i="282"/>
  <c r="AI15" i="282"/>
  <c r="AA15" i="282"/>
  <c r="S15" i="282"/>
  <c r="AF15" i="282"/>
  <c r="AS15" i="282"/>
  <c r="Q16" i="282"/>
  <c r="R16" i="282" s="1"/>
  <c r="AJ16" i="282" s="1"/>
  <c r="AP16" i="282"/>
  <c r="AG23" i="282"/>
  <c r="Q6" i="282"/>
  <c r="R6" i="282" s="1"/>
  <c r="Y6" i="282"/>
  <c r="AG6" i="282"/>
  <c r="L7" i="282"/>
  <c r="T7" i="282"/>
  <c r="O8" i="282"/>
  <c r="W8" i="282" s="1"/>
  <c r="X10" i="282"/>
  <c r="AI10" i="282"/>
  <c r="L11" i="282"/>
  <c r="M11" i="282" s="1"/>
  <c r="Y11" i="282"/>
  <c r="AK11" i="282"/>
  <c r="L12" i="282"/>
  <c r="M12" i="282" s="1"/>
  <c r="X12" i="282"/>
  <c r="AL12" i="282"/>
  <c r="Y13" i="282"/>
  <c r="AG15" i="282"/>
  <c r="AE16" i="282"/>
  <c r="AQ16" i="282"/>
  <c r="O18" i="282"/>
  <c r="W18" i="282" s="1"/>
  <c r="Z18" i="282"/>
  <c r="AN18" i="282"/>
  <c r="AO23" i="282"/>
  <c r="Q9" i="282"/>
  <c r="R9" i="282" s="1"/>
  <c r="Y9" i="282"/>
  <c r="AG9" i="282"/>
  <c r="AO9" i="282"/>
  <c r="V19" i="282"/>
  <c r="AD19" i="282"/>
  <c r="AL19" i="282"/>
  <c r="Q20" i="282"/>
  <c r="R20" i="282" s="1"/>
  <c r="Y20" i="282"/>
  <c r="AG20" i="282"/>
  <c r="AO20" i="282"/>
  <c r="L21" i="282"/>
  <c r="T21" i="282"/>
  <c r="AB21" i="282"/>
  <c r="AJ21" i="282"/>
  <c r="AR21" i="282"/>
  <c r="O22" i="282"/>
  <c r="W22" i="282"/>
  <c r="AE22" i="282"/>
  <c r="AM22" i="282"/>
  <c r="M24" i="282"/>
  <c r="U24" i="282"/>
  <c r="AC24" i="282"/>
  <c r="AK24" i="282"/>
  <c r="AS24" i="282"/>
  <c r="V25" i="282"/>
  <c r="AD25" i="282"/>
  <c r="AL25" i="282"/>
  <c r="P26" i="282"/>
  <c r="Y26" i="282"/>
  <c r="AG26" i="282"/>
  <c r="AP26" i="282"/>
  <c r="AH9" i="282"/>
  <c r="AP9" i="282"/>
  <c r="Q14" i="282"/>
  <c r="R14" i="282" s="1"/>
  <c r="Y14" i="282"/>
  <c r="AG14" i="282"/>
  <c r="Q17" i="282"/>
  <c r="R17" i="282" s="1"/>
  <c r="Y17" i="282"/>
  <c r="AG17" i="282"/>
  <c r="O19" i="282"/>
  <c r="W19" i="282"/>
  <c r="AE19" i="282"/>
  <c r="AM19" i="282"/>
  <c r="AH20" i="282"/>
  <c r="AP20" i="282"/>
  <c r="M21" i="282"/>
  <c r="U21" i="282"/>
  <c r="AC21" i="282"/>
  <c r="AK21" i="282"/>
  <c r="AS21" i="282"/>
  <c r="P22" i="282"/>
  <c r="X22" i="282"/>
  <c r="AF22" i="282"/>
  <c r="AN22" i="282"/>
  <c r="V24" i="282"/>
  <c r="AD24" i="282"/>
  <c r="AL24" i="282"/>
  <c r="O25" i="282"/>
  <c r="W25" i="282"/>
  <c r="AE25" i="282"/>
  <c r="AM25" i="282"/>
  <c r="Q26" i="282"/>
  <c r="Z26" i="282"/>
  <c r="AH26" i="282"/>
  <c r="AQ26" i="282"/>
  <c r="V21" i="282"/>
  <c r="AD21" i="282"/>
  <c r="AL21" i="282"/>
  <c r="Q22" i="282"/>
  <c r="Y22" i="282"/>
  <c r="AG22" i="282"/>
  <c r="AO22" i="282"/>
  <c r="O24" i="282"/>
  <c r="W24" i="282"/>
  <c r="AE24" i="282"/>
  <c r="AM24" i="282"/>
  <c r="R26" i="282"/>
  <c r="AA26" i="282"/>
  <c r="AI26" i="282"/>
  <c r="AR26" i="282"/>
  <c r="L9" i="282"/>
  <c r="T9" i="282"/>
  <c r="Q19" i="282"/>
  <c r="R19" i="282" s="1"/>
  <c r="Y19" i="282"/>
  <c r="AG19" i="282"/>
  <c r="L20" i="282"/>
  <c r="T20" i="282"/>
  <c r="O21" i="282"/>
  <c r="W21" i="282"/>
  <c r="AE21" i="282"/>
  <c r="AM21" i="282"/>
  <c r="J22" i="282"/>
  <c r="R22" i="282"/>
  <c r="Z22" i="282"/>
  <c r="AH22" i="282"/>
  <c r="AP22" i="282"/>
  <c r="P24" i="282"/>
  <c r="X24" i="282"/>
  <c r="AF24" i="282"/>
  <c r="AN24" i="282"/>
  <c r="Q25" i="282"/>
  <c r="Y25" i="282"/>
  <c r="AG25" i="282"/>
  <c r="J26" i="282"/>
  <c r="S26" i="282"/>
  <c r="AB26" i="282"/>
  <c r="AJ26" i="282"/>
  <c r="AS26" i="282"/>
  <c r="P21" i="282"/>
  <c r="X21" i="282"/>
  <c r="AF21" i="282"/>
  <c r="AN21" i="282"/>
  <c r="S22" i="282"/>
  <c r="AA22" i="282"/>
  <c r="AI22" i="282"/>
  <c r="AQ22" i="282"/>
  <c r="Q24" i="282"/>
  <c r="Y24" i="282"/>
  <c r="AG24" i="282"/>
  <c r="AO24" i="282"/>
  <c r="L26" i="282"/>
  <c r="T26" i="282"/>
  <c r="AC26" i="282"/>
  <c r="AK26" i="282"/>
  <c r="Q21" i="282"/>
  <c r="Y21" i="282"/>
  <c r="AG21" i="282"/>
  <c r="L22" i="282"/>
  <c r="T22" i="282"/>
  <c r="AB22" i="282"/>
  <c r="AJ22" i="282"/>
  <c r="AR22" i="282"/>
  <c r="J24" i="282"/>
  <c r="R24" i="282"/>
  <c r="Z24" i="282"/>
  <c r="AH24" i="282"/>
  <c r="AP24" i="282"/>
  <c r="M26" i="282"/>
  <c r="U26" i="282"/>
  <c r="AD26" i="282"/>
  <c r="AM26" i="282"/>
  <c r="AK22" i="282"/>
  <c r="AA24" i="282"/>
  <c r="AI24" i="282"/>
  <c r="V26" i="282"/>
  <c r="AE26" i="282"/>
  <c r="L20" i="281"/>
  <c r="U20" i="281" s="1"/>
  <c r="AQ23" i="281"/>
  <c r="AP14" i="281"/>
  <c r="AA16" i="281"/>
  <c r="AQ16" i="281"/>
  <c r="O20" i="281"/>
  <c r="W20" i="281" s="1"/>
  <c r="W26" i="281"/>
  <c r="Q15" i="281"/>
  <c r="R15" i="281" s="1"/>
  <c r="AB15" i="281" s="1"/>
  <c r="AE20" i="281"/>
  <c r="R22" i="281"/>
  <c r="AG15" i="281"/>
  <c r="T19" i="281"/>
  <c r="AF20" i="281"/>
  <c r="AP22" i="281"/>
  <c r="AI24" i="281"/>
  <c r="AQ14" i="281"/>
  <c r="Q17" i="281"/>
  <c r="R17" i="281" s="1"/>
  <c r="Z17" i="281" s="1"/>
  <c r="Q18" i="281"/>
  <c r="R18" i="281" s="1"/>
  <c r="AJ18" i="281" s="1"/>
  <c r="S20" i="281"/>
  <c r="AI20" i="281"/>
  <c r="M23" i="281"/>
  <c r="V25" i="281"/>
  <c r="AF26" i="281"/>
  <c r="O14" i="281"/>
  <c r="W14" i="281" s="1"/>
  <c r="S17" i="281"/>
  <c r="AN19" i="281"/>
  <c r="T20" i="281"/>
  <c r="Z25" i="281"/>
  <c r="AS8" i="281"/>
  <c r="P8" i="281"/>
  <c r="T14" i="281"/>
  <c r="AD17" i="281"/>
  <c r="AN20" i="281"/>
  <c r="T23" i="281"/>
  <c r="AH25" i="281"/>
  <c r="S8" i="281"/>
  <c r="O9" i="281"/>
  <c r="W9" i="281" s="1"/>
  <c r="AO13" i="281"/>
  <c r="AC14" i="281"/>
  <c r="AH17" i="281"/>
  <c r="X20" i="281"/>
  <c r="AP20" i="281"/>
  <c r="AA23" i="281"/>
  <c r="S24" i="281"/>
  <c r="AI25" i="281"/>
  <c r="AF8" i="281"/>
  <c r="X9" i="281"/>
  <c r="AE14" i="281"/>
  <c r="AL17" i="281"/>
  <c r="L19" i="281"/>
  <c r="M19" i="281" s="1"/>
  <c r="AQ20" i="281"/>
  <c r="AB23" i="281"/>
  <c r="AQ25" i="281"/>
  <c r="AH8" i="281"/>
  <c r="AQ9" i="281"/>
  <c r="AI14" i="281"/>
  <c r="AC20" i="281"/>
  <c r="AS20" i="281"/>
  <c r="AF23" i="281"/>
  <c r="AR8" i="281"/>
  <c r="L8" i="281" s="1"/>
  <c r="AK14" i="281"/>
  <c r="AN23" i="281"/>
  <c r="AD21" i="281"/>
  <c r="AE6" i="281"/>
  <c r="AN7" i="281"/>
  <c r="T8" i="281"/>
  <c r="AI8" i="281"/>
  <c r="AP13" i="281"/>
  <c r="P14" i="281"/>
  <c r="AF14" i="281"/>
  <c r="AR14" i="281"/>
  <c r="L14" i="281" s="1"/>
  <c r="M14" i="281" s="1"/>
  <c r="AC15" i="281"/>
  <c r="AD16" i="281"/>
  <c r="AI17" i="281"/>
  <c r="AG18" i="281"/>
  <c r="P19" i="281"/>
  <c r="AO19" i="281"/>
  <c r="P20" i="281"/>
  <c r="AA20" i="281"/>
  <c r="AK20" i="281"/>
  <c r="J21" i="281"/>
  <c r="U21" i="281"/>
  <c r="AE21" i="281"/>
  <c r="AP21" i="281"/>
  <c r="Z22" i="281"/>
  <c r="P23" i="281"/>
  <c r="AC23" i="281"/>
  <c r="AR23" i="281"/>
  <c r="V24" i="281"/>
  <c r="AL24" i="281"/>
  <c r="R25" i="281"/>
  <c r="AL25" i="281"/>
  <c r="AO26" i="281"/>
  <c r="S21" i="281"/>
  <c r="AF6" i="281"/>
  <c r="AQ7" i="281"/>
  <c r="V8" i="281"/>
  <c r="AK8" i="281"/>
  <c r="Y11" i="281"/>
  <c r="Q13" i="281"/>
  <c r="R13" i="281" s="1"/>
  <c r="AQ13" i="281"/>
  <c r="S14" i="281"/>
  <c r="AH14" i="281"/>
  <c r="AS14" i="281"/>
  <c r="AD15" i="281"/>
  <c r="O16" i="281"/>
  <c r="W16" i="281" s="1"/>
  <c r="AE16" i="281"/>
  <c r="AK18" i="281"/>
  <c r="Q19" i="281"/>
  <c r="R19" i="281" s="1"/>
  <c r="AM20" i="281"/>
  <c r="V21" i="281"/>
  <c r="AF21" i="281"/>
  <c r="AQ21" i="281"/>
  <c r="AH22" i="281"/>
  <c r="S23" i="281"/>
  <c r="AD23" i="281"/>
  <c r="AS23" i="281"/>
  <c r="W24" i="281"/>
  <c r="AM24" i="281"/>
  <c r="S25" i="281"/>
  <c r="AP25" i="281"/>
  <c r="O6" i="281"/>
  <c r="W6" i="281" s="1"/>
  <c r="AK6" i="281"/>
  <c r="P7" i="281"/>
  <c r="X8" i="281"/>
  <c r="AL8" i="281"/>
  <c r="O10" i="281"/>
  <c r="W10" i="281" s="1"/>
  <c r="P16" i="281"/>
  <c r="AF16" i="281"/>
  <c r="AL18" i="281"/>
  <c r="M21" i="281"/>
  <c r="W21" i="281"/>
  <c r="AH21" i="281"/>
  <c r="AS21" i="281"/>
  <c r="X24" i="281"/>
  <c r="AN24" i="281"/>
  <c r="AI7" i="281"/>
  <c r="P6" i="281"/>
  <c r="AL6" i="281"/>
  <c r="S7" i="281"/>
  <c r="AA8" i="281"/>
  <c r="AN8" i="281"/>
  <c r="X10" i="281"/>
  <c r="AR15" i="281"/>
  <c r="L15" i="281" s="1"/>
  <c r="S16" i="281"/>
  <c r="AI16" i="281"/>
  <c r="AO18" i="281"/>
  <c r="X21" i="281"/>
  <c r="AI21" i="281"/>
  <c r="U23" i="281"/>
  <c r="AI23" i="281"/>
  <c r="AA24" i="281"/>
  <c r="AQ24" i="281"/>
  <c r="V6" i="281"/>
  <c r="AM6" i="281"/>
  <c r="X7" i="281"/>
  <c r="AC8" i="281"/>
  <c r="AP8" i="281"/>
  <c r="AG10" i="281"/>
  <c r="AA13" i="281"/>
  <c r="X14" i="281"/>
  <c r="AM14" i="281"/>
  <c r="AS15" i="281"/>
  <c r="V16" i="281"/>
  <c r="AL16" i="281"/>
  <c r="AF19" i="281"/>
  <c r="O21" i="281"/>
  <c r="Z21" i="281"/>
  <c r="AK21" i="281"/>
  <c r="J22" i="281"/>
  <c r="V23" i="281"/>
  <c r="AJ23" i="281"/>
  <c r="AD24" i="281"/>
  <c r="AA25" i="281"/>
  <c r="AD6" i="281"/>
  <c r="X6" i="281"/>
  <c r="AN6" i="281"/>
  <c r="AA7" i="281"/>
  <c r="AD8" i="281"/>
  <c r="AQ8" i="281"/>
  <c r="AG9" i="281"/>
  <c r="AP10" i="281"/>
  <c r="AD13" i="281"/>
  <c r="AA14" i="281"/>
  <c r="AN14" i="281"/>
  <c r="AM16" i="281"/>
  <c r="AA17" i="281"/>
  <c r="AG19" i="281"/>
  <c r="AH20" i="281"/>
  <c r="AR20" i="281"/>
  <c r="P21" i="281"/>
  <c r="AA21" i="281"/>
  <c r="AL21" i="281"/>
  <c r="L23" i="281"/>
  <c r="X23" i="281"/>
  <c r="AK23" i="281"/>
  <c r="O24" i="281"/>
  <c r="AE24" i="281"/>
  <c r="J25" i="281"/>
  <c r="AD25" i="281"/>
  <c r="O26" i="281"/>
  <c r="AN21" i="281"/>
  <c r="AC6" i="281"/>
  <c r="AS6" i="281"/>
  <c r="AF7" i="281"/>
  <c r="AL13" i="281"/>
  <c r="X16" i="281"/>
  <c r="AN16" i="281"/>
  <c r="R21" i="281"/>
  <c r="AC21" i="281"/>
  <c r="AM21" i="281"/>
  <c r="P24" i="281"/>
  <c r="AF24" i="281"/>
  <c r="AL12" i="281"/>
  <c r="AD12" i="281"/>
  <c r="V12" i="281"/>
  <c r="AS12" i="281"/>
  <c r="AK12" i="281"/>
  <c r="AQ12" i="281"/>
  <c r="AI12" i="281"/>
  <c r="AA12" i="281"/>
  <c r="S12" i="281"/>
  <c r="Q7" i="281"/>
  <c r="R7" i="281" s="1"/>
  <c r="Y7" i="281"/>
  <c r="AG7" i="281"/>
  <c r="AO7" i="281"/>
  <c r="P9" i="281"/>
  <c r="Y9" i="281"/>
  <c r="AI9" i="281"/>
  <c r="AR9" i="281"/>
  <c r="P10" i="281"/>
  <c r="Y10" i="281"/>
  <c r="AH10" i="281"/>
  <c r="AQ10" i="281"/>
  <c r="O11" i="281"/>
  <c r="W11" i="281" s="1"/>
  <c r="AK11" i="281"/>
  <c r="AC12" i="281"/>
  <c r="AO12" i="281"/>
  <c r="Q12" i="281"/>
  <c r="R12" i="281" s="1"/>
  <c r="AN12" i="281"/>
  <c r="J7" i="281"/>
  <c r="AH7" i="281"/>
  <c r="AP7" i="281"/>
  <c r="Q9" i="281"/>
  <c r="R9" i="281" s="1"/>
  <c r="AA9" i="281"/>
  <c r="Q10" i="281"/>
  <c r="R10" i="281" s="1"/>
  <c r="AI10" i="281"/>
  <c r="Q11" i="281"/>
  <c r="R11" i="281" s="1"/>
  <c r="T12" i="281"/>
  <c r="AE12" i="281"/>
  <c r="AP12" i="281"/>
  <c r="AP9" i="281"/>
  <c r="AH9" i="281"/>
  <c r="S9" i="281"/>
  <c r="AK9" i="281"/>
  <c r="AS10" i="281"/>
  <c r="AK10" i="281"/>
  <c r="AC10" i="281"/>
  <c r="AA10" i="281"/>
  <c r="AQ11" i="281"/>
  <c r="AI11" i="281"/>
  <c r="AA11" i="281"/>
  <c r="S11" i="281"/>
  <c r="AN11" i="281"/>
  <c r="AF11" i="281"/>
  <c r="X11" i="281"/>
  <c r="P11" i="281"/>
  <c r="AC11" i="281"/>
  <c r="AM11" i="281"/>
  <c r="AF12" i="281"/>
  <c r="AR12" i="281"/>
  <c r="L12" i="281" s="1"/>
  <c r="M12" i="281" s="1"/>
  <c r="AN20" i="280"/>
  <c r="Q6" i="281"/>
  <c r="R6" i="281" s="1"/>
  <c r="Z6" i="281" s="1"/>
  <c r="Y6" i="281"/>
  <c r="AG6" i="281"/>
  <c r="AO6" i="281"/>
  <c r="T7" i="281"/>
  <c r="AR7" i="281"/>
  <c r="L7" i="281" s="1"/>
  <c r="M7" i="281" s="1"/>
  <c r="O8" i="281"/>
  <c r="W8" i="281" s="1"/>
  <c r="AE8" i="281"/>
  <c r="AM8" i="281"/>
  <c r="T9" i="281"/>
  <c r="AC9" i="281"/>
  <c r="AL9" i="281"/>
  <c r="S10" i="281"/>
  <c r="AL10" i="281"/>
  <c r="T11" i="281"/>
  <c r="AD11" i="281"/>
  <c r="AO11" i="281"/>
  <c r="AG12" i="281"/>
  <c r="S13" i="281"/>
  <c r="AG13" i="281"/>
  <c r="T15" i="281"/>
  <c r="V17" i="281"/>
  <c r="V18" i="281"/>
  <c r="AS18" i="281"/>
  <c r="X19" i="281"/>
  <c r="AH6" i="281"/>
  <c r="AP6" i="281"/>
  <c r="AC7" i="281"/>
  <c r="AK7" i="281"/>
  <c r="AS7" i="281"/>
  <c r="L9" i="281"/>
  <c r="M9" i="281" s="1"/>
  <c r="AD9" i="281"/>
  <c r="AM9" i="281"/>
  <c r="T10" i="281"/>
  <c r="AD10" i="281"/>
  <c r="AM10" i="281"/>
  <c r="AE11" i="281"/>
  <c r="AP11" i="281"/>
  <c r="X12" i="281"/>
  <c r="AH12" i="281"/>
  <c r="AN13" i="281"/>
  <c r="AF13" i="281"/>
  <c r="X13" i="281"/>
  <c r="P13" i="281"/>
  <c r="AM13" i="281"/>
  <c r="AE13" i="281"/>
  <c r="O13" i="281"/>
  <c r="W13" i="281" s="1"/>
  <c r="AS13" i="281"/>
  <c r="AK13" i="281"/>
  <c r="AC13" i="281"/>
  <c r="U13" i="281"/>
  <c r="M13" i="281"/>
  <c r="T13" i="281"/>
  <c r="AH13" i="281"/>
  <c r="AO17" i="281"/>
  <c r="AG17" i="281"/>
  <c r="AN17" i="281"/>
  <c r="AF17" i="281"/>
  <c r="X17" i="281"/>
  <c r="P17" i="281"/>
  <c r="AM17" i="281"/>
  <c r="AE17" i="281"/>
  <c r="O17" i="281"/>
  <c r="W17" i="281" s="1"/>
  <c r="AS17" i="281"/>
  <c r="AK17" i="281"/>
  <c r="AC17" i="281"/>
  <c r="AR17" i="281"/>
  <c r="L17" i="281" s="1"/>
  <c r="M17" i="281" s="1"/>
  <c r="T17" i="281"/>
  <c r="Y17" i="281"/>
  <c r="AQ17" i="281"/>
  <c r="AM19" i="281"/>
  <c r="AE19" i="281"/>
  <c r="O19" i="281"/>
  <c r="W19" i="281" s="1"/>
  <c r="AL19" i="281"/>
  <c r="AD19" i="281"/>
  <c r="V19" i="281"/>
  <c r="AS19" i="281"/>
  <c r="AK19" i="281"/>
  <c r="AC19" i="281"/>
  <c r="AQ19" i="281"/>
  <c r="AI19" i="281"/>
  <c r="AA19" i="281"/>
  <c r="S19" i="281"/>
  <c r="AP19" i="281"/>
  <c r="AH19" i="281"/>
  <c r="Y19" i="281"/>
  <c r="S6" i="281"/>
  <c r="AA6" i="281"/>
  <c r="AI6" i="281"/>
  <c r="AQ6" i="281"/>
  <c r="V7" i="281"/>
  <c r="AD7" i="281"/>
  <c r="AL7" i="281"/>
  <c r="Q8" i="281"/>
  <c r="R8" i="281" s="1"/>
  <c r="Y8" i="281"/>
  <c r="AG8" i="281"/>
  <c r="V9" i="281"/>
  <c r="AE9" i="281"/>
  <c r="AN9" i="281"/>
  <c r="L10" i="281"/>
  <c r="U10" i="281" s="1"/>
  <c r="V10" i="281"/>
  <c r="AE10" i="281"/>
  <c r="AN10" i="281"/>
  <c r="V11" i="281"/>
  <c r="AG11" i="281"/>
  <c r="AR11" i="281"/>
  <c r="L11" i="281" s="1"/>
  <c r="M11" i="281" s="1"/>
  <c r="O12" i="281"/>
  <c r="W12" i="281" s="1"/>
  <c r="Y12" i="281"/>
  <c r="V13" i="281"/>
  <c r="AI13" i="281"/>
  <c r="AQ15" i="281"/>
  <c r="AI15" i="281"/>
  <c r="AA15" i="281"/>
  <c r="S15" i="281"/>
  <c r="AP15" i="281"/>
  <c r="AH15" i="281"/>
  <c r="AN15" i="281"/>
  <c r="AF15" i="281"/>
  <c r="X15" i="281"/>
  <c r="P15" i="281"/>
  <c r="AM15" i="281"/>
  <c r="AE15" i="281"/>
  <c r="O15" i="281"/>
  <c r="W15" i="281" s="1"/>
  <c r="V15" i="281"/>
  <c r="AL15" i="281"/>
  <c r="AR18" i="281"/>
  <c r="L18" i="281" s="1"/>
  <c r="U18" i="281" s="1"/>
  <c r="T18" i="281"/>
  <c r="AQ18" i="281"/>
  <c r="AI18" i="281"/>
  <c r="AA18" i="281"/>
  <c r="S18" i="281"/>
  <c r="AP18" i="281"/>
  <c r="AH18" i="281"/>
  <c r="AN18" i="281"/>
  <c r="AF18" i="281"/>
  <c r="X18" i="281"/>
  <c r="P18" i="281"/>
  <c r="AM18" i="281"/>
  <c r="AE18" i="281"/>
  <c r="O18" i="281"/>
  <c r="W18" i="281" s="1"/>
  <c r="AC18" i="281"/>
  <c r="L6" i="281"/>
  <c r="T6" i="281"/>
  <c r="O7" i="281"/>
  <c r="W7" i="281" s="1"/>
  <c r="AE7" i="281"/>
  <c r="AF9" i="281"/>
  <c r="AO9" i="281"/>
  <c r="AF10" i="281"/>
  <c r="AO10" i="281"/>
  <c r="AH11" i="281"/>
  <c r="AS11" i="281"/>
  <c r="P12" i="281"/>
  <c r="AM12" i="281"/>
  <c r="Y13" i="281"/>
  <c r="Y15" i="281"/>
  <c r="AO15" i="281"/>
  <c r="AD18" i="281"/>
  <c r="Q16" i="281"/>
  <c r="R16" i="281" s="1"/>
  <c r="Y16" i="281"/>
  <c r="AG16" i="281"/>
  <c r="AO16" i="281"/>
  <c r="S22" i="281"/>
  <c r="AA22" i="281"/>
  <c r="AI22" i="281"/>
  <c r="AQ22" i="281"/>
  <c r="AL23" i="281"/>
  <c r="Q24" i="281"/>
  <c r="Y24" i="281"/>
  <c r="AG24" i="281"/>
  <c r="AO24" i="281"/>
  <c r="L25" i="281"/>
  <c r="T25" i="281"/>
  <c r="AB25" i="281"/>
  <c r="AJ25" i="281"/>
  <c r="AR25" i="281"/>
  <c r="P26" i="281"/>
  <c r="Y26" i="281"/>
  <c r="AG26" i="281"/>
  <c r="AP26" i="281"/>
  <c r="V14" i="281"/>
  <c r="AD14" i="281"/>
  <c r="AL14" i="281"/>
  <c r="AH16" i="281"/>
  <c r="AP16" i="281"/>
  <c r="V20" i="281"/>
  <c r="AD20" i="281"/>
  <c r="AL20" i="281"/>
  <c r="Q21" i="281"/>
  <c r="Y21" i="281"/>
  <c r="AG21" i="281"/>
  <c r="AO21" i="281"/>
  <c r="L22" i="281"/>
  <c r="T22" i="281"/>
  <c r="AB22" i="281"/>
  <c r="AJ22" i="281"/>
  <c r="AR22" i="281"/>
  <c r="O23" i="281"/>
  <c r="W23" i="281"/>
  <c r="AE23" i="281"/>
  <c r="AM23" i="281"/>
  <c r="J24" i="281"/>
  <c r="R24" i="281"/>
  <c r="Z24" i="281"/>
  <c r="AH24" i="281"/>
  <c r="AP24" i="281"/>
  <c r="M25" i="281"/>
  <c r="U25" i="281"/>
  <c r="AC25" i="281"/>
  <c r="AK25" i="281"/>
  <c r="AS25" i="281"/>
  <c r="Q26" i="281"/>
  <c r="Z26" i="281"/>
  <c r="AH26" i="281"/>
  <c r="AQ26" i="281"/>
  <c r="M22" i="281"/>
  <c r="U22" i="281"/>
  <c r="AC22" i="281"/>
  <c r="AK22" i="281"/>
  <c r="AS22" i="281"/>
  <c r="R26" i="281"/>
  <c r="AA26" i="281"/>
  <c r="AI26" i="281"/>
  <c r="AR26" i="281"/>
  <c r="T16" i="281"/>
  <c r="AR16" i="281"/>
  <c r="L16" i="281" s="1"/>
  <c r="V22" i="281"/>
  <c r="AD22" i="281"/>
  <c r="AL22" i="281"/>
  <c r="Q23" i="281"/>
  <c r="Y23" i="281"/>
  <c r="AG23" i="281"/>
  <c r="AO23" i="281"/>
  <c r="L24" i="281"/>
  <c r="T24" i="281"/>
  <c r="AB24" i="281"/>
  <c r="AJ24" i="281"/>
  <c r="AR24" i="281"/>
  <c r="O25" i="281"/>
  <c r="W25" i="281"/>
  <c r="AE25" i="281"/>
  <c r="AM25" i="281"/>
  <c r="J26" i="281"/>
  <c r="S26" i="281"/>
  <c r="AB26" i="281"/>
  <c r="AJ26" i="281"/>
  <c r="AS26" i="281"/>
  <c r="Q14" i="281"/>
  <c r="R14" i="281" s="1"/>
  <c r="Y14" i="281"/>
  <c r="AG14" i="281"/>
  <c r="AC16" i="281"/>
  <c r="AK16" i="281"/>
  <c r="Q20" i="281"/>
  <c r="R20" i="281" s="1"/>
  <c r="Y20" i="281"/>
  <c r="AG20" i="281"/>
  <c r="L21" i="281"/>
  <c r="T21" i="281"/>
  <c r="AB21" i="281"/>
  <c r="AJ21" i="281"/>
  <c r="O22" i="281"/>
  <c r="W22" i="281"/>
  <c r="AE22" i="281"/>
  <c r="AM22" i="281"/>
  <c r="J23" i="281"/>
  <c r="R23" i="281"/>
  <c r="Z23" i="281"/>
  <c r="AH23" i="281"/>
  <c r="M24" i="281"/>
  <c r="U24" i="281"/>
  <c r="AC24" i="281"/>
  <c r="AK24" i="281"/>
  <c r="P25" i="281"/>
  <c r="X25" i="281"/>
  <c r="AF25" i="281"/>
  <c r="AN25" i="281"/>
  <c r="L26" i="281"/>
  <c r="T26" i="281"/>
  <c r="AC26" i="281"/>
  <c r="AK26" i="281"/>
  <c r="P22" i="281"/>
  <c r="X22" i="281"/>
  <c r="AF22" i="281"/>
  <c r="AN22" i="281"/>
  <c r="Q25" i="281"/>
  <c r="Y25" i="281"/>
  <c r="AG25" i="281"/>
  <c r="M26" i="281"/>
  <c r="U26" i="281"/>
  <c r="AD26" i="281"/>
  <c r="AM26" i="281"/>
  <c r="Q22" i="281"/>
  <c r="Y22" i="281"/>
  <c r="AG22" i="281"/>
  <c r="V26" i="281"/>
  <c r="AE26" i="281"/>
  <c r="AC21" i="280"/>
  <c r="AI21" i="280"/>
  <c r="J21" i="280"/>
  <c r="AQ21" i="280"/>
  <c r="V23" i="280"/>
  <c r="S7" i="280"/>
  <c r="X19" i="280"/>
  <c r="AS21" i="280"/>
  <c r="AK23" i="280"/>
  <c r="V7" i="280"/>
  <c r="AQ17" i="280"/>
  <c r="R21" i="280"/>
  <c r="U21" i="280"/>
  <c r="AP20" i="280"/>
  <c r="J25" i="280"/>
  <c r="AI8" i="279"/>
  <c r="AA7" i="280"/>
  <c r="S10" i="280"/>
  <c r="J20" i="280"/>
  <c r="X21" i="280"/>
  <c r="AC7" i="280"/>
  <c r="AM10" i="280"/>
  <c r="S17" i="280"/>
  <c r="AD7" i="280"/>
  <c r="V17" i="280"/>
  <c r="AE21" i="280"/>
  <c r="AF7" i="280"/>
  <c r="X20" i="280"/>
  <c r="M21" i="280"/>
  <c r="AF21" i="280"/>
  <c r="O24" i="280"/>
  <c r="AN7" i="280"/>
  <c r="AC9" i="280"/>
  <c r="AH17" i="280"/>
  <c r="AC20" i="280"/>
  <c r="AH21" i="280"/>
  <c r="AD24" i="280"/>
  <c r="AR7" i="280"/>
  <c r="L7" i="280" s="1"/>
  <c r="U7" i="280" s="1"/>
  <c r="AP17" i="280"/>
  <c r="AI20" i="280"/>
  <c r="X7" i="280"/>
  <c r="AS7" i="280"/>
  <c r="AL9" i="280"/>
  <c r="V10" i="280"/>
  <c r="AN10" i="280"/>
  <c r="AD12" i="280"/>
  <c r="AE20" i="280"/>
  <c r="AL24" i="280"/>
  <c r="W26" i="280"/>
  <c r="AC12" i="280"/>
  <c r="AM9" i="280"/>
  <c r="AC10" i="280"/>
  <c r="AP10" i="280"/>
  <c r="L12" i="280"/>
  <c r="U12" i="280" s="1"/>
  <c r="AF12" i="280"/>
  <c r="S13" i="280"/>
  <c r="AD10" i="280"/>
  <c r="AQ10" i="280"/>
  <c r="AI12" i="280"/>
  <c r="AA13" i="280"/>
  <c r="AA16" i="280"/>
  <c r="AE10" i="280"/>
  <c r="AS10" i="280"/>
  <c r="P12" i="280"/>
  <c r="AK12" i="280"/>
  <c r="AD13" i="280"/>
  <c r="AQ16" i="280"/>
  <c r="AF10" i="280"/>
  <c r="S12" i="280"/>
  <c r="AQ12" i="280"/>
  <c r="AI13" i="280"/>
  <c r="Q15" i="280"/>
  <c r="R15" i="280" s="1"/>
  <c r="AI17" i="280"/>
  <c r="S20" i="280"/>
  <c r="AS20" i="280"/>
  <c r="AM21" i="280"/>
  <c r="V24" i="280"/>
  <c r="P7" i="280"/>
  <c r="AL7" i="280"/>
  <c r="O10" i="280"/>
  <c r="W10" i="280" s="1"/>
  <c r="AH10" i="280"/>
  <c r="T12" i="280"/>
  <c r="AS12" i="280"/>
  <c r="AQ13" i="280"/>
  <c r="AG15" i="280"/>
  <c r="AL17" i="280"/>
  <c r="T20" i="280"/>
  <c r="W21" i="280"/>
  <c r="AP21" i="280"/>
  <c r="AA24" i="280"/>
  <c r="AD25" i="280"/>
  <c r="P10" i="280"/>
  <c r="AI10" i="280"/>
  <c r="AA12" i="280"/>
  <c r="AG16" i="279"/>
  <c r="T7" i="280"/>
  <c r="AI7" i="280"/>
  <c r="S9" i="280"/>
  <c r="AP9" i="280"/>
  <c r="X10" i="280"/>
  <c r="AK10" i="280"/>
  <c r="AL11" i="280"/>
  <c r="V12" i="280"/>
  <c r="AL12" i="280"/>
  <c r="O13" i="280"/>
  <c r="W13" i="280" s="1"/>
  <c r="AE13" i="280"/>
  <c r="AC15" i="280"/>
  <c r="AD16" i="280"/>
  <c r="AA17" i="280"/>
  <c r="L20" i="280"/>
  <c r="U20" i="280"/>
  <c r="AF20" i="280"/>
  <c r="AQ20" i="280"/>
  <c r="O21" i="280"/>
  <c r="Z21" i="280"/>
  <c r="AK21" i="280"/>
  <c r="L23" i="280"/>
  <c r="X23" i="280"/>
  <c r="AN23" i="280"/>
  <c r="P24" i="280"/>
  <c r="AF24" i="280"/>
  <c r="AH25" i="280"/>
  <c r="AA26" i="280"/>
  <c r="AK7" i="280"/>
  <c r="P8" i="280"/>
  <c r="T9" i="280"/>
  <c r="AA10" i="280"/>
  <c r="AL10" i="280"/>
  <c r="X12" i="280"/>
  <c r="AN12" i="280"/>
  <c r="P13" i="280"/>
  <c r="AF13" i="280"/>
  <c r="AD15" i="280"/>
  <c r="O16" i="280"/>
  <c r="W16" i="280" s="1"/>
  <c r="AE16" i="280"/>
  <c r="AD17" i="280"/>
  <c r="M20" i="280"/>
  <c r="W20" i="280"/>
  <c r="AH20" i="280"/>
  <c r="AR20" i="280"/>
  <c r="P21" i="280"/>
  <c r="AA21" i="280"/>
  <c r="AL21" i="280"/>
  <c r="M23" i="280"/>
  <c r="AA23" i="280"/>
  <c r="AQ23" i="280"/>
  <c r="S24" i="280"/>
  <c r="AI24" i="280"/>
  <c r="AI25" i="280"/>
  <c r="X8" i="280"/>
  <c r="P11" i="280"/>
  <c r="V14" i="280"/>
  <c r="P16" i="280"/>
  <c r="AF16" i="280"/>
  <c r="U18" i="280"/>
  <c r="Q22" i="280"/>
  <c r="AB23" i="280"/>
  <c r="AR23" i="280"/>
  <c r="R25" i="280"/>
  <c r="AL25" i="280"/>
  <c r="AF8" i="280"/>
  <c r="AD9" i="280"/>
  <c r="Q11" i="280"/>
  <c r="R11" i="280" s="1"/>
  <c r="Z11" i="280" s="1"/>
  <c r="AR12" i="280"/>
  <c r="V13" i="280"/>
  <c r="AL13" i="280"/>
  <c r="AK15" i="280"/>
  <c r="S16" i="280"/>
  <c r="AI16" i="280"/>
  <c r="V18" i="280"/>
  <c r="O20" i="280"/>
  <c r="Z20" i="280"/>
  <c r="AJ20" i="280"/>
  <c r="S21" i="280"/>
  <c r="AD21" i="280"/>
  <c r="AN21" i="280"/>
  <c r="R22" i="280"/>
  <c r="P23" i="280"/>
  <c r="AC23" i="280"/>
  <c r="AS23" i="280"/>
  <c r="W24" i="280"/>
  <c r="AM24" i="280"/>
  <c r="S25" i="280"/>
  <c r="AP25" i="280"/>
  <c r="AK11" i="280"/>
  <c r="AN8" i="280"/>
  <c r="AF9" i="280"/>
  <c r="Y11" i="280"/>
  <c r="AM13" i="280"/>
  <c r="V16" i="280"/>
  <c r="AL16" i="280"/>
  <c r="Y18" i="280"/>
  <c r="P20" i="280"/>
  <c r="AA20" i="280"/>
  <c r="AK20" i="280"/>
  <c r="AK22" i="280"/>
  <c r="S23" i="280"/>
  <c r="AF23" i="280"/>
  <c r="X24" i="280"/>
  <c r="AN24" i="280"/>
  <c r="V25" i="280"/>
  <c r="AQ25" i="280"/>
  <c r="AS18" i="280"/>
  <c r="AK9" i="280"/>
  <c r="AA11" i="280"/>
  <c r="X13" i="280"/>
  <c r="AN13" i="280"/>
  <c r="AM16" i="280"/>
  <c r="AD18" i="280"/>
  <c r="R20" i="280"/>
  <c r="AB20" i="280"/>
  <c r="AM20" i="280"/>
  <c r="AO22" i="280"/>
  <c r="T23" i="280"/>
  <c r="AI23" i="280"/>
  <c r="AQ24" i="280"/>
  <c r="Z25" i="280"/>
  <c r="AI11" i="280"/>
  <c r="X16" i="280"/>
  <c r="AN16" i="280"/>
  <c r="U23" i="280"/>
  <c r="AJ23" i="280"/>
  <c r="AA25" i="280"/>
  <c r="S6" i="280"/>
  <c r="AA6" i="280"/>
  <c r="AI6" i="280"/>
  <c r="AQ6" i="280"/>
  <c r="Q8" i="280"/>
  <c r="R8" i="280" s="1"/>
  <c r="Y8" i="280"/>
  <c r="AG8" i="280"/>
  <c r="AO8" i="280"/>
  <c r="AN14" i="280"/>
  <c r="AF14" i="280"/>
  <c r="X14" i="280"/>
  <c r="P14" i="280"/>
  <c r="AM14" i="280"/>
  <c r="AE14" i="280"/>
  <c r="O14" i="280"/>
  <c r="W14" i="280" s="1"/>
  <c r="AS14" i="280"/>
  <c r="AK14" i="280"/>
  <c r="AC14" i="280"/>
  <c r="AR14" i="280"/>
  <c r="L14" i="280" s="1"/>
  <c r="T14" i="280"/>
  <c r="Y14" i="280"/>
  <c r="AO14" i="280"/>
  <c r="AM19" i="280"/>
  <c r="AE19" i="280"/>
  <c r="W19" i="280"/>
  <c r="O19" i="280"/>
  <c r="AL19" i="280"/>
  <c r="AD19" i="280"/>
  <c r="V19" i="280"/>
  <c r="AS19" i="280"/>
  <c r="AK19" i="280"/>
  <c r="AC19" i="280"/>
  <c r="U19" i="280"/>
  <c r="M19" i="280"/>
  <c r="AQ19" i="280"/>
  <c r="AI19" i="280"/>
  <c r="AA19" i="280"/>
  <c r="S19" i="280"/>
  <c r="AP19" i="280"/>
  <c r="AH19" i="280"/>
  <c r="Z19" i="280"/>
  <c r="R19" i="280"/>
  <c r="J19" i="280"/>
  <c r="Y19" i="280"/>
  <c r="AH6" i="280"/>
  <c r="AP6" i="280"/>
  <c r="T6" i="280"/>
  <c r="AR6" i="280"/>
  <c r="L6" i="280" s="1"/>
  <c r="O7" i="280"/>
  <c r="W7" i="280" s="1"/>
  <c r="AE7" i="280"/>
  <c r="AM7" i="280"/>
  <c r="AH8" i="280"/>
  <c r="AP8" i="280"/>
  <c r="M9" i="280"/>
  <c r="V9" i="280"/>
  <c r="AE9" i="280"/>
  <c r="AN9" i="280"/>
  <c r="AC11" i="280"/>
  <c r="AP14" i="280"/>
  <c r="T15" i="280"/>
  <c r="AR18" i="280"/>
  <c r="AJ18" i="280"/>
  <c r="AB18" i="280"/>
  <c r="T18" i="280"/>
  <c r="L18" i="280"/>
  <c r="AQ18" i="280"/>
  <c r="AI18" i="280"/>
  <c r="AA18" i="280"/>
  <c r="S18" i="280"/>
  <c r="AP18" i="280"/>
  <c r="AH18" i="280"/>
  <c r="Z18" i="280"/>
  <c r="R18" i="280"/>
  <c r="J18" i="280"/>
  <c r="AN18" i="280"/>
  <c r="AF18" i="280"/>
  <c r="X18" i="280"/>
  <c r="P18" i="280"/>
  <c r="AM18" i="280"/>
  <c r="AE18" i="280"/>
  <c r="W18" i="280"/>
  <c r="O18" i="280"/>
  <c r="AC18" i="280"/>
  <c r="AB19" i="280"/>
  <c r="U22" i="280"/>
  <c r="AC6" i="280"/>
  <c r="AK6" i="280"/>
  <c r="AS6" i="280"/>
  <c r="S8" i="280"/>
  <c r="AA8" i="280"/>
  <c r="AI8" i="280"/>
  <c r="AQ8" i="280"/>
  <c r="AM11" i="280"/>
  <c r="AE11" i="280"/>
  <c r="O11" i="280"/>
  <c r="W11" i="280" s="1"/>
  <c r="AR11" i="280"/>
  <c r="T11" i="280"/>
  <c r="L11" i="280"/>
  <c r="U11" i="280" s="1"/>
  <c r="S11" i="280"/>
  <c r="AD11" i="280"/>
  <c r="AO11" i="280"/>
  <c r="AA14" i="280"/>
  <c r="AQ14" i="280"/>
  <c r="L19" i="280"/>
  <c r="AF19" i="280"/>
  <c r="AN22" i="280"/>
  <c r="AF22" i="280"/>
  <c r="X22" i="280"/>
  <c r="P22" i="280"/>
  <c r="AM22" i="280"/>
  <c r="AE22" i="280"/>
  <c r="W22" i="280"/>
  <c r="O22" i="280"/>
  <c r="AL22" i="280"/>
  <c r="AD22" i="280"/>
  <c r="V22" i="280"/>
  <c r="AR22" i="280"/>
  <c r="AJ22" i="280"/>
  <c r="AB22" i="280"/>
  <c r="T22" i="280"/>
  <c r="L22" i="280"/>
  <c r="AQ22" i="280"/>
  <c r="AI22" i="280"/>
  <c r="AA22" i="280"/>
  <c r="S22" i="280"/>
  <c r="Y22" i="280"/>
  <c r="AS22" i="280"/>
  <c r="AM26" i="280"/>
  <c r="AD26" i="280"/>
  <c r="U26" i="280"/>
  <c r="M26" i="280"/>
  <c r="AK26" i="280"/>
  <c r="AC26" i="280"/>
  <c r="T26" i="280"/>
  <c r="L26" i="280"/>
  <c r="AS26" i="280"/>
  <c r="AJ26" i="280"/>
  <c r="AB26" i="280"/>
  <c r="S26" i="280"/>
  <c r="J26" i="280"/>
  <c r="AQ26" i="280"/>
  <c r="AH26" i="280"/>
  <c r="Z26" i="280"/>
  <c r="Q26" i="280"/>
  <c r="AP26" i="280"/>
  <c r="AG26" i="280"/>
  <c r="Y26" i="280"/>
  <c r="P26" i="280"/>
  <c r="AF26" i="280"/>
  <c r="V6" i="280"/>
  <c r="AD6" i="280"/>
  <c r="AL6" i="280"/>
  <c r="Q7" i="280"/>
  <c r="R7" i="280" s="1"/>
  <c r="Z7" i="280" s="1"/>
  <c r="Y7" i="280"/>
  <c r="AG7" i="280"/>
  <c r="AO7" i="280"/>
  <c r="T8" i="280"/>
  <c r="AR8" i="280"/>
  <c r="L8" i="280" s="1"/>
  <c r="M8" i="280" s="1"/>
  <c r="O9" i="280"/>
  <c r="W9" i="280" s="1"/>
  <c r="X9" i="280"/>
  <c r="AH9" i="280"/>
  <c r="AQ9" i="280"/>
  <c r="AF11" i="280"/>
  <c r="AP11" i="280"/>
  <c r="AD14" i="280"/>
  <c r="AQ15" i="280"/>
  <c r="AI15" i="280"/>
  <c r="AA15" i="280"/>
  <c r="S15" i="280"/>
  <c r="AP15" i="280"/>
  <c r="AH15" i="280"/>
  <c r="AN15" i="280"/>
  <c r="AF15" i="280"/>
  <c r="X15" i="280"/>
  <c r="P15" i="280"/>
  <c r="AM15" i="280"/>
  <c r="AE15" i="280"/>
  <c r="O15" i="280"/>
  <c r="W15" i="280" s="1"/>
  <c r="V15" i="280"/>
  <c r="AL15" i="280"/>
  <c r="M18" i="280"/>
  <c r="AG18" i="280"/>
  <c r="AG19" i="280"/>
  <c r="J22" i="280"/>
  <c r="Z22" i="280"/>
  <c r="AI26" i="280"/>
  <c r="O6" i="280"/>
  <c r="W6" i="280" s="1"/>
  <c r="AE6" i="280"/>
  <c r="AM6" i="280"/>
  <c r="J7" i="280"/>
  <c r="AH7" i="280"/>
  <c r="AP7" i="280"/>
  <c r="AC8" i="280"/>
  <c r="AK8" i="280"/>
  <c r="AS8" i="280"/>
  <c r="P9" i="280"/>
  <c r="AI9" i="280"/>
  <c r="V11" i="280"/>
  <c r="AG11" i="280"/>
  <c r="AQ11" i="280"/>
  <c r="Q14" i="280"/>
  <c r="R14" i="280" s="1"/>
  <c r="AJ14" i="280" s="1"/>
  <c r="AG14" i="280"/>
  <c r="Y15" i="280"/>
  <c r="AO15" i="280"/>
  <c r="AK18" i="280"/>
  <c r="P19" i="280"/>
  <c r="AJ19" i="280"/>
  <c r="AC22" i="280"/>
  <c r="O26" i="280"/>
  <c r="AN26" i="280"/>
  <c r="P6" i="280"/>
  <c r="X6" i="280"/>
  <c r="AF6" i="280"/>
  <c r="AN6" i="280"/>
  <c r="V8" i="280"/>
  <c r="AD8" i="280"/>
  <c r="AL8" i="280"/>
  <c r="AO9" i="280"/>
  <c r="AG9" i="280"/>
  <c r="Y9" i="280"/>
  <c r="Q9" i="280"/>
  <c r="R9" i="280" s="1"/>
  <c r="AB9" i="280" s="1"/>
  <c r="AA9" i="280"/>
  <c r="AS9" i="280"/>
  <c r="X11" i="280"/>
  <c r="AH11" i="280"/>
  <c r="AS11" i="280"/>
  <c r="AH14" i="280"/>
  <c r="AR15" i="280"/>
  <c r="L15" i="280" s="1"/>
  <c r="Q18" i="280"/>
  <c r="AL18" i="280"/>
  <c r="Q19" i="280"/>
  <c r="AN19" i="280"/>
  <c r="M22" i="280"/>
  <c r="AG22" i="280"/>
  <c r="R26" i="280"/>
  <c r="AO26" i="280"/>
  <c r="Q6" i="280"/>
  <c r="R6" i="280" s="1"/>
  <c r="Y6" i="280"/>
  <c r="AG6" i="280"/>
  <c r="O8" i="280"/>
  <c r="W8" i="280" s="1"/>
  <c r="AE8" i="280"/>
  <c r="S14" i="280"/>
  <c r="AI14" i="280"/>
  <c r="T19" i="280"/>
  <c r="AO19" i="280"/>
  <c r="AH22" i="280"/>
  <c r="V26" i="280"/>
  <c r="AR26" i="280"/>
  <c r="Q13" i="280"/>
  <c r="R13" i="280" s="1"/>
  <c r="Y13" i="280"/>
  <c r="AG13" i="280"/>
  <c r="AO13" i="280"/>
  <c r="Q16" i="280"/>
  <c r="R16" i="280" s="1"/>
  <c r="Y16" i="280"/>
  <c r="AG16" i="280"/>
  <c r="AO16" i="280"/>
  <c r="L17" i="280"/>
  <c r="M17" i="280" s="1"/>
  <c r="T17" i="280"/>
  <c r="AR17" i="280"/>
  <c r="AD23" i="280"/>
  <c r="AL23" i="280"/>
  <c r="Q24" i="280"/>
  <c r="Y24" i="280"/>
  <c r="AG24" i="280"/>
  <c r="AO24" i="280"/>
  <c r="L25" i="280"/>
  <c r="T25" i="280"/>
  <c r="AB25" i="280"/>
  <c r="AJ25" i="280"/>
  <c r="AR25" i="280"/>
  <c r="Q10" i="280"/>
  <c r="R10" i="280" s="1"/>
  <c r="Z10" i="280" s="1"/>
  <c r="Y10" i="280"/>
  <c r="AG10" i="280"/>
  <c r="AO10" i="280"/>
  <c r="O12" i="280"/>
  <c r="W12" i="280" s="1"/>
  <c r="AE12" i="280"/>
  <c r="AM12" i="280"/>
  <c r="AH13" i="280"/>
  <c r="AP13" i="280"/>
  <c r="AH16" i="280"/>
  <c r="AP16" i="280"/>
  <c r="AC17" i="280"/>
  <c r="AK17" i="280"/>
  <c r="AS17" i="280"/>
  <c r="V20" i="280"/>
  <c r="AD20" i="280"/>
  <c r="AL20" i="280"/>
  <c r="Q21" i="280"/>
  <c r="Y21" i="280"/>
  <c r="AG21" i="280"/>
  <c r="AO21" i="280"/>
  <c r="O23" i="280"/>
  <c r="W23" i="280"/>
  <c r="AE23" i="280"/>
  <c r="AM23" i="280"/>
  <c r="J24" i="280"/>
  <c r="R24" i="280"/>
  <c r="Z24" i="280"/>
  <c r="AH24" i="280"/>
  <c r="AP24" i="280"/>
  <c r="M25" i="280"/>
  <c r="U25" i="280"/>
  <c r="AC25" i="280"/>
  <c r="AK25" i="280"/>
  <c r="AS25" i="280"/>
  <c r="Q12" i="280"/>
  <c r="R12" i="280" s="1"/>
  <c r="Z12" i="280" s="1"/>
  <c r="Y12" i="280"/>
  <c r="AG12" i="280"/>
  <c r="AO12" i="280"/>
  <c r="T13" i="280"/>
  <c r="AR13" i="280"/>
  <c r="L13" i="280" s="1"/>
  <c r="M13" i="280" s="1"/>
  <c r="T16" i="280"/>
  <c r="AR16" i="280"/>
  <c r="L16" i="280" s="1"/>
  <c r="M16" i="280" s="1"/>
  <c r="O17" i="280"/>
  <c r="W17" i="280" s="1"/>
  <c r="AE17" i="280"/>
  <c r="AM17" i="280"/>
  <c r="Q23" i="280"/>
  <c r="Y23" i="280"/>
  <c r="AG23" i="280"/>
  <c r="AO23" i="280"/>
  <c r="L24" i="280"/>
  <c r="T24" i="280"/>
  <c r="AB24" i="280"/>
  <c r="AJ24" i="280"/>
  <c r="AR24" i="280"/>
  <c r="O25" i="280"/>
  <c r="W25" i="280"/>
  <c r="AE25" i="280"/>
  <c r="AM25" i="280"/>
  <c r="L10" i="280"/>
  <c r="T10" i="280"/>
  <c r="AH12" i="280"/>
  <c r="AC13" i="280"/>
  <c r="AK13" i="280"/>
  <c r="AC16" i="280"/>
  <c r="AK16" i="280"/>
  <c r="P17" i="280"/>
  <c r="X17" i="280"/>
  <c r="AF17" i="280"/>
  <c r="AN17" i="280"/>
  <c r="Q20" i="280"/>
  <c r="Y20" i="280"/>
  <c r="AG20" i="280"/>
  <c r="L21" i="280"/>
  <c r="T21" i="280"/>
  <c r="AB21" i="280"/>
  <c r="AJ21" i="280"/>
  <c r="J23" i="280"/>
  <c r="R23" i="280"/>
  <c r="Z23" i="280"/>
  <c r="AH23" i="280"/>
  <c r="M24" i="280"/>
  <c r="U24" i="280"/>
  <c r="AC24" i="280"/>
  <c r="AK24" i="280"/>
  <c r="P25" i="280"/>
  <c r="X25" i="280"/>
  <c r="AF25" i="280"/>
  <c r="AN25" i="280"/>
  <c r="Q17" i="280"/>
  <c r="R17" i="280" s="1"/>
  <c r="Y17" i="280"/>
  <c r="AG17" i="280"/>
  <c r="Q25" i="280"/>
  <c r="Y25" i="280"/>
  <c r="AG25" i="280"/>
  <c r="Z26" i="279"/>
  <c r="AP16" i="279"/>
  <c r="AI10" i="279"/>
  <c r="Y15" i="279"/>
  <c r="AQ6" i="279"/>
  <c r="AS10" i="279"/>
  <c r="AH26" i="279"/>
  <c r="AO15" i="279"/>
  <c r="O10" i="279"/>
  <c r="W10" i="279" s="1"/>
  <c r="AP17" i="279"/>
  <c r="T10" i="279"/>
  <c r="AR17" i="279"/>
  <c r="L17" i="279" s="1"/>
  <c r="AE10" i="279"/>
  <c r="AS26" i="279"/>
  <c r="S23" i="278"/>
  <c r="O12" i="279"/>
  <c r="W12" i="279" s="1"/>
  <c r="AK19" i="279"/>
  <c r="L22" i="279"/>
  <c r="AB25" i="279"/>
  <c r="T23" i="278"/>
  <c r="X9" i="279"/>
  <c r="V11" i="279"/>
  <c r="AE12" i="279"/>
  <c r="O14" i="279"/>
  <c r="W14" i="279" s="1"/>
  <c r="P21" i="279"/>
  <c r="AS25" i="279"/>
  <c r="AQ23" i="278"/>
  <c r="AR9" i="279"/>
  <c r="L9" i="279" s="1"/>
  <c r="AK11" i="279"/>
  <c r="AK14" i="279"/>
  <c r="V17" i="279"/>
  <c r="X18" i="279"/>
  <c r="Q21" i="279"/>
  <c r="V22" i="279"/>
  <c r="V6" i="279"/>
  <c r="AM10" i="279"/>
  <c r="AL11" i="279"/>
  <c r="AL14" i="279"/>
  <c r="AC17" i="279"/>
  <c r="AE18" i="279"/>
  <c r="X21" i="279"/>
  <c r="AA22" i="279"/>
  <c r="L24" i="279"/>
  <c r="AL6" i="279"/>
  <c r="T8" i="279"/>
  <c r="AP10" i="279"/>
  <c r="AS11" i="279"/>
  <c r="AH17" i="279"/>
  <c r="AH18" i="279"/>
  <c r="AC20" i="279"/>
  <c r="AO21" i="279"/>
  <c r="AI22" i="279"/>
  <c r="Y26" i="279"/>
  <c r="AM20" i="279"/>
  <c r="AQ21" i="279"/>
  <c r="AR22" i="279"/>
  <c r="S6" i="279"/>
  <c r="AR6" i="279"/>
  <c r="L6" i="279" s="1"/>
  <c r="U6" i="279" s="1"/>
  <c r="AD8" i="279"/>
  <c r="Y9" i="279"/>
  <c r="AA10" i="279"/>
  <c r="AQ10" i="279"/>
  <c r="O11" i="279"/>
  <c r="W11" i="279" s="1"/>
  <c r="AM11" i="279"/>
  <c r="Q12" i="279"/>
  <c r="R12" i="279" s="1"/>
  <c r="AJ12" i="279" s="1"/>
  <c r="AA13" i="279"/>
  <c r="T14" i="279"/>
  <c r="AM14" i="279"/>
  <c r="AQ16" i="279"/>
  <c r="AD17" i="279"/>
  <c r="AS17" i="279"/>
  <c r="L19" i="279"/>
  <c r="U19" i="279" s="1"/>
  <c r="X19" i="279"/>
  <c r="AM19" i="279"/>
  <c r="AD20" i="279"/>
  <c r="AN20" i="279"/>
  <c r="AB22" i="279"/>
  <c r="O25" i="279"/>
  <c r="AC25" i="279"/>
  <c r="AB26" i="279"/>
  <c r="T6" i="279"/>
  <c r="AE8" i="279"/>
  <c r="AF9" i="279"/>
  <c r="AC10" i="279"/>
  <c r="AR10" i="279"/>
  <c r="L10" i="279" s="1"/>
  <c r="M10" i="279" s="1"/>
  <c r="T11" i="279"/>
  <c r="AR11" i="279"/>
  <c r="L11" i="279" s="1"/>
  <c r="U11" i="279" s="1"/>
  <c r="AD12" i="279"/>
  <c r="AQ13" i="279"/>
  <c r="V14" i="279"/>
  <c r="AR14" i="279"/>
  <c r="L14" i="279" s="1"/>
  <c r="U14" i="279" s="1"/>
  <c r="AE17" i="279"/>
  <c r="AF18" i="279"/>
  <c r="AA19" i="279"/>
  <c r="AN19" i="279"/>
  <c r="O20" i="279"/>
  <c r="W20" i="279" s="1"/>
  <c r="AE20" i="279"/>
  <c r="AP20" i="279"/>
  <c r="S21" i="279"/>
  <c r="AD22" i="279"/>
  <c r="AG24" i="279"/>
  <c r="R25" i="279"/>
  <c r="AE25" i="279"/>
  <c r="J26" i="279"/>
  <c r="AG26" i="279"/>
  <c r="O9" i="279"/>
  <c r="W9" i="279" s="1"/>
  <c r="AG9" i="279"/>
  <c r="AS14" i="279"/>
  <c r="AC19" i="279"/>
  <c r="AP19" i="279"/>
  <c r="P20" i="279"/>
  <c r="AF20" i="279"/>
  <c r="AQ20" i="279"/>
  <c r="W23" i="279"/>
  <c r="T25" i="279"/>
  <c r="AH25" i="279"/>
  <c r="AA6" i="279"/>
  <c r="AO8" i="279"/>
  <c r="P9" i="279"/>
  <c r="AH9" i="279"/>
  <c r="AH10" i="279"/>
  <c r="AC11" i="279"/>
  <c r="AG12" i="279"/>
  <c r="AC14" i="279"/>
  <c r="AK17" i="279"/>
  <c r="AM18" i="279"/>
  <c r="O19" i="279"/>
  <c r="W19" i="279" s="1"/>
  <c r="AE19" i="279"/>
  <c r="AQ19" i="279"/>
  <c r="S20" i="279"/>
  <c r="AH20" i="279"/>
  <c r="AS20" i="279"/>
  <c r="Y21" i="279"/>
  <c r="AJ22" i="279"/>
  <c r="Y23" i="279"/>
  <c r="J25" i="279"/>
  <c r="U25" i="279"/>
  <c r="AJ25" i="279"/>
  <c r="P26" i="279"/>
  <c r="AJ26" i="279"/>
  <c r="AD6" i="279"/>
  <c r="AQ8" i="279"/>
  <c r="Q9" i="279"/>
  <c r="R9" i="279" s="1"/>
  <c r="AM9" i="279"/>
  <c r="AD11" i="279"/>
  <c r="AD14" i="279"/>
  <c r="Q16" i="279"/>
  <c r="O17" i="279"/>
  <c r="W17" i="279" s="1"/>
  <c r="AL17" i="279"/>
  <c r="O18" i="279"/>
  <c r="W18" i="279" s="1"/>
  <c r="AN18" i="279"/>
  <c r="P19" i="279"/>
  <c r="AF19" i="279"/>
  <c r="AR19" i="279"/>
  <c r="V20" i="279"/>
  <c r="AI20" i="279"/>
  <c r="AG21" i="279"/>
  <c r="S22" i="279"/>
  <c r="AL22" i="279"/>
  <c r="AE23" i="279"/>
  <c r="V25" i="279"/>
  <c r="AK25" i="279"/>
  <c r="Q26" i="279"/>
  <c r="AP26" i="279"/>
  <c r="AI6" i="279"/>
  <c r="AS8" i="279"/>
  <c r="T9" i="279"/>
  <c r="AN9" i="279"/>
  <c r="S10" i="279"/>
  <c r="AK10" i="279"/>
  <c r="AE11" i="279"/>
  <c r="AE14" i="279"/>
  <c r="AA16" i="279"/>
  <c r="T17" i="279"/>
  <c r="AM17" i="279"/>
  <c r="P18" i="279"/>
  <c r="AP18" i="279"/>
  <c r="S19" i="279"/>
  <c r="AH19" i="279"/>
  <c r="AS19" i="279"/>
  <c r="X20" i="279"/>
  <c r="AK20" i="279"/>
  <c r="T22" i="279"/>
  <c r="AQ22" i="279"/>
  <c r="L25" i="279"/>
  <c r="W25" i="279"/>
  <c r="AM25" i="279"/>
  <c r="S26" i="279"/>
  <c r="AQ26" i="279"/>
  <c r="V9" i="279"/>
  <c r="T19" i="279"/>
  <c r="AI19" i="279"/>
  <c r="AA20" i="279"/>
  <c r="AL20" i="279"/>
  <c r="M25" i="279"/>
  <c r="Z25" i="279"/>
  <c r="AR25" i="279"/>
  <c r="U17" i="279"/>
  <c r="M17" i="279"/>
  <c r="AL11" i="278"/>
  <c r="S13" i="278"/>
  <c r="O6" i="279"/>
  <c r="W6" i="279" s="1"/>
  <c r="AE6" i="279"/>
  <c r="AM6" i="279"/>
  <c r="J7" i="279"/>
  <c r="J8" i="279" s="1"/>
  <c r="J9" i="279" s="1"/>
  <c r="J10" i="279" s="1"/>
  <c r="J11" i="279" s="1"/>
  <c r="J12" i="279" s="1"/>
  <c r="J13" i="279" s="1"/>
  <c r="J14" i="279" s="1"/>
  <c r="J15" i="279" s="1"/>
  <c r="J16" i="279" s="1"/>
  <c r="J17" i="279" s="1"/>
  <c r="J18" i="279" s="1"/>
  <c r="J19" i="279" s="1"/>
  <c r="J20" i="279" s="1"/>
  <c r="AH7" i="279"/>
  <c r="AQ7" i="279"/>
  <c r="O8" i="279"/>
  <c r="W8" i="279" s="1"/>
  <c r="Y8" i="279"/>
  <c r="AL9" i="279"/>
  <c r="AD9" i="279"/>
  <c r="AS9" i="279"/>
  <c r="AK9" i="279"/>
  <c r="AC9" i="279"/>
  <c r="AQ9" i="279"/>
  <c r="AI9" i="279"/>
  <c r="AA9" i="279"/>
  <c r="S9" i="279"/>
  <c r="AE9" i="279"/>
  <c r="AP9" i="279"/>
  <c r="V12" i="279"/>
  <c r="AL12" i="279"/>
  <c r="AR13" i="279"/>
  <c r="L13" i="279" s="1"/>
  <c r="AP15" i="279"/>
  <c r="R16" i="279"/>
  <c r="Z16" i="279" s="1"/>
  <c r="AH16" i="279"/>
  <c r="AM21" i="279"/>
  <c r="AE21" i="279"/>
  <c r="W21" i="279"/>
  <c r="O21" i="279"/>
  <c r="AL21" i="279"/>
  <c r="AD21" i="279"/>
  <c r="V21" i="279"/>
  <c r="AS21" i="279"/>
  <c r="AK21" i="279"/>
  <c r="AC21" i="279"/>
  <c r="U21" i="279"/>
  <c r="M21" i="279"/>
  <c r="AR21" i="279"/>
  <c r="AJ21" i="279"/>
  <c r="AB21" i="279"/>
  <c r="T21" i="279"/>
  <c r="L21" i="279"/>
  <c r="AP21" i="279"/>
  <c r="AH21" i="279"/>
  <c r="Z21" i="279"/>
  <c r="R21" i="279"/>
  <c r="J21" i="279"/>
  <c r="AA21" i="279"/>
  <c r="AG23" i="279"/>
  <c r="AH24" i="279"/>
  <c r="AG7" i="279"/>
  <c r="AQ11" i="278"/>
  <c r="AF13" i="278"/>
  <c r="P6" i="279"/>
  <c r="X6" i="279"/>
  <c r="AF6" i="279"/>
  <c r="AN6" i="279"/>
  <c r="S7" i="279"/>
  <c r="AA7" i="279"/>
  <c r="AI7" i="279"/>
  <c r="AR7" i="279"/>
  <c r="P8" i="279"/>
  <c r="AA8" i="279"/>
  <c r="AK8" i="279"/>
  <c r="Q13" i="279"/>
  <c r="R13" i="279" s="1"/>
  <c r="AJ13" i="279" s="1"/>
  <c r="AG13" i="279"/>
  <c r="O15" i="279"/>
  <c r="W15" i="279" s="1"/>
  <c r="AE15" i="279"/>
  <c r="S16" i="279"/>
  <c r="AF21" i="279"/>
  <c r="O23" i="279"/>
  <c r="AL23" i="279"/>
  <c r="Q24" i="279"/>
  <c r="AJ24" i="279"/>
  <c r="Q6" i="279"/>
  <c r="R6" i="279" s="1"/>
  <c r="Y6" i="279"/>
  <c r="AG6" i="279"/>
  <c r="AO6" i="279"/>
  <c r="L7" i="279"/>
  <c r="M7" i="279" s="1"/>
  <c r="T7" i="279"/>
  <c r="AS7" i="279"/>
  <c r="Q8" i="279"/>
  <c r="R8" i="279" s="1"/>
  <c r="AJ8" i="279" s="1"/>
  <c r="AS12" i="279"/>
  <c r="AK12" i="279"/>
  <c r="AC12" i="279"/>
  <c r="AR12" i="279"/>
  <c r="L12" i="279" s="1"/>
  <c r="T12" i="279"/>
  <c r="AQ12" i="279"/>
  <c r="AI12" i="279"/>
  <c r="AA12" i="279"/>
  <c r="S12" i="279"/>
  <c r="AP12" i="279"/>
  <c r="AH12" i="279"/>
  <c r="X12" i="279"/>
  <c r="AN12" i="279"/>
  <c r="AH13" i="279"/>
  <c r="P15" i="279"/>
  <c r="AF15" i="279"/>
  <c r="AN16" i="279"/>
  <c r="AF16" i="279"/>
  <c r="X16" i="279"/>
  <c r="P16" i="279"/>
  <c r="AM16" i="279"/>
  <c r="AE16" i="279"/>
  <c r="W16" i="279"/>
  <c r="O16" i="279"/>
  <c r="AL16" i="279"/>
  <c r="AD16" i="279"/>
  <c r="V16" i="279"/>
  <c r="AS16" i="279"/>
  <c r="AK16" i="279"/>
  <c r="AC16" i="279"/>
  <c r="T16" i="279"/>
  <c r="AJ16" i="279"/>
  <c r="Q23" i="279"/>
  <c r="AM23" i="279"/>
  <c r="R24" i="279"/>
  <c r="AO24" i="279"/>
  <c r="AH6" i="279"/>
  <c r="AP6" i="279"/>
  <c r="AC7" i="279"/>
  <c r="AK7" i="279"/>
  <c r="AP8" i="279"/>
  <c r="AH8" i="279"/>
  <c r="AN8" i="279"/>
  <c r="AF8" i="279"/>
  <c r="X8" i="279"/>
  <c r="S8" i="279"/>
  <c r="AC8" i="279"/>
  <c r="AM8" i="279"/>
  <c r="Y12" i="279"/>
  <c r="AO12" i="279"/>
  <c r="S13" i="279"/>
  <c r="Q15" i="279"/>
  <c r="R15" i="279" s="1"/>
  <c r="AB15" i="279" s="1"/>
  <c r="AG15" i="279"/>
  <c r="Y16" i="279"/>
  <c r="AO16" i="279"/>
  <c r="AI21" i="279"/>
  <c r="V23" i="279"/>
  <c r="T24" i="279"/>
  <c r="Q7" i="279"/>
  <c r="R7" i="279" s="1"/>
  <c r="V7" i="279"/>
  <c r="AD7" i="279"/>
  <c r="AL7" i="279"/>
  <c r="AN13" i="279"/>
  <c r="AF13" i="279"/>
  <c r="X13" i="279"/>
  <c r="P13" i="279"/>
  <c r="AM13" i="279"/>
  <c r="AE13" i="279"/>
  <c r="O13" i="279"/>
  <c r="W13" i="279" s="1"/>
  <c r="AL13" i="279"/>
  <c r="AD13" i="279"/>
  <c r="V13" i="279"/>
  <c r="AS13" i="279"/>
  <c r="AK13" i="279"/>
  <c r="AC13" i="279"/>
  <c r="T13" i="279"/>
  <c r="AN24" i="279"/>
  <c r="AF24" i="279"/>
  <c r="X24" i="279"/>
  <c r="P24" i="279"/>
  <c r="AM24" i="279"/>
  <c r="AE24" i="279"/>
  <c r="W24" i="279"/>
  <c r="O24" i="279"/>
  <c r="AL24" i="279"/>
  <c r="AD24" i="279"/>
  <c r="V24" i="279"/>
  <c r="AS24" i="279"/>
  <c r="AK24" i="279"/>
  <c r="AC24" i="279"/>
  <c r="U24" i="279"/>
  <c r="M24" i="279"/>
  <c r="AQ24" i="279"/>
  <c r="AI24" i="279"/>
  <c r="AA24" i="279"/>
  <c r="S24" i="279"/>
  <c r="Y24" i="279"/>
  <c r="AR24" i="279"/>
  <c r="O7" i="279"/>
  <c r="W7" i="279" s="1"/>
  <c r="AE7" i="279"/>
  <c r="AN7" i="279"/>
  <c r="Y13" i="279"/>
  <c r="AO13" i="279"/>
  <c r="AL15" i="279"/>
  <c r="AD15" i="279"/>
  <c r="V15" i="279"/>
  <c r="AS15" i="279"/>
  <c r="AK15" i="279"/>
  <c r="AC15" i="279"/>
  <c r="AR15" i="279"/>
  <c r="T15" i="279"/>
  <c r="L15" i="279"/>
  <c r="U15" i="279" s="1"/>
  <c r="AQ15" i="279"/>
  <c r="AI15" i="279"/>
  <c r="AA15" i="279"/>
  <c r="S15" i="279"/>
  <c r="AM15" i="279"/>
  <c r="J24" i="279"/>
  <c r="Z24" i="279"/>
  <c r="Y7" i="279"/>
  <c r="AP7" i="279"/>
  <c r="AC6" i="279"/>
  <c r="AK6" i="279"/>
  <c r="P7" i="279"/>
  <c r="X7" i="279"/>
  <c r="AF7" i="279"/>
  <c r="AO7" i="279"/>
  <c r="V8" i="279"/>
  <c r="AG8" i="279"/>
  <c r="AR8" i="279"/>
  <c r="L8" i="279" s="1"/>
  <c r="U8" i="279" s="1"/>
  <c r="P12" i="279"/>
  <c r="AF12" i="279"/>
  <c r="AP13" i="279"/>
  <c r="X15" i="279"/>
  <c r="AN15" i="279"/>
  <c r="AB16" i="279"/>
  <c r="AR16" i="279"/>
  <c r="L16" i="279" s="1"/>
  <c r="U16" i="279" s="1"/>
  <c r="AS23" i="279"/>
  <c r="AK23" i="279"/>
  <c r="AC23" i="279"/>
  <c r="U23" i="279"/>
  <c r="M23" i="279"/>
  <c r="AR23" i="279"/>
  <c r="AJ23" i="279"/>
  <c r="AB23" i="279"/>
  <c r="T23" i="279"/>
  <c r="L23" i="279"/>
  <c r="AQ23" i="279"/>
  <c r="AI23" i="279"/>
  <c r="AA23" i="279"/>
  <c r="S23" i="279"/>
  <c r="AP23" i="279"/>
  <c r="AH23" i="279"/>
  <c r="Z23" i="279"/>
  <c r="R23" i="279"/>
  <c r="J23" i="279"/>
  <c r="AN23" i="279"/>
  <c r="AF23" i="279"/>
  <c r="X23" i="279"/>
  <c r="P23" i="279"/>
  <c r="AD23" i="279"/>
  <c r="AB24" i="279"/>
  <c r="Q18" i="279"/>
  <c r="R18" i="279" s="1"/>
  <c r="Z18" i="279" s="1"/>
  <c r="Y18" i="279"/>
  <c r="AG18" i="279"/>
  <c r="AO18" i="279"/>
  <c r="M22" i="279"/>
  <c r="U22" i="279"/>
  <c r="AC22" i="279"/>
  <c r="AK22" i="279"/>
  <c r="AS22" i="279"/>
  <c r="AD25" i="279"/>
  <c r="AL25" i="279"/>
  <c r="R26" i="279"/>
  <c r="AA26" i="279"/>
  <c r="AI26" i="279"/>
  <c r="AR26" i="279"/>
  <c r="V10" i="279"/>
  <c r="AD10" i="279"/>
  <c r="AL10" i="279"/>
  <c r="P11" i="279"/>
  <c r="X11" i="279"/>
  <c r="AF11" i="279"/>
  <c r="AN11" i="279"/>
  <c r="P14" i="279"/>
  <c r="X14" i="279"/>
  <c r="AF14" i="279"/>
  <c r="AN14" i="279"/>
  <c r="P17" i="279"/>
  <c r="X17" i="279"/>
  <c r="AF17" i="279"/>
  <c r="AN17" i="279"/>
  <c r="S18" i="279"/>
  <c r="AA18" i="279"/>
  <c r="AI18" i="279"/>
  <c r="AQ18" i="279"/>
  <c r="V19" i="279"/>
  <c r="AD19" i="279"/>
  <c r="AL19" i="279"/>
  <c r="Q20" i="279"/>
  <c r="R20" i="279" s="1"/>
  <c r="Z20" i="279" s="1"/>
  <c r="Y20" i="279"/>
  <c r="AG20" i="279"/>
  <c r="AO20" i="279"/>
  <c r="O22" i="279"/>
  <c r="W22" i="279"/>
  <c r="AE22" i="279"/>
  <c r="AM22" i="279"/>
  <c r="P25" i="279"/>
  <c r="X25" i="279"/>
  <c r="AF25" i="279"/>
  <c r="AN25" i="279"/>
  <c r="L26" i="279"/>
  <c r="T26" i="279"/>
  <c r="AC26" i="279"/>
  <c r="AK26" i="279"/>
  <c r="Q11" i="279"/>
  <c r="R11" i="279" s="1"/>
  <c r="Z11" i="279" s="1"/>
  <c r="Y11" i="279"/>
  <c r="AG11" i="279"/>
  <c r="AO11" i="279"/>
  <c r="Q14" i="279"/>
  <c r="R14" i="279" s="1"/>
  <c r="Y14" i="279"/>
  <c r="AG14" i="279"/>
  <c r="AO14" i="279"/>
  <c r="Q17" i="279"/>
  <c r="R17" i="279" s="1"/>
  <c r="Y17" i="279"/>
  <c r="AG17" i="279"/>
  <c r="AO17" i="279"/>
  <c r="T18" i="279"/>
  <c r="AB18" i="279"/>
  <c r="AJ18" i="279"/>
  <c r="AR18" i="279"/>
  <c r="L18" i="279" s="1"/>
  <c r="P22" i="279"/>
  <c r="X22" i="279"/>
  <c r="AF22" i="279"/>
  <c r="AN22" i="279"/>
  <c r="Q25" i="279"/>
  <c r="Y25" i="279"/>
  <c r="AG25" i="279"/>
  <c r="AO25" i="279"/>
  <c r="M26" i="279"/>
  <c r="U26" i="279"/>
  <c r="AD26" i="279"/>
  <c r="AM26" i="279"/>
  <c r="P10" i="279"/>
  <c r="X10" i="279"/>
  <c r="AF10" i="279"/>
  <c r="AN10" i="279"/>
  <c r="AH11" i="279"/>
  <c r="AP11" i="279"/>
  <c r="AH14" i="279"/>
  <c r="AP14" i="279"/>
  <c r="AC18" i="279"/>
  <c r="AK18" i="279"/>
  <c r="AS18" i="279"/>
  <c r="Q22" i="279"/>
  <c r="Y22" i="279"/>
  <c r="AG22" i="279"/>
  <c r="AO22" i="279"/>
  <c r="AP25" i="279"/>
  <c r="V26" i="279"/>
  <c r="AE26" i="279"/>
  <c r="AN26" i="279"/>
  <c r="Q10" i="279"/>
  <c r="R10" i="279" s="1"/>
  <c r="Y10" i="279"/>
  <c r="AG10" i="279"/>
  <c r="S11" i="279"/>
  <c r="AA11" i="279"/>
  <c r="AI11" i="279"/>
  <c r="S14" i="279"/>
  <c r="AA14" i="279"/>
  <c r="AI14" i="279"/>
  <c r="S17" i="279"/>
  <c r="AA17" i="279"/>
  <c r="AI17" i="279"/>
  <c r="V18" i="279"/>
  <c r="AD18" i="279"/>
  <c r="Q19" i="279"/>
  <c r="R19" i="279" s="1"/>
  <c r="Y19" i="279"/>
  <c r="AG19" i="279"/>
  <c r="L20" i="279"/>
  <c r="T20" i="279"/>
  <c r="AB20" i="279"/>
  <c r="J22" i="279"/>
  <c r="R22" i="279"/>
  <c r="Z22" i="279"/>
  <c r="AH22" i="279"/>
  <c r="S25" i="279"/>
  <c r="AA25" i="279"/>
  <c r="AI25" i="279"/>
  <c r="O26" i="279"/>
  <c r="W26" i="279"/>
  <c r="AF26" i="279"/>
  <c r="J22" i="278"/>
  <c r="O20" i="278"/>
  <c r="W20" i="278" s="1"/>
  <c r="T20" i="278"/>
  <c r="P12" i="278"/>
  <c r="AR20" i="278"/>
  <c r="Z22" i="278"/>
  <c r="V14" i="278"/>
  <c r="AL14" i="278"/>
  <c r="Y11" i="278"/>
  <c r="AO12" i="278"/>
  <c r="AI13" i="278"/>
  <c r="J21" i="278"/>
  <c r="AI11" i="278"/>
  <c r="AQ12" i="278"/>
  <c r="AN13" i="278"/>
  <c r="AO26" i="278"/>
  <c r="P6" i="278"/>
  <c r="AI7" i="278"/>
  <c r="AI17" i="278"/>
  <c r="AC20" i="278"/>
  <c r="AH22" i="278"/>
  <c r="AF6" i="278"/>
  <c r="AR7" i="278"/>
  <c r="L7" i="278" s="1"/>
  <c r="AD20" i="278"/>
  <c r="W21" i="278"/>
  <c r="AG6" i="278"/>
  <c r="L20" i="278"/>
  <c r="U20" i="278" s="1"/>
  <c r="AH20" i="278"/>
  <c r="AP21" i="278"/>
  <c r="AN6" i="278"/>
  <c r="O13" i="278"/>
  <c r="W13" i="278" s="1"/>
  <c r="Q14" i="278"/>
  <c r="R14" i="278" s="1"/>
  <c r="Z14" i="278" s="1"/>
  <c r="AM20" i="278"/>
  <c r="AL18" i="278"/>
  <c r="V21" i="278"/>
  <c r="AL21" i="278"/>
  <c r="AQ24" i="278"/>
  <c r="X6" i="278"/>
  <c r="T7" i="278"/>
  <c r="AD11" i="278"/>
  <c r="AA12" i="278"/>
  <c r="P13" i="278"/>
  <c r="AL13" i="278"/>
  <c r="AD14" i="278"/>
  <c r="S20" i="278"/>
  <c r="AF20" i="278"/>
  <c r="Z21" i="278"/>
  <c r="AQ21" i="278"/>
  <c r="AP22" i="278"/>
  <c r="X23" i="278"/>
  <c r="M21" i="278"/>
  <c r="AA21" i="278"/>
  <c r="AS21" i="278"/>
  <c r="AA23" i="278"/>
  <c r="T13" i="278"/>
  <c r="AQ13" i="278"/>
  <c r="AK20" i="278"/>
  <c r="AE21" i="278"/>
  <c r="AF23" i="278"/>
  <c r="S24" i="278"/>
  <c r="X13" i="278"/>
  <c r="O21" i="278"/>
  <c r="AF21" i="278"/>
  <c r="L23" i="278"/>
  <c r="AI23" i="278"/>
  <c r="AA24" i="278"/>
  <c r="AA13" i="278"/>
  <c r="T18" i="278"/>
  <c r="X20" i="278"/>
  <c r="AN20" i="278"/>
  <c r="P21" i="278"/>
  <c r="AH21" i="278"/>
  <c r="AJ23" i="278"/>
  <c r="AD24" i="278"/>
  <c r="AF26" i="278"/>
  <c r="L13" i="278"/>
  <c r="M13" i="278" s="1"/>
  <c r="AE13" i="278"/>
  <c r="V18" i="278"/>
  <c r="U21" i="278"/>
  <c r="AK21" i="278"/>
  <c r="P23" i="278"/>
  <c r="AN23" i="278"/>
  <c r="AI24" i="278"/>
  <c r="AD9" i="278"/>
  <c r="AI25" i="278"/>
  <c r="Q6" i="278"/>
  <c r="R6" i="278" s="1"/>
  <c r="Z6" i="278" s="1"/>
  <c r="AK6" i="278"/>
  <c r="X8" i="278"/>
  <c r="AK8" i="278"/>
  <c r="AG9" i="278"/>
  <c r="AK10" i="278"/>
  <c r="O11" i="278"/>
  <c r="W11" i="278" s="1"/>
  <c r="AO11" i="278"/>
  <c r="Q12" i="278"/>
  <c r="R12" i="278" s="1"/>
  <c r="Z12" i="278" s="1"/>
  <c r="V13" i="278"/>
  <c r="AM13" i="278"/>
  <c r="S14" i="278"/>
  <c r="X16" i="278"/>
  <c r="AL16" i="278"/>
  <c r="S17" i="278"/>
  <c r="V20" i="278"/>
  <c r="AE20" i="278"/>
  <c r="AP20" i="278"/>
  <c r="X21" i="278"/>
  <c r="AI21" i="278"/>
  <c r="U23" i="278"/>
  <c r="AK23" i="278"/>
  <c r="O24" i="278"/>
  <c r="AE24" i="278"/>
  <c r="J25" i="278"/>
  <c r="AQ25" i="278"/>
  <c r="V6" i="278"/>
  <c r="AL6" i="278"/>
  <c r="S7" i="278"/>
  <c r="AA8" i="278"/>
  <c r="AL8" i="278"/>
  <c r="AH9" i="278"/>
  <c r="AM10" i="278"/>
  <c r="Q11" i="278"/>
  <c r="R11" i="278" s="1"/>
  <c r="AJ11" i="278" s="1"/>
  <c r="AP11" i="278"/>
  <c r="X12" i="278"/>
  <c r="AA16" i="278"/>
  <c r="AM16" i="278"/>
  <c r="AA17" i="278"/>
  <c r="Q19" i="278"/>
  <c r="R19" i="278" s="1"/>
  <c r="AQ20" i="278"/>
  <c r="P24" i="278"/>
  <c r="AF24" i="278"/>
  <c r="AC8" i="278"/>
  <c r="AM8" i="278"/>
  <c r="O9" i="278"/>
  <c r="W9" i="278" s="1"/>
  <c r="AK9" i="278"/>
  <c r="P10" i="278"/>
  <c r="AO10" i="278"/>
  <c r="AC15" i="278"/>
  <c r="O16" i="278"/>
  <c r="W16" i="278" s="1"/>
  <c r="AN16" i="278"/>
  <c r="Y19" i="278"/>
  <c r="V8" i="278"/>
  <c r="Y6" i="278"/>
  <c r="AO6" i="278"/>
  <c r="AA7" i="278"/>
  <c r="O8" i="278"/>
  <c r="W8" i="278" s="1"/>
  <c r="AD8" i="278"/>
  <c r="AN8" i="278"/>
  <c r="Q9" i="278"/>
  <c r="R9" i="278" s="1"/>
  <c r="AL9" i="278"/>
  <c r="Q10" i="278"/>
  <c r="R10" i="278" s="1"/>
  <c r="AJ10" i="278" s="1"/>
  <c r="AR10" i="278"/>
  <c r="L10" i="278" s="1"/>
  <c r="M10" i="278" s="1"/>
  <c r="AA11" i="278"/>
  <c r="AC12" i="278"/>
  <c r="AD13" i="278"/>
  <c r="AR13" i="278"/>
  <c r="AG14" i="278"/>
  <c r="AD15" i="278"/>
  <c r="P16" i="278"/>
  <c r="AD16" i="278"/>
  <c r="AQ16" i="278"/>
  <c r="AQ17" i="278"/>
  <c r="P20" i="278"/>
  <c r="AI20" i="278"/>
  <c r="AS20" i="278"/>
  <c r="R21" i="278"/>
  <c r="AC21" i="278"/>
  <c r="AM21" i="278"/>
  <c r="M23" i="278"/>
  <c r="AB23" i="278"/>
  <c r="AR23" i="278"/>
  <c r="V24" i="278"/>
  <c r="AL24" i="278"/>
  <c r="R25" i="278"/>
  <c r="O26" i="278"/>
  <c r="AC6" i="278"/>
  <c r="AS6" i="278"/>
  <c r="P8" i="278"/>
  <c r="AE8" i="278"/>
  <c r="AP8" i="278"/>
  <c r="T9" i="278"/>
  <c r="AO9" i="278"/>
  <c r="X10" i="278"/>
  <c r="AI12" i="278"/>
  <c r="AS15" i="278"/>
  <c r="S16" i="278"/>
  <c r="AE16" i="278"/>
  <c r="AR16" i="278"/>
  <c r="L16" i="278" s="1"/>
  <c r="AD18" i="278"/>
  <c r="AA20" i="278"/>
  <c r="S21" i="278"/>
  <c r="AD21" i="278"/>
  <c r="AN21" i="278"/>
  <c r="R22" i="278"/>
  <c r="AC23" i="278"/>
  <c r="AS23" i="278"/>
  <c r="W24" i="278"/>
  <c r="AM24" i="278"/>
  <c r="S25" i="278"/>
  <c r="W26" i="278"/>
  <c r="W20" i="277"/>
  <c r="AD6" i="278"/>
  <c r="AQ7" i="278"/>
  <c r="S8" i="278"/>
  <c r="AF8" i="278"/>
  <c r="AQ8" i="278"/>
  <c r="V9" i="278"/>
  <c r="AR9" i="278"/>
  <c r="L9" i="278" s="1"/>
  <c r="U9" i="278" s="1"/>
  <c r="Y10" i="278"/>
  <c r="AE11" i="278"/>
  <c r="AN12" i="278"/>
  <c r="T16" i="278"/>
  <c r="AF16" i="278"/>
  <c r="X24" i="278"/>
  <c r="AN24" i="278"/>
  <c r="V25" i="278"/>
  <c r="AI8" i="278"/>
  <c r="AE10" i="278"/>
  <c r="T8" i="278"/>
  <c r="AH8" i="278"/>
  <c r="AR8" i="278"/>
  <c r="L8" i="278" s="1"/>
  <c r="Y9" i="278"/>
  <c r="V16" i="278"/>
  <c r="AI16" i="278"/>
  <c r="AA25" i="278"/>
  <c r="S8" i="277"/>
  <c r="AF20" i="277"/>
  <c r="AH6" i="278"/>
  <c r="AP6" i="278"/>
  <c r="AC7" i="278"/>
  <c r="AK7" i="278"/>
  <c r="AS7" i="278"/>
  <c r="AL10" i="278"/>
  <c r="AD10" i="278"/>
  <c r="V10" i="278"/>
  <c r="AQ10" i="278"/>
  <c r="AI10" i="278"/>
  <c r="AA10" i="278"/>
  <c r="S10" i="278"/>
  <c r="AP10" i="278"/>
  <c r="AH10" i="278"/>
  <c r="T10" i="278"/>
  <c r="AF10" i="278"/>
  <c r="AS10" i="278"/>
  <c r="AN14" i="278"/>
  <c r="AF14" i="278"/>
  <c r="X14" i="278"/>
  <c r="P14" i="278"/>
  <c r="AM14" i="278"/>
  <c r="AE14" i="278"/>
  <c r="O14" i="278"/>
  <c r="W14" i="278" s="1"/>
  <c r="AS14" i="278"/>
  <c r="AK14" i="278"/>
  <c r="AC14" i="278"/>
  <c r="AR14" i="278"/>
  <c r="T14" i="278"/>
  <c r="L14" i="278"/>
  <c r="M14" i="278" s="1"/>
  <c r="Y14" i="278"/>
  <c r="AO14" i="278"/>
  <c r="Q15" i="278"/>
  <c r="R15" i="278" s="1"/>
  <c r="AG15" i="278"/>
  <c r="AN19" i="278"/>
  <c r="AF19" i="278"/>
  <c r="X19" i="278"/>
  <c r="P19" i="278"/>
  <c r="AM19" i="278"/>
  <c r="AE19" i="278"/>
  <c r="O19" i="278"/>
  <c r="W19" i="278" s="1"/>
  <c r="AL19" i="278"/>
  <c r="AD19" i="278"/>
  <c r="V19" i="278"/>
  <c r="AS19" i="278"/>
  <c r="AK19" i="278"/>
  <c r="AC19" i="278"/>
  <c r="AR19" i="278"/>
  <c r="L19" i="278" s="1"/>
  <c r="U19" i="278" s="1"/>
  <c r="T19" i="278"/>
  <c r="AQ19" i="278"/>
  <c r="AI19" i="278"/>
  <c r="AA19" i="278"/>
  <c r="S19" i="278"/>
  <c r="AP19" i="278"/>
  <c r="AH19" i="278"/>
  <c r="P6" i="277"/>
  <c r="V8" i="277"/>
  <c r="S6" i="278"/>
  <c r="AA6" i="278"/>
  <c r="AI6" i="278"/>
  <c r="AQ6" i="278"/>
  <c r="V7" i="278"/>
  <c r="AD7" i="278"/>
  <c r="AL7" i="278"/>
  <c r="Q8" i="278"/>
  <c r="R8" i="278" s="1"/>
  <c r="Y8" i="278"/>
  <c r="AG8" i="278"/>
  <c r="AO8" i="278"/>
  <c r="AG10" i="278"/>
  <c r="S11" i="278"/>
  <c r="S12" i="278"/>
  <c r="AF12" i="278"/>
  <c r="AP14" i="278"/>
  <c r="T15" i="278"/>
  <c r="T6" i="278"/>
  <c r="AR6" i="278"/>
  <c r="L6" i="278" s="1"/>
  <c r="O7" i="278"/>
  <c r="W7" i="278" s="1"/>
  <c r="AE7" i="278"/>
  <c r="AM7" i="278"/>
  <c r="AN11" i="278"/>
  <c r="AF11" i="278"/>
  <c r="X11" i="278"/>
  <c r="P11" i="278"/>
  <c r="AS11" i="278"/>
  <c r="AK11" i="278"/>
  <c r="AC11" i="278"/>
  <c r="AR11" i="278"/>
  <c r="L11" i="278" s="1"/>
  <c r="U11" i="278" s="1"/>
  <c r="T11" i="278"/>
  <c r="V11" i="278"/>
  <c r="AH11" i="278"/>
  <c r="AP12" i="278"/>
  <c r="AH12" i="278"/>
  <c r="AM12" i="278"/>
  <c r="AE12" i="278"/>
  <c r="O12" i="278"/>
  <c r="W12" i="278" s="1"/>
  <c r="AL12" i="278"/>
  <c r="AD12" i="278"/>
  <c r="V12" i="278"/>
  <c r="T12" i="278"/>
  <c r="AG12" i="278"/>
  <c r="AS12" i="278"/>
  <c r="AA14" i="278"/>
  <c r="AQ14" i="278"/>
  <c r="P7" i="278"/>
  <c r="X7" i="278"/>
  <c r="AF7" i="278"/>
  <c r="AN7" i="278"/>
  <c r="AQ15" i="278"/>
  <c r="AI15" i="278"/>
  <c r="AA15" i="278"/>
  <c r="S15" i="278"/>
  <c r="AP15" i="278"/>
  <c r="AH15" i="278"/>
  <c r="AN15" i="278"/>
  <c r="AF15" i="278"/>
  <c r="X15" i="278"/>
  <c r="P15" i="278"/>
  <c r="AM15" i="278"/>
  <c r="AE15" i="278"/>
  <c r="O15" i="278"/>
  <c r="W15" i="278" s="1"/>
  <c r="V15" i="278"/>
  <c r="AL15" i="278"/>
  <c r="Q7" i="278"/>
  <c r="R7" i="278" s="1"/>
  <c r="Y7" i="278"/>
  <c r="AG7" i="278"/>
  <c r="AO7" i="278"/>
  <c r="Y15" i="278"/>
  <c r="AO15" i="278"/>
  <c r="O6" i="278"/>
  <c r="W6" i="278" s="1"/>
  <c r="AE6" i="278"/>
  <c r="J7" i="278"/>
  <c r="AH7" i="278"/>
  <c r="AQ9" i="278"/>
  <c r="AI9" i="278"/>
  <c r="AA9" i="278"/>
  <c r="S9" i="278"/>
  <c r="AN9" i="278"/>
  <c r="AF9" i="278"/>
  <c r="X9" i="278"/>
  <c r="P9" i="278"/>
  <c r="AM9" i="278"/>
  <c r="AE9" i="278"/>
  <c r="AC9" i="278"/>
  <c r="AP9" i="278"/>
  <c r="O10" i="278"/>
  <c r="W10" i="278" s="1"/>
  <c r="AN10" i="278"/>
  <c r="AM11" i="278"/>
  <c r="M12" i="278"/>
  <c r="Y12" i="278"/>
  <c r="AK12" i="278"/>
  <c r="AH14" i="278"/>
  <c r="AR15" i="278"/>
  <c r="L15" i="278" s="1"/>
  <c r="AG19" i="278"/>
  <c r="Q13" i="278"/>
  <c r="R13" i="278" s="1"/>
  <c r="Y13" i="278"/>
  <c r="AG13" i="278"/>
  <c r="AO13" i="278"/>
  <c r="Q16" i="278"/>
  <c r="R16" i="278" s="1"/>
  <c r="AB16" i="278" s="1"/>
  <c r="Y16" i="278"/>
  <c r="AG16" i="278"/>
  <c r="AO16" i="278"/>
  <c r="T17" i="278"/>
  <c r="AR17" i="278"/>
  <c r="L17" i="278" s="1"/>
  <c r="M17" i="278" s="1"/>
  <c r="O18" i="278"/>
  <c r="W18" i="278" s="1"/>
  <c r="AE18" i="278"/>
  <c r="AM18" i="278"/>
  <c r="S22" i="278"/>
  <c r="AA22" i="278"/>
  <c r="AI22" i="278"/>
  <c r="AQ22" i="278"/>
  <c r="V23" i="278"/>
  <c r="AD23" i="278"/>
  <c r="AL23" i="278"/>
  <c r="Q24" i="278"/>
  <c r="Y24" i="278"/>
  <c r="AG24" i="278"/>
  <c r="AO24" i="278"/>
  <c r="L25" i="278"/>
  <c r="T25" i="278"/>
  <c r="AB25" i="278"/>
  <c r="AJ25" i="278"/>
  <c r="AR25" i="278"/>
  <c r="P26" i="278"/>
  <c r="Y26" i="278"/>
  <c r="AG26" i="278"/>
  <c r="AP26" i="278"/>
  <c r="AH13" i="278"/>
  <c r="AP13" i="278"/>
  <c r="AH16" i="278"/>
  <c r="AP16" i="278"/>
  <c r="AC17" i="278"/>
  <c r="AK17" i="278"/>
  <c r="AS17" i="278"/>
  <c r="P18" i="278"/>
  <c r="X18" i="278"/>
  <c r="AF18" i="278"/>
  <c r="AN18" i="278"/>
  <c r="AL20" i="278"/>
  <c r="Q21" i="278"/>
  <c r="Y21" i="278"/>
  <c r="AG21" i="278"/>
  <c r="AO21" i="278"/>
  <c r="L22" i="278"/>
  <c r="T22" i="278"/>
  <c r="AB22" i="278"/>
  <c r="AJ22" i="278"/>
  <c r="AR22" i="278"/>
  <c r="O23" i="278"/>
  <c r="W23" i="278"/>
  <c r="AE23" i="278"/>
  <c r="AM23" i="278"/>
  <c r="J24" i="278"/>
  <c r="R24" i="278"/>
  <c r="Z24" i="278"/>
  <c r="AH24" i="278"/>
  <c r="AP24" i="278"/>
  <c r="M25" i="278"/>
  <c r="U25" i="278"/>
  <c r="AC25" i="278"/>
  <c r="AK25" i="278"/>
  <c r="AS25" i="278"/>
  <c r="Q26" i="278"/>
  <c r="Z26" i="278"/>
  <c r="AH26" i="278"/>
  <c r="AQ26" i="278"/>
  <c r="V17" i="278"/>
  <c r="AD17" i="278"/>
  <c r="AL17" i="278"/>
  <c r="Q18" i="278"/>
  <c r="R18" i="278" s="1"/>
  <c r="Z18" i="278" s="1"/>
  <c r="Y18" i="278"/>
  <c r="AG18" i="278"/>
  <c r="AO18" i="278"/>
  <c r="M22" i="278"/>
  <c r="U22" i="278"/>
  <c r="AC22" i="278"/>
  <c r="AK22" i="278"/>
  <c r="AS22" i="278"/>
  <c r="AD25" i="278"/>
  <c r="AL25" i="278"/>
  <c r="R26" i="278"/>
  <c r="AA26" i="278"/>
  <c r="AI26" i="278"/>
  <c r="AR26" i="278"/>
  <c r="O17" i="278"/>
  <c r="W17" i="278" s="1"/>
  <c r="AE17" i="278"/>
  <c r="AM17" i="278"/>
  <c r="AH18" i="278"/>
  <c r="AP18" i="278"/>
  <c r="V22" i="278"/>
  <c r="AD22" i="278"/>
  <c r="AL22" i="278"/>
  <c r="Q23" i="278"/>
  <c r="Y23" i="278"/>
  <c r="AG23" i="278"/>
  <c r="AO23" i="278"/>
  <c r="L24" i="278"/>
  <c r="T24" i="278"/>
  <c r="AB24" i="278"/>
  <c r="AJ24" i="278"/>
  <c r="AR24" i="278"/>
  <c r="O25" i="278"/>
  <c r="W25" i="278"/>
  <c r="AE25" i="278"/>
  <c r="AM25" i="278"/>
  <c r="J26" i="278"/>
  <c r="S26" i="278"/>
  <c r="AB26" i="278"/>
  <c r="AJ26" i="278"/>
  <c r="AS26" i="278"/>
  <c r="AC13" i="278"/>
  <c r="AK13" i="278"/>
  <c r="AC16" i="278"/>
  <c r="AK16" i="278"/>
  <c r="P17" i="278"/>
  <c r="X17" i="278"/>
  <c r="AF17" i="278"/>
  <c r="AN17" i="278"/>
  <c r="S18" i="278"/>
  <c r="AA18" i="278"/>
  <c r="AI18" i="278"/>
  <c r="AQ18" i="278"/>
  <c r="Q20" i="278"/>
  <c r="R20" i="278" s="1"/>
  <c r="Y20" i="278"/>
  <c r="AG20" i="278"/>
  <c r="L21" i="278"/>
  <c r="T21" i="278"/>
  <c r="AB21" i="278"/>
  <c r="AJ21" i="278"/>
  <c r="O22" i="278"/>
  <c r="W22" i="278"/>
  <c r="AE22" i="278"/>
  <c r="AM22" i="278"/>
  <c r="J23" i="278"/>
  <c r="R23" i="278"/>
  <c r="Z23" i="278"/>
  <c r="AH23" i="278"/>
  <c r="M24" i="278"/>
  <c r="U24" i="278"/>
  <c r="AC24" i="278"/>
  <c r="AK24" i="278"/>
  <c r="P25" i="278"/>
  <c r="X25" i="278"/>
  <c r="AF25" i="278"/>
  <c r="AN25" i="278"/>
  <c r="L26" i="278"/>
  <c r="T26" i="278"/>
  <c r="AC26" i="278"/>
  <c r="AK26" i="278"/>
  <c r="Q17" i="278"/>
  <c r="R17" i="278" s="1"/>
  <c r="AB17" i="278" s="1"/>
  <c r="Y17" i="278"/>
  <c r="AG17" i="278"/>
  <c r="AO17" i="278"/>
  <c r="AR18" i="278"/>
  <c r="L18" i="278" s="1"/>
  <c r="P22" i="278"/>
  <c r="X22" i="278"/>
  <c r="AF22" i="278"/>
  <c r="AN22" i="278"/>
  <c r="Q25" i="278"/>
  <c r="Y25" i="278"/>
  <c r="AG25" i="278"/>
  <c r="AO25" i="278"/>
  <c r="M26" i="278"/>
  <c r="U26" i="278"/>
  <c r="AD26" i="278"/>
  <c r="AM26" i="278"/>
  <c r="AH17" i="278"/>
  <c r="AC18" i="278"/>
  <c r="AK18" i="278"/>
  <c r="Q22" i="278"/>
  <c r="Y22" i="278"/>
  <c r="AG22" i="278"/>
  <c r="Z25" i="278"/>
  <c r="AH25" i="278"/>
  <c r="V26" i="278"/>
  <c r="AE26" i="278"/>
  <c r="AS8" i="277"/>
  <c r="T23" i="277"/>
  <c r="AQ25" i="277"/>
  <c r="AQ23" i="277"/>
  <c r="Y11" i="277"/>
  <c r="AD13" i="277"/>
  <c r="Q15" i="277"/>
  <c r="AH11" i="277"/>
  <c r="AR13" i="277"/>
  <c r="O20" i="277"/>
  <c r="P20" i="277"/>
  <c r="AD8" i="277"/>
  <c r="AH10" i="277"/>
  <c r="AE17" i="277"/>
  <c r="AE20" i="277"/>
  <c r="U26" i="277"/>
  <c r="AF17" i="277"/>
  <c r="T19" i="277"/>
  <c r="W26" i="277"/>
  <c r="V14" i="277"/>
  <c r="AN17" i="277"/>
  <c r="AI20" i="277"/>
  <c r="AF26" i="277"/>
  <c r="AM14" i="277"/>
  <c r="AQ20" i="277"/>
  <c r="X11" i="277"/>
  <c r="AI16" i="277"/>
  <c r="AP22" i="277"/>
  <c r="X6" i="277"/>
  <c r="AR10" i="277"/>
  <c r="L10" i="277" s="1"/>
  <c r="AE13" i="277"/>
  <c r="AA14" i="277"/>
  <c r="AH15" i="277"/>
  <c r="AM16" i="277"/>
  <c r="J18" i="277"/>
  <c r="AH18" i="277"/>
  <c r="V19" i="277"/>
  <c r="L20" i="277"/>
  <c r="AA20" i="277"/>
  <c r="AR20" i="277"/>
  <c r="P24" i="277"/>
  <c r="AE6" i="277"/>
  <c r="P8" i="277"/>
  <c r="AK13" i="277"/>
  <c r="AD14" i="277"/>
  <c r="AQ15" i="277"/>
  <c r="AO18" i="277"/>
  <c r="AD19" i="277"/>
  <c r="M20" i="277"/>
  <c r="AB20" i="277"/>
  <c r="AS20" i="277"/>
  <c r="L22" i="277"/>
  <c r="AD24" i="277"/>
  <c r="M26" i="277"/>
  <c r="AG18" i="277"/>
  <c r="AN6" i="277"/>
  <c r="AQ13" i="277"/>
  <c r="AL14" i="277"/>
  <c r="L18" i="277"/>
  <c r="AP18" i="277"/>
  <c r="AI19" i="277"/>
  <c r="AQ24" i="277"/>
  <c r="AJ19" i="277"/>
  <c r="Q22" i="277"/>
  <c r="Q18" i="277"/>
  <c r="AQ19" i="277"/>
  <c r="T22" i="277"/>
  <c r="AK19" i="276"/>
  <c r="AF8" i="277"/>
  <c r="P13" i="277"/>
  <c r="R18" i="277"/>
  <c r="L19" i="277"/>
  <c r="AR19" i="277"/>
  <c r="U20" i="277"/>
  <c r="AK20" i="277"/>
  <c r="P21" i="277"/>
  <c r="AH22" i="277"/>
  <c r="O6" i="277"/>
  <c r="W6" i="277" s="1"/>
  <c r="AL8" i="277"/>
  <c r="V10" i="277"/>
  <c r="S13" i="277"/>
  <c r="AA16" i="277"/>
  <c r="AB18" i="277"/>
  <c r="V20" i="277"/>
  <c r="AL20" i="277"/>
  <c r="AM21" i="277"/>
  <c r="AJ22" i="277"/>
  <c r="AI25" i="277"/>
  <c r="J7" i="277"/>
  <c r="J8" i="277" s="1"/>
  <c r="AQ7" i="277"/>
  <c r="T8" i="277"/>
  <c r="AI8" i="277"/>
  <c r="AI10" i="277"/>
  <c r="AS10" i="277"/>
  <c r="AC11" i="277"/>
  <c r="T13" i="277"/>
  <c r="AF13" i="277"/>
  <c r="AS13" i="277"/>
  <c r="AI15" i="277"/>
  <c r="L16" i="277"/>
  <c r="U16" i="277" s="1"/>
  <c r="V16" i="277"/>
  <c r="AK16" i="277"/>
  <c r="AH17" i="277"/>
  <c r="R21" i="277"/>
  <c r="AN21" i="277"/>
  <c r="V23" i="277"/>
  <c r="AR23" i="277"/>
  <c r="S24" i="277"/>
  <c r="AE24" i="277"/>
  <c r="AS24" i="277"/>
  <c r="AC26" i="277"/>
  <c r="AK8" i="277"/>
  <c r="X10" i="277"/>
  <c r="AK10" i="277"/>
  <c r="AG11" i="277"/>
  <c r="V13" i="277"/>
  <c r="AI13" i="277"/>
  <c r="AF14" i="277"/>
  <c r="AK15" i="277"/>
  <c r="X16" i="277"/>
  <c r="AL16" i="277"/>
  <c r="AM17" i="277"/>
  <c r="AJ18" i="277"/>
  <c r="S19" i="277"/>
  <c r="AL19" i="277"/>
  <c r="X20" i="277"/>
  <c r="AJ20" i="277"/>
  <c r="W21" i="277"/>
  <c r="AP21" i="277"/>
  <c r="R22" i="277"/>
  <c r="AA23" i="277"/>
  <c r="U24" i="277"/>
  <c r="AF24" i="277"/>
  <c r="L26" i="277"/>
  <c r="AD26" i="277"/>
  <c r="P9" i="277"/>
  <c r="AA10" i="277"/>
  <c r="AL10" i="277"/>
  <c r="X21" i="277"/>
  <c r="AB23" i="277"/>
  <c r="V24" i="277"/>
  <c r="AI24" i="277"/>
  <c r="AR26" i="276"/>
  <c r="S7" i="277"/>
  <c r="L8" i="277"/>
  <c r="M8" i="277" s="1"/>
  <c r="X8" i="277"/>
  <c r="AN8" i="277"/>
  <c r="Y9" i="277"/>
  <c r="O10" i="277"/>
  <c r="W10" i="277" s="1"/>
  <c r="AC10" i="277"/>
  <c r="AM10" i="277"/>
  <c r="AK11" i="277"/>
  <c r="L13" i="277"/>
  <c r="U13" i="277" s="1"/>
  <c r="X13" i="277"/>
  <c r="AL13" i="277"/>
  <c r="V15" i="277"/>
  <c r="AR15" i="277"/>
  <c r="L15" i="277" s="1"/>
  <c r="O16" i="277"/>
  <c r="W16" i="277" s="1"/>
  <c r="AC16" i="277"/>
  <c r="AN16" i="277"/>
  <c r="O17" i="277"/>
  <c r="W17" i="277" s="1"/>
  <c r="AP17" i="277"/>
  <c r="J21" i="277"/>
  <c r="Z21" i="277"/>
  <c r="Z22" i="277"/>
  <c r="AD23" i="277"/>
  <c r="W24" i="277"/>
  <c r="AK24" i="277"/>
  <c r="AK26" i="277"/>
  <c r="AF6" i="277"/>
  <c r="AA7" i="277"/>
  <c r="AA8" i="277"/>
  <c r="AQ8" i="277"/>
  <c r="AH9" i="277"/>
  <c r="P10" i="277"/>
  <c r="AD10" i="277"/>
  <c r="AN10" i="277"/>
  <c r="O11" i="277"/>
  <c r="W11" i="277" s="1"/>
  <c r="AM11" i="277"/>
  <c r="AA13" i="277"/>
  <c r="AM13" i="277"/>
  <c r="P14" i="277"/>
  <c r="AN14" i="277"/>
  <c r="Y15" i="277"/>
  <c r="AS15" i="277"/>
  <c r="P16" i="277"/>
  <c r="AD16" i="277"/>
  <c r="AQ16" i="277"/>
  <c r="P17" i="277"/>
  <c r="T18" i="277"/>
  <c r="AA19" i="277"/>
  <c r="S20" i="277"/>
  <c r="AC20" i="277"/>
  <c r="AM20" i="277"/>
  <c r="AE21" i="277"/>
  <c r="J22" i="277"/>
  <c r="AB22" i="277"/>
  <c r="L23" i="277"/>
  <c r="AI23" i="277"/>
  <c r="M24" i="277"/>
  <c r="X24" i="277"/>
  <c r="AL24" i="277"/>
  <c r="S25" i="277"/>
  <c r="O26" i="277"/>
  <c r="AM26" i="277"/>
  <c r="AP7" i="277"/>
  <c r="R19" i="276"/>
  <c r="AM6" i="277"/>
  <c r="AH7" i="277"/>
  <c r="AC8" i="277"/>
  <c r="AR8" i="277"/>
  <c r="S10" i="277"/>
  <c r="AE10" i="277"/>
  <c r="AP10" i="277"/>
  <c r="Q11" i="277"/>
  <c r="R11" i="277" s="1"/>
  <c r="Z11" i="277" s="1"/>
  <c r="AS11" i="277"/>
  <c r="O13" i="277"/>
  <c r="W13" i="277" s="1"/>
  <c r="AC13" i="277"/>
  <c r="AN13" i="277"/>
  <c r="Q14" i="277"/>
  <c r="R14" i="277" s="1"/>
  <c r="Z14" i="277" s="1"/>
  <c r="AA15" i="277"/>
  <c r="S16" i="277"/>
  <c r="AE16" i="277"/>
  <c r="AR16" i="277"/>
  <c r="X17" i="277"/>
  <c r="AB19" i="277"/>
  <c r="T20" i="277"/>
  <c r="AD20" i="277"/>
  <c r="AN20" i="277"/>
  <c r="AF21" i="277"/>
  <c r="AG22" i="277"/>
  <c r="AJ23" i="277"/>
  <c r="AA24" i="277"/>
  <c r="AM24" i="277"/>
  <c r="AA25" i="277"/>
  <c r="T26" i="277"/>
  <c r="AO26" i="277"/>
  <c r="AI7" i="277"/>
  <c r="T10" i="277"/>
  <c r="AF10" i="277"/>
  <c r="AQ10" i="277"/>
  <c r="AG15" i="277"/>
  <c r="T16" i="277"/>
  <c r="AF16" i="277"/>
  <c r="AS16" i="277"/>
  <c r="O21" i="277"/>
  <c r="AH21" i="277"/>
  <c r="S23" i="277"/>
  <c r="AL23" i="277"/>
  <c r="O24" i="277"/>
  <c r="AC24" i="277"/>
  <c r="AN24" i="277"/>
  <c r="AL9" i="277"/>
  <c r="AD9" i="277"/>
  <c r="V9" i="277"/>
  <c r="Q9" i="277"/>
  <c r="R9" i="277" s="1"/>
  <c r="AI9" i="277"/>
  <c r="AR9" i="277"/>
  <c r="L9" i="277" s="1"/>
  <c r="S12" i="277"/>
  <c r="AC12" i="277"/>
  <c r="AM12" i="277"/>
  <c r="AE12" i="277"/>
  <c r="O12" i="277"/>
  <c r="W12" i="277" s="1"/>
  <c r="AL12" i="277"/>
  <c r="AD12" i="277"/>
  <c r="V12" i="277"/>
  <c r="AN12" i="277"/>
  <c r="Q6" i="277"/>
  <c r="R6" i="277" s="1"/>
  <c r="Y6" i="277"/>
  <c r="AG6" i="277"/>
  <c r="AO6" i="277"/>
  <c r="T7" i="277"/>
  <c r="AR7" i="277"/>
  <c r="L7" i="277" s="1"/>
  <c r="O8" i="277"/>
  <c r="W8" i="277" s="1"/>
  <c r="AE8" i="277"/>
  <c r="AM8" i="277"/>
  <c r="AA9" i="277"/>
  <c r="AS9" i="277"/>
  <c r="P11" i="277"/>
  <c r="T12" i="277"/>
  <c r="AF12" i="277"/>
  <c r="AP12" i="277"/>
  <c r="AS14" i="277"/>
  <c r="AK14" i="277"/>
  <c r="AC14" i="277"/>
  <c r="AR14" i="277"/>
  <c r="T14" i="277"/>
  <c r="L14" i="277"/>
  <c r="U14" i="277" s="1"/>
  <c r="S14" i="277"/>
  <c r="AE14" i="277"/>
  <c r="AO14" i="277"/>
  <c r="AH6" i="277"/>
  <c r="AP6" i="277"/>
  <c r="AC7" i="277"/>
  <c r="AK7" i="277"/>
  <c r="AS7" i="277"/>
  <c r="S9" i="277"/>
  <c r="AK9" i="277"/>
  <c r="AG12" i="277"/>
  <c r="AQ12" i="277"/>
  <c r="AE17" i="275"/>
  <c r="S6" i="277"/>
  <c r="AA6" i="277"/>
  <c r="AI6" i="277"/>
  <c r="AQ6" i="277"/>
  <c r="V7" i="277"/>
  <c r="AD7" i="277"/>
  <c r="AL7" i="277"/>
  <c r="Q8" i="277"/>
  <c r="R8" i="277" s="1"/>
  <c r="Z8" i="277" s="1"/>
  <c r="Y8" i="277"/>
  <c r="AG8" i="277"/>
  <c r="AO8" i="277"/>
  <c r="T9" i="277"/>
  <c r="AC9" i="277"/>
  <c r="AM9" i="277"/>
  <c r="AR11" i="277"/>
  <c r="L11" i="277" s="1"/>
  <c r="T11" i="277"/>
  <c r="AQ11" i="277"/>
  <c r="AI11" i="277"/>
  <c r="AA11" i="277"/>
  <c r="S11" i="277"/>
  <c r="AD11" i="277"/>
  <c r="AN11" i="277"/>
  <c r="X12" i="277"/>
  <c r="AH12" i="277"/>
  <c r="AR12" i="277"/>
  <c r="L12" i="277" s="1"/>
  <c r="AG14" i="277"/>
  <c r="AQ14" i="277"/>
  <c r="R15" i="277"/>
  <c r="Z15" i="277" s="1"/>
  <c r="T6" i="277"/>
  <c r="AR6" i="277"/>
  <c r="L6" i="277" s="1"/>
  <c r="O7" i="277"/>
  <c r="W7" i="277" s="1"/>
  <c r="AE7" i="277"/>
  <c r="AM7" i="277"/>
  <c r="AH8" i="277"/>
  <c r="AE9" i="277"/>
  <c r="AN9" i="277"/>
  <c r="AE11" i="277"/>
  <c r="AO11" i="277"/>
  <c r="Y12" i="277"/>
  <c r="AI12" i="277"/>
  <c r="AS12" i="277"/>
  <c r="X14" i="277"/>
  <c r="AH14" i="277"/>
  <c r="AN15" i="277"/>
  <c r="AF15" i="277"/>
  <c r="X15" i="277"/>
  <c r="P15" i="277"/>
  <c r="AM15" i="277"/>
  <c r="AE15" i="277"/>
  <c r="W15" i="277"/>
  <c r="O15" i="277"/>
  <c r="S15" i="277"/>
  <c r="AC15" i="277"/>
  <c r="AO15" i="277"/>
  <c r="AI23" i="276"/>
  <c r="AC6" i="277"/>
  <c r="AK6" i="277"/>
  <c r="AS6" i="277"/>
  <c r="P7" i="277"/>
  <c r="X7" i="277"/>
  <c r="AF7" i="277"/>
  <c r="AN7" i="277"/>
  <c r="AF9" i="277"/>
  <c r="AO9" i="277"/>
  <c r="V11" i="277"/>
  <c r="AF11" i="277"/>
  <c r="AP11" i="277"/>
  <c r="P12" i="277"/>
  <c r="O14" i="277"/>
  <c r="W14" i="277" s="1"/>
  <c r="Y14" i="277"/>
  <c r="AI14" i="277"/>
  <c r="T15" i="277"/>
  <c r="AD15" i="277"/>
  <c r="AP15" i="277"/>
  <c r="AQ18" i="277"/>
  <c r="AI18" i="277"/>
  <c r="AA18" i="277"/>
  <c r="S18" i="277"/>
  <c r="AN18" i="277"/>
  <c r="AF18" i="277"/>
  <c r="X18" i="277"/>
  <c r="P18" i="277"/>
  <c r="AM18" i="277"/>
  <c r="AE18" i="277"/>
  <c r="W18" i="277"/>
  <c r="O18" i="277"/>
  <c r="AL18" i="277"/>
  <c r="AD18" i="277"/>
  <c r="V18" i="277"/>
  <c r="AS18" i="277"/>
  <c r="AK18" i="277"/>
  <c r="AC18" i="277"/>
  <c r="U18" i="277"/>
  <c r="M18" i="277"/>
  <c r="Y18" i="277"/>
  <c r="AR18" i="277"/>
  <c r="AQ22" i="277"/>
  <c r="AI22" i="277"/>
  <c r="AA22" i="277"/>
  <c r="S22" i="277"/>
  <c r="AN22" i="277"/>
  <c r="AF22" i="277"/>
  <c r="X22" i="277"/>
  <c r="P22" i="277"/>
  <c r="AM22" i="277"/>
  <c r="AE22" i="277"/>
  <c r="W22" i="277"/>
  <c r="O22" i="277"/>
  <c r="AL22" i="277"/>
  <c r="AD22" i="277"/>
  <c r="V22" i="277"/>
  <c r="AS22" i="277"/>
  <c r="AK22" i="277"/>
  <c r="AC22" i="277"/>
  <c r="U22" i="277"/>
  <c r="M22" i="277"/>
  <c r="Y22" i="277"/>
  <c r="AR22" i="277"/>
  <c r="V6" i="277"/>
  <c r="AD6" i="277"/>
  <c r="Q7" i="277"/>
  <c r="R7" i="277" s="1"/>
  <c r="Z7" i="277" s="1"/>
  <c r="Y7" i="277"/>
  <c r="AG7" i="277"/>
  <c r="O9" i="277"/>
  <c r="W9" i="277" s="1"/>
  <c r="X9" i="277"/>
  <c r="AG9" i="277"/>
  <c r="AP9" i="277"/>
  <c r="Q12" i="277"/>
  <c r="R12" i="277" s="1"/>
  <c r="AA12" i="277"/>
  <c r="AK12" i="277"/>
  <c r="Q13" i="277"/>
  <c r="R13" i="277" s="1"/>
  <c r="Z13" i="277" s="1"/>
  <c r="Y13" i="277"/>
  <c r="AG13" i="277"/>
  <c r="AO13" i="277"/>
  <c r="Q16" i="277"/>
  <c r="R16" i="277" s="1"/>
  <c r="Y16" i="277"/>
  <c r="AG16" i="277"/>
  <c r="AO16" i="277"/>
  <c r="S17" i="277"/>
  <c r="AA17" i="277"/>
  <c r="AI17" i="277"/>
  <c r="AQ17" i="277"/>
  <c r="O19" i="277"/>
  <c r="W19" i="277"/>
  <c r="AE19" i="277"/>
  <c r="AM19" i="277"/>
  <c r="Q20" i="277"/>
  <c r="Y20" i="277"/>
  <c r="AG20" i="277"/>
  <c r="AO20" i="277"/>
  <c r="S21" i="277"/>
  <c r="AA21" i="277"/>
  <c r="AI21" i="277"/>
  <c r="AQ21" i="277"/>
  <c r="O23" i="277"/>
  <c r="W23" i="277"/>
  <c r="AE23" i="277"/>
  <c r="AM23" i="277"/>
  <c r="Q24" i="277"/>
  <c r="Y24" i="277"/>
  <c r="AG24" i="277"/>
  <c r="AO24" i="277"/>
  <c r="L25" i="277"/>
  <c r="T25" i="277"/>
  <c r="AB25" i="277"/>
  <c r="AJ25" i="277"/>
  <c r="AR25" i="277"/>
  <c r="P26" i="277"/>
  <c r="Y26" i="277"/>
  <c r="AG26" i="277"/>
  <c r="AP26" i="277"/>
  <c r="Q10" i="277"/>
  <c r="R10" i="277" s="1"/>
  <c r="Y10" i="277"/>
  <c r="AG10" i="277"/>
  <c r="AH13" i="277"/>
  <c r="AH16" i="277"/>
  <c r="L17" i="277"/>
  <c r="M17" i="277" s="1"/>
  <c r="T17" i="277"/>
  <c r="AR17" i="277"/>
  <c r="P19" i="277"/>
  <c r="X19" i="277"/>
  <c r="AF19" i="277"/>
  <c r="AN19" i="277"/>
  <c r="J20" i="277"/>
  <c r="R20" i="277"/>
  <c r="Z20" i="277"/>
  <c r="AH20" i="277"/>
  <c r="L21" i="277"/>
  <c r="T21" i="277"/>
  <c r="AB21" i="277"/>
  <c r="AJ21" i="277"/>
  <c r="AR21" i="277"/>
  <c r="P23" i="277"/>
  <c r="X23" i="277"/>
  <c r="AF23" i="277"/>
  <c r="AN23" i="277"/>
  <c r="J24" i="277"/>
  <c r="R24" i="277"/>
  <c r="Z24" i="277"/>
  <c r="AH24" i="277"/>
  <c r="AP24" i="277"/>
  <c r="M25" i="277"/>
  <c r="U25" i="277"/>
  <c r="AC25" i="277"/>
  <c r="AK25" i="277"/>
  <c r="AS25" i="277"/>
  <c r="Q26" i="277"/>
  <c r="Z26" i="277"/>
  <c r="AH26" i="277"/>
  <c r="AQ26" i="277"/>
  <c r="AC17" i="277"/>
  <c r="AK17" i="277"/>
  <c r="AS17" i="277"/>
  <c r="Q19" i="277"/>
  <c r="Y19" i="277"/>
  <c r="AG19" i="277"/>
  <c r="AO19" i="277"/>
  <c r="M21" i="277"/>
  <c r="U21" i="277"/>
  <c r="AC21" i="277"/>
  <c r="AK21" i="277"/>
  <c r="AS21" i="277"/>
  <c r="Q23" i="277"/>
  <c r="Y23" i="277"/>
  <c r="AG23" i="277"/>
  <c r="AO23" i="277"/>
  <c r="V25" i="277"/>
  <c r="AD25" i="277"/>
  <c r="AL25" i="277"/>
  <c r="R26" i="277"/>
  <c r="AA26" i="277"/>
  <c r="AI26" i="277"/>
  <c r="AR26" i="277"/>
  <c r="V17" i="277"/>
  <c r="AD17" i="277"/>
  <c r="AL17" i="277"/>
  <c r="J19" i="277"/>
  <c r="R19" i="277"/>
  <c r="Z19" i="277"/>
  <c r="AH19" i="277"/>
  <c r="AP19" i="277"/>
  <c r="V21" i="277"/>
  <c r="AD21" i="277"/>
  <c r="AL21" i="277"/>
  <c r="J23" i="277"/>
  <c r="R23" i="277"/>
  <c r="Z23" i="277"/>
  <c r="AH23" i="277"/>
  <c r="AP23" i="277"/>
  <c r="L24" i="277"/>
  <c r="T24" i="277"/>
  <c r="AB24" i="277"/>
  <c r="AJ24" i="277"/>
  <c r="O25" i="277"/>
  <c r="W25" i="277"/>
  <c r="AE25" i="277"/>
  <c r="AM25" i="277"/>
  <c r="J26" i="277"/>
  <c r="S26" i="277"/>
  <c r="AB26" i="277"/>
  <c r="AJ26" i="277"/>
  <c r="AS26" i="277"/>
  <c r="P25" i="277"/>
  <c r="X25" i="277"/>
  <c r="AF25" i="277"/>
  <c r="AN25" i="277"/>
  <c r="Q25" i="277"/>
  <c r="Y25" i="277"/>
  <c r="AG25" i="277"/>
  <c r="AO25" i="277"/>
  <c r="Q17" i="277"/>
  <c r="R17" i="277" s="1"/>
  <c r="Z17" i="277" s="1"/>
  <c r="Y17" i="277"/>
  <c r="AG17" i="277"/>
  <c r="M19" i="277"/>
  <c r="U19" i="277"/>
  <c r="AC19" i="277"/>
  <c r="AK19" i="277"/>
  <c r="Q21" i="277"/>
  <c r="Y21" i="277"/>
  <c r="AG21" i="277"/>
  <c r="M23" i="277"/>
  <c r="U23" i="277"/>
  <c r="AC23" i="277"/>
  <c r="AK23" i="277"/>
  <c r="J25" i="277"/>
  <c r="R25" i="277"/>
  <c r="Z25" i="277"/>
  <c r="AH25" i="277"/>
  <c r="V26" i="277"/>
  <c r="AE26" i="277"/>
  <c r="X8" i="276"/>
  <c r="Y10" i="276"/>
  <c r="AC8" i="276"/>
  <c r="AD25" i="276"/>
  <c r="AH25" i="276"/>
  <c r="J7" i="276"/>
  <c r="J8" i="276" s="1"/>
  <c r="J25" i="276"/>
  <c r="AI25" i="276"/>
  <c r="Z20" i="276"/>
  <c r="AR25" i="276"/>
  <c r="L25" i="276"/>
  <c r="AI19" i="276"/>
  <c r="Z25" i="276"/>
  <c r="W26" i="276"/>
  <c r="AB25" i="276"/>
  <c r="L22" i="274"/>
  <c r="AK8" i="276"/>
  <c r="AA10" i="276"/>
  <c r="AM14" i="276"/>
  <c r="L20" i="276"/>
  <c r="AE20" i="276"/>
  <c r="J22" i="276"/>
  <c r="R25" i="276"/>
  <c r="AP25" i="276"/>
  <c r="AQ18" i="276"/>
  <c r="AI10" i="276"/>
  <c r="Q12" i="276"/>
  <c r="R12" i="276" s="1"/>
  <c r="AB12" i="276" s="1"/>
  <c r="AN14" i="276"/>
  <c r="M20" i="276"/>
  <c r="AF20" i="276"/>
  <c r="S25" i="276"/>
  <c r="AQ25" i="276"/>
  <c r="AH14" i="276"/>
  <c r="V6" i="276"/>
  <c r="AQ7" i="276"/>
  <c r="O14" i="276"/>
  <c r="W14" i="276" s="1"/>
  <c r="AP14" i="276"/>
  <c r="P18" i="276"/>
  <c r="AH20" i="276"/>
  <c r="O21" i="276"/>
  <c r="X6" i="276"/>
  <c r="S14" i="276"/>
  <c r="AS14" i="276"/>
  <c r="AP16" i="276"/>
  <c r="X18" i="276"/>
  <c r="O20" i="276"/>
  <c r="AJ20" i="276"/>
  <c r="X21" i="276"/>
  <c r="AA22" i="276"/>
  <c r="AA25" i="276"/>
  <c r="AD6" i="276"/>
  <c r="AC14" i="276"/>
  <c r="AF18" i="276"/>
  <c r="T20" i="276"/>
  <c r="AP20" i="276"/>
  <c r="Z21" i="276"/>
  <c r="AF6" i="276"/>
  <c r="AE11" i="276"/>
  <c r="X13" i="276"/>
  <c r="AD14" i="276"/>
  <c r="AI18" i="276"/>
  <c r="U20" i="276"/>
  <c r="AQ20" i="276"/>
  <c r="AI21" i="276"/>
  <c r="AM13" i="276"/>
  <c r="AE14" i="276"/>
  <c r="AO18" i="276"/>
  <c r="W20" i="276"/>
  <c r="AR20" i="276"/>
  <c r="AK21" i="276"/>
  <c r="AK17" i="276"/>
  <c r="AD8" i="276"/>
  <c r="AO11" i="276"/>
  <c r="X12" i="276"/>
  <c r="L13" i="276"/>
  <c r="M13" i="276" s="1"/>
  <c r="AA13" i="276"/>
  <c r="AN13" i="276"/>
  <c r="V17" i="276"/>
  <c r="AL17" i="276"/>
  <c r="S19" i="276"/>
  <c r="AP19" i="276"/>
  <c r="P21" i="276"/>
  <c r="AA21" i="276"/>
  <c r="AL21" i="276"/>
  <c r="AC22" i="276"/>
  <c r="V23" i="276"/>
  <c r="AJ23" i="276"/>
  <c r="U23" i="276"/>
  <c r="AE6" i="276"/>
  <c r="AF8" i="276"/>
  <c r="AL10" i="276"/>
  <c r="AP11" i="276"/>
  <c r="Y12" i="276"/>
  <c r="AC13" i="276"/>
  <c r="AP13" i="276"/>
  <c r="P14" i="276"/>
  <c r="AF14" i="276"/>
  <c r="AQ14" i="276"/>
  <c r="L17" i="276"/>
  <c r="M17" i="276" s="1"/>
  <c r="X17" i="276"/>
  <c r="AN17" i="276"/>
  <c r="S18" i="276"/>
  <c r="U19" i="276"/>
  <c r="AQ19" i="276"/>
  <c r="X20" i="276"/>
  <c r="AI20" i="276"/>
  <c r="AS20" i="276"/>
  <c r="R21" i="276"/>
  <c r="AC21" i="276"/>
  <c r="AM21" i="276"/>
  <c r="M22" i="276"/>
  <c r="AH22" i="276"/>
  <c r="L23" i="276"/>
  <c r="X23" i="276"/>
  <c r="AK23" i="276"/>
  <c r="S7" i="276"/>
  <c r="AE12" i="276"/>
  <c r="O13" i="276"/>
  <c r="W13" i="276" s="1"/>
  <c r="AE13" i="276"/>
  <c r="AQ13" i="276"/>
  <c r="AA17" i="276"/>
  <c r="AQ17" i="276"/>
  <c r="Z19" i="276"/>
  <c r="AS19" i="276"/>
  <c r="S21" i="276"/>
  <c r="AD21" i="276"/>
  <c r="AN21" i="276"/>
  <c r="AI22" i="276"/>
  <c r="M23" i="276"/>
  <c r="AA23" i="276"/>
  <c r="AL23" i="276"/>
  <c r="AF24" i="276"/>
  <c r="AL6" i="276"/>
  <c r="AA7" i="276"/>
  <c r="P8" i="276"/>
  <c r="AL8" i="276"/>
  <c r="AM12" i="276"/>
  <c r="P13" i="276"/>
  <c r="AF13" i="276"/>
  <c r="AR13" i="276"/>
  <c r="V14" i="276"/>
  <c r="AI14" i="276"/>
  <c r="AC17" i="276"/>
  <c r="AR17" i="276"/>
  <c r="Y18" i="276"/>
  <c r="J19" i="276"/>
  <c r="AA19" i="276"/>
  <c r="P20" i="276"/>
  <c r="AA20" i="276"/>
  <c r="AK20" i="276"/>
  <c r="J21" i="276"/>
  <c r="U21" i="276"/>
  <c r="AE21" i="276"/>
  <c r="AP21" i="276"/>
  <c r="R22" i="276"/>
  <c r="AK22" i="276"/>
  <c r="AB23" i="276"/>
  <c r="AN23" i="276"/>
  <c r="AG24" i="276"/>
  <c r="T25" i="276"/>
  <c r="AJ25" i="276"/>
  <c r="Y26" i="276"/>
  <c r="O6" i="276"/>
  <c r="W6" i="276" s="1"/>
  <c r="AM6" i="276"/>
  <c r="AH7" i="276"/>
  <c r="T8" i="276"/>
  <c r="AN8" i="276"/>
  <c r="O10" i="276"/>
  <c r="W10" i="276" s="1"/>
  <c r="L12" i="276"/>
  <c r="U12" i="276" s="1"/>
  <c r="AN12" i="276"/>
  <c r="S13" i="276"/>
  <c r="AH13" i="276"/>
  <c r="AS13" i="276"/>
  <c r="X14" i="276"/>
  <c r="AK14" i="276"/>
  <c r="Y16" i="276"/>
  <c r="P17" i="276"/>
  <c r="AD17" i="276"/>
  <c r="AS17" i="276"/>
  <c r="AC19" i="276"/>
  <c r="R20" i="276"/>
  <c r="AB20" i="276"/>
  <c r="AM20" i="276"/>
  <c r="V21" i="276"/>
  <c r="AF21" i="276"/>
  <c r="AQ21" i="276"/>
  <c r="S22" i="276"/>
  <c r="AP22" i="276"/>
  <c r="P23" i="276"/>
  <c r="AC23" i="276"/>
  <c r="AQ23" i="276"/>
  <c r="V25" i="276"/>
  <c r="AL25" i="276"/>
  <c r="AA26" i="276"/>
  <c r="P6" i="276"/>
  <c r="AN6" i="276"/>
  <c r="AI7" i="276"/>
  <c r="V8" i="276"/>
  <c r="AS8" i="276"/>
  <c r="Q10" i="276"/>
  <c r="R10" i="276" s="1"/>
  <c r="T11" i="276"/>
  <c r="AP12" i="276"/>
  <c r="T13" i="276"/>
  <c r="AI13" i="276"/>
  <c r="AA14" i="276"/>
  <c r="AL14" i="276"/>
  <c r="AO16" i="276"/>
  <c r="S17" i="276"/>
  <c r="AF17" i="276"/>
  <c r="M19" i="276"/>
  <c r="AH19" i="276"/>
  <c r="J20" i="276"/>
  <c r="S20" i="276"/>
  <c r="AC20" i="276"/>
  <c r="AN20" i="276"/>
  <c r="M21" i="276"/>
  <c r="W21" i="276"/>
  <c r="AH21" i="276"/>
  <c r="AS21" i="276"/>
  <c r="U22" i="276"/>
  <c r="AQ22" i="276"/>
  <c r="S23" i="276"/>
  <c r="AD23" i="276"/>
  <c r="AR23" i="276"/>
  <c r="AP7" i="276"/>
  <c r="AD11" i="276"/>
  <c r="O12" i="276"/>
  <c r="W12" i="276" s="1"/>
  <c r="AK13" i="276"/>
  <c r="T17" i="276"/>
  <c r="AI17" i="276"/>
  <c r="Z22" i="276"/>
  <c r="AS22" i="276"/>
  <c r="T23" i="276"/>
  <c r="AF23" i="276"/>
  <c r="AS23" i="276"/>
  <c r="AS9" i="276"/>
  <c r="AK9" i="276"/>
  <c r="AC9" i="276"/>
  <c r="AP9" i="276"/>
  <c r="AH9" i="276"/>
  <c r="T9" i="276"/>
  <c r="AE9" i="276"/>
  <c r="AO9" i="276"/>
  <c r="T15" i="276"/>
  <c r="V9" i="276"/>
  <c r="AF9" i="276"/>
  <c r="AQ9" i="276"/>
  <c r="X15" i="276"/>
  <c r="AN15" i="276"/>
  <c r="Q6" i="276"/>
  <c r="R6" i="276" s="1"/>
  <c r="Y6" i="276"/>
  <c r="AG6" i="276"/>
  <c r="AO6" i="276"/>
  <c r="T7" i="276"/>
  <c r="AR7" i="276"/>
  <c r="L7" i="276" s="1"/>
  <c r="O8" i="276"/>
  <c r="W8" i="276" s="1"/>
  <c r="AE8" i="276"/>
  <c r="AM8" i="276"/>
  <c r="AG9" i="276"/>
  <c r="AR9" i="276"/>
  <c r="L9" i="276" s="1"/>
  <c r="U9" i="276" s="1"/>
  <c r="V11" i="276"/>
  <c r="AG11" i="276"/>
  <c r="AR11" i="276"/>
  <c r="L11" i="276" s="1"/>
  <c r="P12" i="276"/>
  <c r="Y15" i="276"/>
  <c r="AO15" i="276"/>
  <c r="AA16" i="276"/>
  <c r="AQ16" i="276"/>
  <c r="AM18" i="276"/>
  <c r="AE18" i="276"/>
  <c r="W18" i="276"/>
  <c r="O18" i="276"/>
  <c r="AL18" i="276"/>
  <c r="AD18" i="276"/>
  <c r="V18" i="276"/>
  <c r="AS18" i="276"/>
  <c r="AK18" i="276"/>
  <c r="AC18" i="276"/>
  <c r="U18" i="276"/>
  <c r="M18" i="276"/>
  <c r="AR18" i="276"/>
  <c r="AJ18" i="276"/>
  <c r="AB18" i="276"/>
  <c r="T18" i="276"/>
  <c r="L18" i="276"/>
  <c r="AP18" i="276"/>
  <c r="AH18" i="276"/>
  <c r="Z18" i="276"/>
  <c r="R18" i="276"/>
  <c r="J18" i="276"/>
  <c r="AA18" i="276"/>
  <c r="P24" i="276"/>
  <c r="AI24" i="276"/>
  <c r="AN26" i="276"/>
  <c r="AE26" i="276"/>
  <c r="V26" i="276"/>
  <c r="AM26" i="276"/>
  <c r="AD26" i="276"/>
  <c r="U26" i="276"/>
  <c r="M26" i="276"/>
  <c r="AK26" i="276"/>
  <c r="AC26" i="276"/>
  <c r="T26" i="276"/>
  <c r="L26" i="276"/>
  <c r="AS26" i="276"/>
  <c r="AJ26" i="276"/>
  <c r="AB26" i="276"/>
  <c r="S26" i="276"/>
  <c r="J26" i="276"/>
  <c r="AQ26" i="276"/>
  <c r="AH26" i="276"/>
  <c r="Z26" i="276"/>
  <c r="Q26" i="276"/>
  <c r="AF26" i="276"/>
  <c r="AH6" i="276"/>
  <c r="AP6" i="276"/>
  <c r="AC7" i="276"/>
  <c r="AK7" i="276"/>
  <c r="AS7" i="276"/>
  <c r="X9" i="276"/>
  <c r="AI9" i="276"/>
  <c r="AN10" i="276"/>
  <c r="AF10" i="276"/>
  <c r="X10" i="276"/>
  <c r="P10" i="276"/>
  <c r="AS10" i="276"/>
  <c r="AK10" i="276"/>
  <c r="AC10" i="276"/>
  <c r="S10" i="276"/>
  <c r="AD10" i="276"/>
  <c r="AO10" i="276"/>
  <c r="AH11" i="276"/>
  <c r="AS11" i="276"/>
  <c r="AP15" i="276"/>
  <c r="AC16" i="276"/>
  <c r="AS16" i="276"/>
  <c r="Q24" i="276"/>
  <c r="AN24" i="276"/>
  <c r="AN9" i="275"/>
  <c r="S6" i="276"/>
  <c r="AA6" i="276"/>
  <c r="AI6" i="276"/>
  <c r="AQ6" i="276"/>
  <c r="V7" i="276"/>
  <c r="AD7" i="276"/>
  <c r="AL7" i="276"/>
  <c r="Q8" i="276"/>
  <c r="R8" i="276" s="1"/>
  <c r="Z8" i="276" s="1"/>
  <c r="Y8" i="276"/>
  <c r="AG8" i="276"/>
  <c r="AO8" i="276"/>
  <c r="O9" i="276"/>
  <c r="W9" i="276" s="1"/>
  <c r="Y9" i="276"/>
  <c r="T10" i="276"/>
  <c r="AE10" i="276"/>
  <c r="AP10" i="276"/>
  <c r="Y11" i="276"/>
  <c r="AL12" i="276"/>
  <c r="AD12" i="276"/>
  <c r="V12" i="276"/>
  <c r="AS12" i="276"/>
  <c r="AK12" i="276"/>
  <c r="AC12" i="276"/>
  <c r="AQ12" i="276"/>
  <c r="AI12" i="276"/>
  <c r="AA12" i="276"/>
  <c r="S12" i="276"/>
  <c r="AF12" i="276"/>
  <c r="AR12" i="276"/>
  <c r="AR15" i="276"/>
  <c r="L15" i="276" s="1"/>
  <c r="Q16" i="276"/>
  <c r="R16" i="276" s="1"/>
  <c r="Z16" i="276" s="1"/>
  <c r="AG16" i="276"/>
  <c r="S24" i="276"/>
  <c r="AO24" i="276"/>
  <c r="O26" i="276"/>
  <c r="AI26" i="276"/>
  <c r="P14" i="275"/>
  <c r="T6" i="276"/>
  <c r="AR6" i="276"/>
  <c r="L6" i="276" s="1"/>
  <c r="O7" i="276"/>
  <c r="W7" i="276" s="1"/>
  <c r="AE7" i="276"/>
  <c r="AM7" i="276"/>
  <c r="AH8" i="276"/>
  <c r="AQ8" i="276"/>
  <c r="P9" i="276"/>
  <c r="AA9" i="276"/>
  <c r="AL9" i="276"/>
  <c r="V10" i="276"/>
  <c r="AG10" i="276"/>
  <c r="AQ10" i="276"/>
  <c r="O11" i="276"/>
  <c r="W11" i="276" s="1"/>
  <c r="AK11" i="276"/>
  <c r="T12" i="276"/>
  <c r="AG12" i="276"/>
  <c r="P15" i="276"/>
  <c r="AF15" i="276"/>
  <c r="AH16" i="276"/>
  <c r="X24" i="276"/>
  <c r="AQ24" i="276"/>
  <c r="P26" i="276"/>
  <c r="AO26" i="276"/>
  <c r="Q12" i="275"/>
  <c r="R12" i="275" s="1"/>
  <c r="AJ12" i="275" s="1"/>
  <c r="AC6" i="276"/>
  <c r="AK6" i="276"/>
  <c r="P7" i="276"/>
  <c r="X7" i="276"/>
  <c r="AF7" i="276"/>
  <c r="AN7" i="276"/>
  <c r="S8" i="276"/>
  <c r="AA8" i="276"/>
  <c r="AI8" i="276"/>
  <c r="AR8" i="276"/>
  <c r="L8" i="276" s="1"/>
  <c r="Q9" i="276"/>
  <c r="R9" i="276" s="1"/>
  <c r="AM9" i="276"/>
  <c r="L10" i="276"/>
  <c r="U10" i="276" s="1"/>
  <c r="AH10" i="276"/>
  <c r="AR10" i="276"/>
  <c r="Q11" i="276"/>
  <c r="R11" i="276" s="1"/>
  <c r="AJ11" i="276" s="1"/>
  <c r="AH12" i="276"/>
  <c r="Q15" i="276"/>
  <c r="R15" i="276" s="1"/>
  <c r="S16" i="276"/>
  <c r="Q18" i="276"/>
  <c r="AN18" i="276"/>
  <c r="R26" i="276"/>
  <c r="AP26" i="276"/>
  <c r="AM15" i="276"/>
  <c r="AE15" i="276"/>
  <c r="O15" i="276"/>
  <c r="W15" i="276" s="1"/>
  <c r="AL15" i="276"/>
  <c r="AD15" i="276"/>
  <c r="V15" i="276"/>
  <c r="AS15" i="276"/>
  <c r="AK15" i="276"/>
  <c r="AC15" i="276"/>
  <c r="AQ15" i="276"/>
  <c r="AI15" i="276"/>
  <c r="AA15" i="276"/>
  <c r="S15" i="276"/>
  <c r="Q7" i="276"/>
  <c r="R7" i="276" s="1"/>
  <c r="Z7" i="276" s="1"/>
  <c r="Y7" i="276"/>
  <c r="AG7" i="276"/>
  <c r="S9" i="276"/>
  <c r="AD9" i="276"/>
  <c r="AN9" i="276"/>
  <c r="AQ11" i="276"/>
  <c r="AI11" i="276"/>
  <c r="AA11" i="276"/>
  <c r="S11" i="276"/>
  <c r="AN11" i="276"/>
  <c r="AF11" i="276"/>
  <c r="X11" i="276"/>
  <c r="P11" i="276"/>
  <c r="AC11" i="276"/>
  <c r="AM11" i="276"/>
  <c r="AH15" i="276"/>
  <c r="AN16" i="276"/>
  <c r="AF16" i="276"/>
  <c r="X16" i="276"/>
  <c r="P16" i="276"/>
  <c r="AM16" i="276"/>
  <c r="AE16" i="276"/>
  <c r="O16" i="276"/>
  <c r="W16" i="276" s="1"/>
  <c r="AL16" i="276"/>
  <c r="AD16" i="276"/>
  <c r="V16" i="276"/>
  <c r="AR16" i="276"/>
  <c r="L16" i="276" s="1"/>
  <c r="T16" i="276"/>
  <c r="AK16" i="276"/>
  <c r="AM24" i="276"/>
  <c r="AE24" i="276"/>
  <c r="W24" i="276"/>
  <c r="O24" i="276"/>
  <c r="AL24" i="276"/>
  <c r="AD24" i="276"/>
  <c r="V24" i="276"/>
  <c r="AS24" i="276"/>
  <c r="AK24" i="276"/>
  <c r="AC24" i="276"/>
  <c r="U24" i="276"/>
  <c r="M24" i="276"/>
  <c r="AR24" i="276"/>
  <c r="AJ24" i="276"/>
  <c r="AB24" i="276"/>
  <c r="T24" i="276"/>
  <c r="L24" i="276"/>
  <c r="AP24" i="276"/>
  <c r="AH24" i="276"/>
  <c r="Z24" i="276"/>
  <c r="R24" i="276"/>
  <c r="J24" i="276"/>
  <c r="AA24" i="276"/>
  <c r="V13" i="276"/>
  <c r="AD13" i="276"/>
  <c r="AL13" i="276"/>
  <c r="Q14" i="276"/>
  <c r="R14" i="276" s="1"/>
  <c r="Z14" i="276" s="1"/>
  <c r="Y14" i="276"/>
  <c r="AG14" i="276"/>
  <c r="AO14" i="276"/>
  <c r="O17" i="276"/>
  <c r="W17" i="276" s="1"/>
  <c r="AE17" i="276"/>
  <c r="AM17" i="276"/>
  <c r="L19" i="276"/>
  <c r="T19" i="276"/>
  <c r="AB19" i="276"/>
  <c r="AJ19" i="276"/>
  <c r="AR19" i="276"/>
  <c r="V20" i="276"/>
  <c r="AD20" i="276"/>
  <c r="AL20" i="276"/>
  <c r="Q21" i="276"/>
  <c r="Y21" i="276"/>
  <c r="AG21" i="276"/>
  <c r="AO21" i="276"/>
  <c r="L22" i="276"/>
  <c r="T22" i="276"/>
  <c r="AB22" i="276"/>
  <c r="AJ22" i="276"/>
  <c r="AR22" i="276"/>
  <c r="O23" i="276"/>
  <c r="W23" i="276"/>
  <c r="AE23" i="276"/>
  <c r="AM23" i="276"/>
  <c r="M25" i="276"/>
  <c r="U25" i="276"/>
  <c r="AC25" i="276"/>
  <c r="AK25" i="276"/>
  <c r="AS25" i="276"/>
  <c r="Q17" i="276"/>
  <c r="R17" i="276" s="1"/>
  <c r="Z17" i="276" s="1"/>
  <c r="Y17" i="276"/>
  <c r="AG17" i="276"/>
  <c r="AO17" i="276"/>
  <c r="V19" i="276"/>
  <c r="AD19" i="276"/>
  <c r="AL19" i="276"/>
  <c r="V22" i="276"/>
  <c r="AD22" i="276"/>
  <c r="AL22" i="276"/>
  <c r="Q23" i="276"/>
  <c r="Y23" i="276"/>
  <c r="AG23" i="276"/>
  <c r="AO23" i="276"/>
  <c r="O25" i="276"/>
  <c r="W25" i="276"/>
  <c r="AE25" i="276"/>
  <c r="AM25" i="276"/>
  <c r="Q13" i="276"/>
  <c r="R13" i="276" s="1"/>
  <c r="Y13" i="276"/>
  <c r="AG13" i="276"/>
  <c r="L14" i="276"/>
  <c r="T14" i="276"/>
  <c r="AH17" i="276"/>
  <c r="O19" i="276"/>
  <c r="W19" i="276"/>
  <c r="AE19" i="276"/>
  <c r="AM19" i="276"/>
  <c r="Q20" i="276"/>
  <c r="Y20" i="276"/>
  <c r="AG20" i="276"/>
  <c r="L21" i="276"/>
  <c r="T21" i="276"/>
  <c r="AB21" i="276"/>
  <c r="AJ21" i="276"/>
  <c r="O22" i="276"/>
  <c r="W22" i="276"/>
  <c r="AE22" i="276"/>
  <c r="AM22" i="276"/>
  <c r="J23" i="276"/>
  <c r="R23" i="276"/>
  <c r="Z23" i="276"/>
  <c r="AH23" i="276"/>
  <c r="P25" i="276"/>
  <c r="X25" i="276"/>
  <c r="AF25" i="276"/>
  <c r="AN25" i="276"/>
  <c r="P19" i="276"/>
  <c r="X19" i="276"/>
  <c r="AF19" i="276"/>
  <c r="AN19" i="276"/>
  <c r="P22" i="276"/>
  <c r="X22" i="276"/>
  <c r="AF22" i="276"/>
  <c r="AN22" i="276"/>
  <c r="Q25" i="276"/>
  <c r="Y25" i="276"/>
  <c r="AG25" i="276"/>
  <c r="Q19" i="276"/>
  <c r="Y19" i="276"/>
  <c r="AG19" i="276"/>
  <c r="Q22" i="276"/>
  <c r="Y22" i="276"/>
  <c r="AG22" i="276"/>
  <c r="Y10" i="275"/>
  <c r="AO12" i="275"/>
  <c r="V14" i="275"/>
  <c r="AH17" i="275"/>
  <c r="J20" i="275"/>
  <c r="AP14" i="275"/>
  <c r="S9" i="275"/>
  <c r="AO20" i="275"/>
  <c r="O22" i="275"/>
  <c r="AP20" i="275"/>
  <c r="P22" i="275"/>
  <c r="AM15" i="275"/>
  <c r="O17" i="275"/>
  <c r="W17" i="275" s="1"/>
  <c r="R22" i="275"/>
  <c r="T17" i="275"/>
  <c r="AE22" i="275"/>
  <c r="AQ9" i="275"/>
  <c r="AH10" i="275"/>
  <c r="P9" i="275"/>
  <c r="AR9" i="275"/>
  <c r="AM14" i="275"/>
  <c r="AF17" i="275"/>
  <c r="W22" i="275"/>
  <c r="O26" i="275"/>
  <c r="AM22" i="275"/>
  <c r="AA9" i="275"/>
  <c r="AN22" i="275"/>
  <c r="AR8" i="275"/>
  <c r="L8" i="275" s="1"/>
  <c r="U8" i="275" s="1"/>
  <c r="AE9" i="275"/>
  <c r="Q10" i="275"/>
  <c r="R10" i="275" s="1"/>
  <c r="Z10" i="275" s="1"/>
  <c r="Q20" i="275"/>
  <c r="AP22" i="275"/>
  <c r="AM9" i="275"/>
  <c r="X10" i="275"/>
  <c r="AC9" i="275"/>
  <c r="AM10" i="275"/>
  <c r="O12" i="275"/>
  <c r="W12" i="275" s="1"/>
  <c r="X14" i="275"/>
  <c r="AQ14" i="275"/>
  <c r="P17" i="275"/>
  <c r="AL17" i="275"/>
  <c r="O18" i="275"/>
  <c r="W18" i="275" s="1"/>
  <c r="L20" i="275"/>
  <c r="AB23" i="275"/>
  <c r="S25" i="275"/>
  <c r="T26" i="275"/>
  <c r="AD9" i="275"/>
  <c r="AQ10" i="275"/>
  <c r="P12" i="275"/>
  <c r="AA14" i="275"/>
  <c r="T16" i="275"/>
  <c r="S17" i="275"/>
  <c r="AN17" i="275"/>
  <c r="P18" i="275"/>
  <c r="M23" i="275"/>
  <c r="AC23" i="275"/>
  <c r="AA25" i="275"/>
  <c r="U26" i="275"/>
  <c r="AS6" i="274"/>
  <c r="AC14" i="275"/>
  <c r="AG16" i="275"/>
  <c r="AP17" i="275"/>
  <c r="X18" i="275"/>
  <c r="X19" i="275"/>
  <c r="AI23" i="275"/>
  <c r="P24" i="275"/>
  <c r="AI25" i="275"/>
  <c r="W26" i="275"/>
  <c r="AA23" i="275"/>
  <c r="O9" i="275"/>
  <c r="W9" i="275" s="1"/>
  <c r="AK9" i="275"/>
  <c r="O10" i="275"/>
  <c r="W10" i="275" s="1"/>
  <c r="Y12" i="275"/>
  <c r="AD14" i="275"/>
  <c r="AO16" i="275"/>
  <c r="AA17" i="275"/>
  <c r="AQ17" i="275"/>
  <c r="AE18" i="275"/>
  <c r="AO19" i="275"/>
  <c r="R20" i="275"/>
  <c r="AH22" i="275"/>
  <c r="P23" i="275"/>
  <c r="AK23" i="275"/>
  <c r="AD24" i="275"/>
  <c r="AQ25" i="275"/>
  <c r="AF26" i="275"/>
  <c r="AF12" i="275"/>
  <c r="AI14" i="275"/>
  <c r="AD17" i="275"/>
  <c r="AR17" i="275"/>
  <c r="L17" i="275" s="1"/>
  <c r="U17" i="275" s="1"/>
  <c r="AH18" i="275"/>
  <c r="AQ19" i="275"/>
  <c r="AG20" i="275"/>
  <c r="R23" i="275"/>
  <c r="AN23" i="275"/>
  <c r="AQ24" i="275"/>
  <c r="AM26" i="275"/>
  <c r="S8" i="275"/>
  <c r="AM12" i="275"/>
  <c r="O14" i="275"/>
  <c r="W14" i="275" s="1"/>
  <c r="AL14" i="275"/>
  <c r="AN18" i="275"/>
  <c r="AJ20" i="275"/>
  <c r="U23" i="275"/>
  <c r="AP23" i="275"/>
  <c r="M26" i="275"/>
  <c r="AO26" i="275"/>
  <c r="AI8" i="275"/>
  <c r="AP18" i="275"/>
  <c r="Z23" i="275"/>
  <c r="AQ23" i="275"/>
  <c r="R21" i="275"/>
  <c r="AJ21" i="275"/>
  <c r="Y6" i="275"/>
  <c r="AK6" i="275"/>
  <c r="T8" i="275"/>
  <c r="AS8" i="275"/>
  <c r="T9" i="275"/>
  <c r="AF9" i="275"/>
  <c r="AS9" i="275"/>
  <c r="AA10" i="275"/>
  <c r="AD12" i="275"/>
  <c r="S14" i="275"/>
  <c r="AE14" i="275"/>
  <c r="AR14" i="275"/>
  <c r="L14" i="275" s="1"/>
  <c r="X15" i="275"/>
  <c r="AP16" i="275"/>
  <c r="V17" i="275"/>
  <c r="AI17" i="275"/>
  <c r="AS17" i="275"/>
  <c r="T20" i="275"/>
  <c r="J21" i="275"/>
  <c r="S21" i="275"/>
  <c r="AB21" i="275"/>
  <c r="AK21" i="275"/>
  <c r="X22" i="275"/>
  <c r="S23" i="275"/>
  <c r="AF23" i="275"/>
  <c r="AR23" i="275"/>
  <c r="S24" i="275"/>
  <c r="AE24" i="275"/>
  <c r="AS24" i="275"/>
  <c r="AC26" i="275"/>
  <c r="AA21" i="275"/>
  <c r="AS21" i="275"/>
  <c r="AA6" i="275"/>
  <c r="AL6" i="275"/>
  <c r="AA8" i="275"/>
  <c r="V9" i="275"/>
  <c r="AI9" i="275"/>
  <c r="AG10" i="275"/>
  <c r="AE12" i="275"/>
  <c r="T14" i="275"/>
  <c r="AH14" i="275"/>
  <c r="AS14" i="275"/>
  <c r="AE15" i="275"/>
  <c r="X17" i="275"/>
  <c r="AK17" i="275"/>
  <c r="AF18" i="275"/>
  <c r="Z20" i="275"/>
  <c r="T21" i="275"/>
  <c r="AC21" i="275"/>
  <c r="AL21" i="275"/>
  <c r="J22" i="275"/>
  <c r="Z22" i="275"/>
  <c r="J23" i="275"/>
  <c r="T23" i="275"/>
  <c r="AH23" i="275"/>
  <c r="AS23" i="275"/>
  <c r="U24" i="275"/>
  <c r="AF24" i="275"/>
  <c r="L26" i="275"/>
  <c r="AD26" i="275"/>
  <c r="X6" i="275"/>
  <c r="O6" i="275"/>
  <c r="W6" i="275" s="1"/>
  <c r="AC6" i="275"/>
  <c r="AM6" i="275"/>
  <c r="AC8" i="275"/>
  <c r="AF15" i="275"/>
  <c r="L21" i="275"/>
  <c r="U21" i="275"/>
  <c r="AD21" i="275"/>
  <c r="AM21" i="275"/>
  <c r="V24" i="275"/>
  <c r="AI24" i="275"/>
  <c r="P6" i="275"/>
  <c r="AD6" i="275"/>
  <c r="AN6" i="275"/>
  <c r="AE8" i="275"/>
  <c r="L9" i="275"/>
  <c r="M9" i="275" s="1"/>
  <c r="X9" i="275"/>
  <c r="AL9" i="275"/>
  <c r="AI10" i="275"/>
  <c r="AG12" i="275"/>
  <c r="AK14" i="275"/>
  <c r="AH15" i="275"/>
  <c r="AC17" i="275"/>
  <c r="AM17" i="275"/>
  <c r="AM18" i="275"/>
  <c r="S19" i="275"/>
  <c r="M21" i="275"/>
  <c r="V21" i="275"/>
  <c r="AE21" i="275"/>
  <c r="AN21" i="275"/>
  <c r="AF22" i="275"/>
  <c r="L23" i="275"/>
  <c r="X23" i="275"/>
  <c r="AJ23" i="275"/>
  <c r="W24" i="275"/>
  <c r="AK24" i="275"/>
  <c r="AK26" i="275"/>
  <c r="Q6" i="275"/>
  <c r="R6" i="275" s="1"/>
  <c r="Z6" i="275" s="1"/>
  <c r="AE6" i="275"/>
  <c r="AO6" i="275"/>
  <c r="W21" i="275"/>
  <c r="AF21" i="275"/>
  <c r="AP21" i="275"/>
  <c r="M24" i="275"/>
  <c r="X24" i="275"/>
  <c r="AL24" i="275"/>
  <c r="AI6" i="275"/>
  <c r="S6" i="275"/>
  <c r="AF6" i="275"/>
  <c r="AQ6" i="275"/>
  <c r="AK8" i="275"/>
  <c r="O15" i="275"/>
  <c r="W15" i="275" s="1"/>
  <c r="AN15" i="275"/>
  <c r="O21" i="275"/>
  <c r="X21" i="275"/>
  <c r="AH21" i="275"/>
  <c r="AQ21" i="275"/>
  <c r="AA24" i="275"/>
  <c r="AM24" i="275"/>
  <c r="V6" i="275"/>
  <c r="AG6" i="275"/>
  <c r="AS6" i="275"/>
  <c r="O8" i="275"/>
  <c r="W8" i="275" s="1"/>
  <c r="AN8" i="275"/>
  <c r="P15" i="275"/>
  <c r="AP15" i="275"/>
  <c r="P21" i="275"/>
  <c r="Z21" i="275"/>
  <c r="AI21" i="275"/>
  <c r="AR21" i="275"/>
  <c r="O24" i="275"/>
  <c r="AC24" i="275"/>
  <c r="AN24" i="275"/>
  <c r="J7" i="275"/>
  <c r="J8" i="275" s="1"/>
  <c r="J9" i="275" s="1"/>
  <c r="J10" i="275" s="1"/>
  <c r="J11" i="275" s="1"/>
  <c r="J12" i="275" s="1"/>
  <c r="J13" i="275" s="1"/>
  <c r="J14" i="275" s="1"/>
  <c r="J15" i="275" s="1"/>
  <c r="J16" i="275" s="1"/>
  <c r="J17" i="275" s="1"/>
  <c r="J18" i="275" s="1"/>
  <c r="J19" i="275" s="1"/>
  <c r="AH7" i="275"/>
  <c r="AP7" i="275"/>
  <c r="Y13" i="275"/>
  <c r="AO13" i="275"/>
  <c r="Q7" i="275"/>
  <c r="R7" i="275" s="1"/>
  <c r="AO7" i="275"/>
  <c r="AP11" i="275"/>
  <c r="AH11" i="275"/>
  <c r="AO11" i="275"/>
  <c r="AG11" i="275"/>
  <c r="Y11" i="275"/>
  <c r="Q11" i="275"/>
  <c r="R11" i="275" s="1"/>
  <c r="AJ11" i="275" s="1"/>
  <c r="AN11" i="275"/>
  <c r="AF11" i="275"/>
  <c r="X11" i="275"/>
  <c r="P11" i="275"/>
  <c r="AM11" i="275"/>
  <c r="AE11" i="275"/>
  <c r="O11" i="275"/>
  <c r="W11" i="275" s="1"/>
  <c r="S7" i="275"/>
  <c r="AA7" i="275"/>
  <c r="AI7" i="275"/>
  <c r="AQ7" i="275"/>
  <c r="V8" i="275"/>
  <c r="AD8" i="275"/>
  <c r="AL8" i="275"/>
  <c r="P10" i="275"/>
  <c r="AL10" i="275"/>
  <c r="V11" i="275"/>
  <c r="AL11" i="275"/>
  <c r="AP13" i="275"/>
  <c r="AQ16" i="275"/>
  <c r="AI16" i="275"/>
  <c r="AA16" i="275"/>
  <c r="S16" i="275"/>
  <c r="AN16" i="275"/>
  <c r="AF16" i="275"/>
  <c r="X16" i="275"/>
  <c r="P16" i="275"/>
  <c r="AM16" i="275"/>
  <c r="AE16" i="275"/>
  <c r="O16" i="275"/>
  <c r="W16" i="275" s="1"/>
  <c r="AL16" i="275"/>
  <c r="AD16" i="275"/>
  <c r="V16" i="275"/>
  <c r="AS16" i="275"/>
  <c r="AK16" i="275"/>
  <c r="AC16" i="275"/>
  <c r="Y16" i="275"/>
  <c r="AR16" i="275"/>
  <c r="L16" i="275" s="1"/>
  <c r="M16" i="275" s="1"/>
  <c r="T7" i="275"/>
  <c r="AR7" i="275"/>
  <c r="L7" i="275" s="1"/>
  <c r="AA11" i="275"/>
  <c r="AQ11" i="275"/>
  <c r="L13" i="275"/>
  <c r="M13" i="275" s="1"/>
  <c r="AA13" i="275"/>
  <c r="AQ13" i="275"/>
  <c r="Z16" i="275"/>
  <c r="AP19" i="275"/>
  <c r="AH19" i="275"/>
  <c r="AM19" i="275"/>
  <c r="AE19" i="275"/>
  <c r="O19" i="275"/>
  <c r="W19" i="275" s="1"/>
  <c r="AL19" i="275"/>
  <c r="AD19" i="275"/>
  <c r="V19" i="275"/>
  <c r="AS19" i="275"/>
  <c r="AK19" i="275"/>
  <c r="AC19" i="275"/>
  <c r="AR19" i="275"/>
  <c r="T19" i="275"/>
  <c r="L19" i="275"/>
  <c r="U19" i="275" s="1"/>
  <c r="AA19" i="275"/>
  <c r="Y7" i="275"/>
  <c r="AH6" i="275"/>
  <c r="AP6" i="275"/>
  <c r="AC7" i="275"/>
  <c r="AK7" i="275"/>
  <c r="AS7" i="275"/>
  <c r="P8" i="275"/>
  <c r="X8" i="275"/>
  <c r="AF8" i="275"/>
  <c r="AO8" i="275"/>
  <c r="AD10" i="275"/>
  <c r="AR11" i="275"/>
  <c r="L11" i="275" s="1"/>
  <c r="V12" i="275"/>
  <c r="AR13" i="275"/>
  <c r="AB16" i="275"/>
  <c r="AF19" i="275"/>
  <c r="AQ20" i="275"/>
  <c r="AI20" i="275"/>
  <c r="AA20" i="275"/>
  <c r="S20" i="275"/>
  <c r="AN20" i="275"/>
  <c r="AF20" i="275"/>
  <c r="X20" i="275"/>
  <c r="P20" i="275"/>
  <c r="AM20" i="275"/>
  <c r="AE20" i="275"/>
  <c r="W20" i="275"/>
  <c r="O20" i="275"/>
  <c r="AL20" i="275"/>
  <c r="AD20" i="275"/>
  <c r="V20" i="275"/>
  <c r="AS20" i="275"/>
  <c r="AK20" i="275"/>
  <c r="AC20" i="275"/>
  <c r="U20" i="275"/>
  <c r="M20" i="275"/>
  <c r="Y20" i="275"/>
  <c r="AR20" i="275"/>
  <c r="T13" i="275"/>
  <c r="V7" i="275"/>
  <c r="AD7" i="275"/>
  <c r="AL7" i="275"/>
  <c r="Q8" i="275"/>
  <c r="R8" i="275" s="1"/>
  <c r="Z8" i="275" s="1"/>
  <c r="Y8" i="275"/>
  <c r="AG8" i="275"/>
  <c r="AP8" i="275"/>
  <c r="AS10" i="275"/>
  <c r="AK10" i="275"/>
  <c r="AC10" i="275"/>
  <c r="AR10" i="275"/>
  <c r="T10" i="275"/>
  <c r="L10" i="275"/>
  <c r="M10" i="275" s="1"/>
  <c r="S10" i="275"/>
  <c r="AE10" i="275"/>
  <c r="AO10" i="275"/>
  <c r="AC11" i="275"/>
  <c r="AS11" i="275"/>
  <c r="Q13" i="275"/>
  <c r="R13" i="275" s="1"/>
  <c r="AB13" i="275" s="1"/>
  <c r="AG13" i="275"/>
  <c r="AG19" i="275"/>
  <c r="T11" i="275"/>
  <c r="L6" i="275"/>
  <c r="T6" i="275"/>
  <c r="O7" i="275"/>
  <c r="W7" i="275" s="1"/>
  <c r="AE7" i="275"/>
  <c r="AM7" i="275"/>
  <c r="AH8" i="275"/>
  <c r="AQ8" i="275"/>
  <c r="V10" i="275"/>
  <c r="AF10" i="275"/>
  <c r="AP10" i="275"/>
  <c r="AD11" i="275"/>
  <c r="AS12" i="275"/>
  <c r="AK12" i="275"/>
  <c r="AC12" i="275"/>
  <c r="AR12" i="275"/>
  <c r="L12" i="275" s="1"/>
  <c r="T12" i="275"/>
  <c r="AQ12" i="275"/>
  <c r="AI12" i="275"/>
  <c r="AA12" i="275"/>
  <c r="S12" i="275"/>
  <c r="AP12" i="275"/>
  <c r="AH12" i="275"/>
  <c r="X12" i="275"/>
  <c r="AN12" i="275"/>
  <c r="AH16" i="275"/>
  <c r="P19" i="275"/>
  <c r="AI19" i="275"/>
  <c r="AB20" i="275"/>
  <c r="AG7" i="275"/>
  <c r="AN13" i="275"/>
  <c r="AF13" i="275"/>
  <c r="X13" i="275"/>
  <c r="P13" i="275"/>
  <c r="AM13" i="275"/>
  <c r="AE13" i="275"/>
  <c r="O13" i="275"/>
  <c r="W13" i="275" s="1"/>
  <c r="AL13" i="275"/>
  <c r="AD13" i="275"/>
  <c r="V13" i="275"/>
  <c r="AS13" i="275"/>
  <c r="AK13" i="275"/>
  <c r="AC13" i="275"/>
  <c r="P7" i="275"/>
  <c r="X7" i="275"/>
  <c r="AF7" i="275"/>
  <c r="S11" i="275"/>
  <c r="AI11" i="275"/>
  <c r="S13" i="275"/>
  <c r="AI13" i="275"/>
  <c r="Q19" i="275"/>
  <c r="R19" i="275" s="1"/>
  <c r="AN19" i="275"/>
  <c r="Q9" i="275"/>
  <c r="R9" i="275" s="1"/>
  <c r="Y9" i="275"/>
  <c r="AG9" i="275"/>
  <c r="AO9" i="275"/>
  <c r="AF14" i="275"/>
  <c r="AN14" i="275"/>
  <c r="S15" i="275"/>
  <c r="AA15" i="275"/>
  <c r="AI15" i="275"/>
  <c r="AQ15" i="275"/>
  <c r="S18" i="275"/>
  <c r="AA18" i="275"/>
  <c r="AI18" i="275"/>
  <c r="AQ18" i="275"/>
  <c r="S22" i="275"/>
  <c r="AA22" i="275"/>
  <c r="AI22" i="275"/>
  <c r="AQ22" i="275"/>
  <c r="V23" i="275"/>
  <c r="AD23" i="275"/>
  <c r="AL23" i="275"/>
  <c r="Q24" i="275"/>
  <c r="Y24" i="275"/>
  <c r="AG24" i="275"/>
  <c r="AO24" i="275"/>
  <c r="L25" i="275"/>
  <c r="T25" i="275"/>
  <c r="AB25" i="275"/>
  <c r="AJ25" i="275"/>
  <c r="AR25" i="275"/>
  <c r="P26" i="275"/>
  <c r="Y26" i="275"/>
  <c r="AG26" i="275"/>
  <c r="AP26" i="275"/>
  <c r="AH9" i="275"/>
  <c r="Q14" i="275"/>
  <c r="R14" i="275" s="1"/>
  <c r="Y14" i="275"/>
  <c r="AG14" i="275"/>
  <c r="T15" i="275"/>
  <c r="AR15" i="275"/>
  <c r="L15" i="275" s="1"/>
  <c r="M15" i="275" s="1"/>
  <c r="Q17" i="275"/>
  <c r="R17" i="275" s="1"/>
  <c r="Y17" i="275"/>
  <c r="AG17" i="275"/>
  <c r="T18" i="275"/>
  <c r="AR18" i="275"/>
  <c r="L18" i="275" s="1"/>
  <c r="Q21" i="275"/>
  <c r="Y21" i="275"/>
  <c r="AG21" i="275"/>
  <c r="L22" i="275"/>
  <c r="T22" i="275"/>
  <c r="AB22" i="275"/>
  <c r="AJ22" i="275"/>
  <c r="AR22" i="275"/>
  <c r="O23" i="275"/>
  <c r="W23" i="275"/>
  <c r="AE23" i="275"/>
  <c r="AM23" i="275"/>
  <c r="J24" i="275"/>
  <c r="R24" i="275"/>
  <c r="Z24" i="275"/>
  <c r="AH24" i="275"/>
  <c r="AP24" i="275"/>
  <c r="M25" i="275"/>
  <c r="U25" i="275"/>
  <c r="AC25" i="275"/>
  <c r="AK25" i="275"/>
  <c r="AS25" i="275"/>
  <c r="Q26" i="275"/>
  <c r="Z26" i="275"/>
  <c r="AH26" i="275"/>
  <c r="AQ26" i="275"/>
  <c r="AC15" i="275"/>
  <c r="AK15" i="275"/>
  <c r="AS15" i="275"/>
  <c r="AC18" i="275"/>
  <c r="AK18" i="275"/>
  <c r="AS18" i="275"/>
  <c r="M22" i="275"/>
  <c r="U22" i="275"/>
  <c r="AC22" i="275"/>
  <c r="AK22" i="275"/>
  <c r="AS22" i="275"/>
  <c r="V25" i="275"/>
  <c r="AD25" i="275"/>
  <c r="AL25" i="275"/>
  <c r="R26" i="275"/>
  <c r="AA26" i="275"/>
  <c r="AI26" i="275"/>
  <c r="AR26" i="275"/>
  <c r="V15" i="275"/>
  <c r="AD15" i="275"/>
  <c r="AL15" i="275"/>
  <c r="V18" i="275"/>
  <c r="AD18" i="275"/>
  <c r="AL18" i="275"/>
  <c r="V22" i="275"/>
  <c r="AD22" i="275"/>
  <c r="AL22" i="275"/>
  <c r="Q23" i="275"/>
  <c r="Y23" i="275"/>
  <c r="AG23" i="275"/>
  <c r="L24" i="275"/>
  <c r="T24" i="275"/>
  <c r="AB24" i="275"/>
  <c r="AJ24" i="275"/>
  <c r="O25" i="275"/>
  <c r="W25" i="275"/>
  <c r="AE25" i="275"/>
  <c r="AM25" i="275"/>
  <c r="J26" i="275"/>
  <c r="S26" i="275"/>
  <c r="AB26" i="275"/>
  <c r="AJ26" i="275"/>
  <c r="AS26" i="275"/>
  <c r="P25" i="275"/>
  <c r="X25" i="275"/>
  <c r="AF25" i="275"/>
  <c r="AN25" i="275"/>
  <c r="Q25" i="275"/>
  <c r="Y25" i="275"/>
  <c r="AG25" i="275"/>
  <c r="AO25" i="275"/>
  <c r="Q15" i="275"/>
  <c r="R15" i="275" s="1"/>
  <c r="Z15" i="275" s="1"/>
  <c r="Y15" i="275"/>
  <c r="AG15" i="275"/>
  <c r="Q18" i="275"/>
  <c r="R18" i="275" s="1"/>
  <c r="Z18" i="275" s="1"/>
  <c r="Y18" i="275"/>
  <c r="AG18" i="275"/>
  <c r="Q22" i="275"/>
  <c r="Y22" i="275"/>
  <c r="AG22" i="275"/>
  <c r="J25" i="275"/>
  <c r="R25" i="275"/>
  <c r="Z25" i="275"/>
  <c r="AH25" i="275"/>
  <c r="V26" i="275"/>
  <c r="AE26" i="275"/>
  <c r="T25" i="274"/>
  <c r="U25" i="274"/>
  <c r="Q16" i="274"/>
  <c r="R16" i="274" s="1"/>
  <c r="Z16" i="274" s="1"/>
  <c r="AE12" i="274"/>
  <c r="AG16" i="274"/>
  <c r="M22" i="274"/>
  <c r="L19" i="274"/>
  <c r="M19" i="274" s="1"/>
  <c r="AQ20" i="274"/>
  <c r="P23" i="274"/>
  <c r="R24" i="274"/>
  <c r="T22" i="274"/>
  <c r="T23" i="274"/>
  <c r="S24" i="274"/>
  <c r="AO26" i="274"/>
  <c r="V19" i="274"/>
  <c r="AK22" i="274"/>
  <c r="V23" i="274"/>
  <c r="AQ6" i="274"/>
  <c r="X19" i="274"/>
  <c r="AR22" i="274"/>
  <c r="AF23" i="274"/>
  <c r="AI19" i="274"/>
  <c r="AS22" i="274"/>
  <c r="AJ23" i="274"/>
  <c r="AF19" i="274"/>
  <c r="AS20" i="274"/>
  <c r="Z24" i="274"/>
  <c r="AF10" i="274"/>
  <c r="AH16" i="274"/>
  <c r="AH19" i="274"/>
  <c r="P20" i="274"/>
  <c r="S22" i="274"/>
  <c r="AL23" i="274"/>
  <c r="AI24" i="274"/>
  <c r="AB25" i="274"/>
  <c r="S9" i="274"/>
  <c r="S20" i="274"/>
  <c r="AP24" i="274"/>
  <c r="O6" i="274"/>
  <c r="W6" i="274" s="1"/>
  <c r="AN7" i="274"/>
  <c r="T9" i="274"/>
  <c r="AQ19" i="274"/>
  <c r="U20" i="274"/>
  <c r="U22" i="274"/>
  <c r="J24" i="274"/>
  <c r="AQ24" i="274"/>
  <c r="L26" i="274"/>
  <c r="AD6" i="274"/>
  <c r="AH9" i="274"/>
  <c r="AR19" i="274"/>
  <c r="AD20" i="274"/>
  <c r="AC22" i="274"/>
  <c r="AE6" i="274"/>
  <c r="AI9" i="274"/>
  <c r="AS19" i="274"/>
  <c r="AE20" i="274"/>
  <c r="AJ22" i="274"/>
  <c r="W26" i="274"/>
  <c r="AF20" i="274"/>
  <c r="AC26" i="274"/>
  <c r="AA8" i="274"/>
  <c r="AS8" i="274"/>
  <c r="AD10" i="274"/>
  <c r="AQ10" i="274"/>
  <c r="AD11" i="274"/>
  <c r="AD12" i="274"/>
  <c r="AI13" i="274"/>
  <c r="T14" i="274"/>
  <c r="AH14" i="274"/>
  <c r="AR14" i="274"/>
  <c r="AS15" i="274"/>
  <c r="P17" i="274"/>
  <c r="AI17" i="274"/>
  <c r="AR17" i="274"/>
  <c r="L17" i="274" s="1"/>
  <c r="U17" i="274" s="1"/>
  <c r="Y26" i="274"/>
  <c r="AP26" i="274"/>
  <c r="AC8" i="274"/>
  <c r="AK13" i="274"/>
  <c r="V14" i="274"/>
  <c r="AA17" i="274"/>
  <c r="P6" i="274"/>
  <c r="AF6" i="274"/>
  <c r="AD8" i="274"/>
  <c r="AM9" i="274"/>
  <c r="AG10" i="274"/>
  <c r="AF11" i="274"/>
  <c r="AF12" i="274"/>
  <c r="X13" i="274"/>
  <c r="AL13" i="274"/>
  <c r="X14" i="274"/>
  <c r="AK14" i="274"/>
  <c r="S17" i="274"/>
  <c r="AK17" i="274"/>
  <c r="V20" i="274"/>
  <c r="AI20" i="274"/>
  <c r="W23" i="274"/>
  <c r="AM23" i="274"/>
  <c r="AC25" i="274"/>
  <c r="AE26" i="274"/>
  <c r="AE11" i="274"/>
  <c r="S6" i="274"/>
  <c r="AI6" i="274"/>
  <c r="AI8" i="274"/>
  <c r="X9" i="274"/>
  <c r="AO9" i="274"/>
  <c r="P10" i="274"/>
  <c r="AH10" i="274"/>
  <c r="AG11" i="274"/>
  <c r="O12" i="274"/>
  <c r="W12" i="274" s="1"/>
  <c r="AG12" i="274"/>
  <c r="AA13" i="274"/>
  <c r="AN13" i="274"/>
  <c r="L14" i="274"/>
  <c r="M14" i="274" s="1"/>
  <c r="AA14" i="274"/>
  <c r="AL14" i="274"/>
  <c r="T17" i="274"/>
  <c r="AC17" i="274"/>
  <c r="AL17" i="274"/>
  <c r="P19" i="274"/>
  <c r="AA19" i="274"/>
  <c r="AK19" i="274"/>
  <c r="W20" i="274"/>
  <c r="AK20" i="274"/>
  <c r="X23" i="274"/>
  <c r="AN23" i="274"/>
  <c r="AJ25" i="274"/>
  <c r="O26" i="274"/>
  <c r="AF26" i="274"/>
  <c r="V13" i="274"/>
  <c r="AI14" i="274"/>
  <c r="AS17" i="274"/>
  <c r="V6" i="274"/>
  <c r="AK6" i="274"/>
  <c r="AK8" i="274"/>
  <c r="Y9" i="274"/>
  <c r="AP9" i="274"/>
  <c r="S10" i="274"/>
  <c r="AK10" i="274"/>
  <c r="O11" i="274"/>
  <c r="W11" i="274" s="1"/>
  <c r="AM11" i="274"/>
  <c r="T12" i="274"/>
  <c r="AM12" i="274"/>
  <c r="AC13" i="274"/>
  <c r="AP13" i="274"/>
  <c r="AC14" i="274"/>
  <c r="AM14" i="274"/>
  <c r="AD17" i="274"/>
  <c r="AM17" i="274"/>
  <c r="AL19" i="274"/>
  <c r="M20" i="274"/>
  <c r="X20" i="274"/>
  <c r="AL20" i="274"/>
  <c r="AB22" i="274"/>
  <c r="L23" i="274"/>
  <c r="AB23" i="274"/>
  <c r="AR23" i="274"/>
  <c r="AA24" i="274"/>
  <c r="L25" i="274"/>
  <c r="AK25" i="274"/>
  <c r="P26" i="274"/>
  <c r="AG26" i="274"/>
  <c r="AS14" i="274"/>
  <c r="X6" i="274"/>
  <c r="AL6" i="274"/>
  <c r="P7" i="274"/>
  <c r="S8" i="274"/>
  <c r="AL8" i="274"/>
  <c r="O9" i="274"/>
  <c r="W9" i="274" s="1"/>
  <c r="AD9" i="274"/>
  <c r="AQ9" i="274"/>
  <c r="V10" i="274"/>
  <c r="AN10" i="274"/>
  <c r="V11" i="274"/>
  <c r="AN11" i="274"/>
  <c r="V12" i="274"/>
  <c r="AN12" i="274"/>
  <c r="P13" i="274"/>
  <c r="AD13" i="274"/>
  <c r="AQ13" i="274"/>
  <c r="O14" i="274"/>
  <c r="W14" i="274" s="1"/>
  <c r="AD14" i="274"/>
  <c r="AN14" i="274"/>
  <c r="Y15" i="274"/>
  <c r="V17" i="274"/>
  <c r="AE17" i="274"/>
  <c r="AN17" i="274"/>
  <c r="S19" i="274"/>
  <c r="AC19" i="274"/>
  <c r="AN19" i="274"/>
  <c r="AA20" i="274"/>
  <c r="AM20" i="274"/>
  <c r="AD23" i="274"/>
  <c r="AH24" i="274"/>
  <c r="M25" i="274"/>
  <c r="AR25" i="274"/>
  <c r="T26" i="274"/>
  <c r="AK26" i="274"/>
  <c r="AA6" i="274"/>
  <c r="AM6" i="274"/>
  <c r="X7" i="274"/>
  <c r="T8" i="274"/>
  <c r="AQ8" i="274"/>
  <c r="P9" i="274"/>
  <c r="AF9" i="274"/>
  <c r="AR9" i="274"/>
  <c r="L9" i="274" s="1"/>
  <c r="M9" i="274" s="1"/>
  <c r="X10" i="274"/>
  <c r="AO10" i="274"/>
  <c r="AO11" i="274"/>
  <c r="AO12" i="274"/>
  <c r="S13" i="274"/>
  <c r="AF13" i="274"/>
  <c r="AR13" i="274"/>
  <c r="L13" i="274" s="1"/>
  <c r="P14" i="274"/>
  <c r="AE14" i="274"/>
  <c r="AP14" i="274"/>
  <c r="AC15" i="274"/>
  <c r="AF17" i="274"/>
  <c r="AP17" i="274"/>
  <c r="T19" i="274"/>
  <c r="AD19" i="274"/>
  <c r="AP19" i="274"/>
  <c r="O20" i="274"/>
  <c r="AC20" i="274"/>
  <c r="AN20" i="274"/>
  <c r="O23" i="274"/>
  <c r="AE23" i="274"/>
  <c r="AS25" i="274"/>
  <c r="V26" i="274"/>
  <c r="AN26" i="274"/>
  <c r="AC6" i="274"/>
  <c r="AN6" i="274"/>
  <c r="AF7" i="274"/>
  <c r="V8" i="274"/>
  <c r="AR8" i="274"/>
  <c r="L8" i="274" s="1"/>
  <c r="Q9" i="274"/>
  <c r="R9" i="274" s="1"/>
  <c r="AJ9" i="274" s="1"/>
  <c r="Y10" i="274"/>
  <c r="AP10" i="274"/>
  <c r="X11" i="274"/>
  <c r="AQ11" i="274"/>
  <c r="X12" i="274"/>
  <c r="AP12" i="274"/>
  <c r="T13" i="274"/>
  <c r="AH13" i="274"/>
  <c r="AS13" i="274"/>
  <c r="S14" i="274"/>
  <c r="AF14" i="274"/>
  <c r="AQ14" i="274"/>
  <c r="AO15" i="274"/>
  <c r="O17" i="274"/>
  <c r="W17" i="274" s="1"/>
  <c r="X17" i="274"/>
  <c r="AH17" i="274"/>
  <c r="AQ17" i="274"/>
  <c r="M10" i="274"/>
  <c r="U10" i="274"/>
  <c r="Q7" i="274"/>
  <c r="R7" i="274" s="1"/>
  <c r="Y7" i="274"/>
  <c r="AG7" i="274"/>
  <c r="AO7" i="274"/>
  <c r="X18" i="274"/>
  <c r="J21" i="274"/>
  <c r="Z21" i="274"/>
  <c r="AL18" i="274"/>
  <c r="AD18" i="274"/>
  <c r="V18" i="274"/>
  <c r="AR18" i="274"/>
  <c r="L18" i="274" s="1"/>
  <c r="U18" i="274" s="1"/>
  <c r="T18" i="274"/>
  <c r="AQ18" i="274"/>
  <c r="AI18" i="274"/>
  <c r="AA18" i="274"/>
  <c r="S18" i="274"/>
  <c r="AP18" i="274"/>
  <c r="AH18" i="274"/>
  <c r="J7" i="274"/>
  <c r="J8" i="274" s="1"/>
  <c r="J9" i="274" s="1"/>
  <c r="J10" i="274" s="1"/>
  <c r="J11" i="274" s="1"/>
  <c r="J12" i="274" s="1"/>
  <c r="J13" i="274" s="1"/>
  <c r="J14" i="274" s="1"/>
  <c r="J15" i="274" s="1"/>
  <c r="J16" i="274" s="1"/>
  <c r="J17" i="274" s="1"/>
  <c r="J18" i="274" s="1"/>
  <c r="J19" i="274" s="1"/>
  <c r="AH7" i="274"/>
  <c r="AP7" i="274"/>
  <c r="O15" i="274"/>
  <c r="W15" i="274" s="1"/>
  <c r="AE15" i="274"/>
  <c r="S16" i="274"/>
  <c r="Y18" i="274"/>
  <c r="AO18" i="274"/>
  <c r="AF21" i="274"/>
  <c r="R25" i="272"/>
  <c r="T13" i="273"/>
  <c r="P23" i="273"/>
  <c r="S7" i="274"/>
  <c r="AA7" i="274"/>
  <c r="AI7" i="274"/>
  <c r="AQ7" i="274"/>
  <c r="P15" i="274"/>
  <c r="AF15" i="274"/>
  <c r="AN16" i="274"/>
  <c r="AF16" i="274"/>
  <c r="X16" i="274"/>
  <c r="P16" i="274"/>
  <c r="AL16" i="274"/>
  <c r="AD16" i="274"/>
  <c r="V16" i="274"/>
  <c r="AS16" i="274"/>
  <c r="AK16" i="274"/>
  <c r="AC16" i="274"/>
  <c r="AR16" i="274"/>
  <c r="L16" i="274" s="1"/>
  <c r="M16" i="274" s="1"/>
  <c r="T16" i="274"/>
  <c r="AM16" i="274"/>
  <c r="AC18" i="274"/>
  <c r="AS18" i="274"/>
  <c r="AG21" i="274"/>
  <c r="Q6" i="274"/>
  <c r="R6" i="274" s="1"/>
  <c r="Z6" i="274" s="1"/>
  <c r="Y6" i="274"/>
  <c r="AG6" i="274"/>
  <c r="AO6" i="274"/>
  <c r="T7" i="274"/>
  <c r="AR7" i="274"/>
  <c r="L7" i="274" s="1"/>
  <c r="M7" i="274" s="1"/>
  <c r="O8" i="274"/>
  <c r="W8" i="274" s="1"/>
  <c r="AE8" i="274"/>
  <c r="AM8" i="274"/>
  <c r="AS9" i="274"/>
  <c r="AK9" i="274"/>
  <c r="AC9" i="274"/>
  <c r="AA9" i="274"/>
  <c r="Q10" i="274"/>
  <c r="R10" i="274" s="1"/>
  <c r="AI10" i="274"/>
  <c r="P11" i="274"/>
  <c r="Y11" i="274"/>
  <c r="AI11" i="274"/>
  <c r="AR11" i="274"/>
  <c r="L11" i="274" s="1"/>
  <c r="P12" i="274"/>
  <c r="Y12" i="274"/>
  <c r="AH12" i="274"/>
  <c r="AQ12" i="274"/>
  <c r="Q15" i="274"/>
  <c r="R15" i="274" s="1"/>
  <c r="AG15" i="274"/>
  <c r="Y16" i="274"/>
  <c r="AO16" i="274"/>
  <c r="O18" i="274"/>
  <c r="W18" i="274" s="1"/>
  <c r="AE18" i="274"/>
  <c r="P21" i="274"/>
  <c r="AM21" i="274"/>
  <c r="AE21" i="274"/>
  <c r="W21" i="274"/>
  <c r="O21" i="274"/>
  <c r="AL21" i="274"/>
  <c r="AD21" i="274"/>
  <c r="V21" i="274"/>
  <c r="AS21" i="274"/>
  <c r="AK21" i="274"/>
  <c r="AC21" i="274"/>
  <c r="U21" i="274"/>
  <c r="M21" i="274"/>
  <c r="AR21" i="274"/>
  <c r="AJ21" i="274"/>
  <c r="AB21" i="274"/>
  <c r="T21" i="274"/>
  <c r="L21" i="274"/>
  <c r="AQ21" i="274"/>
  <c r="AI21" i="274"/>
  <c r="AA21" i="274"/>
  <c r="S21" i="274"/>
  <c r="AH6" i="274"/>
  <c r="AP6" i="274"/>
  <c r="AC7" i="274"/>
  <c r="AK7" i="274"/>
  <c r="AS7" i="274"/>
  <c r="P8" i="274"/>
  <c r="X8" i="274"/>
  <c r="AF8" i="274"/>
  <c r="AN8" i="274"/>
  <c r="AL9" i="274"/>
  <c r="AM10" i="274"/>
  <c r="AE10" i="274"/>
  <c r="O10" i="274"/>
  <c r="W10" i="274" s="1"/>
  <c r="AA10" i="274"/>
  <c r="AS10" i="274"/>
  <c r="Q11" i="274"/>
  <c r="R11" i="274" s="1"/>
  <c r="Z11" i="274" s="1"/>
  <c r="AA11" i="274"/>
  <c r="Q12" i="274"/>
  <c r="R12" i="274" s="1"/>
  <c r="AI12" i="274"/>
  <c r="AP16" i="274"/>
  <c r="P18" i="274"/>
  <c r="AF18" i="274"/>
  <c r="Q21" i="274"/>
  <c r="AN21" i="274"/>
  <c r="AM18" i="274"/>
  <c r="V7" i="274"/>
  <c r="AD7" i="274"/>
  <c r="AL7" i="274"/>
  <c r="Q8" i="274"/>
  <c r="R8" i="274" s="1"/>
  <c r="Y8" i="274"/>
  <c r="AG8" i="274"/>
  <c r="AO8" i="274"/>
  <c r="AP11" i="274"/>
  <c r="AH11" i="274"/>
  <c r="S11" i="274"/>
  <c r="AK11" i="274"/>
  <c r="AS12" i="274"/>
  <c r="AK12" i="274"/>
  <c r="AC12" i="274"/>
  <c r="U12" i="274"/>
  <c r="M12" i="274"/>
  <c r="AA12" i="274"/>
  <c r="AL15" i="274"/>
  <c r="AD15" i="274"/>
  <c r="V15" i="274"/>
  <c r="AR15" i="274"/>
  <c r="T15" i="274"/>
  <c r="L15" i="274"/>
  <c r="M15" i="274" s="1"/>
  <c r="AQ15" i="274"/>
  <c r="AI15" i="274"/>
  <c r="AA15" i="274"/>
  <c r="S15" i="274"/>
  <c r="AP15" i="274"/>
  <c r="AH15" i="274"/>
  <c r="AM15" i="274"/>
  <c r="AA16" i="274"/>
  <c r="AQ16" i="274"/>
  <c r="Q18" i="274"/>
  <c r="R18" i="274" s="1"/>
  <c r="AJ18" i="274" s="1"/>
  <c r="AG18" i="274"/>
  <c r="R21" i="274"/>
  <c r="AO21" i="274"/>
  <c r="Y21" i="274"/>
  <c r="L6" i="274"/>
  <c r="T6" i="274"/>
  <c r="O7" i="274"/>
  <c r="W7" i="274" s="1"/>
  <c r="AE7" i="274"/>
  <c r="AH8" i="274"/>
  <c r="V9" i="274"/>
  <c r="AE9" i="274"/>
  <c r="AN9" i="274"/>
  <c r="T10" i="274"/>
  <c r="AC10" i="274"/>
  <c r="AL10" i="274"/>
  <c r="T11" i="274"/>
  <c r="AC11" i="274"/>
  <c r="AL11" i="274"/>
  <c r="S12" i="274"/>
  <c r="AL12" i="274"/>
  <c r="X15" i="274"/>
  <c r="AN15" i="274"/>
  <c r="O16" i="274"/>
  <c r="W16" i="274" s="1"/>
  <c r="AE16" i="274"/>
  <c r="AK18" i="274"/>
  <c r="X21" i="274"/>
  <c r="AP21" i="274"/>
  <c r="V22" i="274"/>
  <c r="AD22" i="274"/>
  <c r="AL22" i="274"/>
  <c r="Q23" i="274"/>
  <c r="Y23" i="274"/>
  <c r="AG23" i="274"/>
  <c r="AO23" i="274"/>
  <c r="L24" i="274"/>
  <c r="T24" i="274"/>
  <c r="AB24" i="274"/>
  <c r="AJ24" i="274"/>
  <c r="AR24" i="274"/>
  <c r="V25" i="274"/>
  <c r="AD25" i="274"/>
  <c r="AL25" i="274"/>
  <c r="Q26" i="274"/>
  <c r="Z26" i="274"/>
  <c r="AH26" i="274"/>
  <c r="AQ26" i="274"/>
  <c r="Q20" i="274"/>
  <c r="Y20" i="274"/>
  <c r="AG20" i="274"/>
  <c r="AO20" i="274"/>
  <c r="O22" i="274"/>
  <c r="W22" i="274"/>
  <c r="AE22" i="274"/>
  <c r="AM22" i="274"/>
  <c r="J23" i="274"/>
  <c r="R23" i="274"/>
  <c r="Z23" i="274"/>
  <c r="AH23" i="274"/>
  <c r="AP23" i="274"/>
  <c r="M24" i="274"/>
  <c r="U24" i="274"/>
  <c r="AC24" i="274"/>
  <c r="AK24" i="274"/>
  <c r="AS24" i="274"/>
  <c r="O25" i="274"/>
  <c r="W25" i="274"/>
  <c r="AE25" i="274"/>
  <c r="AM25" i="274"/>
  <c r="R26" i="274"/>
  <c r="AA26" i="274"/>
  <c r="AI26" i="274"/>
  <c r="AR26" i="274"/>
  <c r="O13" i="274"/>
  <c r="W13" i="274" s="1"/>
  <c r="AE13" i="274"/>
  <c r="AM13" i="274"/>
  <c r="Q14" i="274"/>
  <c r="R14" i="274" s="1"/>
  <c r="Y14" i="274"/>
  <c r="AG14" i="274"/>
  <c r="Q17" i="274"/>
  <c r="R17" i="274" s="1"/>
  <c r="Y17" i="274"/>
  <c r="AG17" i="274"/>
  <c r="O19" i="274"/>
  <c r="W19" i="274" s="1"/>
  <c r="AE19" i="274"/>
  <c r="AM19" i="274"/>
  <c r="J20" i="274"/>
  <c r="R20" i="274"/>
  <c r="Z20" i="274"/>
  <c r="AH20" i="274"/>
  <c r="AP20" i="274"/>
  <c r="P22" i="274"/>
  <c r="X22" i="274"/>
  <c r="AF22" i="274"/>
  <c r="AN22" i="274"/>
  <c r="S23" i="274"/>
  <c r="AA23" i="274"/>
  <c r="AI23" i="274"/>
  <c r="AQ23" i="274"/>
  <c r="V24" i="274"/>
  <c r="AD24" i="274"/>
  <c r="AL24" i="274"/>
  <c r="P25" i="274"/>
  <c r="X25" i="274"/>
  <c r="AF25" i="274"/>
  <c r="AN25" i="274"/>
  <c r="J26" i="274"/>
  <c r="S26" i="274"/>
  <c r="AB26" i="274"/>
  <c r="AJ26" i="274"/>
  <c r="AS26" i="274"/>
  <c r="Q22" i="274"/>
  <c r="Y22" i="274"/>
  <c r="AG22" i="274"/>
  <c r="AO22" i="274"/>
  <c r="O24" i="274"/>
  <c r="W24" i="274"/>
  <c r="AE24" i="274"/>
  <c r="AM24" i="274"/>
  <c r="Q25" i="274"/>
  <c r="Y25" i="274"/>
  <c r="AG25" i="274"/>
  <c r="AO25" i="274"/>
  <c r="Q13" i="274"/>
  <c r="R13" i="274" s="1"/>
  <c r="Y13" i="274"/>
  <c r="AG13" i="274"/>
  <c r="Q19" i="274"/>
  <c r="R19" i="274" s="1"/>
  <c r="AJ19" i="274" s="1"/>
  <c r="Y19" i="274"/>
  <c r="AG19" i="274"/>
  <c r="L20" i="274"/>
  <c r="T20" i="274"/>
  <c r="AB20" i="274"/>
  <c r="AJ20" i="274"/>
  <c r="J22" i="274"/>
  <c r="R22" i="274"/>
  <c r="Z22" i="274"/>
  <c r="AH22" i="274"/>
  <c r="AP22" i="274"/>
  <c r="M23" i="274"/>
  <c r="U23" i="274"/>
  <c r="AC23" i="274"/>
  <c r="AK23" i="274"/>
  <c r="P24" i="274"/>
  <c r="X24" i="274"/>
  <c r="AF24" i="274"/>
  <c r="AN24" i="274"/>
  <c r="J25" i="274"/>
  <c r="R25" i="274"/>
  <c r="Z25" i="274"/>
  <c r="AH25" i="274"/>
  <c r="AP25" i="274"/>
  <c r="M26" i="274"/>
  <c r="U26" i="274"/>
  <c r="AD26" i="274"/>
  <c r="AA22" i="274"/>
  <c r="AI22" i="274"/>
  <c r="Q24" i="274"/>
  <c r="Y24" i="274"/>
  <c r="AG24" i="274"/>
  <c r="S25" i="274"/>
  <c r="AA25" i="274"/>
  <c r="AI25" i="274"/>
  <c r="AC10" i="273"/>
  <c r="Q19" i="273"/>
  <c r="V15" i="273"/>
  <c r="AA17" i="273"/>
  <c r="P24" i="273"/>
  <c r="AM8" i="273"/>
  <c r="AK8" i="273"/>
  <c r="AK20" i="273"/>
  <c r="AC21" i="273"/>
  <c r="L23" i="273"/>
  <c r="AM21" i="273"/>
  <c r="AN8" i="273"/>
  <c r="AP21" i="273"/>
  <c r="X23" i="273"/>
  <c r="P8" i="273"/>
  <c r="O21" i="273"/>
  <c r="AC23" i="273"/>
  <c r="AI24" i="273"/>
  <c r="T8" i="273"/>
  <c r="S20" i="273"/>
  <c r="P21" i="273"/>
  <c r="AF23" i="273"/>
  <c r="V8" i="273"/>
  <c r="Z20" i="273"/>
  <c r="W21" i="273"/>
  <c r="AN23" i="273"/>
  <c r="X8" i="273"/>
  <c r="AE20" i="273"/>
  <c r="Z21" i="273"/>
  <c r="AR23" i="273"/>
  <c r="AR7" i="273"/>
  <c r="L7" i="273" s="1"/>
  <c r="U7" i="273" s="1"/>
  <c r="AD11" i="273"/>
  <c r="J21" i="271"/>
  <c r="AS7" i="273"/>
  <c r="AD8" i="273"/>
  <c r="AD10" i="273"/>
  <c r="AE11" i="273"/>
  <c r="AA12" i="273"/>
  <c r="AE14" i="273"/>
  <c r="AD21" i="273"/>
  <c r="R22" i="273"/>
  <c r="S23" i="273"/>
  <c r="AS23" i="273"/>
  <c r="Q6" i="273"/>
  <c r="R6" i="273" s="1"/>
  <c r="Z6" i="273" s="1"/>
  <c r="AE8" i="273"/>
  <c r="S9" i="273"/>
  <c r="AH10" i="273"/>
  <c r="AF11" i="273"/>
  <c r="AA16" i="273"/>
  <c r="V18" i="273"/>
  <c r="J20" i="273"/>
  <c r="AK21" i="273"/>
  <c r="Z22" i="273"/>
  <c r="V23" i="273"/>
  <c r="R25" i="273"/>
  <c r="X6" i="273"/>
  <c r="S7" i="273"/>
  <c r="AE9" i="273"/>
  <c r="AI10" i="273"/>
  <c r="O11" i="273"/>
  <c r="W11" i="273" s="1"/>
  <c r="AI11" i="273"/>
  <c r="AD18" i="273"/>
  <c r="AH22" i="273"/>
  <c r="V25" i="273"/>
  <c r="Y6" i="273"/>
  <c r="AA7" i="273"/>
  <c r="AL8" i="273"/>
  <c r="AF9" i="273"/>
  <c r="S10" i="273"/>
  <c r="AN10" i="273"/>
  <c r="P11" i="273"/>
  <c r="AM11" i="273"/>
  <c r="AL18" i="273"/>
  <c r="AN21" i="273"/>
  <c r="AB23" i="273"/>
  <c r="Z25" i="273"/>
  <c r="AF6" i="273"/>
  <c r="AC7" i="273"/>
  <c r="AG9" i="273"/>
  <c r="T10" i="273"/>
  <c r="AP10" i="273"/>
  <c r="S11" i="273"/>
  <c r="AS11" i="273"/>
  <c r="AP25" i="273"/>
  <c r="AN6" i="273"/>
  <c r="AK7" i="273"/>
  <c r="AQ9" i="273"/>
  <c r="X10" i="273"/>
  <c r="AQ10" i="273"/>
  <c r="V11" i="273"/>
  <c r="AO6" i="273"/>
  <c r="AQ7" i="273"/>
  <c r="AA10" i="273"/>
  <c r="AR10" i="273"/>
  <c r="L10" i="273" s="1"/>
  <c r="U10" i="273" s="1"/>
  <c r="AA11" i="273"/>
  <c r="J22" i="272"/>
  <c r="P6" i="273"/>
  <c r="AI7" i="273"/>
  <c r="O8" i="273"/>
  <c r="W8" i="273" s="1"/>
  <c r="AF8" i="273"/>
  <c r="V10" i="273"/>
  <c r="AK10" i="273"/>
  <c r="AC11" i="273"/>
  <c r="AN11" i="273"/>
  <c r="AD12" i="273"/>
  <c r="AO14" i="273"/>
  <c r="AA15" i="273"/>
  <c r="AD16" i="273"/>
  <c r="AE17" i="273"/>
  <c r="O20" i="273"/>
  <c r="AA20" i="273"/>
  <c r="AM20" i="273"/>
  <c r="M21" i="273"/>
  <c r="X21" i="273"/>
  <c r="AL21" i="273"/>
  <c r="M23" i="273"/>
  <c r="AA23" i="273"/>
  <c r="AQ23" i="273"/>
  <c r="S24" i="273"/>
  <c r="AM24" i="273"/>
  <c r="S25" i="273"/>
  <c r="AQ25" i="273"/>
  <c r="AQ11" i="273"/>
  <c r="AL12" i="273"/>
  <c r="AR14" i="273"/>
  <c r="L14" i="273" s="1"/>
  <c r="U14" i="273" s="1"/>
  <c r="AD15" i="273"/>
  <c r="AH16" i="273"/>
  <c r="AH17" i="273"/>
  <c r="P20" i="273"/>
  <c r="AB20" i="273"/>
  <c r="AP20" i="273"/>
  <c r="V24" i="273"/>
  <c r="AN24" i="273"/>
  <c r="AP12" i="273"/>
  <c r="AH15" i="273"/>
  <c r="AI16" i="273"/>
  <c r="L17" i="273"/>
  <c r="U17" i="273" s="1"/>
  <c r="AI17" i="273"/>
  <c r="R20" i="273"/>
  <c r="AC20" i="273"/>
  <c r="AQ20" i="273"/>
  <c r="W24" i="273"/>
  <c r="AQ24" i="273"/>
  <c r="AQ12" i="273"/>
  <c r="AI15" i="273"/>
  <c r="AL16" i="273"/>
  <c r="AM17" i="273"/>
  <c r="AR20" i="273"/>
  <c r="X24" i="273"/>
  <c r="AA25" i="273"/>
  <c r="O26" i="273"/>
  <c r="AL15" i="273"/>
  <c r="AP16" i="273"/>
  <c r="O17" i="273"/>
  <c r="W17" i="273" s="1"/>
  <c r="AP17" i="273"/>
  <c r="T20" i="273"/>
  <c r="AH20" i="273"/>
  <c r="AS20" i="273"/>
  <c r="R21" i="273"/>
  <c r="AE21" i="273"/>
  <c r="AS21" i="273"/>
  <c r="AP22" i="273"/>
  <c r="T23" i="273"/>
  <c r="AI23" i="273"/>
  <c r="AA24" i="273"/>
  <c r="J25" i="273"/>
  <c r="AD25" i="273"/>
  <c r="W26" i="273"/>
  <c r="AK13" i="272"/>
  <c r="AG6" i="273"/>
  <c r="T7" i="273"/>
  <c r="AC8" i="273"/>
  <c r="AS8" i="273"/>
  <c r="AO9" i="273"/>
  <c r="P10" i="273"/>
  <c r="AF10" i="273"/>
  <c r="AS10" i="273"/>
  <c r="AK11" i="273"/>
  <c r="O14" i="273"/>
  <c r="W14" i="273" s="1"/>
  <c r="AP15" i="273"/>
  <c r="S16" i="273"/>
  <c r="AQ16" i="273"/>
  <c r="S17" i="273"/>
  <c r="AQ17" i="273"/>
  <c r="L20" i="273"/>
  <c r="U20" i="273"/>
  <c r="AI20" i="273"/>
  <c r="U21" i="273"/>
  <c r="AF21" i="273"/>
  <c r="U23" i="273"/>
  <c r="AJ23" i="273"/>
  <c r="AE24" i="273"/>
  <c r="AH25" i="273"/>
  <c r="AF26" i="273"/>
  <c r="T11" i="272"/>
  <c r="AP9" i="273"/>
  <c r="X11" i="273"/>
  <c r="AL11" i="273"/>
  <c r="V12" i="273"/>
  <c r="S15" i="273"/>
  <c r="AQ15" i="273"/>
  <c r="V16" i="273"/>
  <c r="T17" i="273"/>
  <c r="AR17" i="273"/>
  <c r="M20" i="273"/>
  <c r="W20" i="273"/>
  <c r="AJ20" i="273"/>
  <c r="J21" i="273"/>
  <c r="V21" i="273"/>
  <c r="AH21" i="273"/>
  <c r="J22" i="273"/>
  <c r="AK23" i="273"/>
  <c r="O24" i="273"/>
  <c r="AF24" i="273"/>
  <c r="AI25" i="273"/>
  <c r="AO26" i="273"/>
  <c r="AH6" i="273"/>
  <c r="AP6" i="273"/>
  <c r="AQ13" i="273"/>
  <c r="AI13" i="273"/>
  <c r="AA13" i="273"/>
  <c r="S13" i="273"/>
  <c r="AP13" i="273"/>
  <c r="AH13" i="273"/>
  <c r="AN13" i="273"/>
  <c r="AF13" i="273"/>
  <c r="X13" i="273"/>
  <c r="P13" i="273"/>
  <c r="AM13" i="273"/>
  <c r="AE13" i="273"/>
  <c r="O13" i="273"/>
  <c r="W13" i="273" s="1"/>
  <c r="V13" i="273"/>
  <c r="AL13" i="273"/>
  <c r="AP9" i="272"/>
  <c r="S6" i="273"/>
  <c r="AA6" i="273"/>
  <c r="AI6" i="273"/>
  <c r="AQ6" i="273"/>
  <c r="V7" i="273"/>
  <c r="AD7" i="273"/>
  <c r="AL7" i="273"/>
  <c r="Q8" i="273"/>
  <c r="R8" i="273" s="1"/>
  <c r="Z8" i="273" s="1"/>
  <c r="Y8" i="273"/>
  <c r="AG8" i="273"/>
  <c r="AP8" i="273"/>
  <c r="X9" i="273"/>
  <c r="AH9" i="273"/>
  <c r="AS9" i="273"/>
  <c r="Q12" i="273"/>
  <c r="R12" i="273" s="1"/>
  <c r="AG12" i="273"/>
  <c r="Y13" i="273"/>
  <c r="AO13" i="273"/>
  <c r="P14" i="273"/>
  <c r="AF14" i="273"/>
  <c r="Y19" i="273"/>
  <c r="T6" i="273"/>
  <c r="AR6" i="273"/>
  <c r="L6" i="273" s="1"/>
  <c r="M6" i="273" s="1"/>
  <c r="O7" i="273"/>
  <c r="W7" i="273" s="1"/>
  <c r="AE7" i="273"/>
  <c r="AM7" i="273"/>
  <c r="AH8" i="273"/>
  <c r="AQ8" i="273"/>
  <c r="O9" i="273"/>
  <c r="W9" i="273" s="1"/>
  <c r="Y9" i="273"/>
  <c r="AI9" i="273"/>
  <c r="AH12" i="273"/>
  <c r="AR13" i="273"/>
  <c r="L13" i="273" s="1"/>
  <c r="U13" i="273" s="1"/>
  <c r="Q14" i="273"/>
  <c r="R14" i="273" s="1"/>
  <c r="AB14" i="273" s="1"/>
  <c r="AG14" i="273"/>
  <c r="AG19" i="273"/>
  <c r="AC6" i="273"/>
  <c r="AK6" i="273"/>
  <c r="AS6" i="273"/>
  <c r="P7" i="273"/>
  <c r="X7" i="273"/>
  <c r="AF7" i="273"/>
  <c r="AN7" i="273"/>
  <c r="S8" i="273"/>
  <c r="AA8" i="273"/>
  <c r="AI8" i="273"/>
  <c r="AR8" i="273"/>
  <c r="L8" i="273" s="1"/>
  <c r="P9" i="273"/>
  <c r="AK9" i="273"/>
  <c r="S12" i="273"/>
  <c r="AC13" i="273"/>
  <c r="AS13" i="273"/>
  <c r="T14" i="273"/>
  <c r="V6" i="273"/>
  <c r="AD6" i="273"/>
  <c r="AL6" i="273"/>
  <c r="Q7" i="273"/>
  <c r="R7" i="273" s="1"/>
  <c r="Z7" i="273" s="1"/>
  <c r="Y7" i="273"/>
  <c r="AG7" i="273"/>
  <c r="AO7" i="273"/>
  <c r="Q9" i="273"/>
  <c r="R9" i="273" s="1"/>
  <c r="AA9" i="273"/>
  <c r="AD13" i="273"/>
  <c r="AL14" i="273"/>
  <c r="AD14" i="273"/>
  <c r="V14" i="273"/>
  <c r="AS14" i="273"/>
  <c r="AK14" i="273"/>
  <c r="AC14" i="273"/>
  <c r="AQ14" i="273"/>
  <c r="AI14" i="273"/>
  <c r="AA14" i="273"/>
  <c r="S14" i="273"/>
  <c r="AP14" i="273"/>
  <c r="AH14" i="273"/>
  <c r="AM14" i="273"/>
  <c r="O6" i="273"/>
  <c r="W6" i="273" s="1"/>
  <c r="AE6" i="273"/>
  <c r="J7" i="273"/>
  <c r="AH7" i="273"/>
  <c r="AL9" i="273"/>
  <c r="AD9" i="273"/>
  <c r="V9" i="273"/>
  <c r="AR9" i="273"/>
  <c r="L9" i="273" s="1"/>
  <c r="T9" i="273"/>
  <c r="AC9" i="273"/>
  <c r="AN9" i="273"/>
  <c r="AN12" i="273"/>
  <c r="AF12" i="273"/>
  <c r="X12" i="273"/>
  <c r="P12" i="273"/>
  <c r="AM12" i="273"/>
  <c r="AE12" i="273"/>
  <c r="O12" i="273"/>
  <c r="W12" i="273" s="1"/>
  <c r="AS12" i="273"/>
  <c r="AK12" i="273"/>
  <c r="AC12" i="273"/>
  <c r="AR12" i="273"/>
  <c r="L12" i="273" s="1"/>
  <c r="T12" i="273"/>
  <c r="Y12" i="273"/>
  <c r="AO12" i="273"/>
  <c r="Q13" i="273"/>
  <c r="R13" i="273" s="1"/>
  <c r="AG13" i="273"/>
  <c r="X14" i="273"/>
  <c r="AN14" i="273"/>
  <c r="AN19" i="273"/>
  <c r="AF19" i="273"/>
  <c r="X19" i="273"/>
  <c r="P19" i="273"/>
  <c r="AM19" i="273"/>
  <c r="AE19" i="273"/>
  <c r="W19" i="273"/>
  <c r="O19" i="273"/>
  <c r="AL19" i="273"/>
  <c r="AD19" i="273"/>
  <c r="V19" i="273"/>
  <c r="AS19" i="273"/>
  <c r="AK19" i="273"/>
  <c r="AC19" i="273"/>
  <c r="U19" i="273"/>
  <c r="M19" i="273"/>
  <c r="AR19" i="273"/>
  <c r="AJ19" i="273"/>
  <c r="AB19" i="273"/>
  <c r="T19" i="273"/>
  <c r="L19" i="273"/>
  <c r="AQ19" i="273"/>
  <c r="AI19" i="273"/>
  <c r="AA19" i="273"/>
  <c r="S19" i="273"/>
  <c r="AP19" i="273"/>
  <c r="AH19" i="273"/>
  <c r="Z19" i="273"/>
  <c r="R19" i="273"/>
  <c r="J19" i="273"/>
  <c r="AL10" i="273"/>
  <c r="Q11" i="273"/>
  <c r="R11" i="273" s="1"/>
  <c r="AB11" i="273" s="1"/>
  <c r="Y11" i="273"/>
  <c r="AG11" i="273"/>
  <c r="AO11" i="273"/>
  <c r="L15" i="273"/>
  <c r="M15" i="273" s="1"/>
  <c r="T15" i="273"/>
  <c r="AR15" i="273"/>
  <c r="L16" i="273"/>
  <c r="M16" i="273" s="1"/>
  <c r="T16" i="273"/>
  <c r="AR16" i="273"/>
  <c r="M17" i="273"/>
  <c r="AC17" i="273"/>
  <c r="AK17" i="273"/>
  <c r="AS17" i="273"/>
  <c r="O18" i="273"/>
  <c r="W18" i="273" s="1"/>
  <c r="AE18" i="273"/>
  <c r="AM18" i="273"/>
  <c r="S22" i="273"/>
  <c r="AA22" i="273"/>
  <c r="AI22" i="273"/>
  <c r="AQ22" i="273"/>
  <c r="AD23" i="273"/>
  <c r="AL23" i="273"/>
  <c r="Q24" i="273"/>
  <c r="Y24" i="273"/>
  <c r="AG24" i="273"/>
  <c r="AO24" i="273"/>
  <c r="L25" i="273"/>
  <c r="T25" i="273"/>
  <c r="AB25" i="273"/>
  <c r="AJ25" i="273"/>
  <c r="AR25" i="273"/>
  <c r="P26" i="273"/>
  <c r="Y26" i="273"/>
  <c r="AG26" i="273"/>
  <c r="AP26" i="273"/>
  <c r="O10" i="273"/>
  <c r="W10" i="273" s="1"/>
  <c r="AE10" i="273"/>
  <c r="AM10" i="273"/>
  <c r="AH11" i="273"/>
  <c r="AP11" i="273"/>
  <c r="AC15" i="273"/>
  <c r="AK15" i="273"/>
  <c r="AS15" i="273"/>
  <c r="AC16" i="273"/>
  <c r="AK16" i="273"/>
  <c r="AS16" i="273"/>
  <c r="V17" i="273"/>
  <c r="AD17" i="273"/>
  <c r="AL17" i="273"/>
  <c r="P18" i="273"/>
  <c r="X18" i="273"/>
  <c r="AF18" i="273"/>
  <c r="AN18" i="273"/>
  <c r="V20" i="273"/>
  <c r="AD20" i="273"/>
  <c r="AL20" i="273"/>
  <c r="Q21" i="273"/>
  <c r="Y21" i="273"/>
  <c r="AG21" i="273"/>
  <c r="AO21" i="273"/>
  <c r="L22" i="273"/>
  <c r="T22" i="273"/>
  <c r="AB22" i="273"/>
  <c r="AJ22" i="273"/>
  <c r="AR22" i="273"/>
  <c r="O23" i="273"/>
  <c r="W23" i="273"/>
  <c r="AE23" i="273"/>
  <c r="AM23" i="273"/>
  <c r="J24" i="273"/>
  <c r="R24" i="273"/>
  <c r="Z24" i="273"/>
  <c r="AH24" i="273"/>
  <c r="AP24" i="273"/>
  <c r="M25" i="273"/>
  <c r="U25" i="273"/>
  <c r="AC25" i="273"/>
  <c r="AK25" i="273"/>
  <c r="AS25" i="273"/>
  <c r="Q26" i="273"/>
  <c r="Z26" i="273"/>
  <c r="AH26" i="273"/>
  <c r="AQ26" i="273"/>
  <c r="Q18" i="273"/>
  <c r="R18" i="273" s="1"/>
  <c r="Z18" i="273" s="1"/>
  <c r="Y18" i="273"/>
  <c r="AG18" i="273"/>
  <c r="AO18" i="273"/>
  <c r="M22" i="273"/>
  <c r="U22" i="273"/>
  <c r="AC22" i="273"/>
  <c r="AK22" i="273"/>
  <c r="AS22" i="273"/>
  <c r="AL25" i="273"/>
  <c r="R26" i="273"/>
  <c r="AA26" i="273"/>
  <c r="AI26" i="273"/>
  <c r="AR26" i="273"/>
  <c r="Q10" i="273"/>
  <c r="R10" i="273" s="1"/>
  <c r="Y10" i="273"/>
  <c r="AG10" i="273"/>
  <c r="L11" i="273"/>
  <c r="T11" i="273"/>
  <c r="O15" i="273"/>
  <c r="W15" i="273" s="1"/>
  <c r="AE15" i="273"/>
  <c r="AM15" i="273"/>
  <c r="O16" i="273"/>
  <c r="W16" i="273" s="1"/>
  <c r="AE16" i="273"/>
  <c r="AM16" i="273"/>
  <c r="P17" i="273"/>
  <c r="X17" i="273"/>
  <c r="AF17" i="273"/>
  <c r="AN17" i="273"/>
  <c r="AH18" i="273"/>
  <c r="AP18" i="273"/>
  <c r="X20" i="273"/>
  <c r="AF20" i="273"/>
  <c r="AN20" i="273"/>
  <c r="S21" i="273"/>
  <c r="AA21" i="273"/>
  <c r="AI21" i="273"/>
  <c r="AQ21" i="273"/>
  <c r="V22" i="273"/>
  <c r="AD22" i="273"/>
  <c r="AL22" i="273"/>
  <c r="Q23" i="273"/>
  <c r="Y23" i="273"/>
  <c r="AG23" i="273"/>
  <c r="AO23" i="273"/>
  <c r="L24" i="273"/>
  <c r="T24" i="273"/>
  <c r="AB24" i="273"/>
  <c r="AJ24" i="273"/>
  <c r="AR24" i="273"/>
  <c r="O25" i="273"/>
  <c r="W25" i="273"/>
  <c r="AE25" i="273"/>
  <c r="AM25" i="273"/>
  <c r="J26" i="273"/>
  <c r="S26" i="273"/>
  <c r="AB26" i="273"/>
  <c r="AJ26" i="273"/>
  <c r="AS26" i="273"/>
  <c r="P15" i="273"/>
  <c r="X15" i="273"/>
  <c r="AF15" i="273"/>
  <c r="AN15" i="273"/>
  <c r="P16" i="273"/>
  <c r="X16" i="273"/>
  <c r="AF16" i="273"/>
  <c r="AN16" i="273"/>
  <c r="Q17" i="273"/>
  <c r="R17" i="273" s="1"/>
  <c r="Y17" i="273"/>
  <c r="AG17" i="273"/>
  <c r="S18" i="273"/>
  <c r="AA18" i="273"/>
  <c r="AI18" i="273"/>
  <c r="AQ18" i="273"/>
  <c r="Q20" i="273"/>
  <c r="Y20" i="273"/>
  <c r="AG20" i="273"/>
  <c r="L21" i="273"/>
  <c r="T21" i="273"/>
  <c r="AB21" i="273"/>
  <c r="AJ21" i="273"/>
  <c r="O22" i="273"/>
  <c r="W22" i="273"/>
  <c r="AE22" i="273"/>
  <c r="AM22" i="273"/>
  <c r="J23" i="273"/>
  <c r="R23" i="273"/>
  <c r="Z23" i="273"/>
  <c r="AH23" i="273"/>
  <c r="M24" i="273"/>
  <c r="U24" i="273"/>
  <c r="AC24" i="273"/>
  <c r="AK24" i="273"/>
  <c r="AS24" i="273"/>
  <c r="P25" i="273"/>
  <c r="X25" i="273"/>
  <c r="AF25" i="273"/>
  <c r="AN25" i="273"/>
  <c r="L26" i="273"/>
  <c r="T26" i="273"/>
  <c r="AC26" i="273"/>
  <c r="AK26" i="273"/>
  <c r="Q15" i="273"/>
  <c r="R15" i="273" s="1"/>
  <c r="Z15" i="273" s="1"/>
  <c r="Y15" i="273"/>
  <c r="AG15" i="273"/>
  <c r="Q16" i="273"/>
  <c r="R16" i="273" s="1"/>
  <c r="Z16" i="273" s="1"/>
  <c r="Y16" i="273"/>
  <c r="AG16" i="273"/>
  <c r="L18" i="273"/>
  <c r="M18" i="273" s="1"/>
  <c r="T18" i="273"/>
  <c r="AR18" i="273"/>
  <c r="P22" i="273"/>
  <c r="X22" i="273"/>
  <c r="AF22" i="273"/>
  <c r="AN22" i="273"/>
  <c r="AD24" i="273"/>
  <c r="Q25" i="273"/>
  <c r="Y25" i="273"/>
  <c r="AG25" i="273"/>
  <c r="M26" i="273"/>
  <c r="U26" i="273"/>
  <c r="AD26" i="273"/>
  <c r="AM26" i="273"/>
  <c r="U18" i="273"/>
  <c r="AC18" i="273"/>
  <c r="AK18" i="273"/>
  <c r="Q22" i="273"/>
  <c r="Y22" i="273"/>
  <c r="AG22" i="273"/>
  <c r="V26" i="273"/>
  <c r="AE26" i="273"/>
  <c r="S25" i="272"/>
  <c r="AI16" i="272"/>
  <c r="AS18" i="271"/>
  <c r="AN12" i="272"/>
  <c r="AK17" i="272"/>
  <c r="AA11" i="272"/>
  <c r="AC22" i="272"/>
  <c r="P24" i="272"/>
  <c r="Q6" i="272"/>
  <c r="R6" i="272" s="1"/>
  <c r="Z6" i="272" s="1"/>
  <c r="P10" i="272"/>
  <c r="V13" i="272"/>
  <c r="AA16" i="272"/>
  <c r="AI22" i="272"/>
  <c r="S24" i="272"/>
  <c r="W26" i="272"/>
  <c r="Y6" i="272"/>
  <c r="O7" i="272"/>
  <c r="W7" i="272" s="1"/>
  <c r="X10" i="272"/>
  <c r="AI13" i="272"/>
  <c r="AC16" i="272"/>
  <c r="AI26" i="272"/>
  <c r="AC6" i="272"/>
  <c r="P7" i="272"/>
  <c r="AS10" i="272"/>
  <c r="AI6" i="272"/>
  <c r="AA7" i="272"/>
  <c r="AD12" i="272"/>
  <c r="AP13" i="272"/>
  <c r="AO6" i="272"/>
  <c r="AL7" i="272"/>
  <c r="AS6" i="272"/>
  <c r="AM7" i="272"/>
  <c r="AN6" i="272"/>
  <c r="T7" i="272"/>
  <c r="AQ7" i="272"/>
  <c r="P9" i="272"/>
  <c r="AG10" i="272"/>
  <c r="AI11" i="272"/>
  <c r="AN24" i="272"/>
  <c r="V25" i="272"/>
  <c r="X7" i="272"/>
  <c r="AR7" i="272"/>
  <c r="L7" i="272" s="1"/>
  <c r="U7" i="272" s="1"/>
  <c r="X9" i="272"/>
  <c r="AN10" i="272"/>
  <c r="AN11" i="272"/>
  <c r="AQ24" i="272"/>
  <c r="AD25" i="272"/>
  <c r="AK23" i="272"/>
  <c r="AE25" i="272"/>
  <c r="AD7" i="272"/>
  <c r="J25" i="272"/>
  <c r="AI25" i="272"/>
  <c r="X6" i="272"/>
  <c r="AE7" i="272"/>
  <c r="AD13" i="272"/>
  <c r="AA22" i="272"/>
  <c r="AI7" i="272"/>
  <c r="O12" i="272"/>
  <c r="W12" i="272" s="1"/>
  <c r="AA6" i="272"/>
  <c r="AQ6" i="272"/>
  <c r="S7" i="272"/>
  <c r="AF7" i="272"/>
  <c r="AS7" i="272"/>
  <c r="AL8" i="272"/>
  <c r="AC10" i="272"/>
  <c r="X11" i="272"/>
  <c r="AM11" i="272"/>
  <c r="AC12" i="272"/>
  <c r="AM12" i="272"/>
  <c r="S13" i="272"/>
  <c r="AL13" i="272"/>
  <c r="AH16" i="272"/>
  <c r="AF17" i="272"/>
  <c r="S19" i="272"/>
  <c r="AE19" i="272"/>
  <c r="AR19" i="272"/>
  <c r="AF21" i="272"/>
  <c r="M22" i="272"/>
  <c r="AH22" i="272"/>
  <c r="M23" i="272"/>
  <c r="AF23" i="272"/>
  <c r="T25" i="272"/>
  <c r="AH25" i="272"/>
  <c r="AA26" i="272"/>
  <c r="AF6" i="272"/>
  <c r="V7" i="272"/>
  <c r="AK7" i="272"/>
  <c r="AH10" i="272"/>
  <c r="AC11" i="272"/>
  <c r="AP11" i="272"/>
  <c r="P12" i="272"/>
  <c r="AE12" i="272"/>
  <c r="AP12" i="272"/>
  <c r="AA13" i="272"/>
  <c r="AQ13" i="272"/>
  <c r="S16" i="272"/>
  <c r="AK16" i="272"/>
  <c r="P17" i="272"/>
  <c r="AL17" i="272"/>
  <c r="J19" i="272"/>
  <c r="V19" i="272"/>
  <c r="AI19" i="272"/>
  <c r="AN21" i="272"/>
  <c r="R22" i="272"/>
  <c r="AK22" i="272"/>
  <c r="P23" i="272"/>
  <c r="AL23" i="272"/>
  <c r="X24" i="272"/>
  <c r="W25" i="272"/>
  <c r="AL25" i="272"/>
  <c r="AM8" i="272"/>
  <c r="P6" i="272"/>
  <c r="AG6" i="272"/>
  <c r="AK10" i="272"/>
  <c r="O11" i="272"/>
  <c r="W11" i="272" s="1"/>
  <c r="AE11" i="272"/>
  <c r="AQ11" i="272"/>
  <c r="S12" i="272"/>
  <c r="AF12" i="272"/>
  <c r="AQ12" i="272"/>
  <c r="AC13" i="272"/>
  <c r="AS13" i="272"/>
  <c r="AP16" i="272"/>
  <c r="AN17" i="272"/>
  <c r="W19" i="272"/>
  <c r="AJ19" i="272"/>
  <c r="AQ21" i="272"/>
  <c r="S22" i="272"/>
  <c r="AP22" i="272"/>
  <c r="U23" i="272"/>
  <c r="AN23" i="272"/>
  <c r="AA24" i="272"/>
  <c r="L25" i="272"/>
  <c r="Z25" i="272"/>
  <c r="AP25" i="272"/>
  <c r="O8" i="272"/>
  <c r="W8" i="272" s="1"/>
  <c r="P11" i="272"/>
  <c r="AF11" i="272"/>
  <c r="AR11" i="272"/>
  <c r="L11" i="272" s="1"/>
  <c r="M11" i="272" s="1"/>
  <c r="V12" i="272"/>
  <c r="AH12" i="272"/>
  <c r="AS12" i="272"/>
  <c r="V16" i="272"/>
  <c r="AQ16" i="272"/>
  <c r="V17" i="272"/>
  <c r="AS17" i="272"/>
  <c r="L19" i="272"/>
  <c r="Z19" i="272"/>
  <c r="AL19" i="272"/>
  <c r="Q20" i="272"/>
  <c r="P21" i="272"/>
  <c r="U22" i="272"/>
  <c r="AQ22" i="272"/>
  <c r="V23" i="272"/>
  <c r="AS23" i="272"/>
  <c r="AF24" i="272"/>
  <c r="AA25" i="272"/>
  <c r="AQ25" i="272"/>
  <c r="T19" i="272"/>
  <c r="AH19" i="272"/>
  <c r="AI21" i="272"/>
  <c r="S6" i="272"/>
  <c r="AK6" i="272"/>
  <c r="AC7" i="272"/>
  <c r="AN7" i="272"/>
  <c r="V8" i="272"/>
  <c r="S11" i="272"/>
  <c r="AH11" i="272"/>
  <c r="AS11" i="272"/>
  <c r="AI12" i="272"/>
  <c r="AH13" i="272"/>
  <c r="AS16" i="272"/>
  <c r="X17" i="272"/>
  <c r="AA19" i="272"/>
  <c r="AM19" i="272"/>
  <c r="V20" i="272"/>
  <c r="S21" i="272"/>
  <c r="Z22" i="272"/>
  <c r="AS22" i="272"/>
  <c r="X23" i="272"/>
  <c r="AI24" i="272"/>
  <c r="O25" i="272"/>
  <c r="AB25" i="272"/>
  <c r="AD8" i="272"/>
  <c r="X12" i="272"/>
  <c r="AK12" i="272"/>
  <c r="AC17" i="272"/>
  <c r="O19" i="272"/>
  <c r="AB19" i="272"/>
  <c r="AP19" i="272"/>
  <c r="AD20" i="272"/>
  <c r="X21" i="272"/>
  <c r="AC23" i="272"/>
  <c r="AE8" i="272"/>
  <c r="V11" i="272"/>
  <c r="AK11" i="272"/>
  <c r="AA12" i="272"/>
  <c r="AL12" i="272"/>
  <c r="AD17" i="272"/>
  <c r="R19" i="272"/>
  <c r="AD19" i="272"/>
  <c r="AQ19" i="272"/>
  <c r="AG20" i="272"/>
  <c r="AA21" i="272"/>
  <c r="AD23" i="272"/>
  <c r="AR9" i="272"/>
  <c r="Q9" i="272"/>
  <c r="R9" i="272" s="1"/>
  <c r="Y9" i="272"/>
  <c r="AH9" i="272"/>
  <c r="AQ9" i="272"/>
  <c r="AR14" i="272"/>
  <c r="L14" i="272" s="1"/>
  <c r="M14" i="272" s="1"/>
  <c r="T14" i="272"/>
  <c r="AQ14" i="272"/>
  <c r="AI14" i="272"/>
  <c r="AA14" i="272"/>
  <c r="S14" i="272"/>
  <c r="AP14" i="272"/>
  <c r="AH14" i="272"/>
  <c r="AO14" i="272"/>
  <c r="AG14" i="272"/>
  <c r="Y14" i="272"/>
  <c r="Q14" i="272"/>
  <c r="R14" i="272" s="1"/>
  <c r="AJ14" i="272" s="1"/>
  <c r="AM14" i="272"/>
  <c r="AE14" i="272"/>
  <c r="O14" i="272"/>
  <c r="W14" i="272" s="1"/>
  <c r="AC14" i="272"/>
  <c r="AM18" i="272"/>
  <c r="AE18" i="272"/>
  <c r="O18" i="272"/>
  <c r="W18" i="272" s="1"/>
  <c r="AL18" i="272"/>
  <c r="AD18" i="272"/>
  <c r="V18" i="272"/>
  <c r="AS18" i="272"/>
  <c r="AK18" i="272"/>
  <c r="AC18" i="272"/>
  <c r="AR18" i="272"/>
  <c r="T18" i="272"/>
  <c r="L18" i="272"/>
  <c r="U18" i="272" s="1"/>
  <c r="AP18" i="272"/>
  <c r="AH18" i="272"/>
  <c r="AO18" i="272"/>
  <c r="AG18" i="272"/>
  <c r="Y18" i="272"/>
  <c r="AF18" i="272"/>
  <c r="AM15" i="272"/>
  <c r="AE15" i="272"/>
  <c r="O15" i="272"/>
  <c r="W15" i="272" s="1"/>
  <c r="AL15" i="272"/>
  <c r="AD15" i="272"/>
  <c r="V15" i="272"/>
  <c r="AS15" i="272"/>
  <c r="AK15" i="272"/>
  <c r="AC15" i="272"/>
  <c r="AR15" i="272"/>
  <c r="L15" i="272" s="1"/>
  <c r="T15" i="272"/>
  <c r="AP15" i="272"/>
  <c r="AH15" i="272"/>
  <c r="AH6" i="272"/>
  <c r="AP6" i="272"/>
  <c r="P8" i="272"/>
  <c r="X8" i="272"/>
  <c r="AF8" i="272"/>
  <c r="AN8" i="272"/>
  <c r="AI9" i="272"/>
  <c r="AS9" i="272"/>
  <c r="O10" i="272"/>
  <c r="W10" i="272" s="1"/>
  <c r="Y10" i="272"/>
  <c r="AD14" i="272"/>
  <c r="AG15" i="272"/>
  <c r="AI18" i="272"/>
  <c r="Q8" i="272"/>
  <c r="R8" i="272" s="1"/>
  <c r="Y8" i="272"/>
  <c r="AG8" i="272"/>
  <c r="AO8" i="272"/>
  <c r="S9" i="272"/>
  <c r="AA9" i="272"/>
  <c r="AK9" i="272"/>
  <c r="AF14" i="272"/>
  <c r="P15" i="272"/>
  <c r="AI15" i="272"/>
  <c r="AN18" i="272"/>
  <c r="T6" i="272"/>
  <c r="AR6" i="272"/>
  <c r="L6" i="272" s="1"/>
  <c r="AH8" i="272"/>
  <c r="AP8" i="272"/>
  <c r="L9" i="272"/>
  <c r="U9" i="272" s="1"/>
  <c r="T9" i="272"/>
  <c r="AC9" i="272"/>
  <c r="AL9" i="272"/>
  <c r="AL10" i="272"/>
  <c r="AD10" i="272"/>
  <c r="V10" i="272"/>
  <c r="AQ10" i="272"/>
  <c r="AI10" i="272"/>
  <c r="AA10" i="272"/>
  <c r="S10" i="272"/>
  <c r="Q10" i="272"/>
  <c r="R10" i="272" s="1"/>
  <c r="Z10" i="272" s="1"/>
  <c r="AM10" i="272"/>
  <c r="AK14" i="272"/>
  <c r="Q15" i="272"/>
  <c r="R15" i="272" s="1"/>
  <c r="AN15" i="272"/>
  <c r="P18" i="272"/>
  <c r="AQ18" i="272"/>
  <c r="AN26" i="272"/>
  <c r="AE26" i="272"/>
  <c r="V26" i="272"/>
  <c r="AM26" i="272"/>
  <c r="AD26" i="272"/>
  <c r="U26" i="272"/>
  <c r="M26" i="272"/>
  <c r="AK26" i="272"/>
  <c r="AC26" i="272"/>
  <c r="T26" i="272"/>
  <c r="L26" i="272"/>
  <c r="AS26" i="272"/>
  <c r="AJ26" i="272"/>
  <c r="AB26" i="272"/>
  <c r="S26" i="272"/>
  <c r="J26" i="272"/>
  <c r="AQ26" i="272"/>
  <c r="AH26" i="272"/>
  <c r="Z26" i="272"/>
  <c r="Q26" i="272"/>
  <c r="AP26" i="272"/>
  <c r="AG26" i="272"/>
  <c r="Y26" i="272"/>
  <c r="P26" i="272"/>
  <c r="AO26" i="272"/>
  <c r="S8" i="272"/>
  <c r="AA8" i="272"/>
  <c r="AI8" i="272"/>
  <c r="AQ8" i="272"/>
  <c r="AD9" i="272"/>
  <c r="AM9" i="272"/>
  <c r="P14" i="272"/>
  <c r="AL14" i="272"/>
  <c r="S15" i="272"/>
  <c r="AO15" i="272"/>
  <c r="Q18" i="272"/>
  <c r="R18" i="272" s="1"/>
  <c r="AJ18" i="272" s="1"/>
  <c r="AS20" i="272"/>
  <c r="AK20" i="272"/>
  <c r="AC20" i="272"/>
  <c r="U20" i="272"/>
  <c r="M20" i="272"/>
  <c r="AR20" i="272"/>
  <c r="AJ20" i="272"/>
  <c r="AB20" i="272"/>
  <c r="T20" i="272"/>
  <c r="L20" i="272"/>
  <c r="AQ20" i="272"/>
  <c r="AI20" i="272"/>
  <c r="AA20" i="272"/>
  <c r="S20" i="272"/>
  <c r="AP20" i="272"/>
  <c r="AH20" i="272"/>
  <c r="Z20" i="272"/>
  <c r="R20" i="272"/>
  <c r="J20" i="272"/>
  <c r="AN20" i="272"/>
  <c r="AF20" i="272"/>
  <c r="X20" i="272"/>
  <c r="P20" i="272"/>
  <c r="AM20" i="272"/>
  <c r="AE20" i="272"/>
  <c r="W20" i="272"/>
  <c r="O20" i="272"/>
  <c r="AL20" i="272"/>
  <c r="AR26" i="272"/>
  <c r="V6" i="272"/>
  <c r="AD6" i="272"/>
  <c r="AL6" i="272"/>
  <c r="Q7" i="272"/>
  <c r="R7" i="272" s="1"/>
  <c r="Z7" i="272" s="1"/>
  <c r="Y7" i="272"/>
  <c r="AG7" i="272"/>
  <c r="AO7" i="272"/>
  <c r="T8" i="272"/>
  <c r="AR8" i="272"/>
  <c r="L8" i="272" s="1"/>
  <c r="V9" i="272"/>
  <c r="AE9" i="272"/>
  <c r="AN9" i="272"/>
  <c r="T10" i="272"/>
  <c r="AE10" i="272"/>
  <c r="AO10" i="272"/>
  <c r="AN14" i="272"/>
  <c r="X15" i="272"/>
  <c r="AQ15" i="272"/>
  <c r="S18" i="272"/>
  <c r="AO20" i="272"/>
  <c r="O26" i="272"/>
  <c r="AA15" i="272"/>
  <c r="O6" i="272"/>
  <c r="W6" i="272" s="1"/>
  <c r="AE6" i="272"/>
  <c r="J7" i="272"/>
  <c r="AH7" i="272"/>
  <c r="AC8" i="272"/>
  <c r="AK8" i="272"/>
  <c r="O9" i="272"/>
  <c r="W9" i="272" s="1"/>
  <c r="AF9" i="272"/>
  <c r="AO9" i="272"/>
  <c r="L10" i="272"/>
  <c r="M10" i="272" s="1"/>
  <c r="AF10" i="272"/>
  <c r="AP10" i="272"/>
  <c r="V14" i="272"/>
  <c r="AS14" i="272"/>
  <c r="Y15" i="272"/>
  <c r="X18" i="272"/>
  <c r="R26" i="272"/>
  <c r="Q21" i="272"/>
  <c r="Y21" i="272"/>
  <c r="AG21" i="272"/>
  <c r="AO21" i="272"/>
  <c r="Q24" i="272"/>
  <c r="Y24" i="272"/>
  <c r="AG24" i="272"/>
  <c r="AO24" i="272"/>
  <c r="AJ25" i="272"/>
  <c r="AR25" i="272"/>
  <c r="AD11" i="272"/>
  <c r="AL11" i="272"/>
  <c r="Q12" i="272"/>
  <c r="R12" i="272" s="1"/>
  <c r="Z12" i="272" s="1"/>
  <c r="Y12" i="272"/>
  <c r="AG12" i="272"/>
  <c r="AO12" i="272"/>
  <c r="T13" i="272"/>
  <c r="AR13" i="272"/>
  <c r="L13" i="272" s="1"/>
  <c r="T16" i="272"/>
  <c r="AR16" i="272"/>
  <c r="L16" i="272" s="1"/>
  <c r="O17" i="272"/>
  <c r="W17" i="272" s="1"/>
  <c r="AE17" i="272"/>
  <c r="AM17" i="272"/>
  <c r="M19" i="272"/>
  <c r="U19" i="272"/>
  <c r="AC19" i="272"/>
  <c r="AK19" i="272"/>
  <c r="AS19" i="272"/>
  <c r="J21" i="272"/>
  <c r="R21" i="272"/>
  <c r="Z21" i="272"/>
  <c r="AH21" i="272"/>
  <c r="AP21" i="272"/>
  <c r="L22" i="272"/>
  <c r="T22" i="272"/>
  <c r="AB22" i="272"/>
  <c r="AJ22" i="272"/>
  <c r="AR22" i="272"/>
  <c r="O23" i="272"/>
  <c r="W23" i="272"/>
  <c r="AE23" i="272"/>
  <c r="AM23" i="272"/>
  <c r="J24" i="272"/>
  <c r="R24" i="272"/>
  <c r="Z24" i="272"/>
  <c r="AH24" i="272"/>
  <c r="AP24" i="272"/>
  <c r="M25" i="272"/>
  <c r="U25" i="272"/>
  <c r="AC25" i="272"/>
  <c r="AK25" i="272"/>
  <c r="AS25" i="272"/>
  <c r="AD16" i="272"/>
  <c r="AL16" i="272"/>
  <c r="Q17" i="272"/>
  <c r="R17" i="272" s="1"/>
  <c r="Y17" i="272"/>
  <c r="AG17" i="272"/>
  <c r="AO17" i="272"/>
  <c r="L21" i="272"/>
  <c r="T21" i="272"/>
  <c r="AB21" i="272"/>
  <c r="AJ21" i="272"/>
  <c r="AR21" i="272"/>
  <c r="V22" i="272"/>
  <c r="AD22" i="272"/>
  <c r="AL22" i="272"/>
  <c r="Q23" i="272"/>
  <c r="Y23" i="272"/>
  <c r="AG23" i="272"/>
  <c r="AO23" i="272"/>
  <c r="L24" i="272"/>
  <c r="T24" i="272"/>
  <c r="AB24" i="272"/>
  <c r="AJ24" i="272"/>
  <c r="AR24" i="272"/>
  <c r="AM25" i="272"/>
  <c r="Q11" i="272"/>
  <c r="R11" i="272" s="1"/>
  <c r="Y11" i="272"/>
  <c r="AG11" i="272"/>
  <c r="L12" i="272"/>
  <c r="T12" i="272"/>
  <c r="O13" i="272"/>
  <c r="W13" i="272" s="1"/>
  <c r="AE13" i="272"/>
  <c r="AM13" i="272"/>
  <c r="O16" i="272"/>
  <c r="W16" i="272" s="1"/>
  <c r="AE16" i="272"/>
  <c r="AM16" i="272"/>
  <c r="AH17" i="272"/>
  <c r="AP17" i="272"/>
  <c r="P19" i="272"/>
  <c r="X19" i="272"/>
  <c r="AF19" i="272"/>
  <c r="AN19" i="272"/>
  <c r="M21" i="272"/>
  <c r="U21" i="272"/>
  <c r="AC21" i="272"/>
  <c r="AK21" i="272"/>
  <c r="AS21" i="272"/>
  <c r="O22" i="272"/>
  <c r="W22" i="272"/>
  <c r="AE22" i="272"/>
  <c r="AM22" i="272"/>
  <c r="J23" i="272"/>
  <c r="R23" i="272"/>
  <c r="Z23" i="272"/>
  <c r="AH23" i="272"/>
  <c r="AP23" i="272"/>
  <c r="M24" i="272"/>
  <c r="U24" i="272"/>
  <c r="AC24" i="272"/>
  <c r="AK24" i="272"/>
  <c r="AS24" i="272"/>
  <c r="P25" i="272"/>
  <c r="X25" i="272"/>
  <c r="AF25" i="272"/>
  <c r="AN25" i="272"/>
  <c r="P13" i="272"/>
  <c r="X13" i="272"/>
  <c r="AF13" i="272"/>
  <c r="AN13" i="272"/>
  <c r="P16" i="272"/>
  <c r="X16" i="272"/>
  <c r="AF16" i="272"/>
  <c r="AN16" i="272"/>
  <c r="S17" i="272"/>
  <c r="AA17" i="272"/>
  <c r="AI17" i="272"/>
  <c r="AQ17" i="272"/>
  <c r="Q19" i="272"/>
  <c r="Y19" i="272"/>
  <c r="AG19" i="272"/>
  <c r="V21" i="272"/>
  <c r="AD21" i="272"/>
  <c r="AL21" i="272"/>
  <c r="P22" i="272"/>
  <c r="X22" i="272"/>
  <c r="AF22" i="272"/>
  <c r="AN22" i="272"/>
  <c r="S23" i="272"/>
  <c r="AA23" i="272"/>
  <c r="AI23" i="272"/>
  <c r="AQ23" i="272"/>
  <c r="V24" i="272"/>
  <c r="AD24" i="272"/>
  <c r="AL24" i="272"/>
  <c r="Q25" i="272"/>
  <c r="Y25" i="272"/>
  <c r="AG25" i="272"/>
  <c r="Q13" i="272"/>
  <c r="R13" i="272" s="1"/>
  <c r="Z13" i="272" s="1"/>
  <c r="Y13" i="272"/>
  <c r="AG13" i="272"/>
  <c r="Q16" i="272"/>
  <c r="R16" i="272" s="1"/>
  <c r="Y16" i="272"/>
  <c r="AG16" i="272"/>
  <c r="L17" i="272"/>
  <c r="U17" i="272" s="1"/>
  <c r="T17" i="272"/>
  <c r="O21" i="272"/>
  <c r="W21" i="272"/>
  <c r="AE21" i="272"/>
  <c r="Q22" i="272"/>
  <c r="Y22" i="272"/>
  <c r="AG22" i="272"/>
  <c r="L23" i="272"/>
  <c r="T23" i="272"/>
  <c r="AB23" i="272"/>
  <c r="AJ23" i="272"/>
  <c r="O24" i="272"/>
  <c r="W24" i="272"/>
  <c r="AE24" i="272"/>
  <c r="S6" i="271"/>
  <c r="L10" i="271"/>
  <c r="M10" i="271" s="1"/>
  <c r="L21" i="271"/>
  <c r="V6" i="271"/>
  <c r="AI20" i="268"/>
  <c r="AA6" i="271"/>
  <c r="AC8" i="271"/>
  <c r="AL10" i="271"/>
  <c r="AN17" i="271"/>
  <c r="P21" i="271"/>
  <c r="AF6" i="271"/>
  <c r="Z21" i="271"/>
  <c r="P25" i="271"/>
  <c r="AC21" i="271"/>
  <c r="T25" i="271"/>
  <c r="AD21" i="271"/>
  <c r="AR25" i="271"/>
  <c r="AK16" i="271"/>
  <c r="AR21" i="271"/>
  <c r="AR6" i="271"/>
  <c r="L6" i="271" s="1"/>
  <c r="T14" i="271"/>
  <c r="V16" i="271"/>
  <c r="M21" i="271"/>
  <c r="AE21" i="271"/>
  <c r="V13" i="271"/>
  <c r="Y16" i="271"/>
  <c r="M20" i="271"/>
  <c r="AK21" i="271"/>
  <c r="R23" i="271"/>
  <c r="AD13" i="271"/>
  <c r="Z23" i="271"/>
  <c r="AK13" i="271"/>
  <c r="AH20" i="271"/>
  <c r="S21" i="271"/>
  <c r="AF23" i="271"/>
  <c r="AS13" i="271"/>
  <c r="U21" i="271"/>
  <c r="AQ23" i="271"/>
  <c r="AK8" i="271"/>
  <c r="AE6" i="271"/>
  <c r="AR15" i="271"/>
  <c r="T21" i="271"/>
  <c r="AI21" i="271"/>
  <c r="U23" i="271"/>
  <c r="Q25" i="271"/>
  <c r="L26" i="271"/>
  <c r="S22" i="271"/>
  <c r="AI6" i="271"/>
  <c r="S18" i="271"/>
  <c r="T19" i="271"/>
  <c r="V21" i="271"/>
  <c r="AL21" i="271"/>
  <c r="AE22" i="271"/>
  <c r="AB23" i="271"/>
  <c r="AL24" i="271"/>
  <c r="X25" i="271"/>
  <c r="AD26" i="271"/>
  <c r="O6" i="271"/>
  <c r="W6" i="271" s="1"/>
  <c r="AN6" i="271"/>
  <c r="T9" i="271"/>
  <c r="X18" i="271"/>
  <c r="AM21" i="271"/>
  <c r="AM22" i="271"/>
  <c r="AF25" i="271"/>
  <c r="Q6" i="271"/>
  <c r="R6" i="271" s="1"/>
  <c r="Z6" i="271" s="1"/>
  <c r="AQ6" i="271"/>
  <c r="AF11" i="271"/>
  <c r="AC13" i="271"/>
  <c r="V14" i="271"/>
  <c r="O17" i="271"/>
  <c r="AC18" i="271"/>
  <c r="AB21" i="271"/>
  <c r="AN21" i="271"/>
  <c r="AJ23" i="271"/>
  <c r="AJ25" i="271"/>
  <c r="T8" i="271"/>
  <c r="AB17" i="271"/>
  <c r="AI18" i="271"/>
  <c r="AL23" i="271"/>
  <c r="L25" i="271"/>
  <c r="AO25" i="271"/>
  <c r="AK12" i="271"/>
  <c r="X6" i="271"/>
  <c r="AL6" i="271"/>
  <c r="AR8" i="271"/>
  <c r="L8" i="271" s="1"/>
  <c r="Y9" i="271"/>
  <c r="X10" i="271"/>
  <c r="AM10" i="271"/>
  <c r="Q11" i="271"/>
  <c r="R11" i="271" s="1"/>
  <c r="AJ11" i="271" s="1"/>
  <c r="X12" i="271"/>
  <c r="AL12" i="271"/>
  <c r="AL13" i="271"/>
  <c r="AD14" i="271"/>
  <c r="P17" i="271"/>
  <c r="AD17" i="271"/>
  <c r="AP17" i="271"/>
  <c r="O18" i="271"/>
  <c r="AE18" i="271"/>
  <c r="AF19" i="271"/>
  <c r="W21" i="271"/>
  <c r="AF21" i="271"/>
  <c r="AP21" i="271"/>
  <c r="O22" i="271"/>
  <c r="AF22" i="271"/>
  <c r="L23" i="271"/>
  <c r="V23" i="271"/>
  <c r="AH23" i="271"/>
  <c r="AR23" i="271"/>
  <c r="AB25" i="271"/>
  <c r="M26" i="271"/>
  <c r="AG26" i="271"/>
  <c r="Y6" i="271"/>
  <c r="AM6" i="271"/>
  <c r="AS8" i="271"/>
  <c r="AE9" i="271"/>
  <c r="AC10" i="271"/>
  <c r="AN10" i="271"/>
  <c r="AA11" i="271"/>
  <c r="AA12" i="271"/>
  <c r="AN12" i="271"/>
  <c r="Q13" i="271"/>
  <c r="R13" i="271" s="1"/>
  <c r="AB13" i="271" s="1"/>
  <c r="AQ13" i="271"/>
  <c r="R17" i="271"/>
  <c r="AE17" i="271"/>
  <c r="AR17" i="271"/>
  <c r="P18" i="271"/>
  <c r="AF18" i="271"/>
  <c r="AN19" i="271"/>
  <c r="AG20" i="271"/>
  <c r="O21" i="271"/>
  <c r="X21" i="271"/>
  <c r="AH21" i="271"/>
  <c r="AQ21" i="271"/>
  <c r="P22" i="271"/>
  <c r="AI22" i="271"/>
  <c r="M23" i="271"/>
  <c r="X23" i="271"/>
  <c r="AI23" i="271"/>
  <c r="AS23" i="271"/>
  <c r="AK26" i="271"/>
  <c r="AI9" i="271"/>
  <c r="O10" i="271"/>
  <c r="W10" i="271" s="1"/>
  <c r="AD10" i="271"/>
  <c r="AP10" i="271"/>
  <c r="AC12" i="271"/>
  <c r="AP12" i="271"/>
  <c r="T17" i="271"/>
  <c r="AF17" i="271"/>
  <c r="AO19" i="271"/>
  <c r="P26" i="271"/>
  <c r="AM26" i="271"/>
  <c r="P6" i="271"/>
  <c r="AD6" i="271"/>
  <c r="AO6" i="271"/>
  <c r="AP9" i="271"/>
  <c r="P10" i="271"/>
  <c r="AE10" i="271"/>
  <c r="AR10" i="271"/>
  <c r="AG11" i="271"/>
  <c r="P12" i="271"/>
  <c r="AD12" i="271"/>
  <c r="AQ12" i="271"/>
  <c r="AA13" i="271"/>
  <c r="J17" i="271"/>
  <c r="V17" i="271"/>
  <c r="AH17" i="271"/>
  <c r="U18" i="271"/>
  <c r="AK18" i="271"/>
  <c r="R21" i="271"/>
  <c r="AA21" i="271"/>
  <c r="AJ21" i="271"/>
  <c r="AS21" i="271"/>
  <c r="U22" i="271"/>
  <c r="AN22" i="271"/>
  <c r="P23" i="271"/>
  <c r="AA23" i="271"/>
  <c r="AK23" i="271"/>
  <c r="T26" i="271"/>
  <c r="AP26" i="271"/>
  <c r="AS9" i="271"/>
  <c r="T10" i="271"/>
  <c r="AF10" i="271"/>
  <c r="AS10" i="271"/>
  <c r="AM11" i="271"/>
  <c r="S12" i="271"/>
  <c r="AF12" i="271"/>
  <c r="AR12" i="271"/>
  <c r="L12" i="271" s="1"/>
  <c r="M12" i="271" s="1"/>
  <c r="W17" i="271"/>
  <c r="AJ17" i="271"/>
  <c r="W18" i="271"/>
  <c r="AM18" i="271"/>
  <c r="L19" i="271"/>
  <c r="W22" i="271"/>
  <c r="AQ22" i="271"/>
  <c r="U26" i="271"/>
  <c r="V12" i="271"/>
  <c r="O9" i="271"/>
  <c r="W9" i="271" s="1"/>
  <c r="AH10" i="271"/>
  <c r="AP11" i="271"/>
  <c r="T12" i="271"/>
  <c r="AH12" i="271"/>
  <c r="AS12" i="271"/>
  <c r="O15" i="271"/>
  <c r="L17" i="271"/>
  <c r="X17" i="271"/>
  <c r="AL17" i="271"/>
  <c r="AN18" i="271"/>
  <c r="X22" i="271"/>
  <c r="S23" i="271"/>
  <c r="AC23" i="271"/>
  <c r="AN23" i="271"/>
  <c r="Q24" i="271"/>
  <c r="Y26" i="271"/>
  <c r="T6" i="271"/>
  <c r="AG6" i="271"/>
  <c r="V10" i="271"/>
  <c r="AK10" i="271"/>
  <c r="AQ11" i="271"/>
  <c r="AI12" i="271"/>
  <c r="AG13" i="271"/>
  <c r="Z17" i="271"/>
  <c r="AM17" i="271"/>
  <c r="M18" i="271"/>
  <c r="AA18" i="271"/>
  <c r="AQ18" i="271"/>
  <c r="Q19" i="271"/>
  <c r="M22" i="271"/>
  <c r="AA22" i="271"/>
  <c r="J23" i="271"/>
  <c r="T23" i="271"/>
  <c r="AD23" i="271"/>
  <c r="AP23" i="271"/>
  <c r="AK24" i="271"/>
  <c r="AC26" i="271"/>
  <c r="J7" i="271"/>
  <c r="J8" i="271" s="1"/>
  <c r="J9" i="271" s="1"/>
  <c r="J10" i="271" s="1"/>
  <c r="J11" i="271" s="1"/>
  <c r="J12" i="271" s="1"/>
  <c r="J13" i="271" s="1"/>
  <c r="J14" i="271" s="1"/>
  <c r="J15" i="271" s="1"/>
  <c r="J16" i="271" s="1"/>
  <c r="AH7" i="271"/>
  <c r="AP7" i="271"/>
  <c r="S7" i="271"/>
  <c r="AA7" i="271"/>
  <c r="AI7" i="271"/>
  <c r="AQ7" i="271"/>
  <c r="V8" i="271"/>
  <c r="AD8" i="271"/>
  <c r="AL8" i="271"/>
  <c r="AN9" i="271"/>
  <c r="AF9" i="271"/>
  <c r="X9" i="271"/>
  <c r="AL9" i="271"/>
  <c r="AD9" i="271"/>
  <c r="V9" i="271"/>
  <c r="Q9" i="271"/>
  <c r="R9" i="271" s="1"/>
  <c r="AB9" i="271" s="1"/>
  <c r="AA9" i="271"/>
  <c r="AK9" i="271"/>
  <c r="X11" i="271"/>
  <c r="AH11" i="271"/>
  <c r="AS11" i="271"/>
  <c r="AP14" i="271"/>
  <c r="AH14" i="271"/>
  <c r="AM14" i="271"/>
  <c r="AE14" i="271"/>
  <c r="O14" i="271"/>
  <c r="W14" i="271" s="1"/>
  <c r="AS14" i="271"/>
  <c r="AK14" i="271"/>
  <c r="AC14" i="271"/>
  <c r="AQ14" i="271"/>
  <c r="AI14" i="271"/>
  <c r="AA14" i="271"/>
  <c r="S14" i="271"/>
  <c r="X14" i="271"/>
  <c r="AN14" i="271"/>
  <c r="Q15" i="271"/>
  <c r="AG15" i="271"/>
  <c r="AM16" i="271"/>
  <c r="AE16" i="271"/>
  <c r="O16" i="271"/>
  <c r="W16" i="271" s="1"/>
  <c r="AR16" i="271"/>
  <c r="T16" i="271"/>
  <c r="L16" i="271"/>
  <c r="M16" i="271" s="1"/>
  <c r="AQ16" i="271"/>
  <c r="AI16" i="271"/>
  <c r="AA16" i="271"/>
  <c r="S16" i="271"/>
  <c r="AP16" i="271"/>
  <c r="AH16" i="271"/>
  <c r="AN16" i="271"/>
  <c r="AF16" i="271"/>
  <c r="X16" i="271"/>
  <c r="P16" i="271"/>
  <c r="AC16" i="271"/>
  <c r="X19" i="271"/>
  <c r="Q20" i="271"/>
  <c r="AK20" i="271"/>
  <c r="U24" i="271"/>
  <c r="AO24" i="271"/>
  <c r="T7" i="271"/>
  <c r="AR7" i="271"/>
  <c r="L7" i="271" s="1"/>
  <c r="O8" i="271"/>
  <c r="W8" i="271" s="1"/>
  <c r="AE8" i="271"/>
  <c r="AM8" i="271"/>
  <c r="AM9" i="271"/>
  <c r="O11" i="271"/>
  <c r="W11" i="271" s="1"/>
  <c r="Y11" i="271"/>
  <c r="AI11" i="271"/>
  <c r="Y14" i="271"/>
  <c r="AO14" i="271"/>
  <c r="S15" i="271"/>
  <c r="AI15" i="271"/>
  <c r="AD16" i="271"/>
  <c r="AP19" i="271"/>
  <c r="AH19" i="271"/>
  <c r="Z19" i="271"/>
  <c r="R19" i="271"/>
  <c r="J19" i="271"/>
  <c r="AM19" i="271"/>
  <c r="AE19" i="271"/>
  <c r="W19" i="271"/>
  <c r="O19" i="271"/>
  <c r="AL19" i="271"/>
  <c r="AD19" i="271"/>
  <c r="V19" i="271"/>
  <c r="AS19" i="271"/>
  <c r="AK19" i="271"/>
  <c r="AC19" i="271"/>
  <c r="U19" i="271"/>
  <c r="M19" i="271"/>
  <c r="AQ19" i="271"/>
  <c r="AI19" i="271"/>
  <c r="AA19" i="271"/>
  <c r="S19" i="271"/>
  <c r="Y19" i="271"/>
  <c r="R20" i="271"/>
  <c r="AO20" i="271"/>
  <c r="V24" i="271"/>
  <c r="AS24" i="271"/>
  <c r="Y7" i="271"/>
  <c r="AH6" i="271"/>
  <c r="AP6" i="271"/>
  <c r="AC7" i="271"/>
  <c r="AK7" i="271"/>
  <c r="AS7" i="271"/>
  <c r="P8" i="271"/>
  <c r="X8" i="271"/>
  <c r="AF8" i="271"/>
  <c r="AN8" i="271"/>
  <c r="S9" i="271"/>
  <c r="AC9" i="271"/>
  <c r="AO9" i="271"/>
  <c r="P11" i="271"/>
  <c r="S13" i="271"/>
  <c r="L14" i="271"/>
  <c r="M14" i="271" s="1"/>
  <c r="AR14" i="271"/>
  <c r="T15" i="271"/>
  <c r="AG16" i="271"/>
  <c r="AB19" i="271"/>
  <c r="U20" i="271"/>
  <c r="AP25" i="271"/>
  <c r="AH25" i="271"/>
  <c r="Z25" i="271"/>
  <c r="R25" i="271"/>
  <c r="J25" i="271"/>
  <c r="AM25" i="271"/>
  <c r="AE25" i="271"/>
  <c r="W25" i="271"/>
  <c r="O25" i="271"/>
  <c r="AL25" i="271"/>
  <c r="AD25" i="271"/>
  <c r="V25" i="271"/>
  <c r="AS25" i="271"/>
  <c r="AK25" i="271"/>
  <c r="AC25" i="271"/>
  <c r="U25" i="271"/>
  <c r="M25" i="271"/>
  <c r="AQ25" i="271"/>
  <c r="AI25" i="271"/>
  <c r="AA25" i="271"/>
  <c r="S25" i="271"/>
  <c r="Y25" i="271"/>
  <c r="Q7" i="271"/>
  <c r="R7" i="271" s="1"/>
  <c r="AO7" i="271"/>
  <c r="V7" i="271"/>
  <c r="AD7" i="271"/>
  <c r="AL7" i="271"/>
  <c r="Q8" i="271"/>
  <c r="R8" i="271" s="1"/>
  <c r="Z8" i="271" s="1"/>
  <c r="Y8" i="271"/>
  <c r="AG8" i="271"/>
  <c r="AO8" i="271"/>
  <c r="AS15" i="271"/>
  <c r="AK15" i="271"/>
  <c r="AC15" i="271"/>
  <c r="AP15" i="271"/>
  <c r="AH15" i="271"/>
  <c r="R15" i="271"/>
  <c r="AB15" i="271" s="1"/>
  <c r="AN15" i="271"/>
  <c r="AF15" i="271"/>
  <c r="X15" i="271"/>
  <c r="P15" i="271"/>
  <c r="AL15" i="271"/>
  <c r="AD15" i="271"/>
  <c r="V15" i="271"/>
  <c r="W15" i="271"/>
  <c r="AM15" i="271"/>
  <c r="AQ20" i="271"/>
  <c r="AI20" i="271"/>
  <c r="AA20" i="271"/>
  <c r="S20" i="271"/>
  <c r="AN20" i="271"/>
  <c r="AF20" i="271"/>
  <c r="X20" i="271"/>
  <c r="P20" i="271"/>
  <c r="AM20" i="271"/>
  <c r="AE20" i="271"/>
  <c r="W20" i="271"/>
  <c r="O20" i="271"/>
  <c r="AL20" i="271"/>
  <c r="AD20" i="271"/>
  <c r="V20" i="271"/>
  <c r="AR20" i="271"/>
  <c r="AJ20" i="271"/>
  <c r="AB20" i="271"/>
  <c r="T20" i="271"/>
  <c r="L20" i="271"/>
  <c r="Y20" i="271"/>
  <c r="AS20" i="271"/>
  <c r="AM24" i="271"/>
  <c r="AE24" i="271"/>
  <c r="W24" i="271"/>
  <c r="O24" i="271"/>
  <c r="AR24" i="271"/>
  <c r="AJ24" i="271"/>
  <c r="AB24" i="271"/>
  <c r="T24" i="271"/>
  <c r="L24" i="271"/>
  <c r="AQ24" i="271"/>
  <c r="AI24" i="271"/>
  <c r="AA24" i="271"/>
  <c r="S24" i="271"/>
  <c r="AP24" i="271"/>
  <c r="AH24" i="271"/>
  <c r="Z24" i="271"/>
  <c r="R24" i="271"/>
  <c r="J24" i="271"/>
  <c r="AN24" i="271"/>
  <c r="AF24" i="271"/>
  <c r="X24" i="271"/>
  <c r="P24" i="271"/>
  <c r="AC24" i="271"/>
  <c r="AG7" i="271"/>
  <c r="O7" i="271"/>
  <c r="W7" i="271" s="1"/>
  <c r="AE7" i="271"/>
  <c r="AM7" i="271"/>
  <c r="AH8" i="271"/>
  <c r="AP8" i="271"/>
  <c r="AG9" i="271"/>
  <c r="AQ9" i="271"/>
  <c r="AL11" i="271"/>
  <c r="AD11" i="271"/>
  <c r="V11" i="271"/>
  <c r="AR11" i="271"/>
  <c r="L11" i="271" s="1"/>
  <c r="T11" i="271"/>
  <c r="AC11" i="271"/>
  <c r="AN11" i="271"/>
  <c r="P14" i="271"/>
  <c r="AF14" i="271"/>
  <c r="Y15" i="271"/>
  <c r="AO15" i="271"/>
  <c r="Q16" i="271"/>
  <c r="R16" i="271" s="1"/>
  <c r="AL16" i="271"/>
  <c r="AG19" i="271"/>
  <c r="J20" i="271"/>
  <c r="Z20" i="271"/>
  <c r="AD24" i="271"/>
  <c r="AC6" i="271"/>
  <c r="AK6" i="271"/>
  <c r="P7" i="271"/>
  <c r="X7" i="271"/>
  <c r="AF7" i="271"/>
  <c r="S8" i="271"/>
  <c r="AA8" i="271"/>
  <c r="AI8" i="271"/>
  <c r="AH9" i="271"/>
  <c r="AR9" i="271"/>
  <c r="L9" i="271" s="1"/>
  <c r="M9" i="271" s="1"/>
  <c r="S11" i="271"/>
  <c r="AE11" i="271"/>
  <c r="AO11" i="271"/>
  <c r="AM13" i="271"/>
  <c r="AE13" i="271"/>
  <c r="O13" i="271"/>
  <c r="W13" i="271" s="1"/>
  <c r="AR13" i="271"/>
  <c r="T13" i="271"/>
  <c r="L13" i="271"/>
  <c r="AP13" i="271"/>
  <c r="AH13" i="271"/>
  <c r="AN13" i="271"/>
  <c r="AF13" i="271"/>
  <c r="X13" i="271"/>
  <c r="P13" i="271"/>
  <c r="Y13" i="271"/>
  <c r="AO13" i="271"/>
  <c r="Q14" i="271"/>
  <c r="R14" i="271" s="1"/>
  <c r="AG14" i="271"/>
  <c r="L15" i="271"/>
  <c r="U15" i="271" s="1"/>
  <c r="AA15" i="271"/>
  <c r="AQ15" i="271"/>
  <c r="U16" i="271"/>
  <c r="AO16" i="271"/>
  <c r="P19" i="271"/>
  <c r="AJ19" i="271"/>
  <c r="AC20" i="271"/>
  <c r="M24" i="271"/>
  <c r="AG24" i="271"/>
  <c r="AG25" i="271"/>
  <c r="Q17" i="271"/>
  <c r="Y17" i="271"/>
  <c r="AG17" i="271"/>
  <c r="AO17" i="271"/>
  <c r="J18" i="271"/>
  <c r="R18" i="271"/>
  <c r="Z18" i="271"/>
  <c r="AH18" i="271"/>
  <c r="AP18" i="271"/>
  <c r="J22" i="271"/>
  <c r="R22" i="271"/>
  <c r="Z22" i="271"/>
  <c r="AH22" i="271"/>
  <c r="AP22" i="271"/>
  <c r="O26" i="271"/>
  <c r="W26" i="271"/>
  <c r="AF26" i="271"/>
  <c r="AO26" i="271"/>
  <c r="Q10" i="271"/>
  <c r="R10" i="271" s="1"/>
  <c r="Y10" i="271"/>
  <c r="AG10" i="271"/>
  <c r="AO10" i="271"/>
  <c r="O12" i="271"/>
  <c r="W12" i="271" s="1"/>
  <c r="AE12" i="271"/>
  <c r="AM12" i="271"/>
  <c r="S17" i="271"/>
  <c r="AA17" i="271"/>
  <c r="AI17" i="271"/>
  <c r="AQ17" i="271"/>
  <c r="L18" i="271"/>
  <c r="T18" i="271"/>
  <c r="AB18" i="271"/>
  <c r="AJ18" i="271"/>
  <c r="AR18" i="271"/>
  <c r="Q21" i="271"/>
  <c r="Y21" i="271"/>
  <c r="AG21" i="271"/>
  <c r="L22" i="271"/>
  <c r="T22" i="271"/>
  <c r="AB22" i="271"/>
  <c r="AJ22" i="271"/>
  <c r="AR22" i="271"/>
  <c r="O23" i="271"/>
  <c r="W23" i="271"/>
  <c r="AE23" i="271"/>
  <c r="AM23" i="271"/>
  <c r="Q26" i="271"/>
  <c r="Z26" i="271"/>
  <c r="AH26" i="271"/>
  <c r="AQ26" i="271"/>
  <c r="AC22" i="271"/>
  <c r="AK22" i="271"/>
  <c r="AS22" i="271"/>
  <c r="R26" i="271"/>
  <c r="AA26" i="271"/>
  <c r="AI26" i="271"/>
  <c r="AR26" i="271"/>
  <c r="S10" i="271"/>
  <c r="AA10" i="271"/>
  <c r="AI10" i="271"/>
  <c r="Q12" i="271"/>
  <c r="R12" i="271" s="1"/>
  <c r="Y12" i="271"/>
  <c r="AG12" i="271"/>
  <c r="M17" i="271"/>
  <c r="U17" i="271"/>
  <c r="AC17" i="271"/>
  <c r="AK17" i="271"/>
  <c r="V18" i="271"/>
  <c r="AD18" i="271"/>
  <c r="AL18" i="271"/>
  <c r="V22" i="271"/>
  <c r="AD22" i="271"/>
  <c r="AL22" i="271"/>
  <c r="Q23" i="271"/>
  <c r="Y23" i="271"/>
  <c r="AG23" i="271"/>
  <c r="J26" i="271"/>
  <c r="S26" i="271"/>
  <c r="AB26" i="271"/>
  <c r="AJ26" i="271"/>
  <c r="AS26" i="271"/>
  <c r="Q18" i="271"/>
  <c r="Y18" i="271"/>
  <c r="AG18" i="271"/>
  <c r="Q22" i="271"/>
  <c r="Y22" i="271"/>
  <c r="AG22" i="271"/>
  <c r="V26" i="271"/>
  <c r="AE26" i="271"/>
  <c r="S12" i="270"/>
  <c r="V12" i="270"/>
  <c r="AD12" i="270"/>
  <c r="AC22" i="270"/>
  <c r="AG22" i="270"/>
  <c r="V7" i="270"/>
  <c r="P11" i="270"/>
  <c r="AA19" i="270"/>
  <c r="O21" i="270"/>
  <c r="AS11" i="270"/>
  <c r="O15" i="270"/>
  <c r="W15" i="270" s="1"/>
  <c r="Q17" i="270"/>
  <c r="R17" i="270" s="1"/>
  <c r="AQ19" i="270"/>
  <c r="W21" i="270"/>
  <c r="T10" i="270"/>
  <c r="O23" i="270"/>
  <c r="W24" i="270"/>
  <c r="AC10" i="270"/>
  <c r="T23" i="270"/>
  <c r="Z24" i="270"/>
  <c r="AF10" i="270"/>
  <c r="U23" i="270"/>
  <c r="AM23" i="270"/>
  <c r="AP23" i="270"/>
  <c r="AH10" i="270"/>
  <c r="AF12" i="270"/>
  <c r="Q13" i="270"/>
  <c r="R13" i="270" s="1"/>
  <c r="Z13" i="270" s="1"/>
  <c r="S16" i="270"/>
  <c r="T17" i="270"/>
  <c r="Q19" i="270"/>
  <c r="AI21" i="270"/>
  <c r="AC24" i="270"/>
  <c r="AL10" i="270"/>
  <c r="AH12" i="270"/>
  <c r="AA13" i="270"/>
  <c r="V16" i="270"/>
  <c r="AG17" i="270"/>
  <c r="S19" i="270"/>
  <c r="AK21" i="270"/>
  <c r="AK22" i="270"/>
  <c r="W23" i="270"/>
  <c r="J24" i="270"/>
  <c r="AE24" i="270"/>
  <c r="P25" i="270"/>
  <c r="AR10" i="270"/>
  <c r="L10" i="270" s="1"/>
  <c r="M10" i="270" s="1"/>
  <c r="AI12" i="270"/>
  <c r="AE13" i="270"/>
  <c r="AI16" i="270"/>
  <c r="V19" i="270"/>
  <c r="X20" i="270"/>
  <c r="AP21" i="270"/>
  <c r="AC23" i="270"/>
  <c r="AI24" i="270"/>
  <c r="U25" i="270"/>
  <c r="AN12" i="270"/>
  <c r="AG13" i="270"/>
  <c r="AM16" i="270"/>
  <c r="AD23" i="270"/>
  <c r="AM24" i="270"/>
  <c r="AD25" i="270"/>
  <c r="P12" i="270"/>
  <c r="AR12" i="270"/>
  <c r="L12" i="270" s="1"/>
  <c r="AL13" i="270"/>
  <c r="AE19" i="270"/>
  <c r="L23" i="270"/>
  <c r="AF23" i="270"/>
  <c r="O24" i="270"/>
  <c r="AP24" i="270"/>
  <c r="AF25" i="270"/>
  <c r="AG19" i="270"/>
  <c r="L22" i="270"/>
  <c r="AL23" i="270"/>
  <c r="S24" i="270"/>
  <c r="AS24" i="270"/>
  <c r="AK25" i="270"/>
  <c r="S6" i="270"/>
  <c r="AC7" i="270"/>
  <c r="V10" i="270"/>
  <c r="AN10" i="270"/>
  <c r="Q11" i="270"/>
  <c r="R11" i="270" s="1"/>
  <c r="AJ11" i="270" s="1"/>
  <c r="X12" i="270"/>
  <c r="AP12" i="270"/>
  <c r="S13" i="270"/>
  <c r="AQ13" i="270"/>
  <c r="Q15" i="270"/>
  <c r="R15" i="270" s="1"/>
  <c r="Z15" i="270" s="1"/>
  <c r="AH17" i="270"/>
  <c r="AS20" i="270"/>
  <c r="AA21" i="270"/>
  <c r="AQ21" i="270"/>
  <c r="Q22" i="270"/>
  <c r="AO22" i="270"/>
  <c r="X23" i="270"/>
  <c r="AH23" i="270"/>
  <c r="AQ23" i="270"/>
  <c r="V25" i="270"/>
  <c r="AL25" i="270"/>
  <c r="AA6" i="270"/>
  <c r="AD7" i="270"/>
  <c r="X10" i="270"/>
  <c r="AP10" i="270"/>
  <c r="S11" i="270"/>
  <c r="AA12" i="270"/>
  <c r="AQ12" i="270"/>
  <c r="V13" i="270"/>
  <c r="T15" i="270"/>
  <c r="AR17" i="270"/>
  <c r="L17" i="270" s="1"/>
  <c r="O19" i="270"/>
  <c r="W19" i="270" s="1"/>
  <c r="AI19" i="270"/>
  <c r="AC21" i="270"/>
  <c r="AS21" i="270"/>
  <c r="T22" i="270"/>
  <c r="AR22" i="270"/>
  <c r="P23" i="270"/>
  <c r="Z23" i="270"/>
  <c r="AI23" i="270"/>
  <c r="AR23" i="270"/>
  <c r="R24" i="270"/>
  <c r="AH24" i="270"/>
  <c r="J25" i="270"/>
  <c r="X25" i="270"/>
  <c r="AN25" i="270"/>
  <c r="AI6" i="270"/>
  <c r="AK7" i="270"/>
  <c r="AC11" i="270"/>
  <c r="AC15" i="270"/>
  <c r="AE21" i="270"/>
  <c r="U22" i="270"/>
  <c r="R23" i="270"/>
  <c r="AA23" i="270"/>
  <c r="AJ23" i="270"/>
  <c r="AS23" i="270"/>
  <c r="Z25" i="270"/>
  <c r="AP25" i="270"/>
  <c r="AQ6" i="270"/>
  <c r="AL7" i="270"/>
  <c r="AD10" i="270"/>
  <c r="AS10" i="270"/>
  <c r="AE11" i="270"/>
  <c r="AD13" i="270"/>
  <c r="AE15" i="270"/>
  <c r="AH21" i="270"/>
  <c r="AB22" i="270"/>
  <c r="J23" i="270"/>
  <c r="S23" i="270"/>
  <c r="AB23" i="270"/>
  <c r="AK23" i="270"/>
  <c r="U24" i="270"/>
  <c r="AK24" i="270"/>
  <c r="M25" i="270"/>
  <c r="AC25" i="270"/>
  <c r="AS25" i="270"/>
  <c r="AS7" i="270"/>
  <c r="AF11" i="270"/>
  <c r="AG15" i="270"/>
  <c r="AI11" i="270"/>
  <c r="AR15" i="270"/>
  <c r="P10" i="270"/>
  <c r="AK10" i="270"/>
  <c r="T12" i="270"/>
  <c r="AL12" i="270"/>
  <c r="O13" i="270"/>
  <c r="W13" i="270" s="1"/>
  <c r="AI13" i="270"/>
  <c r="AD19" i="270"/>
  <c r="S21" i="270"/>
  <c r="AM21" i="270"/>
  <c r="M22" i="270"/>
  <c r="M23" i="270"/>
  <c r="V23" i="270"/>
  <c r="AE23" i="270"/>
  <c r="AN23" i="270"/>
  <c r="M24" i="270"/>
  <c r="AA24" i="270"/>
  <c r="AQ24" i="270"/>
  <c r="R25" i="270"/>
  <c r="AH25" i="270"/>
  <c r="AI26" i="270"/>
  <c r="AJ17" i="270"/>
  <c r="AB17" i="270"/>
  <c r="V23" i="269"/>
  <c r="AH6" i="270"/>
  <c r="AP6" i="270"/>
  <c r="P8" i="270"/>
  <c r="X8" i="270"/>
  <c r="AH8" i="270"/>
  <c r="AR8" i="270"/>
  <c r="AE9" i="270"/>
  <c r="T14" i="270"/>
  <c r="T18" i="270"/>
  <c r="AN9" i="270"/>
  <c r="AF9" i="270"/>
  <c r="X9" i="270"/>
  <c r="P9" i="270"/>
  <c r="AL9" i="270"/>
  <c r="AD9" i="270"/>
  <c r="V9" i="270"/>
  <c r="AR9" i="270"/>
  <c r="L9" i="270" s="1"/>
  <c r="T9" i="270"/>
  <c r="T6" i="270"/>
  <c r="AR6" i="270"/>
  <c r="L6" i="270" s="1"/>
  <c r="O7" i="270"/>
  <c r="W7" i="270" s="1"/>
  <c r="AE7" i="270"/>
  <c r="AM7" i="270"/>
  <c r="AH9" i="270"/>
  <c r="Y14" i="270"/>
  <c r="AO14" i="270"/>
  <c r="AM20" i="270"/>
  <c r="AE20" i="270"/>
  <c r="W20" i="270"/>
  <c r="O20" i="270"/>
  <c r="AL20" i="270"/>
  <c r="AD20" i="270"/>
  <c r="V20" i="270"/>
  <c r="AR20" i="270"/>
  <c r="L20" i="270" s="1"/>
  <c r="T20" i="270"/>
  <c r="AQ20" i="270"/>
  <c r="AI20" i="270"/>
  <c r="AA20" i="270"/>
  <c r="S20" i="270"/>
  <c r="AP20" i="270"/>
  <c r="AH20" i="270"/>
  <c r="Y20" i="270"/>
  <c r="AP26" i="270"/>
  <c r="AG26" i="270"/>
  <c r="Y26" i="270"/>
  <c r="P26" i="270"/>
  <c r="AO26" i="270"/>
  <c r="AF26" i="270"/>
  <c r="W26" i="270"/>
  <c r="O26" i="270"/>
  <c r="AN26" i="270"/>
  <c r="AE26" i="270"/>
  <c r="V26" i="270"/>
  <c r="AM26" i="270"/>
  <c r="AD26" i="270"/>
  <c r="U26" i="270"/>
  <c r="M26" i="270"/>
  <c r="AK26" i="270"/>
  <c r="AC26" i="270"/>
  <c r="T26" i="270"/>
  <c r="L26" i="270"/>
  <c r="AS26" i="270"/>
  <c r="AJ26" i="270"/>
  <c r="AB26" i="270"/>
  <c r="S26" i="270"/>
  <c r="J26" i="270"/>
  <c r="AQ26" i="270"/>
  <c r="Y8" i="270"/>
  <c r="AG9" i="270"/>
  <c r="AQ18" i="270"/>
  <c r="AI18" i="270"/>
  <c r="AA18" i="270"/>
  <c r="S18" i="270"/>
  <c r="AP18" i="270"/>
  <c r="AH18" i="270"/>
  <c r="AN18" i="270"/>
  <c r="AF18" i="270"/>
  <c r="X18" i="270"/>
  <c r="P18" i="270"/>
  <c r="AL18" i="270"/>
  <c r="AD18" i="270"/>
  <c r="V18" i="270"/>
  <c r="AK18" i="270"/>
  <c r="AC6" i="270"/>
  <c r="AK6" i="270"/>
  <c r="AS6" i="270"/>
  <c r="P7" i="270"/>
  <c r="X7" i="270"/>
  <c r="AF7" i="270"/>
  <c r="AN7" i="270"/>
  <c r="S8" i="270"/>
  <c r="AA8" i="270"/>
  <c r="AL8" i="270"/>
  <c r="AI9" i="270"/>
  <c r="AM11" i="270"/>
  <c r="AL11" i="270"/>
  <c r="AD11" i="270"/>
  <c r="V11" i="270"/>
  <c r="AR11" i="270"/>
  <c r="L11" i="270" s="1"/>
  <c r="T11" i="270"/>
  <c r="AP11" i="270"/>
  <c r="AH11" i="270"/>
  <c r="AG11" i="270"/>
  <c r="AP14" i="270"/>
  <c r="AS16" i="270"/>
  <c r="AK16" i="270"/>
  <c r="AC16" i="270"/>
  <c r="AR16" i="270"/>
  <c r="L16" i="270" s="1"/>
  <c r="T16" i="270"/>
  <c r="AP16" i="270"/>
  <c r="AH16" i="270"/>
  <c r="AN16" i="270"/>
  <c r="AF16" i="270"/>
  <c r="X16" i="270"/>
  <c r="P16" i="270"/>
  <c r="Y16" i="270"/>
  <c r="AO16" i="270"/>
  <c r="Y18" i="270"/>
  <c r="AO18" i="270"/>
  <c r="AC20" i="270"/>
  <c r="AR26" i="270"/>
  <c r="Q8" i="270"/>
  <c r="R8" i="270" s="1"/>
  <c r="V14" i="270"/>
  <c r="S17" i="269"/>
  <c r="V6" i="270"/>
  <c r="AD6" i="270"/>
  <c r="AL6" i="270"/>
  <c r="Q7" i="270"/>
  <c r="R7" i="270" s="1"/>
  <c r="Z7" i="270" s="1"/>
  <c r="Y7" i="270"/>
  <c r="AG7" i="270"/>
  <c r="AO7" i="270"/>
  <c r="L8" i="270"/>
  <c r="M8" i="270" s="1"/>
  <c r="T8" i="270"/>
  <c r="Y9" i="270"/>
  <c r="AK9" i="270"/>
  <c r="L14" i="270"/>
  <c r="U14" i="270" s="1"/>
  <c r="AR14" i="270"/>
  <c r="AA16" i="270"/>
  <c r="AQ16" i="270"/>
  <c r="AR18" i="270"/>
  <c r="L18" i="270" s="1"/>
  <c r="AF20" i="270"/>
  <c r="Q26" i="270"/>
  <c r="AS8" i="270"/>
  <c r="AK8" i="270"/>
  <c r="AC8" i="270"/>
  <c r="AO8" i="270"/>
  <c r="AG8" i="270"/>
  <c r="AI8" i="270"/>
  <c r="S9" i="270"/>
  <c r="AS9" i="270"/>
  <c r="AH17" i="269"/>
  <c r="O6" i="270"/>
  <c r="W6" i="270" s="1"/>
  <c r="AE6" i="270"/>
  <c r="AM6" i="270"/>
  <c r="J7" i="270"/>
  <c r="J8" i="270" s="1"/>
  <c r="J9" i="270" s="1"/>
  <c r="J10" i="270" s="1"/>
  <c r="J11" i="270" s="1"/>
  <c r="J12" i="270" s="1"/>
  <c r="J13" i="270" s="1"/>
  <c r="J14" i="270" s="1"/>
  <c r="J15" i="270" s="1"/>
  <c r="J16" i="270" s="1"/>
  <c r="J17" i="270" s="1"/>
  <c r="J18" i="270" s="1"/>
  <c r="J19" i="270" s="1"/>
  <c r="J20" i="270" s="1"/>
  <c r="J21" i="270" s="1"/>
  <c r="AH7" i="270"/>
  <c r="AP7" i="270"/>
  <c r="AD8" i="270"/>
  <c r="AN8" i="270"/>
  <c r="AM9" i="270"/>
  <c r="X11" i="270"/>
  <c r="AK11" i="270"/>
  <c r="AQ15" i="270"/>
  <c r="AI15" i="270"/>
  <c r="AA15" i="270"/>
  <c r="S15" i="270"/>
  <c r="AP15" i="270"/>
  <c r="AH15" i="270"/>
  <c r="AN15" i="270"/>
  <c r="AF15" i="270"/>
  <c r="X15" i="270"/>
  <c r="P15" i="270"/>
  <c r="AL15" i="270"/>
  <c r="AD15" i="270"/>
  <c r="V15" i="270"/>
  <c r="AK15" i="270"/>
  <c r="AD16" i="270"/>
  <c r="AN17" i="270"/>
  <c r="AF17" i="270"/>
  <c r="X17" i="270"/>
  <c r="P17" i="270"/>
  <c r="AM17" i="270"/>
  <c r="AE17" i="270"/>
  <c r="O17" i="270"/>
  <c r="W17" i="270" s="1"/>
  <c r="AS17" i="270"/>
  <c r="AK17" i="270"/>
  <c r="AC17" i="270"/>
  <c r="U17" i="270"/>
  <c r="M17" i="270"/>
  <c r="AQ17" i="270"/>
  <c r="AI17" i="270"/>
  <c r="AA17" i="270"/>
  <c r="S17" i="270"/>
  <c r="V17" i="270"/>
  <c r="AL17" i="270"/>
  <c r="AC18" i="270"/>
  <c r="AS18" i="270"/>
  <c r="AL19" i="270"/>
  <c r="AG20" i="270"/>
  <c r="R26" i="270"/>
  <c r="AN14" i="270"/>
  <c r="AF14" i="270"/>
  <c r="X14" i="270"/>
  <c r="P14" i="270"/>
  <c r="AM14" i="270"/>
  <c r="AE14" i="270"/>
  <c r="O14" i="270"/>
  <c r="W14" i="270" s="1"/>
  <c r="AS14" i="270"/>
  <c r="AK14" i="270"/>
  <c r="AC14" i="270"/>
  <c r="AQ14" i="270"/>
  <c r="AI14" i="270"/>
  <c r="AA14" i="270"/>
  <c r="S14" i="270"/>
  <c r="AL14" i="270"/>
  <c r="P6" i="270"/>
  <c r="X6" i="270"/>
  <c r="AF6" i="270"/>
  <c r="AN6" i="270"/>
  <c r="S7" i="270"/>
  <c r="AA7" i="270"/>
  <c r="AI7" i="270"/>
  <c r="AQ7" i="270"/>
  <c r="V8" i="270"/>
  <c r="AE8" i="270"/>
  <c r="AP8" i="270"/>
  <c r="O9" i="270"/>
  <c r="W9" i="270" s="1"/>
  <c r="AA9" i="270"/>
  <c r="AO9" i="270"/>
  <c r="Y11" i="270"/>
  <c r="AN11" i="270"/>
  <c r="Q14" i="270"/>
  <c r="R14" i="270" s="1"/>
  <c r="AG14" i="270"/>
  <c r="AM15" i="270"/>
  <c r="O16" i="270"/>
  <c r="W16" i="270" s="1"/>
  <c r="AE16" i="270"/>
  <c r="Y17" i="270"/>
  <c r="AO17" i="270"/>
  <c r="O18" i="270"/>
  <c r="W18" i="270" s="1"/>
  <c r="AE18" i="270"/>
  <c r="P20" i="270"/>
  <c r="AK20" i="270"/>
  <c r="Z26" i="270"/>
  <c r="Q6" i="270"/>
  <c r="R6" i="270" s="1"/>
  <c r="AB6" i="270" s="1"/>
  <c r="Y6" i="270"/>
  <c r="AG6" i="270"/>
  <c r="L7" i="270"/>
  <c r="T7" i="270"/>
  <c r="O8" i="270"/>
  <c r="W8" i="270" s="1"/>
  <c r="AF8" i="270"/>
  <c r="AQ8" i="270"/>
  <c r="Q9" i="270"/>
  <c r="R9" i="270" s="1"/>
  <c r="Z9" i="270" s="1"/>
  <c r="AC9" i="270"/>
  <c r="AP9" i="270"/>
  <c r="O11" i="270"/>
  <c r="W11" i="270" s="1"/>
  <c r="AA11" i="270"/>
  <c r="AO11" i="270"/>
  <c r="AS13" i="270"/>
  <c r="AK13" i="270"/>
  <c r="AC13" i="270"/>
  <c r="AR13" i="270"/>
  <c r="L13" i="270" s="1"/>
  <c r="U13" i="270" s="1"/>
  <c r="T13" i="270"/>
  <c r="AP13" i="270"/>
  <c r="AH13" i="270"/>
  <c r="AN13" i="270"/>
  <c r="AF13" i="270"/>
  <c r="X13" i="270"/>
  <c r="P13" i="270"/>
  <c r="Y13" i="270"/>
  <c r="AO13" i="270"/>
  <c r="AH14" i="270"/>
  <c r="L15" i="270"/>
  <c r="M15" i="270" s="1"/>
  <c r="Y15" i="270"/>
  <c r="AO15" i="270"/>
  <c r="Q16" i="270"/>
  <c r="R16" i="270" s="1"/>
  <c r="AG16" i="270"/>
  <c r="Z17" i="270"/>
  <c r="AP17" i="270"/>
  <c r="Q18" i="270"/>
  <c r="R18" i="270" s="1"/>
  <c r="AG18" i="270"/>
  <c r="AS19" i="270"/>
  <c r="AK19" i="270"/>
  <c r="AC19" i="270"/>
  <c r="AR19" i="270"/>
  <c r="L19" i="270" s="1"/>
  <c r="U19" i="270" s="1"/>
  <c r="AB19" i="270"/>
  <c r="T19" i="270"/>
  <c r="AP19" i="270"/>
  <c r="AH19" i="270"/>
  <c r="R19" i="270"/>
  <c r="Z19" i="270" s="1"/>
  <c r="AN19" i="270"/>
  <c r="AF19" i="270"/>
  <c r="X19" i="270"/>
  <c r="P19" i="270"/>
  <c r="Y19" i="270"/>
  <c r="AO19" i="270"/>
  <c r="Q20" i="270"/>
  <c r="R20" i="270" s="1"/>
  <c r="AN20" i="270"/>
  <c r="AQ22" i="270"/>
  <c r="AI22" i="270"/>
  <c r="AA22" i="270"/>
  <c r="S22" i="270"/>
  <c r="AP22" i="270"/>
  <c r="AH22" i="270"/>
  <c r="Z22" i="270"/>
  <c r="R22" i="270"/>
  <c r="J22" i="270"/>
  <c r="AN22" i="270"/>
  <c r="AF22" i="270"/>
  <c r="X22" i="270"/>
  <c r="P22" i="270"/>
  <c r="AM22" i="270"/>
  <c r="AE22" i="270"/>
  <c r="W22" i="270"/>
  <c r="O22" i="270"/>
  <c r="AL22" i="270"/>
  <c r="AD22" i="270"/>
  <c r="V22" i="270"/>
  <c r="Y22" i="270"/>
  <c r="AS22" i="270"/>
  <c r="AA26" i="270"/>
  <c r="O10" i="270"/>
  <c r="W10" i="270" s="1"/>
  <c r="AE10" i="270"/>
  <c r="AM10" i="270"/>
  <c r="AC12" i="270"/>
  <c r="AK12" i="270"/>
  <c r="AS12" i="270"/>
  <c r="L21" i="270"/>
  <c r="T21" i="270"/>
  <c r="AB21" i="270"/>
  <c r="AJ21" i="270"/>
  <c r="AR21" i="270"/>
  <c r="Q23" i="270"/>
  <c r="Y23" i="270"/>
  <c r="AG23" i="270"/>
  <c r="L24" i="270"/>
  <c r="T24" i="270"/>
  <c r="AB24" i="270"/>
  <c r="AJ24" i="270"/>
  <c r="AR24" i="270"/>
  <c r="O25" i="270"/>
  <c r="W25" i="270"/>
  <c r="AE25" i="270"/>
  <c r="AM25" i="270"/>
  <c r="Q10" i="270"/>
  <c r="R10" i="270" s="1"/>
  <c r="Y10" i="270"/>
  <c r="AG10" i="270"/>
  <c r="AO10" i="270"/>
  <c r="O12" i="270"/>
  <c r="W12" i="270" s="1"/>
  <c r="AE12" i="270"/>
  <c r="AM12" i="270"/>
  <c r="V21" i="270"/>
  <c r="AD21" i="270"/>
  <c r="AL21" i="270"/>
  <c r="V24" i="270"/>
  <c r="AD24" i="270"/>
  <c r="AL24" i="270"/>
  <c r="Q25" i="270"/>
  <c r="Y25" i="270"/>
  <c r="AG25" i="270"/>
  <c r="AO25" i="270"/>
  <c r="S10" i="270"/>
  <c r="AA10" i="270"/>
  <c r="AI10" i="270"/>
  <c r="Q12" i="270"/>
  <c r="R12" i="270" s="1"/>
  <c r="Y12" i="270"/>
  <c r="AG12" i="270"/>
  <c r="P21" i="270"/>
  <c r="X21" i="270"/>
  <c r="AF21" i="270"/>
  <c r="AN21" i="270"/>
  <c r="P24" i="270"/>
  <c r="X24" i="270"/>
  <c r="AF24" i="270"/>
  <c r="AN24" i="270"/>
  <c r="S25" i="270"/>
  <c r="AA25" i="270"/>
  <c r="AI25" i="270"/>
  <c r="AQ25" i="270"/>
  <c r="Q21" i="270"/>
  <c r="R21" i="270" s="1"/>
  <c r="Z21" i="270" s="1"/>
  <c r="Y21" i="270"/>
  <c r="AG21" i="270"/>
  <c r="Q24" i="270"/>
  <c r="Y24" i="270"/>
  <c r="AG24" i="270"/>
  <c r="L25" i="270"/>
  <c r="T25" i="270"/>
  <c r="AB25" i="270"/>
  <c r="AJ25" i="270"/>
  <c r="AG9" i="269"/>
  <c r="O14" i="269"/>
  <c r="W14" i="269" s="1"/>
  <c r="S14" i="269"/>
  <c r="AR17" i="269"/>
  <c r="L17" i="269" s="1"/>
  <c r="U17" i="269" s="1"/>
  <c r="V14" i="269"/>
  <c r="AS21" i="269"/>
  <c r="V26" i="269"/>
  <c r="X14" i="269"/>
  <c r="S20" i="269"/>
  <c r="AS14" i="269"/>
  <c r="AE20" i="269"/>
  <c r="AN20" i="269"/>
  <c r="AP20" i="269"/>
  <c r="AP9" i="269"/>
  <c r="AI14" i="269"/>
  <c r="T17" i="269"/>
  <c r="T20" i="269"/>
  <c r="AS9" i="269"/>
  <c r="AQ14" i="269"/>
  <c r="AE17" i="269"/>
  <c r="AC20" i="269"/>
  <c r="O21" i="269"/>
  <c r="W21" i="269" s="1"/>
  <c r="AH16" i="269"/>
  <c r="P21" i="269"/>
  <c r="AA24" i="269"/>
  <c r="AP17" i="269"/>
  <c r="AI20" i="269"/>
  <c r="X21" i="269"/>
  <c r="AF24" i="269"/>
  <c r="AC21" i="269"/>
  <c r="AI24" i="269"/>
  <c r="P7" i="269"/>
  <c r="X9" i="269"/>
  <c r="S10" i="269"/>
  <c r="V12" i="269"/>
  <c r="AF21" i="269"/>
  <c r="V7" i="269"/>
  <c r="AA9" i="269"/>
  <c r="T10" i="269"/>
  <c r="AL21" i="269"/>
  <c r="X7" i="269"/>
  <c r="X10" i="269"/>
  <c r="AE14" i="269"/>
  <c r="AP16" i="269"/>
  <c r="AQ20" i="269"/>
  <c r="AH21" i="269"/>
  <c r="X23" i="269"/>
  <c r="O24" i="269"/>
  <c r="AQ24" i="269"/>
  <c r="AE26" i="269"/>
  <c r="AC7" i="269"/>
  <c r="AQ9" i="269"/>
  <c r="AC10" i="269"/>
  <c r="AF14" i="269"/>
  <c r="AC17" i="269"/>
  <c r="X20" i="269"/>
  <c r="AS20" i="269"/>
  <c r="V21" i="269"/>
  <c r="AI21" i="269"/>
  <c r="AB23" i="269"/>
  <c r="P24" i="269"/>
  <c r="AK7" i="269"/>
  <c r="AN10" i="269"/>
  <c r="AH14" i="269"/>
  <c r="AK21" i="269"/>
  <c r="Q22" i="269"/>
  <c r="AJ23" i="269"/>
  <c r="S24" i="269"/>
  <c r="AL7" i="269"/>
  <c r="AQ10" i="269"/>
  <c r="V18" i="269"/>
  <c r="AK23" i="269"/>
  <c r="AN7" i="269"/>
  <c r="V9" i="269"/>
  <c r="AR10" i="269"/>
  <c r="L10" i="269" s="1"/>
  <c r="P14" i="269"/>
  <c r="AK14" i="269"/>
  <c r="AN17" i="269"/>
  <c r="AO18" i="269"/>
  <c r="AF20" i="269"/>
  <c r="AM21" i="269"/>
  <c r="AQ23" i="269"/>
  <c r="AD24" i="269"/>
  <c r="AI25" i="269"/>
  <c r="AS7" i="269"/>
  <c r="AP14" i="269"/>
  <c r="AS18" i="269"/>
  <c r="AA21" i="269"/>
  <c r="AQ21" i="269"/>
  <c r="L23" i="269"/>
  <c r="AE24" i="269"/>
  <c r="AH9" i="269"/>
  <c r="AF10" i="269"/>
  <c r="AA11" i="269"/>
  <c r="AQ11" i="269"/>
  <c r="AF13" i="269"/>
  <c r="AA14" i="269"/>
  <c r="AL14" i="269"/>
  <c r="S16" i="269"/>
  <c r="AQ16" i="269"/>
  <c r="X17" i="269"/>
  <c r="AI17" i="269"/>
  <c r="AS17" i="269"/>
  <c r="Y18" i="269"/>
  <c r="X19" i="269"/>
  <c r="O20" i="269"/>
  <c r="W20" i="269" s="1"/>
  <c r="S21" i="269"/>
  <c r="AD21" i="269"/>
  <c r="AN21" i="269"/>
  <c r="R22" i="269"/>
  <c r="P23" i="269"/>
  <c r="AC23" i="269"/>
  <c r="AR23" i="269"/>
  <c r="V24" i="269"/>
  <c r="AL24" i="269"/>
  <c r="R25" i="269"/>
  <c r="AL25" i="269"/>
  <c r="AR26" i="269"/>
  <c r="AD7" i="269"/>
  <c r="P9" i="269"/>
  <c r="AK9" i="269"/>
  <c r="AI10" i="269"/>
  <c r="AD11" i="269"/>
  <c r="AI13" i="269"/>
  <c r="AC14" i="269"/>
  <c r="AM14" i="269"/>
  <c r="AC15" i="269"/>
  <c r="V16" i="269"/>
  <c r="O17" i="269"/>
  <c r="W17" i="269" s="1"/>
  <c r="AD18" i="269"/>
  <c r="P20" i="269"/>
  <c r="AA20" i="269"/>
  <c r="AK20" i="269"/>
  <c r="AE21" i="269"/>
  <c r="AP21" i="269"/>
  <c r="AK22" i="269"/>
  <c r="S23" i="269"/>
  <c r="AD23" i="269"/>
  <c r="AS23" i="269"/>
  <c r="W24" i="269"/>
  <c r="AM24" i="269"/>
  <c r="S25" i="269"/>
  <c r="AP25" i="269"/>
  <c r="AF7" i="269"/>
  <c r="P8" i="269"/>
  <c r="Q9" i="269"/>
  <c r="R9" i="269" s="1"/>
  <c r="Z9" i="269" s="1"/>
  <c r="AL9" i="269"/>
  <c r="P10" i="269"/>
  <c r="AK10" i="269"/>
  <c r="O11" i="269"/>
  <c r="W11" i="269" s="1"/>
  <c r="AE11" i="269"/>
  <c r="P13" i="269"/>
  <c r="AK13" i="269"/>
  <c r="AD14" i="269"/>
  <c r="AN14" i="269"/>
  <c r="AH15" i="269"/>
  <c r="AA16" i="269"/>
  <c r="P17" i="269"/>
  <c r="AA17" i="269"/>
  <c r="AK17" i="269"/>
  <c r="AG18" i="269"/>
  <c r="AM20" i="269"/>
  <c r="AO22" i="269"/>
  <c r="T23" i="269"/>
  <c r="AF23" i="269"/>
  <c r="X24" i="269"/>
  <c r="AN24" i="269"/>
  <c r="V25" i="269"/>
  <c r="AQ25" i="269"/>
  <c r="X8" i="269"/>
  <c r="P11" i="269"/>
  <c r="AF11" i="269"/>
  <c r="S13" i="269"/>
  <c r="AN13" i="269"/>
  <c r="AD16" i="269"/>
  <c r="AM17" i="269"/>
  <c r="U23" i="269"/>
  <c r="AI23" i="269"/>
  <c r="Z25" i="269"/>
  <c r="AF8" i="269"/>
  <c r="S11" i="269"/>
  <c r="AI11" i="269"/>
  <c r="T13" i="269"/>
  <c r="AQ13" i="269"/>
  <c r="AA25" i="269"/>
  <c r="AN8" i="269"/>
  <c r="V11" i="269"/>
  <c r="AL11" i="269"/>
  <c r="X13" i="269"/>
  <c r="AR13" i="269"/>
  <c r="L13" i="269" s="1"/>
  <c r="U13" i="269" s="1"/>
  <c r="AI16" i="269"/>
  <c r="J25" i="269"/>
  <c r="AD25" i="269"/>
  <c r="X11" i="269"/>
  <c r="AN11" i="269"/>
  <c r="AC13" i="269"/>
  <c r="AF9" i="269"/>
  <c r="AA10" i="269"/>
  <c r="AS10" i="269"/>
  <c r="AM11" i="269"/>
  <c r="AA13" i="269"/>
  <c r="AS13" i="269"/>
  <c r="AL16" i="269"/>
  <c r="AF17" i="269"/>
  <c r="AQ17" i="269"/>
  <c r="AH20" i="269"/>
  <c r="AR20" i="269"/>
  <c r="L20" i="269" s="1"/>
  <c r="M23" i="269"/>
  <c r="AA23" i="269"/>
  <c r="AN23" i="269"/>
  <c r="AH25" i="269"/>
  <c r="W26" i="269"/>
  <c r="S6" i="269"/>
  <c r="AA6" i="269"/>
  <c r="AI6" i="269"/>
  <c r="AQ6" i="269"/>
  <c r="Q8" i="269"/>
  <c r="R8" i="269" s="1"/>
  <c r="Y8" i="269"/>
  <c r="AG8" i="269"/>
  <c r="AO8" i="269"/>
  <c r="AN12" i="269"/>
  <c r="AF12" i="269"/>
  <c r="X12" i="269"/>
  <c r="P12" i="269"/>
  <c r="AM12" i="269"/>
  <c r="AE12" i="269"/>
  <c r="O12" i="269"/>
  <c r="W12" i="269" s="1"/>
  <c r="AS12" i="269"/>
  <c r="AK12" i="269"/>
  <c r="AC12" i="269"/>
  <c r="AR12" i="269"/>
  <c r="L12" i="269" s="1"/>
  <c r="U12" i="269" s="1"/>
  <c r="T12" i="269"/>
  <c r="Y12" i="269"/>
  <c r="AO12" i="269"/>
  <c r="AM19" i="269"/>
  <c r="AE19" i="269"/>
  <c r="O19" i="269"/>
  <c r="W19" i="269" s="1"/>
  <c r="AL19" i="269"/>
  <c r="AD19" i="269"/>
  <c r="V19" i="269"/>
  <c r="AS19" i="269"/>
  <c r="AK19" i="269"/>
  <c r="AC19" i="269"/>
  <c r="AQ19" i="269"/>
  <c r="AI19" i="269"/>
  <c r="AA19" i="269"/>
  <c r="S19" i="269"/>
  <c r="AP19" i="269"/>
  <c r="AH19" i="269"/>
  <c r="Y19" i="269"/>
  <c r="T6" i="269"/>
  <c r="AR6" i="269"/>
  <c r="L6" i="269" s="1"/>
  <c r="O7" i="269"/>
  <c r="W7" i="269" s="1"/>
  <c r="AE7" i="269"/>
  <c r="AM7" i="269"/>
  <c r="AH8" i="269"/>
  <c r="AP8" i="269"/>
  <c r="Y9" i="269"/>
  <c r="AI9" i="269"/>
  <c r="AP12" i="269"/>
  <c r="AG15" i="269"/>
  <c r="AR18" i="269"/>
  <c r="L18" i="269" s="1"/>
  <c r="U18" i="269" s="1"/>
  <c r="T18" i="269"/>
  <c r="AQ18" i="269"/>
  <c r="AI18" i="269"/>
  <c r="AA18" i="269"/>
  <c r="S18" i="269"/>
  <c r="AP18" i="269"/>
  <c r="AH18" i="269"/>
  <c r="AN18" i="269"/>
  <c r="AF18" i="269"/>
  <c r="X18" i="269"/>
  <c r="P18" i="269"/>
  <c r="AM18" i="269"/>
  <c r="AE18" i="269"/>
  <c r="O18" i="269"/>
  <c r="W18" i="269" s="1"/>
  <c r="AC18" i="269"/>
  <c r="U22" i="269"/>
  <c r="AC6" i="269"/>
  <c r="AK6" i="269"/>
  <c r="AS6" i="269"/>
  <c r="S8" i="269"/>
  <c r="AA8" i="269"/>
  <c r="AI8" i="269"/>
  <c r="AQ8" i="269"/>
  <c r="AA12" i="269"/>
  <c r="AQ12" i="269"/>
  <c r="L19" i="269"/>
  <c r="U19" i="269" s="1"/>
  <c r="AF19" i="269"/>
  <c r="AN22" i="269"/>
  <c r="AF22" i="269"/>
  <c r="X22" i="269"/>
  <c r="P22" i="269"/>
  <c r="AM22" i="269"/>
  <c r="AE22" i="269"/>
  <c r="W22" i="269"/>
  <c r="O22" i="269"/>
  <c r="AL22" i="269"/>
  <c r="AD22" i="269"/>
  <c r="V22" i="269"/>
  <c r="AR22" i="269"/>
  <c r="AJ22" i="269"/>
  <c r="AB22" i="269"/>
  <c r="T22" i="269"/>
  <c r="L22" i="269"/>
  <c r="AQ22" i="269"/>
  <c r="AI22" i="269"/>
  <c r="AA22" i="269"/>
  <c r="S22" i="269"/>
  <c r="Y22" i="269"/>
  <c r="AS22" i="269"/>
  <c r="V6" i="269"/>
  <c r="AD6" i="269"/>
  <c r="AL6" i="269"/>
  <c r="Q7" i="269"/>
  <c r="R7" i="269" s="1"/>
  <c r="Y7" i="269"/>
  <c r="AG7" i="269"/>
  <c r="AO7" i="269"/>
  <c r="T8" i="269"/>
  <c r="AR8" i="269"/>
  <c r="L8" i="269" s="1"/>
  <c r="M8" i="269" s="1"/>
  <c r="AD12" i="269"/>
  <c r="Q15" i="269"/>
  <c r="R15" i="269" s="1"/>
  <c r="AK15" i="269"/>
  <c r="AG19" i="269"/>
  <c r="J22" i="269"/>
  <c r="Z22" i="269"/>
  <c r="AM26" i="269"/>
  <c r="AD26" i="269"/>
  <c r="U26" i="269"/>
  <c r="M26" i="269"/>
  <c r="AK26" i="269"/>
  <c r="AC26" i="269"/>
  <c r="T26" i="269"/>
  <c r="L26" i="269"/>
  <c r="AS26" i="269"/>
  <c r="AJ26" i="269"/>
  <c r="AB26" i="269"/>
  <c r="S26" i="269"/>
  <c r="J26" i="269"/>
  <c r="AQ26" i="269"/>
  <c r="AH26" i="269"/>
  <c r="Z26" i="269"/>
  <c r="Q26" i="269"/>
  <c r="AP26" i="269"/>
  <c r="AG26" i="269"/>
  <c r="Y26" i="269"/>
  <c r="P26" i="269"/>
  <c r="AF26" i="269"/>
  <c r="AH6" i="269"/>
  <c r="O6" i="269"/>
  <c r="W6" i="269" s="1"/>
  <c r="AE6" i="269"/>
  <c r="AM6" i="269"/>
  <c r="J7" i="269"/>
  <c r="J8" i="269" s="1"/>
  <c r="J9" i="269" s="1"/>
  <c r="J10" i="269" s="1"/>
  <c r="AH7" i="269"/>
  <c r="AP7" i="269"/>
  <c r="AC8" i="269"/>
  <c r="AK8" i="269"/>
  <c r="AS8" i="269"/>
  <c r="AC9" i="269"/>
  <c r="Q12" i="269"/>
  <c r="R12" i="269" s="1"/>
  <c r="AJ12" i="269" s="1"/>
  <c r="AG12" i="269"/>
  <c r="AO15" i="269"/>
  <c r="AK18" i="269"/>
  <c r="P19" i="269"/>
  <c r="AC22" i="269"/>
  <c r="AI26" i="269"/>
  <c r="AP6" i="269"/>
  <c r="P6" i="269"/>
  <c r="X6" i="269"/>
  <c r="AF6" i="269"/>
  <c r="AN6" i="269"/>
  <c r="S7" i="269"/>
  <c r="AA7" i="269"/>
  <c r="AI7" i="269"/>
  <c r="AQ7" i="269"/>
  <c r="V8" i="269"/>
  <c r="AD8" i="269"/>
  <c r="AL8" i="269"/>
  <c r="AM9" i="269"/>
  <c r="AE9" i="269"/>
  <c r="O9" i="269"/>
  <c r="W9" i="269" s="1"/>
  <c r="AR9" i="269"/>
  <c r="L9" i="269" s="1"/>
  <c r="T9" i="269"/>
  <c r="S9" i="269"/>
  <c r="AD9" i="269"/>
  <c r="AO9" i="269"/>
  <c r="AH12" i="269"/>
  <c r="Q18" i="269"/>
  <c r="R18" i="269" s="1"/>
  <c r="AL18" i="269"/>
  <c r="Q19" i="269"/>
  <c r="R19" i="269" s="1"/>
  <c r="AN19" i="269"/>
  <c r="M22" i="269"/>
  <c r="AG22" i="269"/>
  <c r="O26" i="269"/>
  <c r="AN26" i="269"/>
  <c r="Q6" i="269"/>
  <c r="R6" i="269" s="1"/>
  <c r="AJ6" i="269" s="1"/>
  <c r="Y6" i="269"/>
  <c r="AG6" i="269"/>
  <c r="L7" i="269"/>
  <c r="T7" i="269"/>
  <c r="O8" i="269"/>
  <c r="W8" i="269" s="1"/>
  <c r="AE8" i="269"/>
  <c r="S12" i="269"/>
  <c r="AI12" i="269"/>
  <c r="AN15" i="269"/>
  <c r="AF15" i="269"/>
  <c r="X15" i="269"/>
  <c r="P15" i="269"/>
  <c r="AM15" i="269"/>
  <c r="AE15" i="269"/>
  <c r="O15" i="269"/>
  <c r="W15" i="269" s="1"/>
  <c r="AL15" i="269"/>
  <c r="AD15" i="269"/>
  <c r="V15" i="269"/>
  <c r="AR15" i="269"/>
  <c r="L15" i="269" s="1"/>
  <c r="T15" i="269"/>
  <c r="AQ15" i="269"/>
  <c r="AI15" i="269"/>
  <c r="AA15" i="269"/>
  <c r="S15" i="269"/>
  <c r="Y15" i="269"/>
  <c r="AS15" i="269"/>
  <c r="T19" i="269"/>
  <c r="AO19" i="269"/>
  <c r="AH22" i="269"/>
  <c r="R26" i="269"/>
  <c r="AO26" i="269"/>
  <c r="V10" i="269"/>
  <c r="AD10" i="269"/>
  <c r="AL10" i="269"/>
  <c r="Q11" i="269"/>
  <c r="R11" i="269" s="1"/>
  <c r="Y11" i="269"/>
  <c r="AG11" i="269"/>
  <c r="AO11" i="269"/>
  <c r="V13" i="269"/>
  <c r="AD13" i="269"/>
  <c r="AL13" i="269"/>
  <c r="T16" i="269"/>
  <c r="AR16" i="269"/>
  <c r="L16" i="269" s="1"/>
  <c r="U16" i="269" s="1"/>
  <c r="AL23" i="269"/>
  <c r="Q24" i="269"/>
  <c r="Y24" i="269"/>
  <c r="AG24" i="269"/>
  <c r="AO24" i="269"/>
  <c r="L25" i="269"/>
  <c r="T25" i="269"/>
  <c r="AB25" i="269"/>
  <c r="AJ25" i="269"/>
  <c r="AR25" i="269"/>
  <c r="O10" i="269"/>
  <c r="W10" i="269" s="1"/>
  <c r="AE10" i="269"/>
  <c r="AM10" i="269"/>
  <c r="AH11" i="269"/>
  <c r="AP11" i="269"/>
  <c r="O13" i="269"/>
  <c r="W13" i="269" s="1"/>
  <c r="AE13" i="269"/>
  <c r="AM13" i="269"/>
  <c r="Q14" i="269"/>
  <c r="R14" i="269" s="1"/>
  <c r="Z14" i="269" s="1"/>
  <c r="Y14" i="269"/>
  <c r="AG14" i="269"/>
  <c r="AO14" i="269"/>
  <c r="AC16" i="269"/>
  <c r="AK16" i="269"/>
  <c r="AS16" i="269"/>
  <c r="V17" i="269"/>
  <c r="AD17" i="269"/>
  <c r="AL17" i="269"/>
  <c r="V20" i="269"/>
  <c r="AD20" i="269"/>
  <c r="AL20" i="269"/>
  <c r="Q21" i="269"/>
  <c r="R21" i="269" s="1"/>
  <c r="Y21" i="269"/>
  <c r="AG21" i="269"/>
  <c r="AO21" i="269"/>
  <c r="O23" i="269"/>
  <c r="W23" i="269"/>
  <c r="AE23" i="269"/>
  <c r="AM23" i="269"/>
  <c r="J24" i="269"/>
  <c r="R24" i="269"/>
  <c r="Z24" i="269"/>
  <c r="AH24" i="269"/>
  <c r="AP24" i="269"/>
  <c r="M25" i="269"/>
  <c r="U25" i="269"/>
  <c r="AC25" i="269"/>
  <c r="AK25" i="269"/>
  <c r="AS25" i="269"/>
  <c r="Q10" i="269"/>
  <c r="R10" i="269" s="1"/>
  <c r="Y10" i="269"/>
  <c r="AG10" i="269"/>
  <c r="AO10" i="269"/>
  <c r="L11" i="269"/>
  <c r="M11" i="269" s="1"/>
  <c r="T11" i="269"/>
  <c r="AR11" i="269"/>
  <c r="Q13" i="269"/>
  <c r="R13" i="269" s="1"/>
  <c r="Z13" i="269" s="1"/>
  <c r="Y13" i="269"/>
  <c r="AG13" i="269"/>
  <c r="AO13" i="269"/>
  <c r="O16" i="269"/>
  <c r="W16" i="269" s="1"/>
  <c r="AE16" i="269"/>
  <c r="AM16" i="269"/>
  <c r="Q23" i="269"/>
  <c r="Y23" i="269"/>
  <c r="AG23" i="269"/>
  <c r="AO23" i="269"/>
  <c r="L24" i="269"/>
  <c r="T24" i="269"/>
  <c r="AB24" i="269"/>
  <c r="AJ24" i="269"/>
  <c r="AR24" i="269"/>
  <c r="O25" i="269"/>
  <c r="W25" i="269"/>
  <c r="AE25" i="269"/>
  <c r="AM25" i="269"/>
  <c r="AH10" i="269"/>
  <c r="AC11" i="269"/>
  <c r="AK11" i="269"/>
  <c r="AH13" i="269"/>
  <c r="L14" i="269"/>
  <c r="T14" i="269"/>
  <c r="P16" i="269"/>
  <c r="X16" i="269"/>
  <c r="AF16" i="269"/>
  <c r="AN16" i="269"/>
  <c r="Q17" i="269"/>
  <c r="R17" i="269" s="1"/>
  <c r="Y17" i="269"/>
  <c r="AG17" i="269"/>
  <c r="Q20" i="269"/>
  <c r="R20" i="269" s="1"/>
  <c r="Y20" i="269"/>
  <c r="AG20" i="269"/>
  <c r="L21" i="269"/>
  <c r="U21" i="269" s="1"/>
  <c r="T21" i="269"/>
  <c r="J23" i="269"/>
  <c r="R23" i="269"/>
  <c r="Z23" i="269"/>
  <c r="AH23" i="269"/>
  <c r="M24" i="269"/>
  <c r="U24" i="269"/>
  <c r="AC24" i="269"/>
  <c r="AK24" i="269"/>
  <c r="P25" i="269"/>
  <c r="X25" i="269"/>
  <c r="AF25" i="269"/>
  <c r="AN25" i="269"/>
  <c r="Q16" i="269"/>
  <c r="R16" i="269" s="1"/>
  <c r="Z16" i="269" s="1"/>
  <c r="Y16" i="269"/>
  <c r="AG16" i="269"/>
  <c r="Q25" i="269"/>
  <c r="Y25" i="269"/>
  <c r="AG25" i="269"/>
  <c r="Q9" i="268"/>
  <c r="R9" i="268" s="1"/>
  <c r="Z9" i="268" s="1"/>
  <c r="AH9" i="268"/>
  <c r="O20" i="268"/>
  <c r="O16" i="268"/>
  <c r="W16" i="268" s="1"/>
  <c r="AC16" i="268"/>
  <c r="S8" i="267"/>
  <c r="X18" i="267"/>
  <c r="AN8" i="268"/>
  <c r="AR15" i="268"/>
  <c r="L15" i="268" s="1"/>
  <c r="M15" i="268" s="1"/>
  <c r="AS20" i="268"/>
  <c r="AA9" i="268"/>
  <c r="M23" i="268"/>
  <c r="L25" i="268"/>
  <c r="O17" i="268"/>
  <c r="AB19" i="268"/>
  <c r="AK17" i="268"/>
  <c r="AL23" i="268"/>
  <c r="V25" i="268"/>
  <c r="AD25" i="268"/>
  <c r="AF10" i="268"/>
  <c r="AK16" i="268"/>
  <c r="AN10" i="268"/>
  <c r="V17" i="268"/>
  <c r="Q6" i="268"/>
  <c r="R6" i="268" s="1"/>
  <c r="Z6" i="268" s="1"/>
  <c r="AS9" i="268"/>
  <c r="AQ15" i="268"/>
  <c r="W17" i="268"/>
  <c r="AA20" i="268"/>
  <c r="AA23" i="268"/>
  <c r="AA22" i="268"/>
  <c r="AN17" i="268"/>
  <c r="AI22" i="268"/>
  <c r="J17" i="268"/>
  <c r="AQ22" i="268"/>
  <c r="P10" i="268"/>
  <c r="J20" i="268"/>
  <c r="V9" i="268"/>
  <c r="S10" i="268"/>
  <c r="M18" i="268"/>
  <c r="Y26" i="268"/>
  <c r="AM8" i="268"/>
  <c r="AD6" i="268"/>
  <c r="L8" i="268"/>
  <c r="U8" i="268" s="1"/>
  <c r="AI9" i="268"/>
  <c r="X10" i="268"/>
  <c r="T15" i="268"/>
  <c r="S16" i="268"/>
  <c r="AQ16" i="268"/>
  <c r="AC17" i="268"/>
  <c r="AA18" i="268"/>
  <c r="AR19" i="268"/>
  <c r="T20" i="268"/>
  <c r="S23" i="268"/>
  <c r="AH25" i="268"/>
  <c r="AO6" i="268"/>
  <c r="AL9" i="268"/>
  <c r="AD10" i="268"/>
  <c r="S11" i="268"/>
  <c r="V15" i="268"/>
  <c r="AH17" i="268"/>
  <c r="U20" i="268"/>
  <c r="M21" i="268"/>
  <c r="X23" i="268"/>
  <c r="AR25" i="268"/>
  <c r="AO9" i="266"/>
  <c r="P8" i="268"/>
  <c r="AA15" i="268"/>
  <c r="X16" i="268"/>
  <c r="T8" i="268"/>
  <c r="AI10" i="268"/>
  <c r="AH15" i="268"/>
  <c r="AH20" i="268"/>
  <c r="X21" i="268"/>
  <c r="AD23" i="268"/>
  <c r="X8" i="268"/>
  <c r="AI15" i="268"/>
  <c r="AM21" i="268"/>
  <c r="AN18" i="267"/>
  <c r="T7" i="268"/>
  <c r="AF8" i="268"/>
  <c r="AS10" i="268"/>
  <c r="AL15" i="268"/>
  <c r="AI16" i="268"/>
  <c r="L19" i="268"/>
  <c r="AM20" i="268"/>
  <c r="L23" i="268"/>
  <c r="AN23" i="268"/>
  <c r="T25" i="268"/>
  <c r="AG26" i="268"/>
  <c r="Y6" i="268"/>
  <c r="Y9" i="268"/>
  <c r="AQ9" i="268"/>
  <c r="V10" i="268"/>
  <c r="AL10" i="268"/>
  <c r="O11" i="268"/>
  <c r="W11" i="268" s="1"/>
  <c r="AP16" i="268"/>
  <c r="Z17" i="268"/>
  <c r="AM17" i="268"/>
  <c r="S18" i="268"/>
  <c r="AA19" i="268"/>
  <c r="AQ19" i="268"/>
  <c r="M20" i="268"/>
  <c r="Z20" i="268"/>
  <c r="AK20" i="268"/>
  <c r="W21" i="268"/>
  <c r="AL21" i="268"/>
  <c r="P23" i="268"/>
  <c r="AC23" i="268"/>
  <c r="R25" i="268"/>
  <c r="AL25" i="268"/>
  <c r="AS8" i="267"/>
  <c r="AG6" i="268"/>
  <c r="AR7" i="268"/>
  <c r="L7" i="268" s="1"/>
  <c r="AC9" i="268"/>
  <c r="AA10" i="268"/>
  <c r="AQ10" i="268"/>
  <c r="AA11" i="268"/>
  <c r="T16" i="268"/>
  <c r="AE16" i="268"/>
  <c r="AR16" i="268"/>
  <c r="P17" i="268"/>
  <c r="AD17" i="268"/>
  <c r="AP17" i="268"/>
  <c r="AI18" i="268"/>
  <c r="AD19" i="268"/>
  <c r="AB20" i="268"/>
  <c r="AP20" i="268"/>
  <c r="Z21" i="268"/>
  <c r="AN21" i="268"/>
  <c r="T23" i="268"/>
  <c r="AF23" i="268"/>
  <c r="AL6" i="268"/>
  <c r="AE8" i="268"/>
  <c r="P9" i="268"/>
  <c r="AG9" i="268"/>
  <c r="AC10" i="268"/>
  <c r="AR10" i="268"/>
  <c r="L10" i="268" s="1"/>
  <c r="M10" i="268" s="1"/>
  <c r="AF11" i="268"/>
  <c r="S15" i="268"/>
  <c r="AP15" i="268"/>
  <c r="L16" i="268"/>
  <c r="U16" i="268" s="1"/>
  <c r="AH16" i="268"/>
  <c r="AS16" i="268"/>
  <c r="R17" i="268"/>
  <c r="AE17" i="268"/>
  <c r="AS17" i="268"/>
  <c r="AQ18" i="268"/>
  <c r="R19" i="268"/>
  <c r="AH19" i="268"/>
  <c r="R20" i="268"/>
  <c r="AC20" i="268"/>
  <c r="AQ20" i="268"/>
  <c r="O21" i="268"/>
  <c r="AC21" i="268"/>
  <c r="AP21" i="268"/>
  <c r="U23" i="268"/>
  <c r="AI23" i="268"/>
  <c r="Z25" i="268"/>
  <c r="AN11" i="268"/>
  <c r="U17" i="268"/>
  <c r="AF17" i="268"/>
  <c r="S19" i="268"/>
  <c r="AI19" i="268"/>
  <c r="S20" i="268"/>
  <c r="AE20" i="268"/>
  <c r="AR20" i="268"/>
  <c r="P21" i="268"/>
  <c r="AD21" i="268"/>
  <c r="V23" i="268"/>
  <c r="AJ23" i="268"/>
  <c r="J25" i="268"/>
  <c r="AB25" i="268"/>
  <c r="P26" i="268"/>
  <c r="T19" i="268"/>
  <c r="AJ19" i="268"/>
  <c r="R21" i="268"/>
  <c r="AE21" i="268"/>
  <c r="V19" i="268"/>
  <c r="AL19" i="268"/>
  <c r="U21" i="268"/>
  <c r="AF21" i="268"/>
  <c r="V6" i="268"/>
  <c r="O8" i="268"/>
  <c r="W8" i="268" s="1"/>
  <c r="AS8" i="268"/>
  <c r="X9" i="268"/>
  <c r="AN9" i="268"/>
  <c r="T10" i="268"/>
  <c r="AK10" i="268"/>
  <c r="AD15" i="268"/>
  <c r="P16" i="268"/>
  <c r="AA16" i="268"/>
  <c r="AM16" i="268"/>
  <c r="M17" i="268"/>
  <c r="X17" i="268"/>
  <c r="AL17" i="268"/>
  <c r="J19" i="268"/>
  <c r="Z19" i="268"/>
  <c r="AP19" i="268"/>
  <c r="L20" i="268"/>
  <c r="W20" i="268"/>
  <c r="AJ20" i="268"/>
  <c r="J21" i="268"/>
  <c r="V21" i="268"/>
  <c r="AH21" i="268"/>
  <c r="S22" i="268"/>
  <c r="AB23" i="268"/>
  <c r="AR23" i="268"/>
  <c r="AJ25" i="268"/>
  <c r="AP26" i="268"/>
  <c r="T12" i="268"/>
  <c r="AH6" i="268"/>
  <c r="AP6" i="268"/>
  <c r="AC7" i="268"/>
  <c r="AK7" i="268"/>
  <c r="AS7" i="268"/>
  <c r="V11" i="268"/>
  <c r="V12" i="268"/>
  <c r="AI12" i="268"/>
  <c r="V13" i="268"/>
  <c r="T14" i="268"/>
  <c r="AG14" i="268"/>
  <c r="S6" i="268"/>
  <c r="AA6" i="268"/>
  <c r="AI6" i="268"/>
  <c r="AQ6" i="268"/>
  <c r="V7" i="268"/>
  <c r="AD7" i="268"/>
  <c r="AL7" i="268"/>
  <c r="Q8" i="268"/>
  <c r="R8" i="268" s="1"/>
  <c r="Z8" i="268" s="1"/>
  <c r="Y8" i="268"/>
  <c r="AG8" i="268"/>
  <c r="AO8" i="268"/>
  <c r="AS11" i="268"/>
  <c r="AK11" i="268"/>
  <c r="AC11" i="268"/>
  <c r="AR11" i="268"/>
  <c r="L11" i="268" s="1"/>
  <c r="T11" i="268"/>
  <c r="AP11" i="268"/>
  <c r="AH11" i="268"/>
  <c r="AI11" i="268"/>
  <c r="Y12" i="268"/>
  <c r="AK13" i="268"/>
  <c r="AH14" i="268"/>
  <c r="T6" i="268"/>
  <c r="AR6" i="268"/>
  <c r="L6" i="268" s="1"/>
  <c r="O7" i="268"/>
  <c r="W7" i="268" s="1"/>
  <c r="AE7" i="268"/>
  <c r="AM7" i="268"/>
  <c r="AH8" i="268"/>
  <c r="AP8" i="268"/>
  <c r="X11" i="268"/>
  <c r="AL11" i="268"/>
  <c r="AL12" i="268"/>
  <c r="Y13" i="268"/>
  <c r="AL13" i="268"/>
  <c r="X14" i="268"/>
  <c r="Q24" i="268"/>
  <c r="AL14" i="268"/>
  <c r="AD14" i="268"/>
  <c r="V14" i="268"/>
  <c r="AS14" i="268"/>
  <c r="AK14" i="268"/>
  <c r="AC14" i="268"/>
  <c r="AQ14" i="268"/>
  <c r="AI14" i="268"/>
  <c r="AA14" i="268"/>
  <c r="S14" i="268"/>
  <c r="AR14" i="268"/>
  <c r="L14" i="268" s="1"/>
  <c r="U14" i="268" s="1"/>
  <c r="AC6" i="268"/>
  <c r="AK6" i="268"/>
  <c r="AS6" i="268"/>
  <c r="P7" i="268"/>
  <c r="X7" i="268"/>
  <c r="AF7" i="268"/>
  <c r="AN7" i="268"/>
  <c r="S8" i="268"/>
  <c r="AA8" i="268"/>
  <c r="AI8" i="268"/>
  <c r="AQ8" i="268"/>
  <c r="Y11" i="268"/>
  <c r="AM11" i="268"/>
  <c r="AA12" i="268"/>
  <c r="AO12" i="268"/>
  <c r="Y14" i="268"/>
  <c r="AM14" i="268"/>
  <c r="Y24" i="268"/>
  <c r="AQ13" i="268"/>
  <c r="AI13" i="268"/>
  <c r="AA13" i="268"/>
  <c r="S13" i="268"/>
  <c r="AP13" i="268"/>
  <c r="AH13" i="268"/>
  <c r="AN13" i="268"/>
  <c r="AF13" i="268"/>
  <c r="X13" i="268"/>
  <c r="P13" i="268"/>
  <c r="Q7" i="268"/>
  <c r="R7" i="268" s="1"/>
  <c r="Z7" i="268" s="1"/>
  <c r="Y7" i="268"/>
  <c r="AG7" i="268"/>
  <c r="AO7" i="268"/>
  <c r="Q12" i="268"/>
  <c r="R12" i="268" s="1"/>
  <c r="O13" i="268"/>
  <c r="W13" i="268" s="1"/>
  <c r="AC13" i="268"/>
  <c r="AO13" i="268"/>
  <c r="O14" i="268"/>
  <c r="W14" i="268" s="1"/>
  <c r="AN14" i="268"/>
  <c r="AG24" i="268"/>
  <c r="AN12" i="268"/>
  <c r="AF12" i="268"/>
  <c r="X12" i="268"/>
  <c r="P12" i="268"/>
  <c r="AM12" i="268"/>
  <c r="AE12" i="268"/>
  <c r="O12" i="268"/>
  <c r="W12" i="268" s="1"/>
  <c r="AS12" i="268"/>
  <c r="AK12" i="268"/>
  <c r="AC12" i="268"/>
  <c r="AH12" i="268"/>
  <c r="AG13" i="268"/>
  <c r="AF14" i="268"/>
  <c r="O6" i="268"/>
  <c r="W6" i="268" s="1"/>
  <c r="AE6" i="268"/>
  <c r="AM6" i="268"/>
  <c r="J7" i="268"/>
  <c r="AH7" i="268"/>
  <c r="AP7" i="268"/>
  <c r="AC8" i="268"/>
  <c r="AK8" i="268"/>
  <c r="AM9" i="268"/>
  <c r="AE9" i="268"/>
  <c r="O9" i="268"/>
  <c r="W9" i="268" s="1"/>
  <c r="AR9" i="268"/>
  <c r="L9" i="268" s="1"/>
  <c r="M9" i="268" s="1"/>
  <c r="T9" i="268"/>
  <c r="S9" i="268"/>
  <c r="AD9" i="268"/>
  <c r="AO9" i="268"/>
  <c r="P11" i="268"/>
  <c r="AD11" i="268"/>
  <c r="AO11" i="268"/>
  <c r="AD12" i="268"/>
  <c r="AQ12" i="268"/>
  <c r="Q13" i="268"/>
  <c r="R13" i="268" s="1"/>
  <c r="AD13" i="268"/>
  <c r="AR13" i="268"/>
  <c r="L13" i="268" s="1"/>
  <c r="P14" i="268"/>
  <c r="AO14" i="268"/>
  <c r="AM24" i="268"/>
  <c r="AE24" i="268"/>
  <c r="W24" i="268"/>
  <c r="O24" i="268"/>
  <c r="AL24" i="268"/>
  <c r="AD24" i="268"/>
  <c r="V24" i="268"/>
  <c r="AS24" i="268"/>
  <c r="AK24" i="268"/>
  <c r="AC24" i="268"/>
  <c r="U24" i="268"/>
  <c r="M24" i="268"/>
  <c r="AR24" i="268"/>
  <c r="AJ24" i="268"/>
  <c r="AB24" i="268"/>
  <c r="T24" i="268"/>
  <c r="L24" i="268"/>
  <c r="AQ24" i="268"/>
  <c r="AI24" i="268"/>
  <c r="AA24" i="268"/>
  <c r="S24" i="268"/>
  <c r="AP24" i="268"/>
  <c r="AH24" i="268"/>
  <c r="Z24" i="268"/>
  <c r="R24" i="268"/>
  <c r="J24" i="268"/>
  <c r="AN24" i="268"/>
  <c r="AF24" i="268"/>
  <c r="X24" i="268"/>
  <c r="P24" i="268"/>
  <c r="P6" i="268"/>
  <c r="X6" i="268"/>
  <c r="AF6" i="268"/>
  <c r="S7" i="268"/>
  <c r="AA7" i="268"/>
  <c r="AI7" i="268"/>
  <c r="V8" i="268"/>
  <c r="AD8" i="268"/>
  <c r="AL8" i="268"/>
  <c r="AF9" i="268"/>
  <c r="AP9" i="268"/>
  <c r="Q11" i="268"/>
  <c r="R11" i="268" s="1"/>
  <c r="AE11" i="268"/>
  <c r="AQ11" i="268"/>
  <c r="S12" i="268"/>
  <c r="AG12" i="268"/>
  <c r="AR12" i="268"/>
  <c r="L12" i="268" s="1"/>
  <c r="T13" i="268"/>
  <c r="AE13" i="268"/>
  <c r="AS13" i="268"/>
  <c r="Q14" i="268"/>
  <c r="R14" i="268" s="1"/>
  <c r="AE14" i="268"/>
  <c r="AP14" i="268"/>
  <c r="J18" i="268"/>
  <c r="R18" i="268"/>
  <c r="Z18" i="268"/>
  <c r="AH18" i="268"/>
  <c r="AP18" i="268"/>
  <c r="J22" i="268"/>
  <c r="R22" i="268"/>
  <c r="Z22" i="268"/>
  <c r="AH22" i="268"/>
  <c r="AP22" i="268"/>
  <c r="AK23" i="268"/>
  <c r="AS23" i="268"/>
  <c r="S25" i="268"/>
  <c r="AA25" i="268"/>
  <c r="AI25" i="268"/>
  <c r="AQ25" i="268"/>
  <c r="O26" i="268"/>
  <c r="W26" i="268"/>
  <c r="AF26" i="268"/>
  <c r="AO26" i="268"/>
  <c r="O10" i="268"/>
  <c r="W10" i="268" s="1"/>
  <c r="AE10" i="268"/>
  <c r="AM10" i="268"/>
  <c r="AC15" i="268"/>
  <c r="AK15" i="268"/>
  <c r="AS15" i="268"/>
  <c r="V16" i="268"/>
  <c r="AD16" i="268"/>
  <c r="AL16" i="268"/>
  <c r="Q17" i="268"/>
  <c r="Y17" i="268"/>
  <c r="AG17" i="268"/>
  <c r="AO17" i="268"/>
  <c r="L18" i="268"/>
  <c r="T18" i="268"/>
  <c r="AB18" i="268"/>
  <c r="AJ18" i="268"/>
  <c r="AR18" i="268"/>
  <c r="M19" i="268"/>
  <c r="U19" i="268"/>
  <c r="AC19" i="268"/>
  <c r="AK19" i="268"/>
  <c r="AS19" i="268"/>
  <c r="V20" i="268"/>
  <c r="AD20" i="268"/>
  <c r="AL20" i="268"/>
  <c r="Q21" i="268"/>
  <c r="Y21" i="268"/>
  <c r="AG21" i="268"/>
  <c r="AO21" i="268"/>
  <c r="L22" i="268"/>
  <c r="T22" i="268"/>
  <c r="AB22" i="268"/>
  <c r="AJ22" i="268"/>
  <c r="AR22" i="268"/>
  <c r="O23" i="268"/>
  <c r="W23" i="268"/>
  <c r="AE23" i="268"/>
  <c r="AM23" i="268"/>
  <c r="M25" i="268"/>
  <c r="U25" i="268"/>
  <c r="AC25" i="268"/>
  <c r="AK25" i="268"/>
  <c r="AS25" i="268"/>
  <c r="Q26" i="268"/>
  <c r="Z26" i="268"/>
  <c r="AH26" i="268"/>
  <c r="AQ26" i="268"/>
  <c r="U18" i="268"/>
  <c r="AC18" i="268"/>
  <c r="AK18" i="268"/>
  <c r="AS18" i="268"/>
  <c r="M22" i="268"/>
  <c r="U22" i="268"/>
  <c r="AC22" i="268"/>
  <c r="AK22" i="268"/>
  <c r="AS22" i="268"/>
  <c r="R26" i="268"/>
  <c r="AA26" i="268"/>
  <c r="AI26" i="268"/>
  <c r="AR26" i="268"/>
  <c r="Q10" i="268"/>
  <c r="R10" i="268" s="1"/>
  <c r="Z10" i="268" s="1"/>
  <c r="Y10" i="268"/>
  <c r="AG10" i="268"/>
  <c r="AO10" i="268"/>
  <c r="O15" i="268"/>
  <c r="W15" i="268" s="1"/>
  <c r="AE15" i="268"/>
  <c r="AM15" i="268"/>
  <c r="AF16" i="268"/>
  <c r="AN16" i="268"/>
  <c r="S17" i="268"/>
  <c r="AA17" i="268"/>
  <c r="AI17" i="268"/>
  <c r="AQ17" i="268"/>
  <c r="V18" i="268"/>
  <c r="AD18" i="268"/>
  <c r="AL18" i="268"/>
  <c r="O19" i="268"/>
  <c r="W19" i="268"/>
  <c r="AE19" i="268"/>
  <c r="AM19" i="268"/>
  <c r="P20" i="268"/>
  <c r="X20" i="268"/>
  <c r="AF20" i="268"/>
  <c r="AN20" i="268"/>
  <c r="S21" i="268"/>
  <c r="AA21" i="268"/>
  <c r="AI21" i="268"/>
  <c r="AQ21" i="268"/>
  <c r="V22" i="268"/>
  <c r="AD22" i="268"/>
  <c r="AL22" i="268"/>
  <c r="Q23" i="268"/>
  <c r="Y23" i="268"/>
  <c r="AG23" i="268"/>
  <c r="AO23" i="268"/>
  <c r="O25" i="268"/>
  <c r="W25" i="268"/>
  <c r="AE25" i="268"/>
  <c r="AM25" i="268"/>
  <c r="J26" i="268"/>
  <c r="S26" i="268"/>
  <c r="AB26" i="268"/>
  <c r="AJ26" i="268"/>
  <c r="AS26" i="268"/>
  <c r="AH10" i="268"/>
  <c r="P15" i="268"/>
  <c r="X15" i="268"/>
  <c r="AF15" i="268"/>
  <c r="AN15" i="268"/>
  <c r="Q16" i="268"/>
  <c r="R16" i="268" s="1"/>
  <c r="Y16" i="268"/>
  <c r="AG16" i="268"/>
  <c r="L17" i="268"/>
  <c r="T17" i="268"/>
  <c r="AB17" i="268"/>
  <c r="AJ17" i="268"/>
  <c r="O18" i="268"/>
  <c r="W18" i="268"/>
  <c r="AE18" i="268"/>
  <c r="AM18" i="268"/>
  <c r="P19" i="268"/>
  <c r="X19" i="268"/>
  <c r="AF19" i="268"/>
  <c r="AN19" i="268"/>
  <c r="Q20" i="268"/>
  <c r="Y20" i="268"/>
  <c r="AG20" i="268"/>
  <c r="L21" i="268"/>
  <c r="T21" i="268"/>
  <c r="AB21" i="268"/>
  <c r="AJ21" i="268"/>
  <c r="AR21" i="268"/>
  <c r="O22" i="268"/>
  <c r="W22" i="268"/>
  <c r="AE22" i="268"/>
  <c r="AM22" i="268"/>
  <c r="J23" i="268"/>
  <c r="R23" i="268"/>
  <c r="Z23" i="268"/>
  <c r="AH23" i="268"/>
  <c r="AP23" i="268"/>
  <c r="P25" i="268"/>
  <c r="X25" i="268"/>
  <c r="AF25" i="268"/>
  <c r="AN25" i="268"/>
  <c r="L26" i="268"/>
  <c r="T26" i="268"/>
  <c r="AC26" i="268"/>
  <c r="AK26" i="268"/>
  <c r="Q15" i="268"/>
  <c r="R15" i="268" s="1"/>
  <c r="Y15" i="268"/>
  <c r="AG15" i="268"/>
  <c r="P18" i="268"/>
  <c r="X18" i="268"/>
  <c r="AF18" i="268"/>
  <c r="AN18" i="268"/>
  <c r="Q19" i="268"/>
  <c r="Y19" i="268"/>
  <c r="AG19" i="268"/>
  <c r="AK21" i="268"/>
  <c r="P22" i="268"/>
  <c r="X22" i="268"/>
  <c r="AF22" i="268"/>
  <c r="AN22" i="268"/>
  <c r="Q25" i="268"/>
  <c r="Y25" i="268"/>
  <c r="AG25" i="268"/>
  <c r="AO25" i="268"/>
  <c r="M26" i="268"/>
  <c r="U26" i="268"/>
  <c r="AD26" i="268"/>
  <c r="AM26" i="268"/>
  <c r="Q18" i="268"/>
  <c r="Y18" i="268"/>
  <c r="AG18" i="268"/>
  <c r="Q22" i="268"/>
  <c r="Y22" i="268"/>
  <c r="AG22" i="268"/>
  <c r="V26" i="268"/>
  <c r="AE26" i="268"/>
  <c r="AP23" i="267"/>
  <c r="J23" i="267"/>
  <c r="AK11" i="267"/>
  <c r="P19" i="267"/>
  <c r="AR23" i="267"/>
  <c r="AN9" i="267"/>
  <c r="AQ11" i="267"/>
  <c r="S19" i="267"/>
  <c r="P23" i="267"/>
  <c r="AH16" i="267"/>
  <c r="AF19" i="267"/>
  <c r="W23" i="267"/>
  <c r="AP16" i="267"/>
  <c r="AC18" i="267"/>
  <c r="AQ19" i="267"/>
  <c r="Z23" i="267"/>
  <c r="AM23" i="267"/>
  <c r="AL12" i="267"/>
  <c r="AI18" i="267"/>
  <c r="X19" i="267"/>
  <c r="AB23" i="267"/>
  <c r="Q16" i="267"/>
  <c r="V17" i="267"/>
  <c r="AL18" i="267"/>
  <c r="AA19" i="267"/>
  <c r="L23" i="267"/>
  <c r="AD23" i="267"/>
  <c r="AE15" i="267"/>
  <c r="T16" i="267"/>
  <c r="AQ17" i="267"/>
  <c r="AF23" i="267"/>
  <c r="AK9" i="267"/>
  <c r="AF15" i="267"/>
  <c r="AG16" i="267"/>
  <c r="AP19" i="267"/>
  <c r="O23" i="267"/>
  <c r="AK23" i="267"/>
  <c r="R24" i="267"/>
  <c r="AN15" i="267"/>
  <c r="X23" i="267"/>
  <c r="AQ23" i="267"/>
  <c r="AF7" i="267"/>
  <c r="AA25" i="267"/>
  <c r="AK7" i="267"/>
  <c r="AK18" i="267"/>
  <c r="L25" i="267"/>
  <c r="AF25" i="267"/>
  <c r="T26" i="267"/>
  <c r="X25" i="267"/>
  <c r="AL7" i="267"/>
  <c r="AB22" i="267"/>
  <c r="M25" i="267"/>
  <c r="AH25" i="267"/>
  <c r="V26" i="267"/>
  <c r="V9" i="267"/>
  <c r="AA20" i="267"/>
  <c r="AJ22" i="267"/>
  <c r="AI25" i="267"/>
  <c r="Z26" i="267"/>
  <c r="AD7" i="267"/>
  <c r="P7" i="267"/>
  <c r="AC9" i="267"/>
  <c r="Y12" i="267"/>
  <c r="S18" i="267"/>
  <c r="AI19" i="267"/>
  <c r="AR22" i="267"/>
  <c r="S23" i="267"/>
  <c r="AH23" i="267"/>
  <c r="P25" i="267"/>
  <c r="AK25" i="267"/>
  <c r="AG26" i="267"/>
  <c r="T7" i="267"/>
  <c r="AI9" i="267"/>
  <c r="AD12" i="267"/>
  <c r="V18" i="267"/>
  <c r="AN19" i="267"/>
  <c r="U23" i="267"/>
  <c r="AI23" i="267"/>
  <c r="U25" i="267"/>
  <c r="AR25" i="267"/>
  <c r="AH26" i="267"/>
  <c r="AC7" i="267"/>
  <c r="V25" i="267"/>
  <c r="AS25" i="267"/>
  <c r="AO26" i="267"/>
  <c r="X9" i="267"/>
  <c r="AL9" i="267"/>
  <c r="AE12" i="267"/>
  <c r="AE14" i="267"/>
  <c r="AH15" i="267"/>
  <c r="AC20" i="267"/>
  <c r="W24" i="267"/>
  <c r="W26" i="267"/>
  <c r="AK26" i="267"/>
  <c r="P8" i="267"/>
  <c r="AA9" i="267"/>
  <c r="AM9" i="267"/>
  <c r="AG12" i="267"/>
  <c r="AH14" i="267"/>
  <c r="AM15" i="267"/>
  <c r="S17" i="267"/>
  <c r="AA18" i="267"/>
  <c r="AM18" i="267"/>
  <c r="AD20" i="267"/>
  <c r="R23" i="267"/>
  <c r="AA23" i="267"/>
  <c r="AJ23" i="267"/>
  <c r="AS23" i="267"/>
  <c r="Z24" i="267"/>
  <c r="Z25" i="267"/>
  <c r="AJ25" i="267"/>
  <c r="L26" i="267"/>
  <c r="Y26" i="267"/>
  <c r="AN26" i="267"/>
  <c r="AD14" i="267"/>
  <c r="O14" i="267"/>
  <c r="W14" i="267" s="1"/>
  <c r="AK14" i="267"/>
  <c r="AI20" i="267"/>
  <c r="AH24" i="267"/>
  <c r="AN7" i="267"/>
  <c r="X8" i="267"/>
  <c r="O9" i="267"/>
  <c r="W9" i="267" s="1"/>
  <c r="AD9" i="267"/>
  <c r="AQ9" i="267"/>
  <c r="O12" i="267"/>
  <c r="W12" i="267" s="1"/>
  <c r="AO12" i="267"/>
  <c r="T14" i="267"/>
  <c r="AL14" i="267"/>
  <c r="O15" i="267"/>
  <c r="W15" i="267" s="1"/>
  <c r="AP15" i="267"/>
  <c r="AA17" i="267"/>
  <c r="AD18" i="267"/>
  <c r="AQ18" i="267"/>
  <c r="AK20" i="267"/>
  <c r="L22" i="267"/>
  <c r="T23" i="267"/>
  <c r="AC23" i="267"/>
  <c r="AL23" i="267"/>
  <c r="J24" i="267"/>
  <c r="AP24" i="267"/>
  <c r="R25" i="267"/>
  <c r="AB25" i="267"/>
  <c r="AN25" i="267"/>
  <c r="O26" i="267"/>
  <c r="AC26" i="267"/>
  <c r="AP26" i="267"/>
  <c r="V7" i="267"/>
  <c r="AR7" i="267"/>
  <c r="L7" i="267" s="1"/>
  <c r="AA8" i="267"/>
  <c r="P9" i="267"/>
  <c r="AE9" i="267"/>
  <c r="AS9" i="267"/>
  <c r="V11" i="267"/>
  <c r="Q12" i="267"/>
  <c r="R12" i="267" s="1"/>
  <c r="AJ12" i="267" s="1"/>
  <c r="V14" i="267"/>
  <c r="AM14" i="267"/>
  <c r="P15" i="267"/>
  <c r="AD17" i="267"/>
  <c r="O18" i="267"/>
  <c r="W18" i="267" s="1"/>
  <c r="AE18" i="267"/>
  <c r="AS18" i="267"/>
  <c r="AL20" i="267"/>
  <c r="S25" i="267"/>
  <c r="AC25" i="267"/>
  <c r="AP25" i="267"/>
  <c r="P26" i="267"/>
  <c r="AE26" i="267"/>
  <c r="AQ26" i="267"/>
  <c r="AS14" i="267"/>
  <c r="X7" i="267"/>
  <c r="AS7" i="267"/>
  <c r="AH8" i="267"/>
  <c r="S9" i="267"/>
  <c r="AF9" i="267"/>
  <c r="Y11" i="267"/>
  <c r="V12" i="267"/>
  <c r="AP14" i="267"/>
  <c r="X15" i="267"/>
  <c r="AI17" i="267"/>
  <c r="P18" i="267"/>
  <c r="AF18" i="267"/>
  <c r="AH19" i="267"/>
  <c r="S20" i="267"/>
  <c r="AQ20" i="267"/>
  <c r="T22" i="267"/>
  <c r="M23" i="267"/>
  <c r="V23" i="267"/>
  <c r="AE23" i="267"/>
  <c r="AN23" i="267"/>
  <c r="J25" i="267"/>
  <c r="T25" i="267"/>
  <c r="AD25" i="267"/>
  <c r="AQ25" i="267"/>
  <c r="Q26" i="267"/>
  <c r="AF26" i="267"/>
  <c r="AC14" i="267"/>
  <c r="AR14" i="267"/>
  <c r="L14" i="267" s="1"/>
  <c r="U14" i="267" s="1"/>
  <c r="AL17" i="267"/>
  <c r="V20" i="267"/>
  <c r="O24" i="267"/>
  <c r="AM10" i="267"/>
  <c r="AE10" i="267"/>
  <c r="O10" i="267"/>
  <c r="W10" i="267" s="1"/>
  <c r="AS10" i="267"/>
  <c r="AK10" i="267"/>
  <c r="AC10" i="267"/>
  <c r="AR10" i="267"/>
  <c r="L10" i="267" s="1"/>
  <c r="T10" i="267"/>
  <c r="V10" i="267"/>
  <c r="AH10" i="267"/>
  <c r="T13" i="267"/>
  <c r="S6" i="267"/>
  <c r="AA6" i="267"/>
  <c r="AI6" i="267"/>
  <c r="AQ6" i="267"/>
  <c r="AO8" i="267"/>
  <c r="AG8" i="267"/>
  <c r="AM8" i="267"/>
  <c r="AE8" i="267"/>
  <c r="AL8" i="267"/>
  <c r="Q8" i="267"/>
  <c r="R8" i="267" s="1"/>
  <c r="Y8" i="267"/>
  <c r="AI8" i="267"/>
  <c r="X10" i="267"/>
  <c r="AI10" i="267"/>
  <c r="Y13" i="267"/>
  <c r="AH6" i="267"/>
  <c r="AP6" i="267"/>
  <c r="AN13" i="267"/>
  <c r="AF13" i="267"/>
  <c r="X13" i="267"/>
  <c r="P13" i="267"/>
  <c r="AM13" i="267"/>
  <c r="AE13" i="267"/>
  <c r="O13" i="267"/>
  <c r="W13" i="267" s="1"/>
  <c r="AL13" i="267"/>
  <c r="AD13" i="267"/>
  <c r="V13" i="267"/>
  <c r="AS13" i="267"/>
  <c r="AK13" i="267"/>
  <c r="AC13" i="267"/>
  <c r="AN21" i="267"/>
  <c r="AF21" i="267"/>
  <c r="X21" i="267"/>
  <c r="P21" i="267"/>
  <c r="AM21" i="267"/>
  <c r="AE21" i="267"/>
  <c r="W21" i="267"/>
  <c r="O21" i="267"/>
  <c r="AL21" i="267"/>
  <c r="AD21" i="267"/>
  <c r="V21" i="267"/>
  <c r="AS21" i="267"/>
  <c r="AK21" i="267"/>
  <c r="AC21" i="267"/>
  <c r="U21" i="267"/>
  <c r="M21" i="267"/>
  <c r="AR21" i="267"/>
  <c r="AJ21" i="267"/>
  <c r="AB21" i="267"/>
  <c r="T21" i="267"/>
  <c r="L21" i="267"/>
  <c r="AQ21" i="267"/>
  <c r="AI21" i="267"/>
  <c r="AA21" i="267"/>
  <c r="S21" i="267"/>
  <c r="AP21" i="267"/>
  <c r="AH21" i="267"/>
  <c r="Z21" i="267"/>
  <c r="R21" i="267"/>
  <c r="J21" i="267"/>
  <c r="T6" i="267"/>
  <c r="AR6" i="267"/>
  <c r="L6" i="267" s="1"/>
  <c r="O7" i="267"/>
  <c r="W7" i="267" s="1"/>
  <c r="AE7" i="267"/>
  <c r="AM7" i="267"/>
  <c r="Y10" i="267"/>
  <c r="AL10" i="267"/>
  <c r="AA11" i="267"/>
  <c r="AL11" i="267"/>
  <c r="P12" i="267"/>
  <c r="AF12" i="267"/>
  <c r="AP13" i="267"/>
  <c r="R16" i="267"/>
  <c r="AJ16" i="267" s="1"/>
  <c r="AL6" i="266"/>
  <c r="Q21" i="267"/>
  <c r="V6" i="267"/>
  <c r="AD6" i="267"/>
  <c r="AL6" i="267"/>
  <c r="Q7" i="267"/>
  <c r="R7" i="267" s="1"/>
  <c r="Z7" i="267" s="1"/>
  <c r="Y7" i="267"/>
  <c r="AG7" i="267"/>
  <c r="AO7" i="267"/>
  <c r="T8" i="267"/>
  <c r="AN8" i="267"/>
  <c r="P10" i="267"/>
  <c r="AA10" i="267"/>
  <c r="AO10" i="267"/>
  <c r="Q11" i="267"/>
  <c r="R11" i="267" s="1"/>
  <c r="Z11" i="267" s="1"/>
  <c r="AC11" i="267"/>
  <c r="AR11" i="267"/>
  <c r="L11" i="267" s="1"/>
  <c r="AR13" i="267"/>
  <c r="L13" i="267" s="1"/>
  <c r="AQ16" i="267"/>
  <c r="AI16" i="267"/>
  <c r="AA16" i="267"/>
  <c r="S16" i="267"/>
  <c r="AN16" i="267"/>
  <c r="AF16" i="267"/>
  <c r="X16" i="267"/>
  <c r="P16" i="267"/>
  <c r="AM16" i="267"/>
  <c r="AE16" i="267"/>
  <c r="W16" i="267"/>
  <c r="O16" i="267"/>
  <c r="AL16" i="267"/>
  <c r="AD16" i="267"/>
  <c r="V16" i="267"/>
  <c r="AS16" i="267"/>
  <c r="AK16" i="267"/>
  <c r="AC16" i="267"/>
  <c r="U16" i="267"/>
  <c r="Y16" i="267"/>
  <c r="AR16" i="267"/>
  <c r="L16" i="267" s="1"/>
  <c r="M16" i="267" s="1"/>
  <c r="Y21" i="267"/>
  <c r="AQ13" i="267"/>
  <c r="O6" i="267"/>
  <c r="W6" i="267" s="1"/>
  <c r="AE6" i="267"/>
  <c r="AM6" i="267"/>
  <c r="J7" i="267"/>
  <c r="AH7" i="267"/>
  <c r="AP7" i="267"/>
  <c r="AC8" i="267"/>
  <c r="AP8" i="267"/>
  <c r="Q10" i="267"/>
  <c r="R10" i="267" s="1"/>
  <c r="Z10" i="267" s="1"/>
  <c r="AD10" i="267"/>
  <c r="AP10" i="267"/>
  <c r="S11" i="267"/>
  <c r="AD11" i="267"/>
  <c r="AS11" i="267"/>
  <c r="Q13" i="267"/>
  <c r="R13" i="267" s="1"/>
  <c r="AG13" i="267"/>
  <c r="AG21" i="267"/>
  <c r="AC6" i="267"/>
  <c r="AS6" i="267"/>
  <c r="AN10" i="267"/>
  <c r="AA13" i="267"/>
  <c r="P6" i="267"/>
  <c r="X6" i="267"/>
  <c r="AF6" i="267"/>
  <c r="AN6" i="267"/>
  <c r="S7" i="267"/>
  <c r="AA7" i="267"/>
  <c r="AI7" i="267"/>
  <c r="V8" i="267"/>
  <c r="AD8" i="267"/>
  <c r="AQ8" i="267"/>
  <c r="AF10" i="267"/>
  <c r="AQ10" i="267"/>
  <c r="T11" i="267"/>
  <c r="AS12" i="267"/>
  <c r="AK12" i="267"/>
  <c r="AC12" i="267"/>
  <c r="AR12" i="267"/>
  <c r="L12" i="267" s="1"/>
  <c r="U12" i="267" s="1"/>
  <c r="T12" i="267"/>
  <c r="AQ12" i="267"/>
  <c r="AI12" i="267"/>
  <c r="AA12" i="267"/>
  <c r="S12" i="267"/>
  <c r="AP12" i="267"/>
  <c r="AH12" i="267"/>
  <c r="X12" i="267"/>
  <c r="AN12" i="267"/>
  <c r="AH13" i="267"/>
  <c r="AB16" i="267"/>
  <c r="AO21" i="267"/>
  <c r="AK6" i="267"/>
  <c r="Q6" i="267"/>
  <c r="R6" i="267" s="1"/>
  <c r="Y6" i="267"/>
  <c r="AG6" i="267"/>
  <c r="O8" i="267"/>
  <c r="W8" i="267" s="1"/>
  <c r="AF8" i="267"/>
  <c r="AR8" i="267"/>
  <c r="L8" i="267" s="1"/>
  <c r="S10" i="267"/>
  <c r="AG10" i="267"/>
  <c r="AP11" i="267"/>
  <c r="AH11" i="267"/>
  <c r="AO11" i="267"/>
  <c r="AN11" i="267"/>
  <c r="AF11" i="267"/>
  <c r="X11" i="267"/>
  <c r="P11" i="267"/>
  <c r="AM11" i="267"/>
  <c r="AE11" i="267"/>
  <c r="O11" i="267"/>
  <c r="W11" i="267" s="1"/>
  <c r="AI11" i="267"/>
  <c r="S13" i="267"/>
  <c r="AI13" i="267"/>
  <c r="Q9" i="267"/>
  <c r="R9" i="267" s="1"/>
  <c r="AB9" i="267" s="1"/>
  <c r="Y9" i="267"/>
  <c r="AG9" i="267"/>
  <c r="AO9" i="267"/>
  <c r="P14" i="267"/>
  <c r="X14" i="267"/>
  <c r="AF14" i="267"/>
  <c r="AN14" i="267"/>
  <c r="S15" i="267"/>
  <c r="AA15" i="267"/>
  <c r="AI15" i="267"/>
  <c r="AQ15" i="267"/>
  <c r="O17" i="267"/>
  <c r="W17" i="267" s="1"/>
  <c r="AE17" i="267"/>
  <c r="AM17" i="267"/>
  <c r="Q18" i="267"/>
  <c r="Y18" i="267"/>
  <c r="AG18" i="267"/>
  <c r="AO18" i="267"/>
  <c r="L19" i="267"/>
  <c r="M19" i="267" s="1"/>
  <c r="T19" i="267"/>
  <c r="AJ19" i="267"/>
  <c r="AR19" i="267"/>
  <c r="O20" i="267"/>
  <c r="W20" i="267" s="1"/>
  <c r="AE20" i="267"/>
  <c r="AM20" i="267"/>
  <c r="M22" i="267"/>
  <c r="U22" i="267"/>
  <c r="AC22" i="267"/>
  <c r="AK22" i="267"/>
  <c r="AS22" i="267"/>
  <c r="S24" i="267"/>
  <c r="AA24" i="267"/>
  <c r="AI24" i="267"/>
  <c r="AQ24" i="267"/>
  <c r="AL25" i="267"/>
  <c r="R26" i="267"/>
  <c r="AA26" i="267"/>
  <c r="AI26" i="267"/>
  <c r="AR26" i="267"/>
  <c r="AH9" i="267"/>
  <c r="AP9" i="267"/>
  <c r="Q14" i="267"/>
  <c r="R14" i="267" s="1"/>
  <c r="Y14" i="267"/>
  <c r="AG14" i="267"/>
  <c r="AO14" i="267"/>
  <c r="T15" i="267"/>
  <c r="AR15" i="267"/>
  <c r="L15" i="267" s="1"/>
  <c r="P17" i="267"/>
  <c r="X17" i="267"/>
  <c r="AF17" i="267"/>
  <c r="AN17" i="267"/>
  <c r="R18" i="267"/>
  <c r="Z18" i="267" s="1"/>
  <c r="AH18" i="267"/>
  <c r="AP18" i="267"/>
  <c r="AC19" i="267"/>
  <c r="AK19" i="267"/>
  <c r="AS19" i="267"/>
  <c r="P20" i="267"/>
  <c r="X20" i="267"/>
  <c r="AF20" i="267"/>
  <c r="AN20" i="267"/>
  <c r="V22" i="267"/>
  <c r="AD22" i="267"/>
  <c r="AL22" i="267"/>
  <c r="Q23" i="267"/>
  <c r="Y23" i="267"/>
  <c r="AG23" i="267"/>
  <c r="L24" i="267"/>
  <c r="T24" i="267"/>
  <c r="AB24" i="267"/>
  <c r="AJ24" i="267"/>
  <c r="AR24" i="267"/>
  <c r="O25" i="267"/>
  <c r="W25" i="267"/>
  <c r="AE25" i="267"/>
  <c r="AM25" i="267"/>
  <c r="J26" i="267"/>
  <c r="S26" i="267"/>
  <c r="AB26" i="267"/>
  <c r="AJ26" i="267"/>
  <c r="AS26" i="267"/>
  <c r="AC15" i="267"/>
  <c r="AK15" i="267"/>
  <c r="AS15" i="267"/>
  <c r="Q17" i="267"/>
  <c r="R17" i="267" s="1"/>
  <c r="Y17" i="267"/>
  <c r="AG17" i="267"/>
  <c r="AO17" i="267"/>
  <c r="V19" i="267"/>
  <c r="AD19" i="267"/>
  <c r="AL19" i="267"/>
  <c r="Q20" i="267"/>
  <c r="R20" i="267" s="1"/>
  <c r="Y20" i="267"/>
  <c r="AG20" i="267"/>
  <c r="AO20" i="267"/>
  <c r="O22" i="267"/>
  <c r="W22" i="267"/>
  <c r="AE22" i="267"/>
  <c r="AM22" i="267"/>
  <c r="M24" i="267"/>
  <c r="U24" i="267"/>
  <c r="AC24" i="267"/>
  <c r="AK24" i="267"/>
  <c r="AS24" i="267"/>
  <c r="L9" i="267"/>
  <c r="T9" i="267"/>
  <c r="S14" i="267"/>
  <c r="AA14" i="267"/>
  <c r="AI14" i="267"/>
  <c r="V15" i="267"/>
  <c r="AD15" i="267"/>
  <c r="AL15" i="267"/>
  <c r="AH17" i="267"/>
  <c r="AP17" i="267"/>
  <c r="L18" i="267"/>
  <c r="T18" i="267"/>
  <c r="AB18" i="267"/>
  <c r="AJ18" i="267"/>
  <c r="O19" i="267"/>
  <c r="W19" i="267" s="1"/>
  <c r="AE19" i="267"/>
  <c r="AM19" i="267"/>
  <c r="AH20" i="267"/>
  <c r="AP20" i="267"/>
  <c r="P22" i="267"/>
  <c r="X22" i="267"/>
  <c r="AF22" i="267"/>
  <c r="AN22" i="267"/>
  <c r="V24" i="267"/>
  <c r="AD24" i="267"/>
  <c r="AL24" i="267"/>
  <c r="Q25" i="267"/>
  <c r="Y25" i="267"/>
  <c r="AG25" i="267"/>
  <c r="M26" i="267"/>
  <c r="U26" i="267"/>
  <c r="AD26" i="267"/>
  <c r="Q22" i="267"/>
  <c r="Y22" i="267"/>
  <c r="AG22" i="267"/>
  <c r="AO22" i="267"/>
  <c r="AE24" i="267"/>
  <c r="AM24" i="267"/>
  <c r="T17" i="267"/>
  <c r="AR17" i="267"/>
  <c r="L17" i="267" s="1"/>
  <c r="U17" i="267" s="1"/>
  <c r="Q19" i="267"/>
  <c r="R19" i="267" s="1"/>
  <c r="Z19" i="267" s="1"/>
  <c r="Y19" i="267"/>
  <c r="AG19" i="267"/>
  <c r="L20" i="267"/>
  <c r="T20" i="267"/>
  <c r="AR20" i="267"/>
  <c r="J22" i="267"/>
  <c r="R22" i="267"/>
  <c r="Z22" i="267"/>
  <c r="AH22" i="267"/>
  <c r="AP22" i="267"/>
  <c r="P24" i="267"/>
  <c r="X24" i="267"/>
  <c r="AF24" i="267"/>
  <c r="AN24" i="267"/>
  <c r="Q15" i="267"/>
  <c r="R15" i="267" s="1"/>
  <c r="Z15" i="267" s="1"/>
  <c r="Y15" i="267"/>
  <c r="AG15" i="267"/>
  <c r="M17" i="267"/>
  <c r="AC17" i="267"/>
  <c r="AK17" i="267"/>
  <c r="S22" i="267"/>
  <c r="AA22" i="267"/>
  <c r="AI22" i="267"/>
  <c r="Q24" i="267"/>
  <c r="Y24" i="267"/>
  <c r="AG24" i="267"/>
  <c r="AQ9" i="266"/>
  <c r="O12" i="266"/>
  <c r="W12" i="266" s="1"/>
  <c r="AN14" i="266"/>
  <c r="AE12" i="266"/>
  <c r="P19" i="266"/>
  <c r="O9" i="266"/>
  <c r="W9" i="266" s="1"/>
  <c r="AP17" i="266"/>
  <c r="Q19" i="266"/>
  <c r="R19" i="266" s="1"/>
  <c r="Q9" i="266"/>
  <c r="R9" i="266" s="1"/>
  <c r="T19" i="266"/>
  <c r="AF21" i="266"/>
  <c r="J21" i="266"/>
  <c r="AK21" i="266"/>
  <c r="S8" i="266"/>
  <c r="O11" i="266"/>
  <c r="W11" i="266" s="1"/>
  <c r="O16" i="266"/>
  <c r="W16" i="266" s="1"/>
  <c r="AH21" i="266"/>
  <c r="AA8" i="266"/>
  <c r="Y11" i="266"/>
  <c r="AK16" i="266"/>
  <c r="AO19" i="266"/>
  <c r="T13" i="266"/>
  <c r="AR19" i="266"/>
  <c r="O21" i="266"/>
  <c r="S24" i="266"/>
  <c r="V7" i="266"/>
  <c r="Y13" i="266"/>
  <c r="AC15" i="266"/>
  <c r="L19" i="266"/>
  <c r="U19" i="266" s="1"/>
  <c r="W21" i="266"/>
  <c r="P22" i="266"/>
  <c r="AE24" i="266"/>
  <c r="AE7" i="266"/>
  <c r="AE10" i="266"/>
  <c r="AB21" i="266"/>
  <c r="AL23" i="266"/>
  <c r="P6" i="266"/>
  <c r="AR6" i="266"/>
  <c r="L6" i="266" s="1"/>
  <c r="U6" i="266" s="1"/>
  <c r="AL7" i="266"/>
  <c r="AI8" i="266"/>
  <c r="T9" i="266"/>
  <c r="AI11" i="266"/>
  <c r="AF12" i="266"/>
  <c r="AD13" i="266"/>
  <c r="P16" i="266"/>
  <c r="AQ16" i="266"/>
  <c r="AR18" i="266"/>
  <c r="L18" i="266" s="1"/>
  <c r="AE19" i="266"/>
  <c r="P21" i="266"/>
  <c r="AP21" i="266"/>
  <c r="Z23" i="266"/>
  <c r="AR23" i="266"/>
  <c r="AF24" i="266"/>
  <c r="X23" i="266"/>
  <c r="S6" i="266"/>
  <c r="AS6" i="266"/>
  <c r="AM7" i="266"/>
  <c r="AS8" i="266"/>
  <c r="Y9" i="266"/>
  <c r="V10" i="266"/>
  <c r="AM11" i="266"/>
  <c r="AR12" i="266"/>
  <c r="AM13" i="266"/>
  <c r="S15" i="266"/>
  <c r="S16" i="266"/>
  <c r="AS16" i="266"/>
  <c r="AF19" i="266"/>
  <c r="AE20" i="266"/>
  <c r="S21" i="266"/>
  <c r="AQ21" i="266"/>
  <c r="L23" i="266"/>
  <c r="AA23" i="266"/>
  <c r="AS23" i="266"/>
  <c r="AS24" i="266"/>
  <c r="P23" i="265"/>
  <c r="T6" i="266"/>
  <c r="AQ7" i="266"/>
  <c r="AK9" i="266"/>
  <c r="AS12" i="266"/>
  <c r="V16" i="266"/>
  <c r="M23" i="266"/>
  <c r="AB23" i="266"/>
  <c r="X6" i="266"/>
  <c r="AL9" i="266"/>
  <c r="AD16" i="266"/>
  <c r="S18" i="266"/>
  <c r="X21" i="266"/>
  <c r="AH23" i="266"/>
  <c r="AE6" i="266"/>
  <c r="AE16" i="266"/>
  <c r="T18" i="266"/>
  <c r="P23" i="266"/>
  <c r="AI23" i="266"/>
  <c r="AK18" i="266"/>
  <c r="AF6" i="266"/>
  <c r="AF16" i="266"/>
  <c r="AA18" i="266"/>
  <c r="R23" i="266"/>
  <c r="AJ23" i="266"/>
  <c r="AI6" i="266"/>
  <c r="X7" i="266"/>
  <c r="P9" i="266"/>
  <c r="P12" i="266"/>
  <c r="AI16" i="266"/>
  <c r="AQ17" i="266"/>
  <c r="Z22" i="266"/>
  <c r="V23" i="266"/>
  <c r="AK23" i="266"/>
  <c r="U24" i="266"/>
  <c r="AG14" i="266"/>
  <c r="AI25" i="266"/>
  <c r="AA7" i="266"/>
  <c r="AN7" i="266"/>
  <c r="AF10" i="266"/>
  <c r="T12" i="266"/>
  <c r="AH12" i="266"/>
  <c r="AO14" i="266"/>
  <c r="AD15" i="266"/>
  <c r="V18" i="266"/>
  <c r="AL18" i="266"/>
  <c r="Z21" i="266"/>
  <c r="AI21" i="266"/>
  <c r="AR21" i="266"/>
  <c r="AC22" i="266"/>
  <c r="V24" i="266"/>
  <c r="AI24" i="266"/>
  <c r="J25" i="266"/>
  <c r="V6" i="266"/>
  <c r="AK6" i="266"/>
  <c r="AD7" i="266"/>
  <c r="AP7" i="266"/>
  <c r="AR8" i="266"/>
  <c r="AO10" i="266"/>
  <c r="AK12" i="266"/>
  <c r="AF13" i="266"/>
  <c r="P14" i="266"/>
  <c r="AP14" i="266"/>
  <c r="AQ15" i="266"/>
  <c r="Y18" i="266"/>
  <c r="AQ18" i="266"/>
  <c r="R21" i="266"/>
  <c r="AA21" i="266"/>
  <c r="AJ21" i="266"/>
  <c r="AS21" i="266"/>
  <c r="AP22" i="266"/>
  <c r="W24" i="266"/>
  <c r="AK24" i="266"/>
  <c r="AP10" i="266"/>
  <c r="V12" i="266"/>
  <c r="AL12" i="266"/>
  <c r="Q14" i="266"/>
  <c r="R14" i="266" s="1"/>
  <c r="Z14" i="266" s="1"/>
  <c r="AR15" i="266"/>
  <c r="L15" i="266" s="1"/>
  <c r="U15" i="266" s="1"/>
  <c r="AS22" i="266"/>
  <c r="M24" i="266"/>
  <c r="X24" i="266"/>
  <c r="AL24" i="266"/>
  <c r="O26" i="266"/>
  <c r="AQ25" i="266"/>
  <c r="AA6" i="266"/>
  <c r="AM6" i="266"/>
  <c r="O7" i="266"/>
  <c r="W7" i="266" s="1"/>
  <c r="AF7" i="266"/>
  <c r="AA9" i="266"/>
  <c r="X12" i="266"/>
  <c r="AM12" i="266"/>
  <c r="AN13" i="266"/>
  <c r="S14" i="266"/>
  <c r="X16" i="266"/>
  <c r="AL16" i="266"/>
  <c r="Q17" i="266"/>
  <c r="R17" i="266" s="1"/>
  <c r="AB17" i="266" s="1"/>
  <c r="AC18" i="266"/>
  <c r="AS18" i="266"/>
  <c r="T21" i="266"/>
  <c r="AC21" i="266"/>
  <c r="AL21" i="266"/>
  <c r="S23" i="266"/>
  <c r="AC23" i="266"/>
  <c r="AN23" i="266"/>
  <c r="AA24" i="266"/>
  <c r="AM24" i="266"/>
  <c r="R25" i="266"/>
  <c r="W26" i="266"/>
  <c r="M23" i="265"/>
  <c r="AC6" i="266"/>
  <c r="AN6" i="266"/>
  <c r="P7" i="266"/>
  <c r="AH7" i="266"/>
  <c r="AD9" i="266"/>
  <c r="L12" i="266"/>
  <c r="M12" i="266" s="1"/>
  <c r="AC12" i="266"/>
  <c r="AN12" i="266"/>
  <c r="O13" i="266"/>
  <c r="W13" i="266" s="1"/>
  <c r="AO13" i="266"/>
  <c r="AA14" i="266"/>
  <c r="AA16" i="266"/>
  <c r="AM16" i="266"/>
  <c r="AD17" i="266"/>
  <c r="AD18" i="266"/>
  <c r="X19" i="266"/>
  <c r="L21" i="266"/>
  <c r="U21" i="266"/>
  <c r="AD21" i="266"/>
  <c r="AM21" i="266"/>
  <c r="J23" i="266"/>
  <c r="T23" i="266"/>
  <c r="AD23" i="266"/>
  <c r="AP23" i="266"/>
  <c r="O24" i="266"/>
  <c r="AC24" i="266"/>
  <c r="AN24" i="266"/>
  <c r="S25" i="266"/>
  <c r="AF26" i="266"/>
  <c r="P18" i="265"/>
  <c r="O6" i="266"/>
  <c r="W6" i="266" s="1"/>
  <c r="AD6" i="266"/>
  <c r="AQ6" i="266"/>
  <c r="S7" i="266"/>
  <c r="AI7" i="266"/>
  <c r="T10" i="266"/>
  <c r="AD12" i="266"/>
  <c r="AP12" i="266"/>
  <c r="P13" i="266"/>
  <c r="AD14" i="266"/>
  <c r="Q15" i="266"/>
  <c r="R15" i="266" s="1"/>
  <c r="AB15" i="266" s="1"/>
  <c r="AC16" i="266"/>
  <c r="AN16" i="266"/>
  <c r="AF17" i="266"/>
  <c r="Q18" i="266"/>
  <c r="R18" i="266" s="1"/>
  <c r="AJ18" i="266" s="1"/>
  <c r="M21" i="266"/>
  <c r="V21" i="266"/>
  <c r="AE21" i="266"/>
  <c r="AN21" i="266"/>
  <c r="O22" i="266"/>
  <c r="U23" i="266"/>
  <c r="AF23" i="266"/>
  <c r="AQ23" i="266"/>
  <c r="P24" i="266"/>
  <c r="AD24" i="266"/>
  <c r="AQ24" i="266"/>
  <c r="AA25" i="266"/>
  <c r="AO26" i="266"/>
  <c r="AN20" i="266"/>
  <c r="AF20" i="266"/>
  <c r="X20" i="266"/>
  <c r="P20" i="266"/>
  <c r="AL20" i="266"/>
  <c r="AD20" i="266"/>
  <c r="V20" i="266"/>
  <c r="AS20" i="266"/>
  <c r="AK20" i="266"/>
  <c r="AC20" i="266"/>
  <c r="S20" i="266"/>
  <c r="AG20" i="266"/>
  <c r="AR20" i="266"/>
  <c r="Q7" i="266"/>
  <c r="R7" i="266" s="1"/>
  <c r="Z7" i="266" s="1"/>
  <c r="Y7" i="266"/>
  <c r="AG7" i="266"/>
  <c r="AO7" i="266"/>
  <c r="L8" i="266"/>
  <c r="M8" i="266" s="1"/>
  <c r="T8" i="266"/>
  <c r="AK8" i="266"/>
  <c r="AP9" i="266"/>
  <c r="AH9" i="266"/>
  <c r="AN9" i="266"/>
  <c r="AF9" i="266"/>
  <c r="X9" i="266"/>
  <c r="S9" i="266"/>
  <c r="AC9" i="266"/>
  <c r="AM9" i="266"/>
  <c r="AG10" i="266"/>
  <c r="AR10" i="266"/>
  <c r="L10" i="266" s="1"/>
  <c r="Q11" i="266"/>
  <c r="R11" i="266" s="1"/>
  <c r="AA11" i="266"/>
  <c r="Q13" i="266"/>
  <c r="R13" i="266" s="1"/>
  <c r="AB13" i="266" s="1"/>
  <c r="AE13" i="266"/>
  <c r="AF14" i="266"/>
  <c r="T15" i="266"/>
  <c r="AG15" i="266"/>
  <c r="S17" i="266"/>
  <c r="AP18" i="266"/>
  <c r="AH18" i="266"/>
  <c r="AN18" i="266"/>
  <c r="AF18" i="266"/>
  <c r="X18" i="266"/>
  <c r="P18" i="266"/>
  <c r="AM18" i="266"/>
  <c r="AE18" i="266"/>
  <c r="O18" i="266"/>
  <c r="W18" i="266" s="1"/>
  <c r="AI18" i="266"/>
  <c r="AS19" i="266"/>
  <c r="AK19" i="266"/>
  <c r="AC19" i="266"/>
  <c r="AQ19" i="266"/>
  <c r="AI19" i="266"/>
  <c r="AA19" i="266"/>
  <c r="S19" i="266"/>
  <c r="AP19" i="266"/>
  <c r="AH19" i="266"/>
  <c r="V19" i="266"/>
  <c r="AG19" i="266"/>
  <c r="T20" i="266"/>
  <c r="AH20" i="266"/>
  <c r="Q22" i="266"/>
  <c r="Q22" i="265"/>
  <c r="AK24" i="265"/>
  <c r="J7" i="266"/>
  <c r="J8" i="266" s="1"/>
  <c r="J9" i="266" s="1"/>
  <c r="AC8" i="266"/>
  <c r="AL8" i="266"/>
  <c r="X10" i="266"/>
  <c r="AH10" i="266"/>
  <c r="AN11" i="266"/>
  <c r="AF11" i="266"/>
  <c r="X11" i="266"/>
  <c r="P11" i="266"/>
  <c r="AL11" i="266"/>
  <c r="AD11" i="266"/>
  <c r="V11" i="266"/>
  <c r="AS11" i="266"/>
  <c r="AK11" i="266"/>
  <c r="AC11" i="266"/>
  <c r="AP11" i="266"/>
  <c r="AP15" i="266"/>
  <c r="AH15" i="266"/>
  <c r="AN15" i="266"/>
  <c r="AF15" i="266"/>
  <c r="X15" i="266"/>
  <c r="P15" i="266"/>
  <c r="AM15" i="266"/>
  <c r="AE15" i="266"/>
  <c r="O15" i="266"/>
  <c r="W15" i="266" s="1"/>
  <c r="AI15" i="266"/>
  <c r="AM17" i="266"/>
  <c r="AE17" i="266"/>
  <c r="O17" i="266"/>
  <c r="W17" i="266" s="1"/>
  <c r="AS17" i="266"/>
  <c r="AK17" i="266"/>
  <c r="AC17" i="266"/>
  <c r="AR17" i="266"/>
  <c r="L17" i="266" s="1"/>
  <c r="U17" i="266" s="1"/>
  <c r="T17" i="266"/>
  <c r="V17" i="266"/>
  <c r="AH17" i="266"/>
  <c r="AI20" i="266"/>
  <c r="AM22" i="266"/>
  <c r="AE22" i="266"/>
  <c r="AL22" i="266"/>
  <c r="AD22" i="266"/>
  <c r="V22" i="266"/>
  <c r="AR22" i="266"/>
  <c r="AJ22" i="266"/>
  <c r="AB22" i="266"/>
  <c r="T22" i="266"/>
  <c r="L22" i="266"/>
  <c r="AQ22" i="266"/>
  <c r="AI22" i="266"/>
  <c r="AA22" i="266"/>
  <c r="S22" i="266"/>
  <c r="R22" i="266"/>
  <c r="AG22" i="266"/>
  <c r="Q20" i="265"/>
  <c r="R22" i="265"/>
  <c r="T23" i="265"/>
  <c r="AM24" i="265"/>
  <c r="V8" i="266"/>
  <c r="AD8" i="266"/>
  <c r="AN8" i="266"/>
  <c r="O10" i="266"/>
  <c r="W10" i="266" s="1"/>
  <c r="Y10" i="266"/>
  <c r="S11" i="266"/>
  <c r="AE11" i="266"/>
  <c r="AQ11" i="266"/>
  <c r="AS13" i="266"/>
  <c r="AK13" i="266"/>
  <c r="AC13" i="266"/>
  <c r="AQ13" i="266"/>
  <c r="AI13" i="266"/>
  <c r="AA13" i="266"/>
  <c r="S13" i="266"/>
  <c r="AP13" i="266"/>
  <c r="AH13" i="266"/>
  <c r="V13" i="266"/>
  <c r="AG13" i="266"/>
  <c r="AM14" i="266"/>
  <c r="AE14" i="266"/>
  <c r="O14" i="266"/>
  <c r="W14" i="266" s="1"/>
  <c r="AS14" i="266"/>
  <c r="AK14" i="266"/>
  <c r="AC14" i="266"/>
  <c r="AR14" i="266"/>
  <c r="L14" i="266" s="1"/>
  <c r="T14" i="266"/>
  <c r="V14" i="266"/>
  <c r="AH14" i="266"/>
  <c r="V15" i="266"/>
  <c r="X17" i="266"/>
  <c r="AI17" i="266"/>
  <c r="AL19" i="266"/>
  <c r="L20" i="266"/>
  <c r="M20" i="266" s="1"/>
  <c r="Y20" i="266"/>
  <c r="J22" i="266"/>
  <c r="U22" i="266"/>
  <c r="AH22" i="266"/>
  <c r="Z22" i="265"/>
  <c r="AA23" i="265"/>
  <c r="Q6" i="266"/>
  <c r="R6" i="266" s="1"/>
  <c r="Y6" i="266"/>
  <c r="AG6" i="266"/>
  <c r="AO6" i="266"/>
  <c r="T7" i="266"/>
  <c r="AR7" i="266"/>
  <c r="L7" i="266" s="1"/>
  <c r="O8" i="266"/>
  <c r="W8" i="266" s="1"/>
  <c r="AF8" i="266"/>
  <c r="AO8" i="266"/>
  <c r="V9" i="266"/>
  <c r="AG9" i="266"/>
  <c r="AR9" i="266"/>
  <c r="L9" i="266" s="1"/>
  <c r="U9" i="266" s="1"/>
  <c r="P10" i="266"/>
  <c r="AL10" i="266"/>
  <c r="T11" i="266"/>
  <c r="AG11" i="266"/>
  <c r="AR11" i="266"/>
  <c r="X14" i="266"/>
  <c r="AI14" i="266"/>
  <c r="Y15" i="266"/>
  <c r="AK15" i="266"/>
  <c r="Y17" i="266"/>
  <c r="AL17" i="266"/>
  <c r="Y19" i="266"/>
  <c r="AM19" i="266"/>
  <c r="AM20" i="266"/>
  <c r="W22" i="266"/>
  <c r="AK22" i="266"/>
  <c r="T16" i="265"/>
  <c r="AM22" i="265"/>
  <c r="AJ23" i="265"/>
  <c r="AH6" i="266"/>
  <c r="AC7" i="266"/>
  <c r="AK7" i="266"/>
  <c r="P8" i="266"/>
  <c r="X8" i="266"/>
  <c r="AG8" i="266"/>
  <c r="AI9" i="266"/>
  <c r="AS9" i="266"/>
  <c r="Q10" i="266"/>
  <c r="R10" i="266" s="1"/>
  <c r="L11" i="266"/>
  <c r="M11" i="266" s="1"/>
  <c r="AH11" i="266"/>
  <c r="L13" i="266"/>
  <c r="M13" i="266" s="1"/>
  <c r="X13" i="266"/>
  <c r="AL13" i="266"/>
  <c r="Y14" i="266"/>
  <c r="AL14" i="266"/>
  <c r="AA15" i="266"/>
  <c r="AL15" i="266"/>
  <c r="AN17" i="266"/>
  <c r="AO18" i="266"/>
  <c r="O19" i="266"/>
  <c r="W19" i="266" s="1"/>
  <c r="AN19" i="266"/>
  <c r="O20" i="266"/>
  <c r="W20" i="266" s="1"/>
  <c r="AA20" i="266"/>
  <c r="AO20" i="266"/>
  <c r="M22" i="266"/>
  <c r="X22" i="266"/>
  <c r="AN22" i="266"/>
  <c r="AN23" i="265"/>
  <c r="AM8" i="266"/>
  <c r="AE8" i="266"/>
  <c r="Q8" i="266"/>
  <c r="R8" i="266" s="1"/>
  <c r="AB8" i="266" s="1"/>
  <c r="Y8" i="266"/>
  <c r="AH8" i="266"/>
  <c r="AQ8" i="266"/>
  <c r="AS10" i="266"/>
  <c r="AK10" i="266"/>
  <c r="AC10" i="266"/>
  <c r="AQ10" i="266"/>
  <c r="AI10" i="266"/>
  <c r="AA10" i="266"/>
  <c r="S10" i="266"/>
  <c r="AD10" i="266"/>
  <c r="AN10" i="266"/>
  <c r="AO15" i="266"/>
  <c r="P17" i="266"/>
  <c r="AA17" i="266"/>
  <c r="AO17" i="266"/>
  <c r="Q20" i="266"/>
  <c r="R20" i="266" s="1"/>
  <c r="AJ20" i="266" s="1"/>
  <c r="AP20" i="266"/>
  <c r="Y22" i="266"/>
  <c r="AO22" i="266"/>
  <c r="Q16" i="266"/>
  <c r="R16" i="266" s="1"/>
  <c r="AJ16" i="266" s="1"/>
  <c r="Y16" i="266"/>
  <c r="AG16" i="266"/>
  <c r="AO16" i="266"/>
  <c r="Q24" i="266"/>
  <c r="Y24" i="266"/>
  <c r="AG24" i="266"/>
  <c r="AO24" i="266"/>
  <c r="L25" i="266"/>
  <c r="T25" i="266"/>
  <c r="AB25" i="266"/>
  <c r="AJ25" i="266"/>
  <c r="AR25" i="266"/>
  <c r="P26" i="266"/>
  <c r="Y26" i="266"/>
  <c r="AG26" i="266"/>
  <c r="AP26" i="266"/>
  <c r="Q12" i="266"/>
  <c r="R12" i="266" s="1"/>
  <c r="Y12" i="266"/>
  <c r="AG12" i="266"/>
  <c r="AO12" i="266"/>
  <c r="AH16" i="266"/>
  <c r="AP16" i="266"/>
  <c r="Q21" i="266"/>
  <c r="Y21" i="266"/>
  <c r="AG21" i="266"/>
  <c r="O23" i="266"/>
  <c r="W23" i="266"/>
  <c r="AE23" i="266"/>
  <c r="AM23" i="266"/>
  <c r="J24" i="266"/>
  <c r="R24" i="266"/>
  <c r="Z24" i="266"/>
  <c r="AH24" i="266"/>
  <c r="AP24" i="266"/>
  <c r="M25" i="266"/>
  <c r="U25" i="266"/>
  <c r="AC25" i="266"/>
  <c r="AK25" i="266"/>
  <c r="AS25" i="266"/>
  <c r="Q26" i="266"/>
  <c r="Z26" i="266"/>
  <c r="AH26" i="266"/>
  <c r="AQ26" i="266"/>
  <c r="V25" i="266"/>
  <c r="AD25" i="266"/>
  <c r="AL25" i="266"/>
  <c r="R26" i="266"/>
  <c r="AA26" i="266"/>
  <c r="AI26" i="266"/>
  <c r="AR26" i="266"/>
  <c r="S12" i="266"/>
  <c r="AA12" i="266"/>
  <c r="AI12" i="266"/>
  <c r="L16" i="266"/>
  <c r="T16" i="266"/>
  <c r="Q23" i="266"/>
  <c r="Y23" i="266"/>
  <c r="AG23" i="266"/>
  <c r="L24" i="266"/>
  <c r="T24" i="266"/>
  <c r="AB24" i="266"/>
  <c r="AJ24" i="266"/>
  <c r="O25" i="266"/>
  <c r="W25" i="266"/>
  <c r="AE25" i="266"/>
  <c r="AM25" i="266"/>
  <c r="J26" i="266"/>
  <c r="S26" i="266"/>
  <c r="AB26" i="266"/>
  <c r="AJ26" i="266"/>
  <c r="AS26" i="266"/>
  <c r="P25" i="266"/>
  <c r="X25" i="266"/>
  <c r="AF25" i="266"/>
  <c r="AN25" i="266"/>
  <c r="L26" i="266"/>
  <c r="T26" i="266"/>
  <c r="AC26" i="266"/>
  <c r="AK26" i="266"/>
  <c r="Q25" i="266"/>
  <c r="Y25" i="266"/>
  <c r="AG25" i="266"/>
  <c r="AO25" i="266"/>
  <c r="M26" i="266"/>
  <c r="U26" i="266"/>
  <c r="AD26" i="266"/>
  <c r="AM26" i="266"/>
  <c r="Z25" i="266"/>
  <c r="AH25" i="266"/>
  <c r="V26" i="266"/>
  <c r="AE26" i="266"/>
  <c r="S16" i="265"/>
  <c r="AE15" i="265"/>
  <c r="AH15" i="265"/>
  <c r="M24" i="265"/>
  <c r="AM15" i="265"/>
  <c r="AR21" i="265"/>
  <c r="AB23" i="265"/>
  <c r="AH23" i="265"/>
  <c r="U24" i="265"/>
  <c r="AL14" i="265"/>
  <c r="L23" i="265"/>
  <c r="AI23" i="265"/>
  <c r="W24" i="265"/>
  <c r="V12" i="264"/>
  <c r="P7" i="265"/>
  <c r="AP14" i="265"/>
  <c r="AM18" i="265"/>
  <c r="T20" i="265"/>
  <c r="X23" i="265"/>
  <c r="AP23" i="265"/>
  <c r="X24" i="265"/>
  <c r="P25" i="265"/>
  <c r="X7" i="265"/>
  <c r="O8" i="265"/>
  <c r="W8" i="265" s="1"/>
  <c r="O12" i="265"/>
  <c r="W12" i="265" s="1"/>
  <c r="O14" i="265"/>
  <c r="W14" i="265" s="1"/>
  <c r="AS14" i="265"/>
  <c r="S17" i="265"/>
  <c r="AO20" i="265"/>
  <c r="J22" i="265"/>
  <c r="J23" i="265"/>
  <c r="Z23" i="265"/>
  <c r="AS23" i="265"/>
  <c r="AC24" i="265"/>
  <c r="R25" i="265"/>
  <c r="AH7" i="265"/>
  <c r="V8" i="265"/>
  <c r="AE12" i="265"/>
  <c r="P14" i="265"/>
  <c r="AL17" i="265"/>
  <c r="AQ20" i="265"/>
  <c r="AF24" i="265"/>
  <c r="AN25" i="265"/>
  <c r="AF23" i="264"/>
  <c r="AI7" i="265"/>
  <c r="AC8" i="265"/>
  <c r="T14" i="265"/>
  <c r="AQ17" i="265"/>
  <c r="AN7" i="265"/>
  <c r="AI8" i="265"/>
  <c r="AD14" i="265"/>
  <c r="AS7" i="265"/>
  <c r="AH14" i="265"/>
  <c r="AO26" i="265"/>
  <c r="AK14" i="265"/>
  <c r="AI21" i="265"/>
  <c r="AS23" i="264"/>
  <c r="O7" i="265"/>
  <c r="W7" i="265" s="1"/>
  <c r="AM7" i="265"/>
  <c r="AM12" i="265"/>
  <c r="S20" i="265"/>
  <c r="AR20" i="265"/>
  <c r="U23" i="265"/>
  <c r="AK23" i="265"/>
  <c r="O24" i="265"/>
  <c r="AL24" i="265"/>
  <c r="AI25" i="265"/>
  <c r="Q9" i="265"/>
  <c r="R9" i="265" s="1"/>
  <c r="AH14" i="264"/>
  <c r="Q6" i="265"/>
  <c r="R6" i="265" s="1"/>
  <c r="AB6" i="265" s="1"/>
  <c r="S7" i="265"/>
  <c r="AR7" i="265"/>
  <c r="L7" i="265" s="1"/>
  <c r="AD8" i="265"/>
  <c r="X9" i="265"/>
  <c r="V14" i="265"/>
  <c r="AR14" i="265"/>
  <c r="L14" i="265" s="1"/>
  <c r="U14" i="265" s="1"/>
  <c r="AG19" i="265"/>
  <c r="Y20" i="265"/>
  <c r="AN24" i="265"/>
  <c r="Y6" i="265"/>
  <c r="AK9" i="265"/>
  <c r="AG20" i="265"/>
  <c r="AA7" i="265"/>
  <c r="AN8" i="265"/>
  <c r="AS9" i="265"/>
  <c r="AE14" i="265"/>
  <c r="T17" i="265"/>
  <c r="V18" i="265"/>
  <c r="AI20" i="265"/>
  <c r="P21" i="265"/>
  <c r="AA24" i="265"/>
  <c r="T26" i="265"/>
  <c r="J7" i="265"/>
  <c r="J8" i="265" s="1"/>
  <c r="J9" i="265" s="1"/>
  <c r="J10" i="265" s="1"/>
  <c r="J11" i="265" s="1"/>
  <c r="J12" i="265" s="1"/>
  <c r="J13" i="265" s="1"/>
  <c r="J14" i="265" s="1"/>
  <c r="J15" i="265" s="1"/>
  <c r="J16" i="265" s="1"/>
  <c r="J17" i="265" s="1"/>
  <c r="J18" i="265" s="1"/>
  <c r="AF7" i="265"/>
  <c r="AP8" i="265"/>
  <c r="AF14" i="265"/>
  <c r="AC17" i="265"/>
  <c r="AL18" i="265"/>
  <c r="L20" i="265"/>
  <c r="AJ20" i="265"/>
  <c r="Z21" i="265"/>
  <c r="V26" i="265"/>
  <c r="AA11" i="265"/>
  <c r="AS11" i="265"/>
  <c r="AO13" i="265"/>
  <c r="R21" i="265"/>
  <c r="AA21" i="265"/>
  <c r="AJ21" i="265"/>
  <c r="AS21" i="265"/>
  <c r="AH13" i="265"/>
  <c r="S23" i="264"/>
  <c r="AC6" i="265"/>
  <c r="AC7" i="265"/>
  <c r="AP7" i="265"/>
  <c r="P8" i="265"/>
  <c r="AE8" i="265"/>
  <c r="AR8" i="265"/>
  <c r="L8" i="265" s="1"/>
  <c r="U8" i="265" s="1"/>
  <c r="AC9" i="265"/>
  <c r="AC11" i="265"/>
  <c r="AQ13" i="265"/>
  <c r="X14" i="265"/>
  <c r="AM14" i="265"/>
  <c r="O15" i="265"/>
  <c r="W15" i="265" s="1"/>
  <c r="AO15" i="265"/>
  <c r="AO16" i="265"/>
  <c r="V17" i="265"/>
  <c r="AS17" i="265"/>
  <c r="X18" i="265"/>
  <c r="AN18" i="265"/>
  <c r="J21" i="265"/>
  <c r="S21" i="265"/>
  <c r="AB21" i="265"/>
  <c r="AK21" i="265"/>
  <c r="R23" i="265"/>
  <c r="AC23" i="265"/>
  <c r="AQ23" i="265"/>
  <c r="P24" i="265"/>
  <c r="AD24" i="265"/>
  <c r="AQ24" i="265"/>
  <c r="S25" i="265"/>
  <c r="AP25" i="265"/>
  <c r="W26" i="265"/>
  <c r="AR11" i="265"/>
  <c r="L11" i="265" s="1"/>
  <c r="S7" i="264"/>
  <c r="Z25" i="264"/>
  <c r="AG6" i="265"/>
  <c r="AE7" i="265"/>
  <c r="AQ7" i="265"/>
  <c r="S8" i="265"/>
  <c r="AF8" i="265"/>
  <c r="AS8" i="265"/>
  <c r="AD9" i="265"/>
  <c r="AD11" i="265"/>
  <c r="AC14" i="265"/>
  <c r="AN14" i="265"/>
  <c r="Q15" i="265"/>
  <c r="R15" i="265" s="1"/>
  <c r="Z15" i="265" s="1"/>
  <c r="AP15" i="265"/>
  <c r="AA17" i="265"/>
  <c r="AC18" i="265"/>
  <c r="AS18" i="265"/>
  <c r="T21" i="265"/>
  <c r="AC21" i="265"/>
  <c r="AL21" i="265"/>
  <c r="S23" i="265"/>
  <c r="AF23" i="265"/>
  <c r="AR23" i="265"/>
  <c r="S24" i="265"/>
  <c r="AE24" i="265"/>
  <c r="AS24" i="265"/>
  <c r="X25" i="265"/>
  <c r="AQ25" i="265"/>
  <c r="AC26" i="265"/>
  <c r="V11" i="265"/>
  <c r="AM7" i="264"/>
  <c r="AK6" i="265"/>
  <c r="T8" i="265"/>
  <c r="AH8" i="265"/>
  <c r="AF9" i="265"/>
  <c r="S10" i="265"/>
  <c r="AI11" i="265"/>
  <c r="Q13" i="265"/>
  <c r="R13" i="265" s="1"/>
  <c r="AJ13" i="265" s="1"/>
  <c r="AD18" i="265"/>
  <c r="L21" i="265"/>
  <c r="U21" i="265"/>
  <c r="AD21" i="265"/>
  <c r="AM21" i="265"/>
  <c r="Z25" i="265"/>
  <c r="AE26" i="265"/>
  <c r="AN7" i="264"/>
  <c r="AO6" i="265"/>
  <c r="AA10" i="265"/>
  <c r="S11" i="265"/>
  <c r="AK11" i="265"/>
  <c r="Y13" i="265"/>
  <c r="AD17" i="265"/>
  <c r="AE18" i="265"/>
  <c r="M21" i="265"/>
  <c r="V21" i="265"/>
  <c r="AE21" i="265"/>
  <c r="AN21" i="265"/>
  <c r="V24" i="265"/>
  <c r="AI24" i="265"/>
  <c r="J25" i="265"/>
  <c r="AA25" i="265"/>
  <c r="L26" i="265"/>
  <c r="AF26" i="265"/>
  <c r="AQ12" i="264"/>
  <c r="AS6" i="265"/>
  <c r="X8" i="265"/>
  <c r="AK8" i="265"/>
  <c r="AM9" i="265"/>
  <c r="AI10" i="265"/>
  <c r="T11" i="265"/>
  <c r="AL11" i="265"/>
  <c r="AA13" i="265"/>
  <c r="AI17" i="265"/>
  <c r="AF18" i="265"/>
  <c r="W21" i="265"/>
  <c r="AF21" i="265"/>
  <c r="AP21" i="265"/>
  <c r="AF25" i="265"/>
  <c r="AK26" i="265"/>
  <c r="T7" i="265"/>
  <c r="AK7" i="265"/>
  <c r="AA8" i="265"/>
  <c r="O9" i="265"/>
  <c r="W9" i="265" s="1"/>
  <c r="AQ10" i="265"/>
  <c r="AQ11" i="265"/>
  <c r="AK17" i="265"/>
  <c r="O18" i="265"/>
  <c r="W18" i="265" s="1"/>
  <c r="AK18" i="265"/>
  <c r="O21" i="265"/>
  <c r="X21" i="265"/>
  <c r="AH21" i="265"/>
  <c r="AQ21" i="265"/>
  <c r="AH25" i="265"/>
  <c r="O26" i="265"/>
  <c r="AN26" i="265"/>
  <c r="T6" i="265"/>
  <c r="AR6" i="265"/>
  <c r="L6" i="265" s="1"/>
  <c r="AP10" i="265"/>
  <c r="AD12" i="265"/>
  <c r="AN13" i="265"/>
  <c r="AF13" i="265"/>
  <c r="X13" i="265"/>
  <c r="P13" i="265"/>
  <c r="AM13" i="265"/>
  <c r="AE13" i="265"/>
  <c r="O13" i="265"/>
  <c r="W13" i="265" s="1"/>
  <c r="AL13" i="265"/>
  <c r="AD13" i="265"/>
  <c r="V13" i="265"/>
  <c r="AS13" i="265"/>
  <c r="AK13" i="265"/>
  <c r="AC13" i="265"/>
  <c r="T13" i="265"/>
  <c r="AP16" i="265"/>
  <c r="AH16" i="265"/>
  <c r="AN16" i="265"/>
  <c r="AF16" i="265"/>
  <c r="X16" i="265"/>
  <c r="P16" i="265"/>
  <c r="AM16" i="265"/>
  <c r="AE16" i="265"/>
  <c r="O16" i="265"/>
  <c r="W16" i="265" s="1"/>
  <c r="AL16" i="265"/>
  <c r="AD16" i="265"/>
  <c r="V16" i="265"/>
  <c r="AS16" i="265"/>
  <c r="AK16" i="265"/>
  <c r="AC16" i="265"/>
  <c r="AA16" i="265"/>
  <c r="AE19" i="265"/>
  <c r="AN22" i="265"/>
  <c r="AF22" i="265"/>
  <c r="X22" i="265"/>
  <c r="P22" i="265"/>
  <c r="AL22" i="265"/>
  <c r="AD22" i="265"/>
  <c r="V22" i="265"/>
  <c r="AS22" i="265"/>
  <c r="AK22" i="265"/>
  <c r="AC22" i="265"/>
  <c r="U22" i="265"/>
  <c r="M22" i="265"/>
  <c r="AR22" i="265"/>
  <c r="AJ22" i="265"/>
  <c r="AB22" i="265"/>
  <c r="T22" i="265"/>
  <c r="L22" i="265"/>
  <c r="AQ22" i="265"/>
  <c r="AI22" i="265"/>
  <c r="AA22" i="265"/>
  <c r="S22" i="265"/>
  <c r="Y22" i="265"/>
  <c r="V6" i="265"/>
  <c r="AD6" i="265"/>
  <c r="AL6" i="265"/>
  <c r="Q7" i="265"/>
  <c r="R7" i="265" s="1"/>
  <c r="Y7" i="265"/>
  <c r="AG7" i="265"/>
  <c r="AO7" i="265"/>
  <c r="AR9" i="265"/>
  <c r="L9" i="265" s="1"/>
  <c r="T9" i="265"/>
  <c r="AQ9" i="265"/>
  <c r="AI9" i="265"/>
  <c r="AA9" i="265"/>
  <c r="S9" i="265"/>
  <c r="AP9" i="265"/>
  <c r="AH9" i="265"/>
  <c r="AO9" i="265"/>
  <c r="AG9" i="265"/>
  <c r="Y9" i="265"/>
  <c r="V9" i="265"/>
  <c r="AL9" i="265"/>
  <c r="P10" i="265"/>
  <c r="AF10" i="265"/>
  <c r="P12" i="265"/>
  <c r="AF12" i="265"/>
  <c r="AP13" i="265"/>
  <c r="L16" i="265"/>
  <c r="U16" i="265" s="1"/>
  <c r="AG16" i="265"/>
  <c r="O19" i="265"/>
  <c r="AH19" i="265"/>
  <c r="AE22" i="265"/>
  <c r="O6" i="265"/>
  <c r="W6" i="265" s="1"/>
  <c r="AE6" i="265"/>
  <c r="AM6" i="265"/>
  <c r="Q10" i="265"/>
  <c r="R10" i="265" s="1"/>
  <c r="AG10" i="265"/>
  <c r="Q12" i="265"/>
  <c r="R12" i="265" s="1"/>
  <c r="AG12" i="265"/>
  <c r="AI16" i="265"/>
  <c r="M17" i="265"/>
  <c r="Q19" i="265"/>
  <c r="AM19" i="265"/>
  <c r="AG22" i="265"/>
  <c r="P6" i="265"/>
  <c r="X6" i="265"/>
  <c r="AF6" i="265"/>
  <c r="AN6" i="265"/>
  <c r="V12" i="265"/>
  <c r="AR13" i="265"/>
  <c r="L13" i="265" s="1"/>
  <c r="Q16" i="265"/>
  <c r="R16" i="265" s="1"/>
  <c r="R19" i="265"/>
  <c r="AO19" i="265"/>
  <c r="O22" i="265"/>
  <c r="AH22" i="265"/>
  <c r="W19" i="265"/>
  <c r="AH6" i="265"/>
  <c r="AP6" i="265"/>
  <c r="AM10" i="265"/>
  <c r="AE10" i="265"/>
  <c r="O10" i="265"/>
  <c r="W10" i="265" s="1"/>
  <c r="AL10" i="265"/>
  <c r="AD10" i="265"/>
  <c r="V10" i="265"/>
  <c r="AS10" i="265"/>
  <c r="AK10" i="265"/>
  <c r="AC10" i="265"/>
  <c r="AR10" i="265"/>
  <c r="L10" i="265" s="1"/>
  <c r="T10" i="265"/>
  <c r="X10" i="265"/>
  <c r="AN10" i="265"/>
  <c r="AS12" i="265"/>
  <c r="AK12" i="265"/>
  <c r="AC12" i="265"/>
  <c r="AR12" i="265"/>
  <c r="L12" i="265" s="1"/>
  <c r="U12" i="265" s="1"/>
  <c r="T12" i="265"/>
  <c r="AQ12" i="265"/>
  <c r="AI12" i="265"/>
  <c r="AA12" i="265"/>
  <c r="S12" i="265"/>
  <c r="AP12" i="265"/>
  <c r="AH12" i="265"/>
  <c r="X12" i="265"/>
  <c r="AN12" i="265"/>
  <c r="AN19" i="265"/>
  <c r="AF19" i="265"/>
  <c r="X19" i="265"/>
  <c r="P19" i="265"/>
  <c r="AL19" i="265"/>
  <c r="AD19" i="265"/>
  <c r="V19" i="265"/>
  <c r="AS19" i="265"/>
  <c r="AK19" i="265"/>
  <c r="AC19" i="265"/>
  <c r="U19" i="265"/>
  <c r="M19" i="265"/>
  <c r="AR19" i="265"/>
  <c r="AJ19" i="265"/>
  <c r="AB19" i="265"/>
  <c r="T19" i="265"/>
  <c r="L19" i="265"/>
  <c r="AQ19" i="265"/>
  <c r="AI19" i="265"/>
  <c r="AA19" i="265"/>
  <c r="S19" i="265"/>
  <c r="Y19" i="265"/>
  <c r="AA6" i="264"/>
  <c r="S6" i="265"/>
  <c r="AA6" i="265"/>
  <c r="AI6" i="265"/>
  <c r="V7" i="265"/>
  <c r="AD7" i="265"/>
  <c r="AO8" i="265"/>
  <c r="AM8" i="265"/>
  <c r="Q8" i="265"/>
  <c r="R8" i="265" s="1"/>
  <c r="Z8" i="265" s="1"/>
  <c r="Y8" i="265"/>
  <c r="AG8" i="265"/>
  <c r="AQ8" i="265"/>
  <c r="P9" i="265"/>
  <c r="AE9" i="265"/>
  <c r="Y10" i="265"/>
  <c r="AO10" i="265"/>
  <c r="Y12" i="265"/>
  <c r="AO12" i="265"/>
  <c r="S13" i="265"/>
  <c r="AI13" i="265"/>
  <c r="AN15" i="265"/>
  <c r="AF15" i="265"/>
  <c r="X15" i="265"/>
  <c r="P15" i="265"/>
  <c r="AL15" i="265"/>
  <c r="AD15" i="265"/>
  <c r="V15" i="265"/>
  <c r="AS15" i="265"/>
  <c r="AK15" i="265"/>
  <c r="AC15" i="265"/>
  <c r="AR15" i="265"/>
  <c r="L15" i="265" s="1"/>
  <c r="U15" i="265" s="1"/>
  <c r="T15" i="265"/>
  <c r="AQ15" i="265"/>
  <c r="AI15" i="265"/>
  <c r="AA15" i="265"/>
  <c r="S15" i="265"/>
  <c r="Y15" i="265"/>
  <c r="Y16" i="265"/>
  <c r="AR16" i="265"/>
  <c r="J19" i="265"/>
  <c r="Z19" i="265"/>
  <c r="AP20" i="265"/>
  <c r="AH20" i="265"/>
  <c r="Z20" i="265"/>
  <c r="R20" i="265"/>
  <c r="J20" i="265"/>
  <c r="AN20" i="265"/>
  <c r="AF20" i="265"/>
  <c r="X20" i="265"/>
  <c r="P20" i="265"/>
  <c r="AM20" i="265"/>
  <c r="AE20" i="265"/>
  <c r="W20" i="265"/>
  <c r="O20" i="265"/>
  <c r="AL20" i="265"/>
  <c r="AD20" i="265"/>
  <c r="V20" i="265"/>
  <c r="AS20" i="265"/>
  <c r="AK20" i="265"/>
  <c r="AC20" i="265"/>
  <c r="U20" i="265"/>
  <c r="M20" i="265"/>
  <c r="AA20" i="265"/>
  <c r="W22" i="265"/>
  <c r="AP22" i="265"/>
  <c r="O11" i="265"/>
  <c r="W11" i="265" s="1"/>
  <c r="AE11" i="265"/>
  <c r="AM11" i="265"/>
  <c r="O17" i="265"/>
  <c r="W17" i="265" s="1"/>
  <c r="AE17" i="265"/>
  <c r="AM17" i="265"/>
  <c r="Q18" i="265"/>
  <c r="R18" i="265" s="1"/>
  <c r="Y18" i="265"/>
  <c r="AG18" i="265"/>
  <c r="AO18" i="265"/>
  <c r="V23" i="265"/>
  <c r="AD23" i="265"/>
  <c r="AL23" i="265"/>
  <c r="Q24" i="265"/>
  <c r="Y24" i="265"/>
  <c r="AG24" i="265"/>
  <c r="AO24" i="265"/>
  <c r="L25" i="265"/>
  <c r="T25" i="265"/>
  <c r="AB25" i="265"/>
  <c r="AJ25" i="265"/>
  <c r="AR25" i="265"/>
  <c r="P26" i="265"/>
  <c r="Y26" i="265"/>
  <c r="AG26" i="265"/>
  <c r="AP26" i="265"/>
  <c r="P11" i="265"/>
  <c r="X11" i="265"/>
  <c r="AF11" i="265"/>
  <c r="AN11" i="265"/>
  <c r="Q14" i="265"/>
  <c r="R14" i="265" s="1"/>
  <c r="Y14" i="265"/>
  <c r="AG14" i="265"/>
  <c r="AO14" i="265"/>
  <c r="P17" i="265"/>
  <c r="X17" i="265"/>
  <c r="AF17" i="265"/>
  <c r="AN17" i="265"/>
  <c r="AH18" i="265"/>
  <c r="AP18" i="265"/>
  <c r="Q21" i="265"/>
  <c r="Y21" i="265"/>
  <c r="AG21" i="265"/>
  <c r="O23" i="265"/>
  <c r="W23" i="265"/>
  <c r="AE23" i="265"/>
  <c r="AM23" i="265"/>
  <c r="J24" i="265"/>
  <c r="R24" i="265"/>
  <c r="Z24" i="265"/>
  <c r="AH24" i="265"/>
  <c r="AP24" i="265"/>
  <c r="M25" i="265"/>
  <c r="U25" i="265"/>
  <c r="AC25" i="265"/>
  <c r="AK25" i="265"/>
  <c r="AS25" i="265"/>
  <c r="Q26" i="265"/>
  <c r="Z26" i="265"/>
  <c r="AH26" i="265"/>
  <c r="AQ26" i="265"/>
  <c r="Q11" i="265"/>
  <c r="R11" i="265" s="1"/>
  <c r="Y11" i="265"/>
  <c r="AG11" i="265"/>
  <c r="AO11" i="265"/>
  <c r="Q17" i="265"/>
  <c r="R17" i="265" s="1"/>
  <c r="Y17" i="265"/>
  <c r="AG17" i="265"/>
  <c r="AO17" i="265"/>
  <c r="S18" i="265"/>
  <c r="AA18" i="265"/>
  <c r="AI18" i="265"/>
  <c r="AQ18" i="265"/>
  <c r="V25" i="265"/>
  <c r="AD25" i="265"/>
  <c r="AL25" i="265"/>
  <c r="R26" i="265"/>
  <c r="AA26" i="265"/>
  <c r="AI26" i="265"/>
  <c r="AR26" i="265"/>
  <c r="AH11" i="265"/>
  <c r="S14" i="265"/>
  <c r="AA14" i="265"/>
  <c r="AI14" i="265"/>
  <c r="AH17" i="265"/>
  <c r="AP17" i="265"/>
  <c r="L18" i="265"/>
  <c r="T18" i="265"/>
  <c r="Q23" i="265"/>
  <c r="Y23" i="265"/>
  <c r="AG23" i="265"/>
  <c r="L24" i="265"/>
  <c r="T24" i="265"/>
  <c r="AB24" i="265"/>
  <c r="AJ24" i="265"/>
  <c r="O25" i="265"/>
  <c r="W25" i="265"/>
  <c r="AE25" i="265"/>
  <c r="AM25" i="265"/>
  <c r="J26" i="265"/>
  <c r="S26" i="265"/>
  <c r="AB26" i="265"/>
  <c r="AJ26" i="265"/>
  <c r="AS26" i="265"/>
  <c r="Q25" i="265"/>
  <c r="Y25" i="265"/>
  <c r="AG25" i="265"/>
  <c r="M26" i="265"/>
  <c r="U26" i="265"/>
  <c r="AD26" i="265"/>
  <c r="AI6" i="264"/>
  <c r="AR15" i="264"/>
  <c r="L15" i="264" s="1"/>
  <c r="U15" i="264" s="1"/>
  <c r="V17" i="264"/>
  <c r="AD17" i="264"/>
  <c r="P10" i="264"/>
  <c r="V16" i="264"/>
  <c r="AA10" i="264"/>
  <c r="AL11" i="264"/>
  <c r="AE16" i="264"/>
  <c r="AC10" i="264"/>
  <c r="AL13" i="264"/>
  <c r="AC18" i="264"/>
  <c r="AF24" i="264"/>
  <c r="AE10" i="264"/>
  <c r="AQ13" i="264"/>
  <c r="AK18" i="264"/>
  <c r="X7" i="264"/>
  <c r="AI10" i="264"/>
  <c r="X23" i="264"/>
  <c r="AM10" i="264"/>
  <c r="AA12" i="264"/>
  <c r="AR12" i="264"/>
  <c r="L12" i="264" s="1"/>
  <c r="J20" i="264"/>
  <c r="T20" i="264"/>
  <c r="AH20" i="264"/>
  <c r="J21" i="264"/>
  <c r="AA21" i="264"/>
  <c r="AM24" i="264"/>
  <c r="AI25" i="264"/>
  <c r="S20" i="264"/>
  <c r="AF20" i="264"/>
  <c r="X21" i="264"/>
  <c r="AF6" i="264"/>
  <c r="AA7" i="264"/>
  <c r="AQ7" i="264"/>
  <c r="AL10" i="264"/>
  <c r="AC12" i="264"/>
  <c r="AS12" i="264"/>
  <c r="AI16" i="264"/>
  <c r="AQ17" i="264"/>
  <c r="AL18" i="264"/>
  <c r="U20" i="264"/>
  <c r="AJ20" i="264"/>
  <c r="AE21" i="264"/>
  <c r="AB23" i="264"/>
  <c r="AN24" i="264"/>
  <c r="AP25" i="264"/>
  <c r="AC7" i="264"/>
  <c r="AD12" i="264"/>
  <c r="AL16" i="264"/>
  <c r="AR18" i="264"/>
  <c r="L18" i="264" s="1"/>
  <c r="L20" i="264"/>
  <c r="W20" i="264"/>
  <c r="AK20" i="264"/>
  <c r="M21" i="264"/>
  <c r="AH21" i="264"/>
  <c r="AC23" i="264"/>
  <c r="AQ25" i="264"/>
  <c r="AD7" i="264"/>
  <c r="AF12" i="264"/>
  <c r="M20" i="264"/>
  <c r="Z20" i="264"/>
  <c r="AN20" i="264"/>
  <c r="AI21" i="264"/>
  <c r="P24" i="264"/>
  <c r="AF7" i="264"/>
  <c r="P12" i="264"/>
  <c r="AI12" i="264"/>
  <c r="AA20" i="264"/>
  <c r="AP20" i="264"/>
  <c r="P21" i="264"/>
  <c r="AL21" i="264"/>
  <c r="M23" i="264"/>
  <c r="AI23" i="264"/>
  <c r="V24" i="264"/>
  <c r="AK7" i="264"/>
  <c r="V8" i="264"/>
  <c r="S12" i="264"/>
  <c r="AK12" i="264"/>
  <c r="V13" i="264"/>
  <c r="O16" i="264"/>
  <c r="W16" i="264" s="1"/>
  <c r="O20" i="264"/>
  <c r="AC20" i="264"/>
  <c r="AQ20" i="264"/>
  <c r="U21" i="264"/>
  <c r="AP21" i="264"/>
  <c r="AN23" i="264"/>
  <c r="W24" i="264"/>
  <c r="S25" i="264"/>
  <c r="AF26" i="264"/>
  <c r="J7" i="264"/>
  <c r="J8" i="264" s="1"/>
  <c r="O7" i="264"/>
  <c r="W7" i="264" s="1"/>
  <c r="AL7" i="264"/>
  <c r="P11" i="264"/>
  <c r="T12" i="264"/>
  <c r="AL12" i="264"/>
  <c r="AA13" i="264"/>
  <c r="S16" i="264"/>
  <c r="S17" i="264"/>
  <c r="V18" i="264"/>
  <c r="AM19" i="264"/>
  <c r="P20" i="264"/>
  <c r="AE20" i="264"/>
  <c r="AR20" i="264"/>
  <c r="W21" i="264"/>
  <c r="AS21" i="264"/>
  <c r="P23" i="264"/>
  <c r="AR23" i="264"/>
  <c r="AA24" i="264"/>
  <c r="V25" i="264"/>
  <c r="T12" i="263"/>
  <c r="O6" i="264"/>
  <c r="W6" i="264" s="1"/>
  <c r="AM6" i="264"/>
  <c r="P7" i="264"/>
  <c r="AE7" i="264"/>
  <c r="AP7" i="264"/>
  <c r="AD8" i="264"/>
  <c r="O10" i="264"/>
  <c r="W10" i="264" s="1"/>
  <c r="AD10" i="264"/>
  <c r="AN10" i="264"/>
  <c r="Q11" i="264"/>
  <c r="R11" i="264" s="1"/>
  <c r="Z11" i="264" s="1"/>
  <c r="AQ11" i="264"/>
  <c r="AD13" i="264"/>
  <c r="Q15" i="264"/>
  <c r="R15" i="264" s="1"/>
  <c r="Z15" i="264" s="1"/>
  <c r="AM16" i="264"/>
  <c r="AA17" i="264"/>
  <c r="O21" i="264"/>
  <c r="Z21" i="264"/>
  <c r="AK21" i="264"/>
  <c r="J22" i="264"/>
  <c r="AH22" i="264"/>
  <c r="X24" i="264"/>
  <c r="AQ24" i="264"/>
  <c r="AH12" i="263"/>
  <c r="P6" i="264"/>
  <c r="AN6" i="264"/>
  <c r="AL8" i="264"/>
  <c r="AP10" i="264"/>
  <c r="V11" i="264"/>
  <c r="AS11" i="264"/>
  <c r="O13" i="264"/>
  <c r="W13" i="264" s="1"/>
  <c r="AE13" i="264"/>
  <c r="T15" i="264"/>
  <c r="X16" i="264"/>
  <c r="AN16" i="264"/>
  <c r="AN22" i="264"/>
  <c r="AA25" i="264"/>
  <c r="S6" i="264"/>
  <c r="AQ6" i="264"/>
  <c r="T7" i="264"/>
  <c r="AH7" i="264"/>
  <c r="AR7" i="264"/>
  <c r="L7" i="264" s="1"/>
  <c r="U7" i="264" s="1"/>
  <c r="S10" i="264"/>
  <c r="AF10" i="264"/>
  <c r="AQ10" i="264"/>
  <c r="X11" i="264"/>
  <c r="X12" i="264"/>
  <c r="AN12" i="264"/>
  <c r="P13" i="264"/>
  <c r="AF13" i="264"/>
  <c r="Y15" i="264"/>
  <c r="AA16" i="264"/>
  <c r="AQ16" i="264"/>
  <c r="AH17" i="264"/>
  <c r="T18" i="264"/>
  <c r="X20" i="264"/>
  <c r="AI20" i="264"/>
  <c r="AS20" i="264"/>
  <c r="R21" i="264"/>
  <c r="AC21" i="264"/>
  <c r="AM21" i="264"/>
  <c r="AP22" i="264"/>
  <c r="T23" i="264"/>
  <c r="AJ23" i="264"/>
  <c r="AD24" i="264"/>
  <c r="J25" i="264"/>
  <c r="AD25" i="264"/>
  <c r="O26" i="264"/>
  <c r="X6" i="264"/>
  <c r="V7" i="264"/>
  <c r="AI7" i="264"/>
  <c r="AS7" i="264"/>
  <c r="V10" i="264"/>
  <c r="AH10" i="264"/>
  <c r="AS10" i="264"/>
  <c r="AA11" i="264"/>
  <c r="S13" i="264"/>
  <c r="AI13" i="264"/>
  <c r="AD15" i="264"/>
  <c r="AD16" i="264"/>
  <c r="AI17" i="264"/>
  <c r="S21" i="264"/>
  <c r="AD21" i="264"/>
  <c r="AN21" i="264"/>
  <c r="P22" i="264"/>
  <c r="U23" i="264"/>
  <c r="AK23" i="264"/>
  <c r="O24" i="264"/>
  <c r="AE24" i="264"/>
  <c r="AH25" i="264"/>
  <c r="W26" i="264"/>
  <c r="AG11" i="264"/>
  <c r="AG15" i="264"/>
  <c r="R22" i="264"/>
  <c r="AE6" i="264"/>
  <c r="X10" i="264"/>
  <c r="AK10" i="264"/>
  <c r="AH11" i="264"/>
  <c r="AM13" i="264"/>
  <c r="AK15" i="264"/>
  <c r="P16" i="264"/>
  <c r="AF16" i="264"/>
  <c r="AD18" i="264"/>
  <c r="R20" i="264"/>
  <c r="AB20" i="264"/>
  <c r="AM20" i="264"/>
  <c r="V21" i="264"/>
  <c r="AF21" i="264"/>
  <c r="AQ21" i="264"/>
  <c r="X22" i="264"/>
  <c r="L23" i="264"/>
  <c r="AA23" i="264"/>
  <c r="AQ23" i="264"/>
  <c r="S24" i="264"/>
  <c r="AI24" i="264"/>
  <c r="R25" i="264"/>
  <c r="AL25" i="264"/>
  <c r="AO26" i="264"/>
  <c r="AF22" i="264"/>
  <c r="AK11" i="264"/>
  <c r="X13" i="264"/>
  <c r="AN13" i="264"/>
  <c r="AO15" i="264"/>
  <c r="Z22" i="264"/>
  <c r="Q6" i="264"/>
  <c r="R6" i="264" s="1"/>
  <c r="Z6" i="264" s="1"/>
  <c r="Y6" i="264"/>
  <c r="AG6" i="264"/>
  <c r="AO6" i="264"/>
  <c r="O8" i="264"/>
  <c r="W8" i="264" s="1"/>
  <c r="AE8" i="264"/>
  <c r="AM8" i="264"/>
  <c r="S9" i="264"/>
  <c r="AK9" i="264"/>
  <c r="Y11" i="264"/>
  <c r="AI11" i="264"/>
  <c r="S14" i="264"/>
  <c r="AI14" i="264"/>
  <c r="AC15" i="264"/>
  <c r="Q17" i="264"/>
  <c r="R17" i="264" s="1"/>
  <c r="AJ17" i="264" s="1"/>
  <c r="AG17" i="264"/>
  <c r="AO19" i="264"/>
  <c r="AK17" i="263"/>
  <c r="AH6" i="264"/>
  <c r="AP6" i="264"/>
  <c r="P8" i="264"/>
  <c r="X8" i="264"/>
  <c r="AF8" i="264"/>
  <c r="AN8" i="264"/>
  <c r="T9" i="264"/>
  <c r="AC9" i="264"/>
  <c r="AL9" i="264"/>
  <c r="V14" i="264"/>
  <c r="O19" i="264"/>
  <c r="AQ17" i="263"/>
  <c r="Q8" i="264"/>
  <c r="R8" i="264" s="1"/>
  <c r="Y8" i="264"/>
  <c r="AG8" i="264"/>
  <c r="AO8" i="264"/>
  <c r="AD9" i="264"/>
  <c r="AM9" i="264"/>
  <c r="AN14" i="264"/>
  <c r="AF14" i="264"/>
  <c r="X14" i="264"/>
  <c r="P14" i="264"/>
  <c r="AM14" i="264"/>
  <c r="AE14" i="264"/>
  <c r="O14" i="264"/>
  <c r="W14" i="264" s="1"/>
  <c r="AS14" i="264"/>
  <c r="AK14" i="264"/>
  <c r="AC14" i="264"/>
  <c r="AR14" i="264"/>
  <c r="L14" i="264" s="1"/>
  <c r="U14" i="264" s="1"/>
  <c r="T14" i="264"/>
  <c r="Y14" i="264"/>
  <c r="AO14" i="264"/>
  <c r="Q19" i="264"/>
  <c r="AS9" i="264"/>
  <c r="T6" i="264"/>
  <c r="AR6" i="264"/>
  <c r="L6" i="264" s="1"/>
  <c r="AH8" i="264"/>
  <c r="AP8" i="264"/>
  <c r="V9" i="264"/>
  <c r="AE9" i="264"/>
  <c r="AC11" i="264"/>
  <c r="AP14" i="264"/>
  <c r="W19" i="264"/>
  <c r="AO9" i="264"/>
  <c r="AG9" i="264"/>
  <c r="Y9" i="264"/>
  <c r="Q9" i="264"/>
  <c r="R9" i="264" s="1"/>
  <c r="AC6" i="264"/>
  <c r="AK6" i="264"/>
  <c r="AS6" i="264"/>
  <c r="S8" i="264"/>
  <c r="AA8" i="264"/>
  <c r="AI8" i="264"/>
  <c r="AQ8" i="264"/>
  <c r="AF9" i="264"/>
  <c r="AP9" i="264"/>
  <c r="AM11" i="264"/>
  <c r="AE11" i="264"/>
  <c r="O11" i="264"/>
  <c r="W11" i="264" s="1"/>
  <c r="AR11" i="264"/>
  <c r="L11" i="264" s="1"/>
  <c r="M11" i="264" s="1"/>
  <c r="T11" i="264"/>
  <c r="S11" i="264"/>
  <c r="AD11" i="264"/>
  <c r="AO11" i="264"/>
  <c r="AA14" i="264"/>
  <c r="AQ14" i="264"/>
  <c r="AN17" i="264"/>
  <c r="AF17" i="264"/>
  <c r="X17" i="264"/>
  <c r="P17" i="264"/>
  <c r="AM17" i="264"/>
  <c r="AE17" i="264"/>
  <c r="O17" i="264"/>
  <c r="W17" i="264" s="1"/>
  <c r="AS17" i="264"/>
  <c r="AK17" i="264"/>
  <c r="AC17" i="264"/>
  <c r="AR17" i="264"/>
  <c r="L17" i="264" s="1"/>
  <c r="T17" i="264"/>
  <c r="Y17" i="264"/>
  <c r="AO17" i="264"/>
  <c r="Y19" i="264"/>
  <c r="S16" i="263"/>
  <c r="AI23" i="263"/>
  <c r="V6" i="264"/>
  <c r="AD6" i="264"/>
  <c r="Q7" i="264"/>
  <c r="R7" i="264" s="1"/>
  <c r="Y7" i="264"/>
  <c r="AG7" i="264"/>
  <c r="T8" i="264"/>
  <c r="AR8" i="264"/>
  <c r="L8" i="264" s="1"/>
  <c r="M8" i="264" s="1"/>
  <c r="O9" i="264"/>
  <c r="W9" i="264" s="1"/>
  <c r="X9" i="264"/>
  <c r="AH9" i="264"/>
  <c r="AQ9" i="264"/>
  <c r="AF11" i="264"/>
  <c r="AP11" i="264"/>
  <c r="AD14" i="264"/>
  <c r="AQ15" i="264"/>
  <c r="AI15" i="264"/>
  <c r="AA15" i="264"/>
  <c r="S15" i="264"/>
  <c r="AP15" i="264"/>
  <c r="AH15" i="264"/>
  <c r="AN15" i="264"/>
  <c r="AF15" i="264"/>
  <c r="X15" i="264"/>
  <c r="P15" i="264"/>
  <c r="AM15" i="264"/>
  <c r="AE15" i="264"/>
  <c r="O15" i="264"/>
  <c r="W15" i="264" s="1"/>
  <c r="V15" i="264"/>
  <c r="AL15" i="264"/>
  <c r="AP17" i="264"/>
  <c r="AA9" i="264"/>
  <c r="AC8" i="264"/>
  <c r="AK8" i="264"/>
  <c r="P9" i="264"/>
  <c r="AI9" i="264"/>
  <c r="AR9" i="264"/>
  <c r="L9" i="264" s="1"/>
  <c r="Q14" i="264"/>
  <c r="R14" i="264" s="1"/>
  <c r="AJ14" i="264" s="1"/>
  <c r="AG14" i="264"/>
  <c r="AN19" i="264"/>
  <c r="AF19" i="264"/>
  <c r="X19" i="264"/>
  <c r="P19" i="264"/>
  <c r="AL19" i="264"/>
  <c r="AD19" i="264"/>
  <c r="V19" i="264"/>
  <c r="AS19" i="264"/>
  <c r="AK19" i="264"/>
  <c r="AC19" i="264"/>
  <c r="U19" i="264"/>
  <c r="M19" i="264"/>
  <c r="AR19" i="264"/>
  <c r="AJ19" i="264"/>
  <c r="AB19" i="264"/>
  <c r="T19" i="264"/>
  <c r="L19" i="264"/>
  <c r="AQ19" i="264"/>
  <c r="AI19" i="264"/>
  <c r="AA19" i="264"/>
  <c r="S19" i="264"/>
  <c r="AP19" i="264"/>
  <c r="AH19" i="264"/>
  <c r="Z19" i="264"/>
  <c r="R19" i="264"/>
  <c r="J19" i="264"/>
  <c r="AG19" i="264"/>
  <c r="Q13" i="264"/>
  <c r="R13" i="264" s="1"/>
  <c r="Z13" i="264" s="1"/>
  <c r="Y13" i="264"/>
  <c r="AG13" i="264"/>
  <c r="AO13" i="264"/>
  <c r="Q16" i="264"/>
  <c r="R16" i="264" s="1"/>
  <c r="AB16" i="264" s="1"/>
  <c r="Y16" i="264"/>
  <c r="AG16" i="264"/>
  <c r="AO16" i="264"/>
  <c r="O18" i="264"/>
  <c r="W18" i="264" s="1"/>
  <c r="AE18" i="264"/>
  <c r="AM18" i="264"/>
  <c r="S22" i="264"/>
  <c r="AA22" i="264"/>
  <c r="AI22" i="264"/>
  <c r="AQ22" i="264"/>
  <c r="V23" i="264"/>
  <c r="AD23" i="264"/>
  <c r="AL23" i="264"/>
  <c r="Q24" i="264"/>
  <c r="Y24" i="264"/>
  <c r="AG24" i="264"/>
  <c r="AO24" i="264"/>
  <c r="L25" i="264"/>
  <c r="T25" i="264"/>
  <c r="AB25" i="264"/>
  <c r="AJ25" i="264"/>
  <c r="AR25" i="264"/>
  <c r="P26" i="264"/>
  <c r="Y26" i="264"/>
  <c r="AG26" i="264"/>
  <c r="AP26" i="264"/>
  <c r="Q10" i="264"/>
  <c r="R10" i="264" s="1"/>
  <c r="Z10" i="264" s="1"/>
  <c r="Y10" i="264"/>
  <c r="AG10" i="264"/>
  <c r="AO10" i="264"/>
  <c r="O12" i="264"/>
  <c r="W12" i="264" s="1"/>
  <c r="AE12" i="264"/>
  <c r="AM12" i="264"/>
  <c r="AH13" i="264"/>
  <c r="AP13" i="264"/>
  <c r="AH16" i="264"/>
  <c r="AP16" i="264"/>
  <c r="P18" i="264"/>
  <c r="X18" i="264"/>
  <c r="AF18" i="264"/>
  <c r="AN18" i="264"/>
  <c r="V20" i="264"/>
  <c r="AD20" i="264"/>
  <c r="AL20" i="264"/>
  <c r="Q21" i="264"/>
  <c r="Y21" i="264"/>
  <c r="AG21" i="264"/>
  <c r="AO21" i="264"/>
  <c r="L22" i="264"/>
  <c r="T22" i="264"/>
  <c r="AB22" i="264"/>
  <c r="AJ22" i="264"/>
  <c r="AR22" i="264"/>
  <c r="O23" i="264"/>
  <c r="W23" i="264"/>
  <c r="AE23" i="264"/>
  <c r="AM23" i="264"/>
  <c r="J24" i="264"/>
  <c r="R24" i="264"/>
  <c r="Z24" i="264"/>
  <c r="AH24" i="264"/>
  <c r="AP24" i="264"/>
  <c r="M25" i="264"/>
  <c r="U25" i="264"/>
  <c r="AC25" i="264"/>
  <c r="AK25" i="264"/>
  <c r="AS25" i="264"/>
  <c r="Q26" i="264"/>
  <c r="Z26" i="264"/>
  <c r="AH26" i="264"/>
  <c r="AQ26" i="264"/>
  <c r="Q18" i="264"/>
  <c r="R18" i="264" s="1"/>
  <c r="Y18" i="264"/>
  <c r="AG18" i="264"/>
  <c r="AO18" i="264"/>
  <c r="M22" i="264"/>
  <c r="U22" i="264"/>
  <c r="AC22" i="264"/>
  <c r="AK22" i="264"/>
  <c r="AS22" i="264"/>
  <c r="R26" i="264"/>
  <c r="AA26" i="264"/>
  <c r="AI26" i="264"/>
  <c r="AR26" i="264"/>
  <c r="Q12" i="264"/>
  <c r="R12" i="264" s="1"/>
  <c r="Y12" i="264"/>
  <c r="AG12" i="264"/>
  <c r="AO12" i="264"/>
  <c r="T13" i="264"/>
  <c r="AR13" i="264"/>
  <c r="L13" i="264" s="1"/>
  <c r="T16" i="264"/>
  <c r="AR16" i="264"/>
  <c r="L16" i="264" s="1"/>
  <c r="M16" i="264" s="1"/>
  <c r="AH18" i="264"/>
  <c r="AP18" i="264"/>
  <c r="V22" i="264"/>
  <c r="AD22" i="264"/>
  <c r="AL22" i="264"/>
  <c r="Q23" i="264"/>
  <c r="Y23" i="264"/>
  <c r="AG23" i="264"/>
  <c r="AO23" i="264"/>
  <c r="L24" i="264"/>
  <c r="T24" i="264"/>
  <c r="AB24" i="264"/>
  <c r="AJ24" i="264"/>
  <c r="AR24" i="264"/>
  <c r="O25" i="264"/>
  <c r="W25" i="264"/>
  <c r="AE25" i="264"/>
  <c r="AM25" i="264"/>
  <c r="J26" i="264"/>
  <c r="S26" i="264"/>
  <c r="AB26" i="264"/>
  <c r="AJ26" i="264"/>
  <c r="AS26" i="264"/>
  <c r="L10" i="264"/>
  <c r="T10" i="264"/>
  <c r="AH12" i="264"/>
  <c r="AC13" i="264"/>
  <c r="AK13" i="264"/>
  <c r="AC16" i="264"/>
  <c r="AK16" i="264"/>
  <c r="S18" i="264"/>
  <c r="AA18" i="264"/>
  <c r="AI18" i="264"/>
  <c r="AQ18" i="264"/>
  <c r="Q20" i="264"/>
  <c r="Y20" i="264"/>
  <c r="AG20" i="264"/>
  <c r="L21" i="264"/>
  <c r="T21" i="264"/>
  <c r="AB21" i="264"/>
  <c r="AJ21" i="264"/>
  <c r="O22" i="264"/>
  <c r="W22" i="264"/>
  <c r="AE22" i="264"/>
  <c r="AM22" i="264"/>
  <c r="J23" i="264"/>
  <c r="R23" i="264"/>
  <c r="Z23" i="264"/>
  <c r="AH23" i="264"/>
  <c r="M24" i="264"/>
  <c r="U24" i="264"/>
  <c r="AC24" i="264"/>
  <c r="AK24" i="264"/>
  <c r="AS24" i="264"/>
  <c r="P25" i="264"/>
  <c r="X25" i="264"/>
  <c r="AF25" i="264"/>
  <c r="AN25" i="264"/>
  <c r="L26" i="264"/>
  <c r="T26" i="264"/>
  <c r="AC26" i="264"/>
  <c r="AK26" i="264"/>
  <c r="Q25" i="264"/>
  <c r="Y25" i="264"/>
  <c r="AG25" i="264"/>
  <c r="M26" i="264"/>
  <c r="U26" i="264"/>
  <c r="AD26" i="264"/>
  <c r="AM26" i="264"/>
  <c r="Q22" i="264"/>
  <c r="Y22" i="264"/>
  <c r="AG22" i="264"/>
  <c r="V26" i="264"/>
  <c r="AE26" i="264"/>
  <c r="AH16" i="263"/>
  <c r="AS17" i="263"/>
  <c r="AH15" i="263"/>
  <c r="AQ15" i="263"/>
  <c r="X20" i="263"/>
  <c r="P25" i="263"/>
  <c r="P17" i="263"/>
  <c r="X17" i="263"/>
  <c r="AC24" i="263"/>
  <c r="AE24" i="263"/>
  <c r="T6" i="263"/>
  <c r="AF12" i="263"/>
  <c r="AI16" i="263"/>
  <c r="S17" i="263"/>
  <c r="AH19" i="263"/>
  <c r="J21" i="263"/>
  <c r="O22" i="263"/>
  <c r="M24" i="263"/>
  <c r="AF24" i="263"/>
  <c r="U25" i="263"/>
  <c r="X6" i="263"/>
  <c r="AK16" i="263"/>
  <c r="AH24" i="263"/>
  <c r="AK25" i="263"/>
  <c r="AF6" i="263"/>
  <c r="AP12" i="263"/>
  <c r="AP16" i="263"/>
  <c r="AC17" i="263"/>
  <c r="AA18" i="263"/>
  <c r="J23" i="263"/>
  <c r="P24" i="263"/>
  <c r="AM24" i="263"/>
  <c r="AN25" i="263"/>
  <c r="AN6" i="263"/>
  <c r="AQ16" i="263"/>
  <c r="AD18" i="263"/>
  <c r="W21" i="263"/>
  <c r="R24" i="263"/>
  <c r="AR6" i="263"/>
  <c r="L6" i="263" s="1"/>
  <c r="U6" i="263" s="1"/>
  <c r="P15" i="263"/>
  <c r="AM17" i="263"/>
  <c r="AL18" i="263"/>
  <c r="P20" i="263"/>
  <c r="AP21" i="263"/>
  <c r="U24" i="263"/>
  <c r="J25" i="263"/>
  <c r="L26" i="263"/>
  <c r="AG15" i="263"/>
  <c r="P16" i="263"/>
  <c r="S20" i="263"/>
  <c r="AA24" i="263"/>
  <c r="AE19" i="263"/>
  <c r="V21" i="263"/>
  <c r="AM21" i="263"/>
  <c r="AC23" i="263"/>
  <c r="Y6" i="263"/>
  <c r="AS6" i="263"/>
  <c r="AF18" i="263"/>
  <c r="L19" i="263"/>
  <c r="U19" i="263" s="1"/>
  <c r="AI19" i="263"/>
  <c r="AA21" i="263"/>
  <c r="AQ21" i="263"/>
  <c r="T22" i="263"/>
  <c r="AK23" i="263"/>
  <c r="AA6" i="263"/>
  <c r="AH18" i="263"/>
  <c r="AK19" i="263"/>
  <c r="M21" i="263"/>
  <c r="AC21" i="263"/>
  <c r="AS21" i="263"/>
  <c r="W22" i="263"/>
  <c r="AN23" i="263"/>
  <c r="O9" i="263"/>
  <c r="W9" i="263" s="1"/>
  <c r="AC14" i="263"/>
  <c r="P19" i="263"/>
  <c r="AP19" i="263"/>
  <c r="AE21" i="263"/>
  <c r="AE22" i="263"/>
  <c r="P23" i="263"/>
  <c r="AS23" i="263"/>
  <c r="AG6" i="263"/>
  <c r="S9" i="263"/>
  <c r="AS12" i="263"/>
  <c r="AM14" i="263"/>
  <c r="AS15" i="263"/>
  <c r="T16" i="263"/>
  <c r="AS16" i="263"/>
  <c r="AF17" i="263"/>
  <c r="AN18" i="263"/>
  <c r="S19" i="263"/>
  <c r="AQ19" i="263"/>
  <c r="AA20" i="263"/>
  <c r="P21" i="263"/>
  <c r="AF21" i="263"/>
  <c r="AJ22" i="263"/>
  <c r="S23" i="263"/>
  <c r="V24" i="263"/>
  <c r="AP24" i="263"/>
  <c r="X25" i="263"/>
  <c r="Q26" i="263"/>
  <c r="AK6" i="263"/>
  <c r="AF9" i="263"/>
  <c r="AC16" i="263"/>
  <c r="AH17" i="263"/>
  <c r="P18" i="263"/>
  <c r="AQ18" i="263"/>
  <c r="T19" i="263"/>
  <c r="AS19" i="263"/>
  <c r="AF20" i="263"/>
  <c r="R21" i="263"/>
  <c r="AH21" i="263"/>
  <c r="L22" i="263"/>
  <c r="AM22" i="263"/>
  <c r="X23" i="263"/>
  <c r="J24" i="263"/>
  <c r="W24" i="263"/>
  <c r="AS24" i="263"/>
  <c r="AD25" i="263"/>
  <c r="Z26" i="263"/>
  <c r="S6" i="263"/>
  <c r="AL6" i="263"/>
  <c r="AN9" i="263"/>
  <c r="AE16" i="263"/>
  <c r="X18" i="263"/>
  <c r="AS18" i="263"/>
  <c r="AC19" i="263"/>
  <c r="AQ20" i="263"/>
  <c r="U21" i="263"/>
  <c r="AL21" i="263"/>
  <c r="M22" i="263"/>
  <c r="AR22" i="263"/>
  <c r="AA23" i="263"/>
  <c r="AF25" i="263"/>
  <c r="AQ26" i="263"/>
  <c r="Q9" i="263"/>
  <c r="R9" i="263" s="1"/>
  <c r="Z9" i="263" s="1"/>
  <c r="AQ9" i="263"/>
  <c r="AA10" i="263"/>
  <c r="AK13" i="263"/>
  <c r="AA14" i="263"/>
  <c r="AL14" i="263"/>
  <c r="AA17" i="263"/>
  <c r="AL17" i="263"/>
  <c r="R23" i="263"/>
  <c r="AB23" i="263"/>
  <c r="AM23" i="263"/>
  <c r="V25" i="263"/>
  <c r="AL25" i="263"/>
  <c r="T26" i="263"/>
  <c r="P6" i="263"/>
  <c r="AC6" i="263"/>
  <c r="AO6" i="263"/>
  <c r="V9" i="263"/>
  <c r="AH10" i="263"/>
  <c r="Q11" i="263"/>
  <c r="R11" i="263" s="1"/>
  <c r="X12" i="263"/>
  <c r="AA13" i="263"/>
  <c r="AN13" i="263"/>
  <c r="O14" i="263"/>
  <c r="W14" i="263" s="1"/>
  <c r="AD14" i="263"/>
  <c r="AN14" i="263"/>
  <c r="V15" i="263"/>
  <c r="X16" i="263"/>
  <c r="AM16" i="263"/>
  <c r="AD17" i="263"/>
  <c r="AN17" i="263"/>
  <c r="S18" i="263"/>
  <c r="AI18" i="263"/>
  <c r="X19" i="263"/>
  <c r="AM19" i="263"/>
  <c r="AI20" i="263"/>
  <c r="X21" i="263"/>
  <c r="AI21" i="263"/>
  <c r="T23" i="263"/>
  <c r="AE23" i="263"/>
  <c r="AP23" i="263"/>
  <c r="X24" i="263"/>
  <c r="AI24" i="263"/>
  <c r="Z25" i="263"/>
  <c r="AP25" i="263"/>
  <c r="AC26" i="263"/>
  <c r="AE10" i="263"/>
  <c r="X13" i="263"/>
  <c r="AM13" i="263"/>
  <c r="Q6" i="263"/>
  <c r="R6" i="263" s="1"/>
  <c r="Z6" i="263" s="1"/>
  <c r="AD6" i="263"/>
  <c r="AQ6" i="263"/>
  <c r="Y9" i="263"/>
  <c r="L10" i="263"/>
  <c r="U10" i="263" s="1"/>
  <c r="AI10" i="263"/>
  <c r="AE11" i="263"/>
  <c r="AE12" i="263"/>
  <c r="AC13" i="263"/>
  <c r="AP13" i="263"/>
  <c r="P14" i="263"/>
  <c r="AE14" i="263"/>
  <c r="AP14" i="263"/>
  <c r="X15" i="263"/>
  <c r="AA16" i="263"/>
  <c r="AN16" i="263"/>
  <c r="O17" i="263"/>
  <c r="W17" i="263" s="1"/>
  <c r="AE17" i="263"/>
  <c r="AP17" i="263"/>
  <c r="V18" i="263"/>
  <c r="AK18" i="263"/>
  <c r="AA19" i="263"/>
  <c r="AN19" i="263"/>
  <c r="AN20" i="263"/>
  <c r="O21" i="263"/>
  <c r="Z21" i="263"/>
  <c r="AK21" i="263"/>
  <c r="AB22" i="263"/>
  <c r="L23" i="263"/>
  <c r="U23" i="263"/>
  <c r="AF23" i="263"/>
  <c r="AQ23" i="263"/>
  <c r="O24" i="263"/>
  <c r="Z24" i="263"/>
  <c r="AK24" i="263"/>
  <c r="M25" i="263"/>
  <c r="AC25" i="263"/>
  <c r="AS25" i="263"/>
  <c r="AH26" i="263"/>
  <c r="AD9" i="263"/>
  <c r="AL10" i="263"/>
  <c r="AL11" i="263"/>
  <c r="O13" i="263"/>
  <c r="W13" i="263" s="1"/>
  <c r="AE13" i="263"/>
  <c r="AQ13" i="263"/>
  <c r="S14" i="263"/>
  <c r="AF14" i="263"/>
  <c r="AQ14" i="263"/>
  <c r="M23" i="263"/>
  <c r="W23" i="263"/>
  <c r="AH23" i="263"/>
  <c r="AR23" i="263"/>
  <c r="AK26" i="263"/>
  <c r="Q10" i="263"/>
  <c r="R10" i="263" s="1"/>
  <c r="AP10" i="263"/>
  <c r="P13" i="263"/>
  <c r="AF13" i="263"/>
  <c r="AR13" i="263"/>
  <c r="L13" i="263" s="1"/>
  <c r="M13" i="263" s="1"/>
  <c r="V14" i="263"/>
  <c r="AH14" i="263"/>
  <c r="AS14" i="263"/>
  <c r="V6" i="263"/>
  <c r="AI6" i="263"/>
  <c r="T10" i="263"/>
  <c r="AR10" i="263"/>
  <c r="AO12" i="263"/>
  <c r="S13" i="263"/>
  <c r="AH13" i="263"/>
  <c r="AS13" i="263"/>
  <c r="AI14" i="263"/>
  <c r="AK15" i="263"/>
  <c r="O16" i="263"/>
  <c r="W16" i="263" s="1"/>
  <c r="AF16" i="263"/>
  <c r="AR16" i="263"/>
  <c r="L16" i="263" s="1"/>
  <c r="V17" i="263"/>
  <c r="AI17" i="263"/>
  <c r="AC18" i="263"/>
  <c r="AP18" i="263"/>
  <c r="O19" i="263"/>
  <c r="W19" i="263" s="1"/>
  <c r="AF19" i="263"/>
  <c r="AR19" i="263"/>
  <c r="S21" i="263"/>
  <c r="AD21" i="263"/>
  <c r="AN21" i="263"/>
  <c r="O23" i="263"/>
  <c r="Z23" i="263"/>
  <c r="AJ23" i="263"/>
  <c r="S24" i="263"/>
  <c r="AD24" i="263"/>
  <c r="AQ24" i="263"/>
  <c r="R25" i="263"/>
  <c r="AH25" i="263"/>
  <c r="Y10" i="263"/>
  <c r="T13" i="263"/>
  <c r="AI13" i="263"/>
  <c r="X14" i="263"/>
  <c r="AK14" i="263"/>
  <c r="O7" i="263"/>
  <c r="W7" i="263" s="1"/>
  <c r="AE7" i="263"/>
  <c r="AM7" i="263"/>
  <c r="AI8" i="263"/>
  <c r="AN11" i="263"/>
  <c r="AF11" i="263"/>
  <c r="X11" i="263"/>
  <c r="P11" i="263"/>
  <c r="AQ11" i="263"/>
  <c r="AI11" i="263"/>
  <c r="AA11" i="263"/>
  <c r="S11" i="263"/>
  <c r="AC11" i="263"/>
  <c r="AM11" i="263"/>
  <c r="V7" i="263"/>
  <c r="AD7" i="263"/>
  <c r="AL7" i="263"/>
  <c r="AM8" i="263"/>
  <c r="AE8" i="263"/>
  <c r="AP8" i="263"/>
  <c r="Q8" i="263"/>
  <c r="R8" i="263" s="1"/>
  <c r="Y8" i="263"/>
  <c r="AH8" i="263"/>
  <c r="AR8" i="263"/>
  <c r="L8" i="263" s="1"/>
  <c r="P7" i="263"/>
  <c r="X7" i="263"/>
  <c r="AF7" i="263"/>
  <c r="AN7" i="263"/>
  <c r="S8" i="263"/>
  <c r="AA8" i="263"/>
  <c r="AP9" i="263"/>
  <c r="AH9" i="263"/>
  <c r="AS9" i="263"/>
  <c r="AK9" i="263"/>
  <c r="AC9" i="263"/>
  <c r="T9" i="263"/>
  <c r="AE9" i="263"/>
  <c r="AO9" i="263"/>
  <c r="O10" i="263"/>
  <c r="W10" i="263" s="1"/>
  <c r="T11" i="263"/>
  <c r="AD11" i="263"/>
  <c r="AO11" i="263"/>
  <c r="AG12" i="263"/>
  <c r="AR12" i="263"/>
  <c r="L12" i="263" s="1"/>
  <c r="U12" i="263" s="1"/>
  <c r="Y15" i="263"/>
  <c r="AI15" i="263"/>
  <c r="Q7" i="263"/>
  <c r="R7" i="263" s="1"/>
  <c r="Y7" i="263"/>
  <c r="AO7" i="263"/>
  <c r="T8" i="263"/>
  <c r="AK8" i="263"/>
  <c r="O6" i="263"/>
  <c r="W6" i="263" s="1"/>
  <c r="AE6" i="263"/>
  <c r="AM6" i="263"/>
  <c r="J7" i="263"/>
  <c r="AH7" i="263"/>
  <c r="AP7" i="263"/>
  <c r="AC8" i="263"/>
  <c r="AL8" i="263"/>
  <c r="AG9" i="263"/>
  <c r="AR9" i="263"/>
  <c r="L9" i="263" s="1"/>
  <c r="U9" i="263" s="1"/>
  <c r="V11" i="263"/>
  <c r="AG11" i="263"/>
  <c r="AR11" i="263"/>
  <c r="L11" i="263" s="1"/>
  <c r="O12" i="263"/>
  <c r="W12" i="263" s="1"/>
  <c r="Y12" i="263"/>
  <c r="Q15" i="263"/>
  <c r="R15" i="263" s="1"/>
  <c r="AA15" i="263"/>
  <c r="AL15" i="263"/>
  <c r="AG7" i="263"/>
  <c r="S7" i="263"/>
  <c r="AA7" i="263"/>
  <c r="AI7" i="263"/>
  <c r="AQ7" i="263"/>
  <c r="V8" i="263"/>
  <c r="AD8" i="263"/>
  <c r="AN8" i="263"/>
  <c r="X9" i="263"/>
  <c r="AI9" i="263"/>
  <c r="AS10" i="263"/>
  <c r="AK10" i="263"/>
  <c r="AC10" i="263"/>
  <c r="AN10" i="263"/>
  <c r="AF10" i="263"/>
  <c r="X10" i="263"/>
  <c r="P10" i="263"/>
  <c r="S10" i="263"/>
  <c r="AD10" i="263"/>
  <c r="AO10" i="263"/>
  <c r="AH11" i="263"/>
  <c r="AS11" i="263"/>
  <c r="P12" i="263"/>
  <c r="AC15" i="263"/>
  <c r="T7" i="263"/>
  <c r="AR7" i="263"/>
  <c r="L7" i="263" s="1"/>
  <c r="O8" i="263"/>
  <c r="W8" i="263" s="1"/>
  <c r="AF8" i="263"/>
  <c r="AO8" i="263"/>
  <c r="Y11" i="263"/>
  <c r="AQ12" i="263"/>
  <c r="AI12" i="263"/>
  <c r="AA12" i="263"/>
  <c r="S12" i="263"/>
  <c r="AL12" i="263"/>
  <c r="AD12" i="263"/>
  <c r="V12" i="263"/>
  <c r="Q12" i="263"/>
  <c r="R12" i="263" s="1"/>
  <c r="AM12" i="263"/>
  <c r="AR15" i="263"/>
  <c r="L15" i="263" s="1"/>
  <c r="M15" i="263" s="1"/>
  <c r="T15" i="263"/>
  <c r="AM15" i="263"/>
  <c r="AE15" i="263"/>
  <c r="O15" i="263"/>
  <c r="W15" i="263" s="1"/>
  <c r="S15" i="263"/>
  <c r="AD15" i="263"/>
  <c r="AO15" i="263"/>
  <c r="AH6" i="263"/>
  <c r="AC7" i="263"/>
  <c r="AK7" i="263"/>
  <c r="P8" i="263"/>
  <c r="X8" i="263"/>
  <c r="AG8" i="263"/>
  <c r="AQ8" i="263"/>
  <c r="P9" i="263"/>
  <c r="AA9" i="263"/>
  <c r="AL9" i="263"/>
  <c r="V10" i="263"/>
  <c r="AG10" i="263"/>
  <c r="AQ10" i="263"/>
  <c r="O11" i="263"/>
  <c r="W11" i="263" s="1"/>
  <c r="AK11" i="263"/>
  <c r="AC12" i="263"/>
  <c r="AN12" i="263"/>
  <c r="AF15" i="263"/>
  <c r="AP15" i="263"/>
  <c r="Q20" i="263"/>
  <c r="Y20" i="263"/>
  <c r="AG20" i="263"/>
  <c r="AO20" i="263"/>
  <c r="U22" i="263"/>
  <c r="AC22" i="263"/>
  <c r="AK22" i="263"/>
  <c r="AS22" i="263"/>
  <c r="R26" i="263"/>
  <c r="AA26" i="263"/>
  <c r="AI26" i="263"/>
  <c r="AR26" i="263"/>
  <c r="Q13" i="263"/>
  <c r="R13" i="263" s="1"/>
  <c r="Y13" i="263"/>
  <c r="AG13" i="263"/>
  <c r="AO13" i="263"/>
  <c r="T14" i="263"/>
  <c r="AR14" i="263"/>
  <c r="L14" i="263" s="1"/>
  <c r="Q16" i="263"/>
  <c r="R16" i="263" s="1"/>
  <c r="Y16" i="263"/>
  <c r="AG16" i="263"/>
  <c r="AO16" i="263"/>
  <c r="T17" i="263"/>
  <c r="AR17" i="263"/>
  <c r="L17" i="263" s="1"/>
  <c r="O18" i="263"/>
  <c r="W18" i="263" s="1"/>
  <c r="AE18" i="263"/>
  <c r="AM18" i="263"/>
  <c r="Q19" i="263"/>
  <c r="R19" i="263" s="1"/>
  <c r="Y19" i="263"/>
  <c r="AG19" i="263"/>
  <c r="AO19" i="263"/>
  <c r="J20" i="263"/>
  <c r="R20" i="263"/>
  <c r="Z20" i="263"/>
  <c r="AH20" i="263"/>
  <c r="AP20" i="263"/>
  <c r="L21" i="263"/>
  <c r="T21" i="263"/>
  <c r="AB21" i="263"/>
  <c r="AJ21" i="263"/>
  <c r="AR21" i="263"/>
  <c r="V22" i="263"/>
  <c r="AD22" i="263"/>
  <c r="AL22" i="263"/>
  <c r="Q23" i="263"/>
  <c r="Y23" i="263"/>
  <c r="AG23" i="263"/>
  <c r="AO23" i="263"/>
  <c r="L24" i="263"/>
  <c r="T24" i="263"/>
  <c r="AB24" i="263"/>
  <c r="AJ24" i="263"/>
  <c r="AR24" i="263"/>
  <c r="O25" i="263"/>
  <c r="W25" i="263"/>
  <c r="AE25" i="263"/>
  <c r="AM25" i="263"/>
  <c r="J26" i="263"/>
  <c r="S26" i="263"/>
  <c r="AB26" i="263"/>
  <c r="AJ26" i="263"/>
  <c r="AS26" i="263"/>
  <c r="Q18" i="263"/>
  <c r="R18" i="263" s="1"/>
  <c r="Z18" i="263" s="1"/>
  <c r="Y18" i="263"/>
  <c r="AG18" i="263"/>
  <c r="AO18" i="263"/>
  <c r="L20" i="263"/>
  <c r="T20" i="263"/>
  <c r="AB20" i="263"/>
  <c r="AJ20" i="263"/>
  <c r="AR20" i="263"/>
  <c r="P22" i="263"/>
  <c r="X22" i="263"/>
  <c r="AF22" i="263"/>
  <c r="AN22" i="263"/>
  <c r="AL24" i="263"/>
  <c r="Q25" i="263"/>
  <c r="Y25" i="263"/>
  <c r="AG25" i="263"/>
  <c r="AO25" i="263"/>
  <c r="M26" i="263"/>
  <c r="U26" i="263"/>
  <c r="AD26" i="263"/>
  <c r="AM26" i="263"/>
  <c r="M20" i="263"/>
  <c r="U20" i="263"/>
  <c r="AC20" i="263"/>
  <c r="AK20" i="263"/>
  <c r="AS20" i="263"/>
  <c r="Q22" i="263"/>
  <c r="Y22" i="263"/>
  <c r="AG22" i="263"/>
  <c r="AO22" i="263"/>
  <c r="V26" i="263"/>
  <c r="AE26" i="263"/>
  <c r="AN26" i="263"/>
  <c r="M19" i="263"/>
  <c r="V20" i="263"/>
  <c r="AD20" i="263"/>
  <c r="AL20" i="263"/>
  <c r="J22" i="263"/>
  <c r="R22" i="263"/>
  <c r="Z22" i="263"/>
  <c r="AH22" i="263"/>
  <c r="AP22" i="263"/>
  <c r="AN24" i="263"/>
  <c r="S25" i="263"/>
  <c r="AA25" i="263"/>
  <c r="AI25" i="263"/>
  <c r="AQ25" i="263"/>
  <c r="O26" i="263"/>
  <c r="W26" i="263"/>
  <c r="AF26" i="263"/>
  <c r="AO26" i="263"/>
  <c r="V13" i="263"/>
  <c r="AD13" i="263"/>
  <c r="Q14" i="263"/>
  <c r="R14" i="263" s="1"/>
  <c r="Z14" i="263" s="1"/>
  <c r="Y14" i="263"/>
  <c r="AG14" i="263"/>
  <c r="V16" i="263"/>
  <c r="AD16" i="263"/>
  <c r="Q17" i="263"/>
  <c r="R17" i="263" s="1"/>
  <c r="Z17" i="263" s="1"/>
  <c r="Y17" i="263"/>
  <c r="AG17" i="263"/>
  <c r="L18" i="263"/>
  <c r="T18" i="263"/>
  <c r="V19" i="263"/>
  <c r="AD19" i="263"/>
  <c r="O20" i="263"/>
  <c r="W20" i="263"/>
  <c r="AE20" i="263"/>
  <c r="Q21" i="263"/>
  <c r="Y21" i="263"/>
  <c r="AG21" i="263"/>
  <c r="S22" i="263"/>
  <c r="AA22" i="263"/>
  <c r="AI22" i="263"/>
  <c r="V23" i="263"/>
  <c r="AD23" i="263"/>
  <c r="Q24" i="263"/>
  <c r="Y24" i="263"/>
  <c r="AG24" i="263"/>
  <c r="L25" i="263"/>
  <c r="T25" i="263"/>
  <c r="AB25" i="263"/>
  <c r="AJ25" i="263"/>
  <c r="P26" i="263"/>
  <c r="Y26" i="263"/>
  <c r="AG26" i="263"/>
  <c r="V16" i="261"/>
  <c r="X18" i="261"/>
  <c r="V23" i="261"/>
  <c r="AM8" i="261"/>
  <c r="U20" i="261"/>
  <c r="AC6" i="261"/>
  <c r="L23" i="261"/>
  <c r="AJ23" i="261"/>
  <c r="O23" i="261"/>
  <c r="V12" i="261"/>
  <c r="U23" i="261"/>
  <c r="AE12" i="261"/>
  <c r="O9" i="261"/>
  <c r="W9" i="261" s="1"/>
  <c r="AK17" i="261"/>
  <c r="AC9" i="261"/>
  <c r="AM9" i="261"/>
  <c r="M20" i="261"/>
  <c r="AE23" i="261"/>
  <c r="AN9" i="261"/>
  <c r="AF23" i="261"/>
  <c r="AC25" i="261"/>
  <c r="AN8" i="261"/>
  <c r="AA12" i="261"/>
  <c r="AF18" i="261"/>
  <c r="AA23" i="261"/>
  <c r="V26" i="261"/>
  <c r="AQ9" i="261"/>
  <c r="AD12" i="261"/>
  <c r="S16" i="261"/>
  <c r="AI17" i="261"/>
  <c r="O20" i="261"/>
  <c r="AB23" i="261"/>
  <c r="AC11" i="261"/>
  <c r="AO11" i="261"/>
  <c r="AR12" i="261"/>
  <c r="L12" i="261" s="1"/>
  <c r="AF16" i="261"/>
  <c r="AS17" i="261"/>
  <c r="AE20" i="261"/>
  <c r="AG21" i="261"/>
  <c r="Y21" i="261"/>
  <c r="AP16" i="261"/>
  <c r="AI20" i="261"/>
  <c r="AM14" i="260"/>
  <c r="V8" i="261"/>
  <c r="S9" i="261"/>
  <c r="X10" i="261"/>
  <c r="AQ16" i="261"/>
  <c r="AQ20" i="261"/>
  <c r="J22" i="261"/>
  <c r="P23" i="261"/>
  <c r="AK23" i="261"/>
  <c r="AS25" i="261"/>
  <c r="X8" i="261"/>
  <c r="Y10" i="261"/>
  <c r="L20" i="261"/>
  <c r="AS20" i="261"/>
  <c r="AF13" i="261"/>
  <c r="AD8" i="261"/>
  <c r="P9" i="261"/>
  <c r="AP9" i="261"/>
  <c r="AH10" i="261"/>
  <c r="AC12" i="261"/>
  <c r="AI13" i="261"/>
  <c r="AD16" i="261"/>
  <c r="AL17" i="261"/>
  <c r="AP20" i="261"/>
  <c r="AK10" i="261"/>
  <c r="AL13" i="261"/>
  <c r="AE16" i="261"/>
  <c r="AI24" i="261"/>
  <c r="O13" i="261"/>
  <c r="W13" i="261" s="1"/>
  <c r="AQ8" i="261"/>
  <c r="AD9" i="261"/>
  <c r="O12" i="261"/>
  <c r="W12" i="261" s="1"/>
  <c r="AM12" i="261"/>
  <c r="P13" i="261"/>
  <c r="AH16" i="261"/>
  <c r="S17" i="261"/>
  <c r="S19" i="261"/>
  <c r="V20" i="261"/>
  <c r="AL23" i="261"/>
  <c r="W26" i="261"/>
  <c r="AH13" i="261"/>
  <c r="AE9" i="261"/>
  <c r="P12" i="261"/>
  <c r="AN12" i="261"/>
  <c r="S13" i="261"/>
  <c r="O16" i="261"/>
  <c r="W16" i="261" s="1"/>
  <c r="AI16" i="261"/>
  <c r="AC17" i="261"/>
  <c r="M18" i="261"/>
  <c r="X20" i="261"/>
  <c r="X23" i="261"/>
  <c r="AQ23" i="261"/>
  <c r="M25" i="261"/>
  <c r="AE26" i="261"/>
  <c r="AP9" i="260"/>
  <c r="AA14" i="260"/>
  <c r="AF9" i="261"/>
  <c r="O10" i="261"/>
  <c r="W10" i="261" s="1"/>
  <c r="S11" i="261"/>
  <c r="S12" i="261"/>
  <c r="AQ12" i="261"/>
  <c r="V13" i="261"/>
  <c r="P16" i="261"/>
  <c r="AL16" i="261"/>
  <c r="AD17" i="261"/>
  <c r="AD20" i="261"/>
  <c r="AR23" i="261"/>
  <c r="AQ26" i="261"/>
  <c r="V7" i="261"/>
  <c r="V24" i="261"/>
  <c r="AF6" i="261"/>
  <c r="X7" i="261"/>
  <c r="AL7" i="261"/>
  <c r="AE8" i="261"/>
  <c r="AR8" i="261"/>
  <c r="L8" i="261" s="1"/>
  <c r="M8" i="261" s="1"/>
  <c r="T9" i="261"/>
  <c r="AH9" i="261"/>
  <c r="AR9" i="261"/>
  <c r="L9" i="261" s="1"/>
  <c r="T12" i="261"/>
  <c r="AF12" i="261"/>
  <c r="AS12" i="261"/>
  <c r="X13" i="261"/>
  <c r="AM13" i="261"/>
  <c r="AK18" i="261"/>
  <c r="AO19" i="261"/>
  <c r="P20" i="261"/>
  <c r="Z20" i="261"/>
  <c r="AJ20" i="261"/>
  <c r="J24" i="261"/>
  <c r="W24" i="261"/>
  <c r="AM24" i="261"/>
  <c r="AD25" i="261"/>
  <c r="AF26" i="261"/>
  <c r="AK7" i="261"/>
  <c r="P6" i="261"/>
  <c r="AG6" i="261"/>
  <c r="AA7" i="261"/>
  <c r="AM7" i="261"/>
  <c r="O8" i="261"/>
  <c r="W8" i="261" s="1"/>
  <c r="AF8" i="261"/>
  <c r="V9" i="261"/>
  <c r="AI9" i="261"/>
  <c r="AS9" i="261"/>
  <c r="AI12" i="261"/>
  <c r="AA13" i="261"/>
  <c r="AN13" i="261"/>
  <c r="P18" i="261"/>
  <c r="AL18" i="261"/>
  <c r="R20" i="261"/>
  <c r="AA20" i="261"/>
  <c r="AK20" i="261"/>
  <c r="X24" i="261"/>
  <c r="AN24" i="261"/>
  <c r="R25" i="261"/>
  <c r="AH25" i="261"/>
  <c r="AH26" i="261"/>
  <c r="Q6" i="261"/>
  <c r="R6" i="261" s="1"/>
  <c r="Z6" i="261" s="1"/>
  <c r="AK6" i="261"/>
  <c r="AC7" i="261"/>
  <c r="AN7" i="261"/>
  <c r="P8" i="261"/>
  <c r="AH8" i="261"/>
  <c r="X9" i="261"/>
  <c r="AK9" i="261"/>
  <c r="AK12" i="261"/>
  <c r="AD13" i="261"/>
  <c r="AP13" i="261"/>
  <c r="X16" i="261"/>
  <c r="AM16" i="261"/>
  <c r="V17" i="261"/>
  <c r="AP17" i="261"/>
  <c r="U18" i="261"/>
  <c r="AN18" i="261"/>
  <c r="J20" i="261"/>
  <c r="S20" i="261"/>
  <c r="AB20" i="261"/>
  <c r="AL20" i="261"/>
  <c r="Z22" i="261"/>
  <c r="S23" i="261"/>
  <c r="AC23" i="261"/>
  <c r="AM23" i="261"/>
  <c r="Z24" i="261"/>
  <c r="AP24" i="261"/>
  <c r="S25" i="261"/>
  <c r="AI25" i="261"/>
  <c r="O26" i="261"/>
  <c r="AN26" i="261"/>
  <c r="T6" i="261"/>
  <c r="AN6" i="261"/>
  <c r="O7" i="261"/>
  <c r="W7" i="261" s="1"/>
  <c r="AD7" i="261"/>
  <c r="AQ7" i="261"/>
  <c r="S8" i="261"/>
  <c r="AI8" i="261"/>
  <c r="AA9" i="261"/>
  <c r="AL9" i="261"/>
  <c r="X12" i="261"/>
  <c r="AL12" i="261"/>
  <c r="AE13" i="261"/>
  <c r="AQ13" i="261"/>
  <c r="AA16" i="261"/>
  <c r="AN16" i="261"/>
  <c r="AA17" i="261"/>
  <c r="AQ17" i="261"/>
  <c r="V18" i="261"/>
  <c r="AS18" i="261"/>
  <c r="T20" i="261"/>
  <c r="AC20" i="261"/>
  <c r="AM20" i="261"/>
  <c r="T23" i="261"/>
  <c r="AD23" i="261"/>
  <c r="AN23" i="261"/>
  <c r="O24" i="261"/>
  <c r="AA24" i="261"/>
  <c r="AQ24" i="261"/>
  <c r="U25" i="261"/>
  <c r="AK25" i="261"/>
  <c r="Q26" i="261"/>
  <c r="AO26" i="261"/>
  <c r="AO6" i="261"/>
  <c r="P7" i="261"/>
  <c r="AE7" i="261"/>
  <c r="AR7" i="261"/>
  <c r="L7" i="261" s="1"/>
  <c r="P24" i="261"/>
  <c r="AE24" i="261"/>
  <c r="V25" i="261"/>
  <c r="AL25" i="261"/>
  <c r="X6" i="261"/>
  <c r="AR6" i="261"/>
  <c r="L6" i="261" s="1"/>
  <c r="S7" i="261"/>
  <c r="AF7" i="261"/>
  <c r="AS7" i="261"/>
  <c r="AC18" i="261"/>
  <c r="R24" i="261"/>
  <c r="AF24" i="261"/>
  <c r="J25" i="261"/>
  <c r="Z25" i="261"/>
  <c r="AP25" i="261"/>
  <c r="Y6" i="261"/>
  <c r="AS6" i="261"/>
  <c r="T7" i="261"/>
  <c r="AI7" i="261"/>
  <c r="AA8" i="261"/>
  <c r="AO8" i="261"/>
  <c r="AH17" i="261"/>
  <c r="AD18" i="261"/>
  <c r="W20" i="261"/>
  <c r="AH20" i="261"/>
  <c r="AR20" i="261"/>
  <c r="M23" i="261"/>
  <c r="W23" i="261"/>
  <c r="AI23" i="261"/>
  <c r="AS23" i="261"/>
  <c r="S24" i="261"/>
  <c r="AH24" i="261"/>
  <c r="AA25" i="261"/>
  <c r="AQ25" i="261"/>
  <c r="Z26" i="261"/>
  <c r="AR14" i="261"/>
  <c r="L14" i="261" s="1"/>
  <c r="M14" i="261" s="1"/>
  <c r="T14" i="261"/>
  <c r="AN14" i="261"/>
  <c r="AF14" i="261"/>
  <c r="X14" i="261"/>
  <c r="P14" i="261"/>
  <c r="AM14" i="261"/>
  <c r="AE14" i="261"/>
  <c r="O14" i="261"/>
  <c r="W14" i="261" s="1"/>
  <c r="V6" i="261"/>
  <c r="AD6" i="261"/>
  <c r="AL6" i="261"/>
  <c r="Q7" i="261"/>
  <c r="R7" i="261" s="1"/>
  <c r="Y7" i="261"/>
  <c r="AG7" i="261"/>
  <c r="AO7" i="261"/>
  <c r="T8" i="261"/>
  <c r="AS8" i="261"/>
  <c r="P10" i="261"/>
  <c r="AL10" i="261"/>
  <c r="T11" i="261"/>
  <c r="AF11" i="261"/>
  <c r="AP11" i="261"/>
  <c r="V14" i="261"/>
  <c r="AI14" i="261"/>
  <c r="V15" i="261"/>
  <c r="X19" i="261"/>
  <c r="AQ19" i="261"/>
  <c r="AN21" i="261"/>
  <c r="AF21" i="261"/>
  <c r="X21" i="261"/>
  <c r="P21" i="261"/>
  <c r="AS21" i="261"/>
  <c r="AK21" i="261"/>
  <c r="AC21" i="261"/>
  <c r="U21" i="261"/>
  <c r="M21" i="261"/>
  <c r="AR21" i="261"/>
  <c r="AJ21" i="261"/>
  <c r="AB21" i="261"/>
  <c r="T21" i="261"/>
  <c r="L21" i="261"/>
  <c r="AQ21" i="261"/>
  <c r="AI21" i="261"/>
  <c r="AA21" i="261"/>
  <c r="S21" i="261"/>
  <c r="AP21" i="261"/>
  <c r="AH21" i="261"/>
  <c r="Z21" i="261"/>
  <c r="R21" i="261"/>
  <c r="J21" i="261"/>
  <c r="AD21" i="261"/>
  <c r="AB22" i="261"/>
  <c r="AG15" i="261"/>
  <c r="O6" i="261"/>
  <c r="W6" i="261" s="1"/>
  <c r="AE6" i="261"/>
  <c r="AM6" i="261"/>
  <c r="J7" i="261"/>
  <c r="AH7" i="261"/>
  <c r="AC8" i="261"/>
  <c r="AK8" i="261"/>
  <c r="Q10" i="261"/>
  <c r="R10" i="261" s="1"/>
  <c r="Z10" i="261" s="1"/>
  <c r="AC10" i="261"/>
  <c r="AG11" i="261"/>
  <c r="AQ11" i="261"/>
  <c r="Y14" i="261"/>
  <c r="AK14" i="261"/>
  <c r="X15" i="261"/>
  <c r="AK15" i="261"/>
  <c r="AE21" i="261"/>
  <c r="L22" i="261"/>
  <c r="AG22" i="261"/>
  <c r="AR10" i="261"/>
  <c r="L10" i="261" s="1"/>
  <c r="U10" i="261" s="1"/>
  <c r="T10" i="261"/>
  <c r="AQ10" i="261"/>
  <c r="AI10" i="261"/>
  <c r="AA10" i="261"/>
  <c r="S10" i="261"/>
  <c r="AD10" i="261"/>
  <c r="AN10" i="261"/>
  <c r="X11" i="261"/>
  <c r="AH11" i="261"/>
  <c r="AR11" i="261"/>
  <c r="L11" i="261" s="1"/>
  <c r="AL14" i="261"/>
  <c r="Y15" i="261"/>
  <c r="AL15" i="261"/>
  <c r="AP19" i="261"/>
  <c r="AH19" i="261"/>
  <c r="Z19" i="261"/>
  <c r="R19" i="261"/>
  <c r="J19" i="261"/>
  <c r="AM19" i="261"/>
  <c r="AE19" i="261"/>
  <c r="W19" i="261"/>
  <c r="O19" i="261"/>
  <c r="AL19" i="261"/>
  <c r="AD19" i="261"/>
  <c r="V19" i="261"/>
  <c r="AS19" i="261"/>
  <c r="AK19" i="261"/>
  <c r="AC19" i="261"/>
  <c r="U19" i="261"/>
  <c r="M19" i="261"/>
  <c r="AR19" i="261"/>
  <c r="AJ19" i="261"/>
  <c r="AB19" i="261"/>
  <c r="T19" i="261"/>
  <c r="L19" i="261"/>
  <c r="AA19" i="261"/>
  <c r="AH22" i="261"/>
  <c r="AE10" i="261"/>
  <c r="AO10" i="261"/>
  <c r="Y11" i="261"/>
  <c r="AI11" i="261"/>
  <c r="AS11" i="261"/>
  <c r="AA14" i="261"/>
  <c r="AO14" i="261"/>
  <c r="AN15" i="261"/>
  <c r="AF19" i="261"/>
  <c r="O21" i="261"/>
  <c r="AL21" i="261"/>
  <c r="Q22" i="261"/>
  <c r="AJ22" i="261"/>
  <c r="AH14" i="261"/>
  <c r="AH6" i="261"/>
  <c r="AP6" i="261"/>
  <c r="V10" i="261"/>
  <c r="AF10" i="261"/>
  <c r="AP10" i="261"/>
  <c r="P11" i="261"/>
  <c r="Q14" i="261"/>
  <c r="R14" i="261" s="1"/>
  <c r="AC14" i="261"/>
  <c r="AP14" i="261"/>
  <c r="P15" i="261"/>
  <c r="AC15" i="261"/>
  <c r="AG19" i="261"/>
  <c r="Q21" i="261"/>
  <c r="AM21" i="261"/>
  <c r="R22" i="261"/>
  <c r="AO22" i="261"/>
  <c r="AM15" i="261"/>
  <c r="AE15" i="261"/>
  <c r="O15" i="261"/>
  <c r="W15" i="261" s="1"/>
  <c r="AQ15" i="261"/>
  <c r="AI15" i="261"/>
  <c r="AA15" i="261"/>
  <c r="S15" i="261"/>
  <c r="AP15" i="261"/>
  <c r="AH15" i="261"/>
  <c r="S6" i="261"/>
  <c r="AA6" i="261"/>
  <c r="AI6" i="261"/>
  <c r="Q8" i="261"/>
  <c r="R8" i="261" s="1"/>
  <c r="Z8" i="261" s="1"/>
  <c r="Y8" i="261"/>
  <c r="AG8" i="261"/>
  <c r="AP8" i="261"/>
  <c r="AG10" i="261"/>
  <c r="AS10" i="261"/>
  <c r="Q11" i="261"/>
  <c r="R11" i="261" s="1"/>
  <c r="Z11" i="261" s="1"/>
  <c r="AA11" i="261"/>
  <c r="AD14" i="261"/>
  <c r="AQ14" i="261"/>
  <c r="Q15" i="261"/>
  <c r="R15" i="261" s="1"/>
  <c r="AJ15" i="261" s="1"/>
  <c r="AD15" i="261"/>
  <c r="AR15" i="261"/>
  <c r="L15" i="261" s="1"/>
  <c r="U15" i="261" s="1"/>
  <c r="P19" i="261"/>
  <c r="AI19" i="261"/>
  <c r="V21" i="261"/>
  <c r="AO21" i="261"/>
  <c r="T22" i="261"/>
  <c r="AM11" i="261"/>
  <c r="AE11" i="261"/>
  <c r="O11" i="261"/>
  <c r="W11" i="261" s="1"/>
  <c r="AL11" i="261"/>
  <c r="AD11" i="261"/>
  <c r="V11" i="261"/>
  <c r="AN11" i="261"/>
  <c r="S14" i="261"/>
  <c r="AG14" i="261"/>
  <c r="AS14" i="261"/>
  <c r="T15" i="261"/>
  <c r="AF15" i="261"/>
  <c r="AS15" i="261"/>
  <c r="Q19" i="261"/>
  <c r="AN19" i="261"/>
  <c r="AQ22" i="261"/>
  <c r="AI22" i="261"/>
  <c r="AA22" i="261"/>
  <c r="S22" i="261"/>
  <c r="AN22" i="261"/>
  <c r="AF22" i="261"/>
  <c r="X22" i="261"/>
  <c r="P22" i="261"/>
  <c r="AM22" i="261"/>
  <c r="AE22" i="261"/>
  <c r="W22" i="261"/>
  <c r="O22" i="261"/>
  <c r="AL22" i="261"/>
  <c r="AD22" i="261"/>
  <c r="V22" i="261"/>
  <c r="AS22" i="261"/>
  <c r="AK22" i="261"/>
  <c r="AC22" i="261"/>
  <c r="U22" i="261"/>
  <c r="M22" i="261"/>
  <c r="Y22" i="261"/>
  <c r="AR22" i="261"/>
  <c r="Q18" i="261"/>
  <c r="Y18" i="261"/>
  <c r="AG18" i="261"/>
  <c r="AO18" i="261"/>
  <c r="R26" i="261"/>
  <c r="AA26" i="261"/>
  <c r="AI26" i="261"/>
  <c r="AR26" i="261"/>
  <c r="Q12" i="261"/>
  <c r="R12" i="261" s="1"/>
  <c r="Y12" i="261"/>
  <c r="AG12" i="261"/>
  <c r="AO12" i="261"/>
  <c r="T13" i="261"/>
  <c r="AR13" i="261"/>
  <c r="L13" i="261" s="1"/>
  <c r="T16" i="261"/>
  <c r="AR16" i="261"/>
  <c r="L16" i="261" s="1"/>
  <c r="M16" i="261" s="1"/>
  <c r="O17" i="261"/>
  <c r="W17" i="261" s="1"/>
  <c r="AE17" i="261"/>
  <c r="AM17" i="261"/>
  <c r="J18" i="261"/>
  <c r="R18" i="261"/>
  <c r="Z18" i="261"/>
  <c r="AH18" i="261"/>
  <c r="AP18" i="261"/>
  <c r="AF20" i="261"/>
  <c r="AN20" i="261"/>
  <c r="Q23" i="261"/>
  <c r="Y23" i="261"/>
  <c r="AG23" i="261"/>
  <c r="AO23" i="261"/>
  <c r="L24" i="261"/>
  <c r="T24" i="261"/>
  <c r="AB24" i="261"/>
  <c r="AJ24" i="261"/>
  <c r="AR24" i="261"/>
  <c r="O25" i="261"/>
  <c r="W25" i="261"/>
  <c r="AE25" i="261"/>
  <c r="AM25" i="261"/>
  <c r="J26" i="261"/>
  <c r="S26" i="261"/>
  <c r="AB26" i="261"/>
  <c r="AJ26" i="261"/>
  <c r="AS26" i="261"/>
  <c r="Q9" i="261"/>
  <c r="R9" i="261" s="1"/>
  <c r="Y9" i="261"/>
  <c r="AG9" i="261"/>
  <c r="AH12" i="261"/>
  <c r="AC13" i="261"/>
  <c r="AK13" i="261"/>
  <c r="AS13" i="261"/>
  <c r="AC16" i="261"/>
  <c r="AK16" i="261"/>
  <c r="AS16" i="261"/>
  <c r="P17" i="261"/>
  <c r="X17" i="261"/>
  <c r="AF17" i="261"/>
  <c r="AN17" i="261"/>
  <c r="S18" i="261"/>
  <c r="AA18" i="261"/>
  <c r="AI18" i="261"/>
  <c r="AQ18" i="261"/>
  <c r="Q20" i="261"/>
  <c r="Y20" i="261"/>
  <c r="AG20" i="261"/>
  <c r="J23" i="261"/>
  <c r="R23" i="261"/>
  <c r="Z23" i="261"/>
  <c r="AH23" i="261"/>
  <c r="M24" i="261"/>
  <c r="U24" i="261"/>
  <c r="AC24" i="261"/>
  <c r="AK24" i="261"/>
  <c r="AS24" i="261"/>
  <c r="P25" i="261"/>
  <c r="X25" i="261"/>
  <c r="AF25" i="261"/>
  <c r="AN25" i="261"/>
  <c r="L26" i="261"/>
  <c r="T26" i="261"/>
  <c r="AC26" i="261"/>
  <c r="AK26" i="261"/>
  <c r="Q17" i="261"/>
  <c r="R17" i="261" s="1"/>
  <c r="Z17" i="261" s="1"/>
  <c r="Y17" i="261"/>
  <c r="AG17" i="261"/>
  <c r="AO17" i="261"/>
  <c r="L18" i="261"/>
  <c r="T18" i="261"/>
  <c r="AB18" i="261"/>
  <c r="AJ18" i="261"/>
  <c r="AR18" i="261"/>
  <c r="AD24" i="261"/>
  <c r="AL24" i="261"/>
  <c r="Q25" i="261"/>
  <c r="Y25" i="261"/>
  <c r="AG25" i="261"/>
  <c r="AO25" i="261"/>
  <c r="M26" i="261"/>
  <c r="U26" i="261"/>
  <c r="AD26" i="261"/>
  <c r="AM26" i="261"/>
  <c r="Q13" i="261"/>
  <c r="R13" i="261" s="1"/>
  <c r="Z13" i="261" s="1"/>
  <c r="Y13" i="261"/>
  <c r="AG13" i="261"/>
  <c r="Q16" i="261"/>
  <c r="R16" i="261" s="1"/>
  <c r="Z16" i="261" s="1"/>
  <c r="Y16" i="261"/>
  <c r="AG16" i="261"/>
  <c r="L17" i="261"/>
  <c r="T17" i="261"/>
  <c r="O18" i="261"/>
  <c r="W18" i="261"/>
  <c r="AE18" i="261"/>
  <c r="Q24" i="261"/>
  <c r="Y24" i="261"/>
  <c r="AG24" i="261"/>
  <c r="L25" i="261"/>
  <c r="T25" i="261"/>
  <c r="AB25" i="261"/>
  <c r="AJ25" i="261"/>
  <c r="P26" i="261"/>
  <c r="Y26" i="261"/>
  <c r="AG26" i="261"/>
  <c r="L18" i="260"/>
  <c r="M18" i="260"/>
  <c r="AD10" i="260"/>
  <c r="V24" i="259"/>
  <c r="AH10" i="260"/>
  <c r="S13" i="260"/>
  <c r="P16" i="260"/>
  <c r="P17" i="260"/>
  <c r="S8" i="260"/>
  <c r="AI10" i="260"/>
  <c r="O11" i="260"/>
  <c r="W11" i="260" s="1"/>
  <c r="AC16" i="260"/>
  <c r="X17" i="260"/>
  <c r="T18" i="260"/>
  <c r="AE10" i="260"/>
  <c r="AI6" i="260"/>
  <c r="AI8" i="260"/>
  <c r="O10" i="260"/>
  <c r="W10" i="260" s="1"/>
  <c r="AK10" i="260"/>
  <c r="AQ15" i="260"/>
  <c r="AD16" i="260"/>
  <c r="Y17" i="260"/>
  <c r="AD18" i="260"/>
  <c r="X25" i="260"/>
  <c r="P10" i="260"/>
  <c r="AM10" i="260"/>
  <c r="AS15" i="260"/>
  <c r="AE16" i="260"/>
  <c r="AF17" i="260"/>
  <c r="AQ18" i="260"/>
  <c r="S10" i="260"/>
  <c r="AR10" i="260"/>
  <c r="L10" i="260" s="1"/>
  <c r="M10" i="260" s="1"/>
  <c r="Q14" i="260"/>
  <c r="R14" i="260" s="1"/>
  <c r="Z14" i="260" s="1"/>
  <c r="AQ16" i="260"/>
  <c r="V10" i="260"/>
  <c r="AS10" i="260"/>
  <c r="AB21" i="260"/>
  <c r="AK26" i="260"/>
  <c r="V8" i="260"/>
  <c r="AQ9" i="260"/>
  <c r="X10" i="260"/>
  <c r="AN10" i="260"/>
  <c r="P11" i="260"/>
  <c r="Q12" i="260"/>
  <c r="R12" i="260" s="1"/>
  <c r="AB12" i="260" s="1"/>
  <c r="AA13" i="260"/>
  <c r="T15" i="260"/>
  <c r="AS16" i="260"/>
  <c r="AO17" i="260"/>
  <c r="AI18" i="260"/>
  <c r="AK21" i="260"/>
  <c r="AN24" i="260"/>
  <c r="Y25" i="260"/>
  <c r="AM26" i="260"/>
  <c r="AE8" i="260"/>
  <c r="AC10" i="260"/>
  <c r="AP10" i="260"/>
  <c r="AG11" i="260"/>
  <c r="AA12" i="260"/>
  <c r="AC13" i="260"/>
  <c r="P14" i="260"/>
  <c r="AD15" i="260"/>
  <c r="O16" i="260"/>
  <c r="W16" i="260" s="1"/>
  <c r="AJ18" i="260"/>
  <c r="AQ24" i="260"/>
  <c r="AF25" i="260"/>
  <c r="AH11" i="260"/>
  <c r="AD13" i="260"/>
  <c r="O24" i="260"/>
  <c r="AS24" i="260"/>
  <c r="AE24" i="260"/>
  <c r="AL6" i="259"/>
  <c r="O11" i="259"/>
  <c r="W11" i="259" s="1"/>
  <c r="AK8" i="260"/>
  <c r="AK11" i="260"/>
  <c r="AM13" i="260"/>
  <c r="AR15" i="260"/>
  <c r="J21" i="260"/>
  <c r="P24" i="260"/>
  <c r="M26" i="260"/>
  <c r="AP11" i="260"/>
  <c r="AN13" i="260"/>
  <c r="S24" i="260"/>
  <c r="O13" i="260"/>
  <c r="W13" i="260" s="1"/>
  <c r="AQ13" i="260"/>
  <c r="AC24" i="260"/>
  <c r="O26" i="260"/>
  <c r="X6" i="260"/>
  <c r="O8" i="260"/>
  <c r="W8" i="260" s="1"/>
  <c r="P13" i="260"/>
  <c r="AN16" i="260"/>
  <c r="S21" i="260"/>
  <c r="AD24" i="260"/>
  <c r="P25" i="260"/>
  <c r="AF26" i="260"/>
  <c r="Y6" i="260"/>
  <c r="AK6" i="260"/>
  <c r="T8" i="260"/>
  <c r="AL8" i="260"/>
  <c r="O9" i="260"/>
  <c r="W9" i="260" s="1"/>
  <c r="T10" i="260"/>
  <c r="AF10" i="260"/>
  <c r="AQ10" i="260"/>
  <c r="V11" i="260"/>
  <c r="AL11" i="260"/>
  <c r="T13" i="260"/>
  <c r="AE13" i="260"/>
  <c r="AR13" i="260"/>
  <c r="AL14" i="260"/>
  <c r="V15" i="260"/>
  <c r="S16" i="260"/>
  <c r="AF16" i="260"/>
  <c r="AI17" i="260"/>
  <c r="S18" i="260"/>
  <c r="AL18" i="260"/>
  <c r="J20" i="260"/>
  <c r="T21" i="260"/>
  <c r="AC21" i="260"/>
  <c r="AL21" i="260"/>
  <c r="J22" i="260"/>
  <c r="Z22" i="260"/>
  <c r="J23" i="260"/>
  <c r="T23" i="260"/>
  <c r="AH23" i="260"/>
  <c r="AS23" i="260"/>
  <c r="U24" i="260"/>
  <c r="AF24" i="260"/>
  <c r="AI25" i="260"/>
  <c r="T26" i="260"/>
  <c r="AO26" i="260"/>
  <c r="O6" i="260"/>
  <c r="W6" i="260" s="1"/>
  <c r="AA6" i="260"/>
  <c r="AL6" i="260"/>
  <c r="AM8" i="260"/>
  <c r="P9" i="260"/>
  <c r="AF13" i="260"/>
  <c r="AS13" i="260"/>
  <c r="AI16" i="260"/>
  <c r="L21" i="260"/>
  <c r="U21" i="260"/>
  <c r="AD21" i="260"/>
  <c r="AM21" i="260"/>
  <c r="AE22" i="260"/>
  <c r="U23" i="260"/>
  <c r="AI23" i="260"/>
  <c r="V24" i="260"/>
  <c r="AI24" i="260"/>
  <c r="AO25" i="260"/>
  <c r="U26" i="260"/>
  <c r="P6" i="260"/>
  <c r="AC6" i="260"/>
  <c r="AM6" i="260"/>
  <c r="AA8" i="260"/>
  <c r="AQ8" i="260"/>
  <c r="X9" i="260"/>
  <c r="X11" i="260"/>
  <c r="AS11" i="260"/>
  <c r="V13" i="260"/>
  <c r="AI13" i="260"/>
  <c r="AG15" i="260"/>
  <c r="V16" i="260"/>
  <c r="AK16" i="260"/>
  <c r="AQ17" i="260"/>
  <c r="V18" i="260"/>
  <c r="AR18" i="260"/>
  <c r="M21" i="260"/>
  <c r="V21" i="260"/>
  <c r="AE21" i="260"/>
  <c r="AN21" i="260"/>
  <c r="AF22" i="260"/>
  <c r="L23" i="260"/>
  <c r="X23" i="260"/>
  <c r="AJ23" i="260"/>
  <c r="W24" i="260"/>
  <c r="AK24" i="260"/>
  <c r="AQ25" i="260"/>
  <c r="W26" i="260"/>
  <c r="Q6" i="260"/>
  <c r="R6" i="260" s="1"/>
  <c r="Z6" i="260" s="1"/>
  <c r="AD6" i="260"/>
  <c r="AN6" i="260"/>
  <c r="AC8" i="260"/>
  <c r="AR8" i="260"/>
  <c r="Y9" i="260"/>
  <c r="Y11" i="260"/>
  <c r="L13" i="260"/>
  <c r="M13" i="260" s="1"/>
  <c r="AK13" i="260"/>
  <c r="AH15" i="260"/>
  <c r="L16" i="260"/>
  <c r="U16" i="260" s="1"/>
  <c r="X16" i="260"/>
  <c r="AL16" i="260"/>
  <c r="AA18" i="260"/>
  <c r="Z20" i="260"/>
  <c r="W21" i="260"/>
  <c r="AF21" i="260"/>
  <c r="AP21" i="260"/>
  <c r="O22" i="260"/>
  <c r="AH22" i="260"/>
  <c r="M23" i="260"/>
  <c r="Z23" i="260"/>
  <c r="AK23" i="260"/>
  <c r="M24" i="260"/>
  <c r="X24" i="260"/>
  <c r="AL24" i="260"/>
  <c r="AC26" i="260"/>
  <c r="AN13" i="259"/>
  <c r="S6" i="260"/>
  <c r="AE6" i="260"/>
  <c r="AO6" i="260"/>
  <c r="L8" i="260"/>
  <c r="U8" i="260" s="1"/>
  <c r="AD8" i="260"/>
  <c r="AS8" i="260"/>
  <c r="AG9" i="260"/>
  <c r="AA10" i="260"/>
  <c r="AL10" i="260"/>
  <c r="AF11" i="260"/>
  <c r="X13" i="260"/>
  <c r="AL13" i="260"/>
  <c r="L15" i="260"/>
  <c r="U15" i="260" s="1"/>
  <c r="AL15" i="260"/>
  <c r="AA16" i="260"/>
  <c r="AM16" i="260"/>
  <c r="AB18" i="260"/>
  <c r="AB20" i="260"/>
  <c r="O21" i="260"/>
  <c r="X21" i="260"/>
  <c r="AH21" i="260"/>
  <c r="AQ21" i="260"/>
  <c r="P22" i="260"/>
  <c r="AM22" i="260"/>
  <c r="AA23" i="260"/>
  <c r="AN23" i="260"/>
  <c r="AA24" i="260"/>
  <c r="AM24" i="260"/>
  <c r="L26" i="260"/>
  <c r="AD26" i="260"/>
  <c r="X22" i="260"/>
  <c r="S23" i="260"/>
  <c r="AR23" i="260"/>
  <c r="T6" i="260"/>
  <c r="AF6" i="260"/>
  <c r="AQ6" i="260"/>
  <c r="AH20" i="260"/>
  <c r="P21" i="260"/>
  <c r="Z21" i="260"/>
  <c r="AI21" i="260"/>
  <c r="AR21" i="260"/>
  <c r="R22" i="260"/>
  <c r="AN22" i="260"/>
  <c r="P23" i="260"/>
  <c r="AB23" i="260"/>
  <c r="AP23" i="260"/>
  <c r="AF23" i="260"/>
  <c r="V6" i="260"/>
  <c r="AG6" i="260"/>
  <c r="AS6" i="260"/>
  <c r="R21" i="260"/>
  <c r="AA21" i="260"/>
  <c r="AJ21" i="260"/>
  <c r="AS21" i="260"/>
  <c r="W22" i="260"/>
  <c r="AP22" i="260"/>
  <c r="R23" i="260"/>
  <c r="AC23" i="260"/>
  <c r="AQ23" i="260"/>
  <c r="U6" i="260"/>
  <c r="M6" i="260"/>
  <c r="AO7" i="260"/>
  <c r="J7" i="260"/>
  <c r="J8" i="260" s="1"/>
  <c r="J9" i="260" s="1"/>
  <c r="J10" i="260" s="1"/>
  <c r="J11" i="260" s="1"/>
  <c r="J12" i="260" s="1"/>
  <c r="J13" i="260" s="1"/>
  <c r="J14" i="260" s="1"/>
  <c r="J15" i="260" s="1"/>
  <c r="J16" i="260" s="1"/>
  <c r="J17" i="260" s="1"/>
  <c r="AH7" i="260"/>
  <c r="AP7" i="260"/>
  <c r="AM12" i="260"/>
  <c r="AE12" i="260"/>
  <c r="O12" i="260"/>
  <c r="W12" i="260" s="1"/>
  <c r="AL12" i="260"/>
  <c r="AD12" i="260"/>
  <c r="V12" i="260"/>
  <c r="AN12" i="260"/>
  <c r="AN19" i="260"/>
  <c r="AF19" i="260"/>
  <c r="X19" i="260"/>
  <c r="P19" i="260"/>
  <c r="AS19" i="260"/>
  <c r="AK19" i="260"/>
  <c r="AC19" i="260"/>
  <c r="U19" i="260"/>
  <c r="M19" i="260"/>
  <c r="AR19" i="260"/>
  <c r="AJ19" i="260"/>
  <c r="AB19" i="260"/>
  <c r="T19" i="260"/>
  <c r="L19" i="260"/>
  <c r="AQ19" i="260"/>
  <c r="AI19" i="260"/>
  <c r="AA19" i="260"/>
  <c r="S19" i="260"/>
  <c r="AP19" i="260"/>
  <c r="AH19" i="260"/>
  <c r="Z19" i="260"/>
  <c r="R19" i="260"/>
  <c r="J19" i="260"/>
  <c r="AD19" i="260"/>
  <c r="Y7" i="260"/>
  <c r="S7" i="260"/>
  <c r="AA7" i="260"/>
  <c r="AI7" i="260"/>
  <c r="AQ7" i="260"/>
  <c r="AL9" i="260"/>
  <c r="AD9" i="260"/>
  <c r="V9" i="260"/>
  <c r="Q9" i="260"/>
  <c r="R9" i="260" s="1"/>
  <c r="AJ9" i="260" s="1"/>
  <c r="AI9" i="260"/>
  <c r="AR9" i="260"/>
  <c r="L9" i="260" s="1"/>
  <c r="M9" i="260" s="1"/>
  <c r="S12" i="260"/>
  <c r="AC12" i="260"/>
  <c r="AO12" i="260"/>
  <c r="AD14" i="260"/>
  <c r="Y15" i="260"/>
  <c r="AI15" i="260"/>
  <c r="AP17" i="260"/>
  <c r="AH17" i="260"/>
  <c r="AM17" i="260"/>
  <c r="AE17" i="260"/>
  <c r="O17" i="260"/>
  <c r="W17" i="260" s="1"/>
  <c r="AL17" i="260"/>
  <c r="AD17" i="260"/>
  <c r="V17" i="260"/>
  <c r="AS17" i="260"/>
  <c r="AK17" i="260"/>
  <c r="AC17" i="260"/>
  <c r="AR17" i="260"/>
  <c r="T17" i="260"/>
  <c r="L17" i="260"/>
  <c r="U17" i="260" s="1"/>
  <c r="AA17" i="260"/>
  <c r="AE19" i="260"/>
  <c r="L20" i="260"/>
  <c r="AG20" i="260"/>
  <c r="AP25" i="260"/>
  <c r="AH25" i="260"/>
  <c r="Z25" i="260"/>
  <c r="R25" i="260"/>
  <c r="J25" i="260"/>
  <c r="AM25" i="260"/>
  <c r="AE25" i="260"/>
  <c r="W25" i="260"/>
  <c r="O25" i="260"/>
  <c r="AL25" i="260"/>
  <c r="AD25" i="260"/>
  <c r="V25" i="260"/>
  <c r="AS25" i="260"/>
  <c r="AK25" i="260"/>
  <c r="AC25" i="260"/>
  <c r="U25" i="260"/>
  <c r="M25" i="260"/>
  <c r="AR25" i="260"/>
  <c r="AJ25" i="260"/>
  <c r="AB25" i="260"/>
  <c r="T25" i="260"/>
  <c r="L25" i="260"/>
  <c r="AA25" i="260"/>
  <c r="AE24" i="259"/>
  <c r="T7" i="260"/>
  <c r="AR7" i="260"/>
  <c r="L7" i="260" s="1"/>
  <c r="AA9" i="260"/>
  <c r="AS9" i="260"/>
  <c r="T12" i="260"/>
  <c r="AF12" i="260"/>
  <c r="AP12" i="260"/>
  <c r="AS14" i="260"/>
  <c r="AK14" i="260"/>
  <c r="AC14" i="260"/>
  <c r="AR14" i="260"/>
  <c r="T14" i="260"/>
  <c r="L14" i="260"/>
  <c r="U14" i="260" s="1"/>
  <c r="S14" i="260"/>
  <c r="AE14" i="260"/>
  <c r="AO14" i="260"/>
  <c r="AG19" i="260"/>
  <c r="AH6" i="260"/>
  <c r="AP6" i="260"/>
  <c r="AC7" i="260"/>
  <c r="AK7" i="260"/>
  <c r="AS7" i="260"/>
  <c r="P8" i="260"/>
  <c r="X8" i="260"/>
  <c r="AF8" i="260"/>
  <c r="AN8" i="260"/>
  <c r="S9" i="260"/>
  <c r="AK9" i="260"/>
  <c r="Q11" i="260"/>
  <c r="R11" i="260" s="1"/>
  <c r="Z11" i="260" s="1"/>
  <c r="AC11" i="260"/>
  <c r="AG12" i="260"/>
  <c r="AQ12" i="260"/>
  <c r="V14" i="260"/>
  <c r="AF14" i="260"/>
  <c r="AP14" i="260"/>
  <c r="Q15" i="260"/>
  <c r="R15" i="260" s="1"/>
  <c r="AA15" i="260"/>
  <c r="AG17" i="260"/>
  <c r="O19" i="260"/>
  <c r="AL19" i="260"/>
  <c r="Q20" i="260"/>
  <c r="AJ20" i="260"/>
  <c r="AG25" i="260"/>
  <c r="Q7" i="260"/>
  <c r="R7" i="260" s="1"/>
  <c r="V7" i="260"/>
  <c r="AD7" i="260"/>
  <c r="AL7" i="260"/>
  <c r="Q8" i="260"/>
  <c r="R8" i="260" s="1"/>
  <c r="Y8" i="260"/>
  <c r="AG8" i="260"/>
  <c r="AO8" i="260"/>
  <c r="T9" i="260"/>
  <c r="AC9" i="260"/>
  <c r="AM9" i="260"/>
  <c r="AR11" i="260"/>
  <c r="L11" i="260" s="1"/>
  <c r="M11" i="260" s="1"/>
  <c r="T11" i="260"/>
  <c r="AQ11" i="260"/>
  <c r="AI11" i="260"/>
  <c r="AA11" i="260"/>
  <c r="S11" i="260"/>
  <c r="AD11" i="260"/>
  <c r="AN11" i="260"/>
  <c r="X12" i="260"/>
  <c r="AH12" i="260"/>
  <c r="AR12" i="260"/>
  <c r="L12" i="260" s="1"/>
  <c r="U12" i="260" s="1"/>
  <c r="AG14" i="260"/>
  <c r="AQ14" i="260"/>
  <c r="Q19" i="260"/>
  <c r="AM19" i="260"/>
  <c r="R20" i="260"/>
  <c r="AO20" i="260"/>
  <c r="AG7" i="260"/>
  <c r="O7" i="260"/>
  <c r="W7" i="260" s="1"/>
  <c r="AE7" i="260"/>
  <c r="AM7" i="260"/>
  <c r="AH8" i="260"/>
  <c r="AE9" i="260"/>
  <c r="AN9" i="260"/>
  <c r="AE11" i="260"/>
  <c r="AO11" i="260"/>
  <c r="Y12" i="260"/>
  <c r="AI12" i="260"/>
  <c r="AS12" i="260"/>
  <c r="X14" i="260"/>
  <c r="AH14" i="260"/>
  <c r="AP15" i="260"/>
  <c r="AN15" i="260"/>
  <c r="AF15" i="260"/>
  <c r="X15" i="260"/>
  <c r="P15" i="260"/>
  <c r="AM15" i="260"/>
  <c r="AE15" i="260"/>
  <c r="O15" i="260"/>
  <c r="W15" i="260" s="1"/>
  <c r="S15" i="260"/>
  <c r="AC15" i="260"/>
  <c r="AO15" i="260"/>
  <c r="Q17" i="260"/>
  <c r="R17" i="260" s="1"/>
  <c r="AN17" i="260"/>
  <c r="V19" i="260"/>
  <c r="AO19" i="260"/>
  <c r="T20" i="260"/>
  <c r="Q25" i="260"/>
  <c r="AN25" i="260"/>
  <c r="P7" i="260"/>
  <c r="X7" i="260"/>
  <c r="AF7" i="260"/>
  <c r="AF9" i="260"/>
  <c r="AO9" i="260"/>
  <c r="P12" i="260"/>
  <c r="O14" i="260"/>
  <c r="W14" i="260" s="1"/>
  <c r="Y14" i="260"/>
  <c r="AI14" i="260"/>
  <c r="W19" i="260"/>
  <c r="AQ20" i="260"/>
  <c r="AI20" i="260"/>
  <c r="AA20" i="260"/>
  <c r="S20" i="260"/>
  <c r="AN20" i="260"/>
  <c r="AF20" i="260"/>
  <c r="X20" i="260"/>
  <c r="P20" i="260"/>
  <c r="AM20" i="260"/>
  <c r="AE20" i="260"/>
  <c r="W20" i="260"/>
  <c r="O20" i="260"/>
  <c r="AL20" i="260"/>
  <c r="AD20" i="260"/>
  <c r="V20" i="260"/>
  <c r="AS20" i="260"/>
  <c r="AK20" i="260"/>
  <c r="AC20" i="260"/>
  <c r="U20" i="260"/>
  <c r="M20" i="260"/>
  <c r="Y20" i="260"/>
  <c r="AR20" i="260"/>
  <c r="Q13" i="260"/>
  <c r="R13" i="260" s="1"/>
  <c r="Y13" i="260"/>
  <c r="AG13" i="260"/>
  <c r="AO13" i="260"/>
  <c r="Q16" i="260"/>
  <c r="R16" i="260" s="1"/>
  <c r="Z16" i="260" s="1"/>
  <c r="Y16" i="260"/>
  <c r="AG16" i="260"/>
  <c r="AO16" i="260"/>
  <c r="O18" i="260"/>
  <c r="W18" i="260"/>
  <c r="AE18" i="260"/>
  <c r="AM18" i="260"/>
  <c r="S22" i="260"/>
  <c r="AA22" i="260"/>
  <c r="AI22" i="260"/>
  <c r="AQ22" i="260"/>
  <c r="V23" i="260"/>
  <c r="AD23" i="260"/>
  <c r="AL23" i="260"/>
  <c r="Q24" i="260"/>
  <c r="Y24" i="260"/>
  <c r="AG24" i="260"/>
  <c r="AO24" i="260"/>
  <c r="P26" i="260"/>
  <c r="Y26" i="260"/>
  <c r="AG26" i="260"/>
  <c r="AP26" i="260"/>
  <c r="Q10" i="260"/>
  <c r="R10" i="260" s="1"/>
  <c r="Y10" i="260"/>
  <c r="AG10" i="260"/>
  <c r="AH13" i="260"/>
  <c r="AH16" i="260"/>
  <c r="AP16" i="260"/>
  <c r="P18" i="260"/>
  <c r="X18" i="260"/>
  <c r="AF18" i="260"/>
  <c r="AN18" i="260"/>
  <c r="Q21" i="260"/>
  <c r="Y21" i="260"/>
  <c r="AG21" i="260"/>
  <c r="L22" i="260"/>
  <c r="T22" i="260"/>
  <c r="AB22" i="260"/>
  <c r="AJ22" i="260"/>
  <c r="AR22" i="260"/>
  <c r="O23" i="260"/>
  <c r="W23" i="260"/>
  <c r="AE23" i="260"/>
  <c r="AM23" i="260"/>
  <c r="J24" i="260"/>
  <c r="R24" i="260"/>
  <c r="Z24" i="260"/>
  <c r="AH24" i="260"/>
  <c r="AP24" i="260"/>
  <c r="Q26" i="260"/>
  <c r="Z26" i="260"/>
  <c r="AH26" i="260"/>
  <c r="AQ26" i="260"/>
  <c r="Q18" i="260"/>
  <c r="Y18" i="260"/>
  <c r="AG18" i="260"/>
  <c r="AO18" i="260"/>
  <c r="M22" i="260"/>
  <c r="U22" i="260"/>
  <c r="AC22" i="260"/>
  <c r="AK22" i="260"/>
  <c r="AS22" i="260"/>
  <c r="R26" i="260"/>
  <c r="AA26" i="260"/>
  <c r="AI26" i="260"/>
  <c r="AR26" i="260"/>
  <c r="T16" i="260"/>
  <c r="J18" i="260"/>
  <c r="R18" i="260"/>
  <c r="Z18" i="260"/>
  <c r="AH18" i="260"/>
  <c r="AP18" i="260"/>
  <c r="V22" i="260"/>
  <c r="AD22" i="260"/>
  <c r="AL22" i="260"/>
  <c r="Q23" i="260"/>
  <c r="Y23" i="260"/>
  <c r="AG23" i="260"/>
  <c r="L24" i="260"/>
  <c r="T24" i="260"/>
  <c r="AB24" i="260"/>
  <c r="AJ24" i="260"/>
  <c r="J26" i="260"/>
  <c r="S26" i="260"/>
  <c r="AB26" i="260"/>
  <c r="AJ26" i="260"/>
  <c r="AS26" i="260"/>
  <c r="U18" i="260"/>
  <c r="AC18" i="260"/>
  <c r="AK18" i="260"/>
  <c r="Q22" i="260"/>
  <c r="Y22" i="260"/>
  <c r="AG22" i="260"/>
  <c r="V26" i="260"/>
  <c r="AE26" i="260"/>
  <c r="AD14" i="259"/>
  <c r="S16" i="259"/>
  <c r="AQ21" i="259"/>
  <c r="Q19" i="259"/>
  <c r="O24" i="259"/>
  <c r="W26" i="259"/>
  <c r="AE11" i="259"/>
  <c r="AD21" i="259"/>
  <c r="S7" i="259"/>
  <c r="AI11" i="259"/>
  <c r="AI21" i="259"/>
  <c r="AH25" i="259"/>
  <c r="O6" i="259"/>
  <c r="W6" i="259" s="1"/>
  <c r="AS10" i="259"/>
  <c r="V20" i="259"/>
  <c r="AP25" i="259"/>
  <c r="AJ20" i="259"/>
  <c r="AO6" i="259"/>
  <c r="AI16" i="259"/>
  <c r="AN11" i="259"/>
  <c r="AG17" i="259"/>
  <c r="S21" i="259"/>
  <c r="AA24" i="259"/>
  <c r="S25" i="259"/>
  <c r="AF12" i="258"/>
  <c r="S8" i="259"/>
  <c r="S10" i="259"/>
  <c r="AP11" i="259"/>
  <c r="P13" i="259"/>
  <c r="AA21" i="259"/>
  <c r="AD24" i="259"/>
  <c r="AD25" i="259"/>
  <c r="AI8" i="259"/>
  <c r="AA10" i="259"/>
  <c r="S13" i="259"/>
  <c r="AC10" i="259"/>
  <c r="X13" i="259"/>
  <c r="AM24" i="259"/>
  <c r="X6" i="259"/>
  <c r="AI7" i="259"/>
  <c r="AH10" i="259"/>
  <c r="P11" i="259"/>
  <c r="AD13" i="259"/>
  <c r="AD6" i="259"/>
  <c r="AM7" i="259"/>
  <c r="AN10" i="259"/>
  <c r="AD11" i="259"/>
  <c r="AN12" i="259"/>
  <c r="AF13" i="259"/>
  <c r="J25" i="259"/>
  <c r="AP10" i="259"/>
  <c r="AI13" i="259"/>
  <c r="AC18" i="259"/>
  <c r="AA22" i="259"/>
  <c r="Y6" i="259"/>
  <c r="AM6" i="259"/>
  <c r="AQ7" i="259"/>
  <c r="T8" i="259"/>
  <c r="AK8" i="259"/>
  <c r="O10" i="259"/>
  <c r="W10" i="259" s="1"/>
  <c r="AE10" i="259"/>
  <c r="AQ10" i="259"/>
  <c r="S11" i="259"/>
  <c r="AF11" i="259"/>
  <c r="AQ11" i="259"/>
  <c r="X12" i="259"/>
  <c r="AO12" i="259"/>
  <c r="T13" i="259"/>
  <c r="AK13" i="259"/>
  <c r="AE14" i="259"/>
  <c r="T16" i="259"/>
  <c r="AK16" i="259"/>
  <c r="AD18" i="259"/>
  <c r="AP18" i="259"/>
  <c r="R19" i="259"/>
  <c r="L20" i="259"/>
  <c r="X20" i="259"/>
  <c r="AK20" i="259"/>
  <c r="O21" i="259"/>
  <c r="AE21" i="259"/>
  <c r="J22" i="259"/>
  <c r="AD22" i="259"/>
  <c r="P24" i="259"/>
  <c r="AF24" i="259"/>
  <c r="AI25" i="259"/>
  <c r="AN18" i="259"/>
  <c r="AC6" i="259"/>
  <c r="AN6" i="259"/>
  <c r="O7" i="259"/>
  <c r="W7" i="259" s="1"/>
  <c r="AR7" i="259"/>
  <c r="L7" i="259" s="1"/>
  <c r="U7" i="259" s="1"/>
  <c r="V8" i="259"/>
  <c r="AL8" i="259"/>
  <c r="P10" i="259"/>
  <c r="AF10" i="259"/>
  <c r="AR10" i="259"/>
  <c r="L10" i="259" s="1"/>
  <c r="M10" i="259" s="1"/>
  <c r="V11" i="259"/>
  <c r="AH11" i="259"/>
  <c r="AS11" i="259"/>
  <c r="Y12" i="259"/>
  <c r="AP12" i="259"/>
  <c r="V13" i="259"/>
  <c r="AL13" i="259"/>
  <c r="O14" i="259"/>
  <c r="W14" i="259" s="1"/>
  <c r="AF14" i="259"/>
  <c r="V16" i="259"/>
  <c r="AL16" i="259"/>
  <c r="AE18" i="259"/>
  <c r="AS18" i="259"/>
  <c r="Z19" i="259"/>
  <c r="M20" i="259"/>
  <c r="AA20" i="259"/>
  <c r="AN20" i="259"/>
  <c r="P21" i="259"/>
  <c r="AF21" i="259"/>
  <c r="AH22" i="259"/>
  <c r="U23" i="259"/>
  <c r="S24" i="259"/>
  <c r="AI24" i="259"/>
  <c r="R25" i="259"/>
  <c r="AL25" i="259"/>
  <c r="AA8" i="259"/>
  <c r="AM8" i="259"/>
  <c r="AE9" i="259"/>
  <c r="AA12" i="259"/>
  <c r="AQ12" i="259"/>
  <c r="P14" i="259"/>
  <c r="AL14" i="259"/>
  <c r="X16" i="259"/>
  <c r="AN16" i="259"/>
  <c r="O18" i="259"/>
  <c r="W18" i="259" s="1"/>
  <c r="AF18" i="259"/>
  <c r="AG19" i="259"/>
  <c r="AB20" i="259"/>
  <c r="AQ20" i="259"/>
  <c r="AI22" i="259"/>
  <c r="AO23" i="259"/>
  <c r="P6" i="259"/>
  <c r="AE6" i="259"/>
  <c r="AR6" i="259"/>
  <c r="L6" i="259" s="1"/>
  <c r="T7" i="259"/>
  <c r="AC8" i="259"/>
  <c r="AP8" i="259"/>
  <c r="AK9" i="259"/>
  <c r="T10" i="259"/>
  <c r="AI10" i="259"/>
  <c r="X11" i="259"/>
  <c r="AK11" i="259"/>
  <c r="AC12" i="259"/>
  <c r="AA13" i="259"/>
  <c r="AQ13" i="259"/>
  <c r="Q14" i="259"/>
  <c r="R14" i="259" s="1"/>
  <c r="AN14" i="259"/>
  <c r="AA16" i="259"/>
  <c r="AQ16" i="259"/>
  <c r="Q17" i="259"/>
  <c r="R17" i="259" s="1"/>
  <c r="AB17" i="259" s="1"/>
  <c r="P18" i="259"/>
  <c r="AH18" i="259"/>
  <c r="J19" i="259"/>
  <c r="AH19" i="259"/>
  <c r="P20" i="259"/>
  <c r="AC20" i="259"/>
  <c r="AR20" i="259"/>
  <c r="V21" i="259"/>
  <c r="AL21" i="259"/>
  <c r="R22" i="259"/>
  <c r="AL22" i="259"/>
  <c r="W24" i="259"/>
  <c r="AN24" i="259"/>
  <c r="V25" i="259"/>
  <c r="AQ25" i="259"/>
  <c r="Q6" i="259"/>
  <c r="R6" i="259" s="1"/>
  <c r="Z6" i="259" s="1"/>
  <c r="AF6" i="259"/>
  <c r="AS6" i="259"/>
  <c r="AA7" i="259"/>
  <c r="AD8" i="259"/>
  <c r="AQ8" i="259"/>
  <c r="AO9" i="259"/>
  <c r="AK10" i="259"/>
  <c r="AA11" i="259"/>
  <c r="AL11" i="259"/>
  <c r="AF12" i="259"/>
  <c r="AC13" i="259"/>
  <c r="AR13" i="259"/>
  <c r="L13" i="259" s="1"/>
  <c r="M13" i="259" s="1"/>
  <c r="S14" i="259"/>
  <c r="AO14" i="259"/>
  <c r="L16" i="259"/>
  <c r="M16" i="259" s="1"/>
  <c r="AC16" i="259"/>
  <c r="AR16" i="259"/>
  <c r="S18" i="259"/>
  <c r="AK18" i="259"/>
  <c r="AK19" i="259"/>
  <c r="S20" i="259"/>
  <c r="AD20" i="259"/>
  <c r="AS20" i="259"/>
  <c r="W21" i="259"/>
  <c r="AM21" i="259"/>
  <c r="S22" i="259"/>
  <c r="AP22" i="259"/>
  <c r="X24" i="259"/>
  <c r="AQ24" i="259"/>
  <c r="Z25" i="259"/>
  <c r="T6" i="259"/>
  <c r="AG6" i="259"/>
  <c r="AE7" i="259"/>
  <c r="AE8" i="259"/>
  <c r="AR8" i="259"/>
  <c r="L8" i="259" s="1"/>
  <c r="X10" i="259"/>
  <c r="AM10" i="259"/>
  <c r="AC11" i="259"/>
  <c r="AM11" i="259"/>
  <c r="P12" i="259"/>
  <c r="AI12" i="259"/>
  <c r="AS13" i="259"/>
  <c r="X14" i="259"/>
  <c r="AQ14" i="259"/>
  <c r="AD16" i="259"/>
  <c r="AS16" i="259"/>
  <c r="V18" i="259"/>
  <c r="AL18" i="259"/>
  <c r="M19" i="259"/>
  <c r="AO19" i="259"/>
  <c r="T20" i="259"/>
  <c r="AF20" i="259"/>
  <c r="X21" i="259"/>
  <c r="AN21" i="259"/>
  <c r="V22" i="259"/>
  <c r="AQ22" i="259"/>
  <c r="AA25" i="259"/>
  <c r="V6" i="259"/>
  <c r="AK6" i="259"/>
  <c r="O8" i="259"/>
  <c r="W8" i="259" s="1"/>
  <c r="AH8" i="259"/>
  <c r="AS8" i="259"/>
  <c r="Q12" i="259"/>
  <c r="R12" i="259" s="1"/>
  <c r="Z12" i="259" s="1"/>
  <c r="AA14" i="259"/>
  <c r="P16" i="259"/>
  <c r="AF16" i="259"/>
  <c r="X18" i="259"/>
  <c r="AM18" i="259"/>
  <c r="U20" i="259"/>
  <c r="AI20" i="259"/>
  <c r="Z22" i="259"/>
  <c r="AH15" i="259"/>
  <c r="AH6" i="259"/>
  <c r="AP6" i="259"/>
  <c r="AC7" i="259"/>
  <c r="AK7" i="259"/>
  <c r="AS7" i="259"/>
  <c r="P8" i="259"/>
  <c r="X8" i="259"/>
  <c r="AF8" i="259"/>
  <c r="AN8" i="259"/>
  <c r="S9" i="259"/>
  <c r="AM9" i="259"/>
  <c r="AM12" i="259"/>
  <c r="AE12" i="259"/>
  <c r="O12" i="259"/>
  <c r="W12" i="259" s="1"/>
  <c r="AL12" i="259"/>
  <c r="AD12" i="259"/>
  <c r="V12" i="259"/>
  <c r="AR12" i="259"/>
  <c r="T12" i="259"/>
  <c r="L12" i="259"/>
  <c r="M12" i="259" s="1"/>
  <c r="S12" i="259"/>
  <c r="AG12" i="259"/>
  <c r="AS12" i="259"/>
  <c r="V14" i="259"/>
  <c r="V15" i="259"/>
  <c r="AI15" i="259"/>
  <c r="T17" i="259"/>
  <c r="U19" i="259"/>
  <c r="V23" i="259"/>
  <c r="AS23" i="259"/>
  <c r="AA26" i="259"/>
  <c r="T15" i="259"/>
  <c r="AI16" i="258"/>
  <c r="AA23" i="258"/>
  <c r="S6" i="259"/>
  <c r="AA6" i="259"/>
  <c r="AI6" i="259"/>
  <c r="V7" i="259"/>
  <c r="AD7" i="259"/>
  <c r="AL7" i="259"/>
  <c r="Q8" i="259"/>
  <c r="R8" i="259" s="1"/>
  <c r="Y8" i="259"/>
  <c r="AG8" i="259"/>
  <c r="L9" i="259"/>
  <c r="T9" i="259"/>
  <c r="AC9" i="259"/>
  <c r="AN9" i="259"/>
  <c r="AH12" i="259"/>
  <c r="AS14" i="259"/>
  <c r="AK14" i="259"/>
  <c r="AC14" i="259"/>
  <c r="AR14" i="259"/>
  <c r="L14" i="259" s="1"/>
  <c r="T14" i="259"/>
  <c r="AP14" i="259"/>
  <c r="AH14" i="259"/>
  <c r="AI14" i="259"/>
  <c r="Y15" i="259"/>
  <c r="AN19" i="259"/>
  <c r="AF19" i="259"/>
  <c r="X19" i="259"/>
  <c r="P19" i="259"/>
  <c r="AM19" i="259"/>
  <c r="AE19" i="259"/>
  <c r="W19" i="259"/>
  <c r="O19" i="259"/>
  <c r="AL19" i="259"/>
  <c r="AD19" i="259"/>
  <c r="V19" i="259"/>
  <c r="AR19" i="259"/>
  <c r="AJ19" i="259"/>
  <c r="AB19" i="259"/>
  <c r="T19" i="259"/>
  <c r="L19" i="259"/>
  <c r="AQ19" i="259"/>
  <c r="AI19" i="259"/>
  <c r="AA19" i="259"/>
  <c r="S19" i="259"/>
  <c r="Y19" i="259"/>
  <c r="AS19" i="259"/>
  <c r="AN15" i="259"/>
  <c r="AF15" i="259"/>
  <c r="X15" i="259"/>
  <c r="P15" i="259"/>
  <c r="AM15" i="259"/>
  <c r="AE15" i="259"/>
  <c r="O15" i="259"/>
  <c r="W15" i="259" s="1"/>
  <c r="AS15" i="259"/>
  <c r="AK15" i="259"/>
  <c r="AC15" i="259"/>
  <c r="AN16" i="258"/>
  <c r="AL15" i="259"/>
  <c r="AQ17" i="259"/>
  <c r="AI17" i="259"/>
  <c r="AA17" i="259"/>
  <c r="S17" i="259"/>
  <c r="AP17" i="259"/>
  <c r="AH17" i="259"/>
  <c r="AN17" i="259"/>
  <c r="AF17" i="259"/>
  <c r="X17" i="259"/>
  <c r="P17" i="259"/>
  <c r="AM17" i="259"/>
  <c r="AE17" i="259"/>
  <c r="O17" i="259"/>
  <c r="W17" i="259" s="1"/>
  <c r="V17" i="259"/>
  <c r="AL17" i="259"/>
  <c r="AR23" i="259"/>
  <c r="AJ23" i="259"/>
  <c r="AB23" i="259"/>
  <c r="T23" i="259"/>
  <c r="L23" i="259"/>
  <c r="AQ23" i="259"/>
  <c r="AI23" i="259"/>
  <c r="AA23" i="259"/>
  <c r="S23" i="259"/>
  <c r="AP23" i="259"/>
  <c r="AH23" i="259"/>
  <c r="Z23" i="259"/>
  <c r="R23" i="259"/>
  <c r="J23" i="259"/>
  <c r="AN23" i="259"/>
  <c r="AF23" i="259"/>
  <c r="X23" i="259"/>
  <c r="P23" i="259"/>
  <c r="AM23" i="259"/>
  <c r="AE23" i="259"/>
  <c r="W23" i="259"/>
  <c r="O23" i="259"/>
  <c r="AC23" i="259"/>
  <c r="AM26" i="259"/>
  <c r="AD26" i="259"/>
  <c r="U26" i="259"/>
  <c r="M26" i="259"/>
  <c r="AK26" i="259"/>
  <c r="AC26" i="259"/>
  <c r="T26" i="259"/>
  <c r="L26" i="259"/>
  <c r="AS26" i="259"/>
  <c r="AJ26" i="259"/>
  <c r="AB26" i="259"/>
  <c r="S26" i="259"/>
  <c r="J26" i="259"/>
  <c r="AQ26" i="259"/>
  <c r="AH26" i="259"/>
  <c r="Z26" i="259"/>
  <c r="Q26" i="259"/>
  <c r="AP26" i="259"/>
  <c r="AG26" i="259"/>
  <c r="Y26" i="259"/>
  <c r="P26" i="259"/>
  <c r="AF26" i="259"/>
  <c r="P7" i="259"/>
  <c r="X7" i="259"/>
  <c r="AF7" i="259"/>
  <c r="AN7" i="259"/>
  <c r="V9" i="259"/>
  <c r="AF9" i="259"/>
  <c r="AP9" i="259"/>
  <c r="Y14" i="259"/>
  <c r="AM14" i="259"/>
  <c r="AA15" i="259"/>
  <c r="AO15" i="259"/>
  <c r="Y17" i="259"/>
  <c r="AO17" i="259"/>
  <c r="AC19" i="259"/>
  <c r="AD23" i="259"/>
  <c r="AI26" i="259"/>
  <c r="Q7" i="259"/>
  <c r="R7" i="259" s="1"/>
  <c r="Z7" i="259" s="1"/>
  <c r="Y7" i="259"/>
  <c r="AG7" i="259"/>
  <c r="AO7" i="259"/>
  <c r="O9" i="259"/>
  <c r="W9" i="259" s="1"/>
  <c r="AG9" i="259"/>
  <c r="AR9" i="259"/>
  <c r="Q15" i="259"/>
  <c r="R15" i="259" s="1"/>
  <c r="Z15" i="259" s="1"/>
  <c r="AP15" i="259"/>
  <c r="L17" i="259"/>
  <c r="U17" i="259" s="1"/>
  <c r="AR17" i="259"/>
  <c r="M23" i="259"/>
  <c r="AG23" i="259"/>
  <c r="O26" i="259"/>
  <c r="AN26" i="259"/>
  <c r="AC22" i="258"/>
  <c r="J7" i="259"/>
  <c r="AH7" i="259"/>
  <c r="P9" i="259"/>
  <c r="X9" i="259"/>
  <c r="AH9" i="259"/>
  <c r="AD15" i="259"/>
  <c r="AQ15" i="259"/>
  <c r="AC17" i="259"/>
  <c r="AS17" i="259"/>
  <c r="AK23" i="259"/>
  <c r="R26" i="259"/>
  <c r="AO26" i="259"/>
  <c r="AL9" i="259"/>
  <c r="AD9" i="259"/>
  <c r="AQ9" i="259"/>
  <c r="AI9" i="259"/>
  <c r="AA9" i="259"/>
  <c r="Q9" i="259"/>
  <c r="R9" i="259" s="1"/>
  <c r="Z9" i="259" s="1"/>
  <c r="Y9" i="259"/>
  <c r="S15" i="259"/>
  <c r="AG15" i="259"/>
  <c r="AR15" i="259"/>
  <c r="L15" i="259" s="1"/>
  <c r="AD17" i="259"/>
  <c r="Q23" i="259"/>
  <c r="AL23" i="259"/>
  <c r="V26" i="259"/>
  <c r="AR26" i="259"/>
  <c r="AL20" i="259"/>
  <c r="Q21" i="259"/>
  <c r="Y21" i="259"/>
  <c r="AG21" i="259"/>
  <c r="AO21" i="259"/>
  <c r="L22" i="259"/>
  <c r="T22" i="259"/>
  <c r="AB22" i="259"/>
  <c r="AJ22" i="259"/>
  <c r="AR22" i="259"/>
  <c r="Q24" i="259"/>
  <c r="Y24" i="259"/>
  <c r="AG24" i="259"/>
  <c r="AO24" i="259"/>
  <c r="L25" i="259"/>
  <c r="T25" i="259"/>
  <c r="AB25" i="259"/>
  <c r="AJ25" i="259"/>
  <c r="AR25" i="259"/>
  <c r="V10" i="259"/>
  <c r="AD10" i="259"/>
  <c r="AL10" i="259"/>
  <c r="Q11" i="259"/>
  <c r="R11" i="259" s="1"/>
  <c r="Z11" i="259" s="1"/>
  <c r="Y11" i="259"/>
  <c r="AG11" i="259"/>
  <c r="AO11" i="259"/>
  <c r="O13" i="259"/>
  <c r="W13" i="259" s="1"/>
  <c r="AE13" i="259"/>
  <c r="AM13" i="259"/>
  <c r="O16" i="259"/>
  <c r="W16" i="259" s="1"/>
  <c r="AE16" i="259"/>
  <c r="AM16" i="259"/>
  <c r="Q18" i="259"/>
  <c r="R18" i="259" s="1"/>
  <c r="Z18" i="259" s="1"/>
  <c r="Y18" i="259"/>
  <c r="AG18" i="259"/>
  <c r="AO18" i="259"/>
  <c r="O20" i="259"/>
  <c r="W20" i="259"/>
  <c r="AE20" i="259"/>
  <c r="AM20" i="259"/>
  <c r="J21" i="259"/>
  <c r="R21" i="259"/>
  <c r="Z21" i="259"/>
  <c r="AH21" i="259"/>
  <c r="AP21" i="259"/>
  <c r="M22" i="259"/>
  <c r="U22" i="259"/>
  <c r="AC22" i="259"/>
  <c r="AK22" i="259"/>
  <c r="AS22" i="259"/>
  <c r="J24" i="259"/>
  <c r="R24" i="259"/>
  <c r="Z24" i="259"/>
  <c r="AH24" i="259"/>
  <c r="AP24" i="259"/>
  <c r="M25" i="259"/>
  <c r="U25" i="259"/>
  <c r="AC25" i="259"/>
  <c r="AK25" i="259"/>
  <c r="AS25" i="259"/>
  <c r="Q13" i="259"/>
  <c r="R13" i="259" s="1"/>
  <c r="Z13" i="259" s="1"/>
  <c r="Y13" i="259"/>
  <c r="AG13" i="259"/>
  <c r="AO13" i="259"/>
  <c r="Q16" i="259"/>
  <c r="R16" i="259" s="1"/>
  <c r="Y16" i="259"/>
  <c r="AG16" i="259"/>
  <c r="AO16" i="259"/>
  <c r="AA18" i="259"/>
  <c r="AI18" i="259"/>
  <c r="AQ18" i="259"/>
  <c r="Q20" i="259"/>
  <c r="Y20" i="259"/>
  <c r="AG20" i="259"/>
  <c r="AO20" i="259"/>
  <c r="L21" i="259"/>
  <c r="T21" i="259"/>
  <c r="AB21" i="259"/>
  <c r="AJ21" i="259"/>
  <c r="AR21" i="259"/>
  <c r="O22" i="259"/>
  <c r="W22" i="259"/>
  <c r="AE22" i="259"/>
  <c r="AM22" i="259"/>
  <c r="L24" i="259"/>
  <c r="T24" i="259"/>
  <c r="AB24" i="259"/>
  <c r="AJ24" i="259"/>
  <c r="AR24" i="259"/>
  <c r="O25" i="259"/>
  <c r="W25" i="259"/>
  <c r="AE25" i="259"/>
  <c r="AM25" i="259"/>
  <c r="Q10" i="259"/>
  <c r="R10" i="259" s="1"/>
  <c r="Y10" i="259"/>
  <c r="AG10" i="259"/>
  <c r="L11" i="259"/>
  <c r="T11" i="259"/>
  <c r="AH13" i="259"/>
  <c r="AH16" i="259"/>
  <c r="L18" i="259"/>
  <c r="T18" i="259"/>
  <c r="J20" i="259"/>
  <c r="R20" i="259"/>
  <c r="Z20" i="259"/>
  <c r="AH20" i="259"/>
  <c r="M21" i="259"/>
  <c r="U21" i="259"/>
  <c r="AC21" i="259"/>
  <c r="AK21" i="259"/>
  <c r="P22" i="259"/>
  <c r="X22" i="259"/>
  <c r="AF22" i="259"/>
  <c r="AN22" i="259"/>
  <c r="M24" i="259"/>
  <c r="U24" i="259"/>
  <c r="AC24" i="259"/>
  <c r="AK24" i="259"/>
  <c r="AS24" i="259"/>
  <c r="P25" i="259"/>
  <c r="X25" i="259"/>
  <c r="AF25" i="259"/>
  <c r="AN25" i="259"/>
  <c r="Q22" i="259"/>
  <c r="Y22" i="259"/>
  <c r="AG22" i="259"/>
  <c r="Q25" i="259"/>
  <c r="Y25" i="259"/>
  <c r="AG25" i="259"/>
  <c r="AQ20" i="258"/>
  <c r="AI13" i="258"/>
  <c r="AF17" i="258"/>
  <c r="AN23" i="258"/>
  <c r="O20" i="258"/>
  <c r="T20" i="258"/>
  <c r="AE20" i="258"/>
  <c r="O9" i="258"/>
  <c r="W9" i="258" s="1"/>
  <c r="AN13" i="258"/>
  <c r="AH16" i="258"/>
  <c r="AQ17" i="258"/>
  <c r="U20" i="258"/>
  <c r="AS22" i="258"/>
  <c r="AQ23" i="258"/>
  <c r="AF7" i="258"/>
  <c r="Z20" i="258"/>
  <c r="T15" i="258"/>
  <c r="AO15" i="258"/>
  <c r="L20" i="258"/>
  <c r="AF20" i="258"/>
  <c r="J22" i="258"/>
  <c r="R26" i="258"/>
  <c r="O14" i="258"/>
  <c r="W14" i="258" s="1"/>
  <c r="V18" i="258"/>
  <c r="M20" i="258"/>
  <c r="AJ20" i="258"/>
  <c r="P23" i="258"/>
  <c r="Y24" i="258"/>
  <c r="AF14" i="258"/>
  <c r="AL18" i="258"/>
  <c r="AP20" i="258"/>
  <c r="T23" i="258"/>
  <c r="AG24" i="258"/>
  <c r="Z22" i="258"/>
  <c r="AS6" i="258"/>
  <c r="AG9" i="258"/>
  <c r="Q15" i="258"/>
  <c r="R15" i="258" s="1"/>
  <c r="S16" i="258"/>
  <c r="AO18" i="258"/>
  <c r="AH20" i="258"/>
  <c r="AN21" i="258"/>
  <c r="AN22" i="258"/>
  <c r="S23" i="258"/>
  <c r="AS23" i="258"/>
  <c r="AQ24" i="258"/>
  <c r="AA26" i="258"/>
  <c r="AO9" i="258"/>
  <c r="O11" i="258"/>
  <c r="W11" i="258" s="1"/>
  <c r="AP22" i="258"/>
  <c r="AN6" i="258"/>
  <c r="P6" i="258"/>
  <c r="AP9" i="258"/>
  <c r="AE11" i="258"/>
  <c r="T6" i="258"/>
  <c r="AS11" i="258"/>
  <c r="AB23" i="258"/>
  <c r="X6" i="258"/>
  <c r="P7" i="258"/>
  <c r="L9" i="258"/>
  <c r="M9" i="258" s="1"/>
  <c r="T13" i="258"/>
  <c r="W20" i="258"/>
  <c r="AR20" i="258"/>
  <c r="AC23" i="258"/>
  <c r="S24" i="258"/>
  <c r="AJ25" i="258"/>
  <c r="X22" i="257"/>
  <c r="AK6" i="258"/>
  <c r="X7" i="258"/>
  <c r="X13" i="258"/>
  <c r="X22" i="258"/>
  <c r="M23" i="258"/>
  <c r="AF23" i="258"/>
  <c r="X24" i="258"/>
  <c r="AL6" i="258"/>
  <c r="T10" i="258"/>
  <c r="S21" i="258"/>
  <c r="AD21" i="258"/>
  <c r="AC6" i="258"/>
  <c r="Y8" i="258"/>
  <c r="AR8" i="258"/>
  <c r="L8" i="258" s="1"/>
  <c r="U8" i="258" s="1"/>
  <c r="Y9" i="258"/>
  <c r="X10" i="258"/>
  <c r="AP10" i="258"/>
  <c r="P11" i="258"/>
  <c r="AF11" i="258"/>
  <c r="AA13" i="258"/>
  <c r="AQ13" i="258"/>
  <c r="P14" i="258"/>
  <c r="AH14" i="258"/>
  <c r="AP15" i="258"/>
  <c r="X16" i="258"/>
  <c r="AP16" i="258"/>
  <c r="AH17" i="258"/>
  <c r="AR17" i="258"/>
  <c r="L17" i="258" s="1"/>
  <c r="M17" i="258" s="1"/>
  <c r="W18" i="258"/>
  <c r="P20" i="258"/>
  <c r="AA20" i="258"/>
  <c r="AK20" i="258"/>
  <c r="J21" i="258"/>
  <c r="U21" i="258"/>
  <c r="AE21" i="258"/>
  <c r="AP21" i="258"/>
  <c r="P22" i="258"/>
  <c r="AF22" i="258"/>
  <c r="U23" i="258"/>
  <c r="AI23" i="258"/>
  <c r="AI24" i="258"/>
  <c r="S25" i="258"/>
  <c r="AL25" i="258"/>
  <c r="AI26" i="258"/>
  <c r="AO8" i="258"/>
  <c r="AD6" i="258"/>
  <c r="AC8" i="258"/>
  <c r="AE9" i="258"/>
  <c r="AA10" i="258"/>
  <c r="AQ10" i="258"/>
  <c r="S11" i="258"/>
  <c r="AH11" i="258"/>
  <c r="AC13" i="258"/>
  <c r="AR13" i="258"/>
  <c r="L13" i="258" s="1"/>
  <c r="U13" i="258" s="1"/>
  <c r="V14" i="258"/>
  <c r="AK14" i="258"/>
  <c r="AA16" i="258"/>
  <c r="AQ16" i="258"/>
  <c r="X17" i="258"/>
  <c r="AI17" i="258"/>
  <c r="AS17" i="258"/>
  <c r="Y18" i="258"/>
  <c r="R20" i="258"/>
  <c r="AB20" i="258"/>
  <c r="AM20" i="258"/>
  <c r="V21" i="258"/>
  <c r="AF21" i="258"/>
  <c r="AQ21" i="258"/>
  <c r="R22" i="258"/>
  <c r="AH22" i="258"/>
  <c r="V23" i="258"/>
  <c r="AK23" i="258"/>
  <c r="P24" i="258"/>
  <c r="AN24" i="258"/>
  <c r="T25" i="258"/>
  <c r="AQ25" i="258"/>
  <c r="AF6" i="258"/>
  <c r="AD8" i="258"/>
  <c r="AF9" i="258"/>
  <c r="AC10" i="258"/>
  <c r="AR10" i="258"/>
  <c r="L10" i="258" s="1"/>
  <c r="V11" i="258"/>
  <c r="AK11" i="258"/>
  <c r="P13" i="258"/>
  <c r="AD13" i="258"/>
  <c r="AS13" i="258"/>
  <c r="AL14" i="258"/>
  <c r="AC16" i="258"/>
  <c r="AS16" i="258"/>
  <c r="O17" i="258"/>
  <c r="W17" i="258" s="1"/>
  <c r="AE18" i="258"/>
  <c r="J20" i="258"/>
  <c r="S20" i="258"/>
  <c r="AC20" i="258"/>
  <c r="AN20" i="258"/>
  <c r="M21" i="258"/>
  <c r="W21" i="258"/>
  <c r="AH21" i="258"/>
  <c r="AS21" i="258"/>
  <c r="S22" i="258"/>
  <c r="AI22" i="258"/>
  <c r="L23" i="258"/>
  <c r="X23" i="258"/>
  <c r="AL23" i="258"/>
  <c r="Q24" i="258"/>
  <c r="AO24" i="258"/>
  <c r="V25" i="258"/>
  <c r="AR25" i="258"/>
  <c r="O8" i="258"/>
  <c r="W8" i="258" s="1"/>
  <c r="AG8" i="258"/>
  <c r="AE10" i="258"/>
  <c r="AS10" i="258"/>
  <c r="X11" i="258"/>
  <c r="AL11" i="258"/>
  <c r="S13" i="258"/>
  <c r="AF13" i="258"/>
  <c r="X14" i="258"/>
  <c r="AM14" i="258"/>
  <c r="AF16" i="258"/>
  <c r="P17" i="258"/>
  <c r="AA17" i="258"/>
  <c r="AK17" i="258"/>
  <c r="AG18" i="258"/>
  <c r="X21" i="258"/>
  <c r="AI21" i="258"/>
  <c r="U22" i="258"/>
  <c r="AK22" i="258"/>
  <c r="AA25" i="258"/>
  <c r="P8" i="258"/>
  <c r="AH8" i="258"/>
  <c r="O10" i="258"/>
  <c r="W10" i="258" s="1"/>
  <c r="AH10" i="258"/>
  <c r="AA11" i="258"/>
  <c r="AM11" i="258"/>
  <c r="AC14" i="258"/>
  <c r="AN14" i="258"/>
  <c r="AM17" i="258"/>
  <c r="O21" i="258"/>
  <c r="Z21" i="258"/>
  <c r="AK21" i="258"/>
  <c r="AB25" i="258"/>
  <c r="V8" i="258"/>
  <c r="AM10" i="258"/>
  <c r="S8" i="258"/>
  <c r="AL8" i="258"/>
  <c r="P10" i="258"/>
  <c r="AI10" i="258"/>
  <c r="AC11" i="258"/>
  <c r="AN11" i="258"/>
  <c r="AK13" i="258"/>
  <c r="AD14" i="258"/>
  <c r="AP14" i="258"/>
  <c r="S17" i="258"/>
  <c r="AC17" i="258"/>
  <c r="AN17" i="258"/>
  <c r="P21" i="258"/>
  <c r="AA21" i="258"/>
  <c r="AL21" i="258"/>
  <c r="AD25" i="258"/>
  <c r="V6" i="258"/>
  <c r="AR6" i="258"/>
  <c r="L6" i="258" s="1"/>
  <c r="AN7" i="258"/>
  <c r="T8" i="258"/>
  <c r="AM8" i="258"/>
  <c r="T9" i="258"/>
  <c r="AR9" i="258"/>
  <c r="S10" i="258"/>
  <c r="AK10" i="258"/>
  <c r="AD11" i="258"/>
  <c r="AP11" i="258"/>
  <c r="V13" i="258"/>
  <c r="AL13" i="258"/>
  <c r="AE14" i="258"/>
  <c r="AS14" i="258"/>
  <c r="P16" i="258"/>
  <c r="AK16" i="258"/>
  <c r="T17" i="258"/>
  <c r="AE17" i="258"/>
  <c r="AP17" i="258"/>
  <c r="X20" i="258"/>
  <c r="AI20" i="258"/>
  <c r="AS20" i="258"/>
  <c r="R21" i="258"/>
  <c r="AC21" i="258"/>
  <c r="AM21" i="258"/>
  <c r="M22" i="258"/>
  <c r="AA22" i="258"/>
  <c r="AQ22" i="258"/>
  <c r="AD23" i="258"/>
  <c r="L25" i="258"/>
  <c r="AI25" i="258"/>
  <c r="W26" i="258"/>
  <c r="AN19" i="258"/>
  <c r="AF19" i="258"/>
  <c r="X19" i="258"/>
  <c r="P19" i="258"/>
  <c r="AM19" i="258"/>
  <c r="AE19" i="258"/>
  <c r="W19" i="258"/>
  <c r="O19" i="258"/>
  <c r="AL19" i="258"/>
  <c r="AD19" i="258"/>
  <c r="V19" i="258"/>
  <c r="AS19" i="258"/>
  <c r="AK19" i="258"/>
  <c r="AC19" i="258"/>
  <c r="U19" i="258"/>
  <c r="M19" i="258"/>
  <c r="AQ19" i="258"/>
  <c r="AI19" i="258"/>
  <c r="AA19" i="258"/>
  <c r="S19" i="258"/>
  <c r="Y19" i="258"/>
  <c r="AR19" i="258"/>
  <c r="Q7" i="258"/>
  <c r="R7" i="258" s="1"/>
  <c r="Y7" i="258"/>
  <c r="AG7" i="258"/>
  <c r="AO7" i="258"/>
  <c r="AM12" i="258"/>
  <c r="AE12" i="258"/>
  <c r="O12" i="258"/>
  <c r="W12" i="258" s="1"/>
  <c r="AL12" i="258"/>
  <c r="AD12" i="258"/>
  <c r="V12" i="258"/>
  <c r="AR12" i="258"/>
  <c r="L12" i="258" s="1"/>
  <c r="M12" i="258" s="1"/>
  <c r="T12" i="258"/>
  <c r="S12" i="258"/>
  <c r="AG12" i="258"/>
  <c r="AS12" i="258"/>
  <c r="J19" i="258"/>
  <c r="Z19" i="258"/>
  <c r="O6" i="258"/>
  <c r="W6" i="258" s="1"/>
  <c r="AE6" i="258"/>
  <c r="AM6" i="258"/>
  <c r="J7" i="258"/>
  <c r="AH7" i="258"/>
  <c r="AP7" i="258"/>
  <c r="AE8" i="258"/>
  <c r="AP8" i="258"/>
  <c r="X9" i="258"/>
  <c r="AH9" i="258"/>
  <c r="AS9" i="258"/>
  <c r="AH12" i="258"/>
  <c r="AN15" i="258"/>
  <c r="AF15" i="258"/>
  <c r="X15" i="258"/>
  <c r="P15" i="258"/>
  <c r="AM15" i="258"/>
  <c r="AE15" i="258"/>
  <c r="O15" i="258"/>
  <c r="W15" i="258" s="1"/>
  <c r="AL15" i="258"/>
  <c r="AD15" i="258"/>
  <c r="V15" i="258"/>
  <c r="AS15" i="258"/>
  <c r="AK15" i="258"/>
  <c r="AC15" i="258"/>
  <c r="AQ15" i="258"/>
  <c r="AI15" i="258"/>
  <c r="AA15" i="258"/>
  <c r="S15" i="258"/>
  <c r="Y15" i="258"/>
  <c r="AR15" i="258"/>
  <c r="L15" i="258" s="1"/>
  <c r="U15" i="258" s="1"/>
  <c r="AS18" i="258"/>
  <c r="AK18" i="258"/>
  <c r="AC18" i="258"/>
  <c r="AR18" i="258"/>
  <c r="T18" i="258"/>
  <c r="L18" i="258"/>
  <c r="U18" i="258" s="1"/>
  <c r="AQ18" i="258"/>
  <c r="AI18" i="258"/>
  <c r="AA18" i="258"/>
  <c r="S18" i="258"/>
  <c r="AP18" i="258"/>
  <c r="AH18" i="258"/>
  <c r="AN18" i="258"/>
  <c r="AF18" i="258"/>
  <c r="X18" i="258"/>
  <c r="P18" i="258"/>
  <c r="AD18" i="258"/>
  <c r="AB19" i="258"/>
  <c r="S7" i="258"/>
  <c r="AA7" i="258"/>
  <c r="AI7" i="258"/>
  <c r="AQ7" i="258"/>
  <c r="X12" i="258"/>
  <c r="AI12" i="258"/>
  <c r="L19" i="258"/>
  <c r="AG19" i="258"/>
  <c r="Q6" i="258"/>
  <c r="R6" i="258" s="1"/>
  <c r="Y6" i="258"/>
  <c r="AG6" i="258"/>
  <c r="AO6" i="258"/>
  <c r="T7" i="258"/>
  <c r="AR7" i="258"/>
  <c r="L7" i="258" s="1"/>
  <c r="P9" i="258"/>
  <c r="Y12" i="258"/>
  <c r="AK12" i="258"/>
  <c r="AH19" i="258"/>
  <c r="AN26" i="258"/>
  <c r="AE26" i="258"/>
  <c r="V26" i="258"/>
  <c r="AM26" i="258"/>
  <c r="AD26" i="258"/>
  <c r="U26" i="258"/>
  <c r="M26" i="258"/>
  <c r="AK26" i="258"/>
  <c r="AC26" i="258"/>
  <c r="T26" i="258"/>
  <c r="L26" i="258"/>
  <c r="AS26" i="258"/>
  <c r="AJ26" i="258"/>
  <c r="AB26" i="258"/>
  <c r="S26" i="258"/>
  <c r="J26" i="258"/>
  <c r="AQ26" i="258"/>
  <c r="AH26" i="258"/>
  <c r="Z26" i="258"/>
  <c r="Q26" i="258"/>
  <c r="AP26" i="258"/>
  <c r="AG26" i="258"/>
  <c r="Y26" i="258"/>
  <c r="P26" i="258"/>
  <c r="AO26" i="258"/>
  <c r="AM16" i="257"/>
  <c r="AH6" i="258"/>
  <c r="AP6" i="258"/>
  <c r="AC7" i="258"/>
  <c r="AK7" i="258"/>
  <c r="AS7" i="258"/>
  <c r="AL9" i="258"/>
  <c r="AD9" i="258"/>
  <c r="V9" i="258"/>
  <c r="AQ9" i="258"/>
  <c r="AI9" i="258"/>
  <c r="AA9" i="258"/>
  <c r="S9" i="258"/>
  <c r="Q9" i="258"/>
  <c r="R9" i="258" s="1"/>
  <c r="AJ9" i="258" s="1"/>
  <c r="AM9" i="258"/>
  <c r="AN12" i="258"/>
  <c r="Q19" i="258"/>
  <c r="AJ19" i="258"/>
  <c r="AR26" i="258"/>
  <c r="AQ9" i="257"/>
  <c r="AQ16" i="257"/>
  <c r="S6" i="258"/>
  <c r="AA6" i="258"/>
  <c r="AI6" i="258"/>
  <c r="V7" i="258"/>
  <c r="AD7" i="258"/>
  <c r="AL7" i="258"/>
  <c r="AQ8" i="258"/>
  <c r="AI8" i="258"/>
  <c r="AA8" i="258"/>
  <c r="AN8" i="258"/>
  <c r="AF8" i="258"/>
  <c r="X8" i="258"/>
  <c r="Q8" i="258"/>
  <c r="R8" i="258" s="1"/>
  <c r="AK8" i="258"/>
  <c r="AC9" i="258"/>
  <c r="AN9" i="258"/>
  <c r="P12" i="258"/>
  <c r="AA12" i="258"/>
  <c r="AO12" i="258"/>
  <c r="AH15" i="258"/>
  <c r="Q18" i="258"/>
  <c r="R18" i="258" s="1"/>
  <c r="AM18" i="258"/>
  <c r="R19" i="258"/>
  <c r="AO19" i="258"/>
  <c r="AM24" i="258"/>
  <c r="AE24" i="258"/>
  <c r="W24" i="258"/>
  <c r="O24" i="258"/>
  <c r="AL24" i="258"/>
  <c r="AD24" i="258"/>
  <c r="V24" i="258"/>
  <c r="AS24" i="258"/>
  <c r="AK24" i="258"/>
  <c r="AC24" i="258"/>
  <c r="U24" i="258"/>
  <c r="M24" i="258"/>
  <c r="AR24" i="258"/>
  <c r="AJ24" i="258"/>
  <c r="AB24" i="258"/>
  <c r="T24" i="258"/>
  <c r="L24" i="258"/>
  <c r="AP24" i="258"/>
  <c r="AH24" i="258"/>
  <c r="Z24" i="258"/>
  <c r="R24" i="258"/>
  <c r="J24" i="258"/>
  <c r="AA24" i="258"/>
  <c r="O26" i="258"/>
  <c r="O7" i="258"/>
  <c r="W7" i="258" s="1"/>
  <c r="AE7" i="258"/>
  <c r="Q12" i="258"/>
  <c r="R12" i="258" s="1"/>
  <c r="AJ12" i="258" s="1"/>
  <c r="AC12" i="258"/>
  <c r="AP12" i="258"/>
  <c r="T19" i="258"/>
  <c r="AP19" i="258"/>
  <c r="V10" i="258"/>
  <c r="AD10" i="258"/>
  <c r="AL10" i="258"/>
  <c r="Q11" i="258"/>
  <c r="R11" i="258" s="1"/>
  <c r="Z11" i="258" s="1"/>
  <c r="Y11" i="258"/>
  <c r="AG11" i="258"/>
  <c r="AO11" i="258"/>
  <c r="O13" i="258"/>
  <c r="W13" i="258" s="1"/>
  <c r="AE13" i="258"/>
  <c r="AM13" i="258"/>
  <c r="Q14" i="258"/>
  <c r="R14" i="258" s="1"/>
  <c r="Z14" i="258" s="1"/>
  <c r="Y14" i="258"/>
  <c r="AG14" i="258"/>
  <c r="AO14" i="258"/>
  <c r="T16" i="258"/>
  <c r="AR16" i="258"/>
  <c r="L16" i="258" s="1"/>
  <c r="V17" i="258"/>
  <c r="AD17" i="258"/>
  <c r="AL17" i="258"/>
  <c r="V20" i="258"/>
  <c r="AD20" i="258"/>
  <c r="AL20" i="258"/>
  <c r="Q21" i="258"/>
  <c r="Y21" i="258"/>
  <c r="AG21" i="258"/>
  <c r="AO21" i="258"/>
  <c r="L22" i="258"/>
  <c r="T22" i="258"/>
  <c r="AB22" i="258"/>
  <c r="AJ22" i="258"/>
  <c r="AR22" i="258"/>
  <c r="O23" i="258"/>
  <c r="W23" i="258"/>
  <c r="AE23" i="258"/>
  <c r="AM23" i="258"/>
  <c r="M25" i="258"/>
  <c r="U25" i="258"/>
  <c r="AC25" i="258"/>
  <c r="AK25" i="258"/>
  <c r="AS25" i="258"/>
  <c r="AF10" i="258"/>
  <c r="AN10" i="258"/>
  <c r="AI11" i="258"/>
  <c r="AQ11" i="258"/>
  <c r="Q13" i="258"/>
  <c r="R13" i="258" s="1"/>
  <c r="Z13" i="258" s="1"/>
  <c r="Y13" i="258"/>
  <c r="AG13" i="258"/>
  <c r="AO13" i="258"/>
  <c r="S14" i="258"/>
  <c r="AA14" i="258"/>
  <c r="AI14" i="258"/>
  <c r="AQ14" i="258"/>
  <c r="V16" i="258"/>
  <c r="AD16" i="258"/>
  <c r="AL16" i="258"/>
  <c r="V22" i="258"/>
  <c r="AD22" i="258"/>
  <c r="AL22" i="258"/>
  <c r="Q23" i="258"/>
  <c r="Y23" i="258"/>
  <c r="AG23" i="258"/>
  <c r="AO23" i="258"/>
  <c r="O25" i="258"/>
  <c r="W25" i="258"/>
  <c r="AE25" i="258"/>
  <c r="AM25" i="258"/>
  <c r="Q10" i="258"/>
  <c r="R10" i="258" s="1"/>
  <c r="Y10" i="258"/>
  <c r="AG10" i="258"/>
  <c r="L11" i="258"/>
  <c r="T11" i="258"/>
  <c r="AH13" i="258"/>
  <c r="L14" i="258"/>
  <c r="T14" i="258"/>
  <c r="O16" i="258"/>
  <c r="W16" i="258" s="1"/>
  <c r="AE16" i="258"/>
  <c r="AM16" i="258"/>
  <c r="Q17" i="258"/>
  <c r="R17" i="258" s="1"/>
  <c r="Y17" i="258"/>
  <c r="AG17" i="258"/>
  <c r="Q20" i="258"/>
  <c r="Y20" i="258"/>
  <c r="AG20" i="258"/>
  <c r="L21" i="258"/>
  <c r="T21" i="258"/>
  <c r="AB21" i="258"/>
  <c r="AJ21" i="258"/>
  <c r="O22" i="258"/>
  <c r="W22" i="258"/>
  <c r="AE22" i="258"/>
  <c r="AM22" i="258"/>
  <c r="J23" i="258"/>
  <c r="R23" i="258"/>
  <c r="Z23" i="258"/>
  <c r="AH23" i="258"/>
  <c r="AP23" i="258"/>
  <c r="P25" i="258"/>
  <c r="X25" i="258"/>
  <c r="AF25" i="258"/>
  <c r="AN25" i="258"/>
  <c r="Q25" i="258"/>
  <c r="Y25" i="258"/>
  <c r="AG25" i="258"/>
  <c r="AO25" i="258"/>
  <c r="Q16" i="258"/>
  <c r="R16" i="258" s="1"/>
  <c r="Z16" i="258" s="1"/>
  <c r="Y16" i="258"/>
  <c r="AG16" i="258"/>
  <c r="Q22" i="258"/>
  <c r="Y22" i="258"/>
  <c r="AG22" i="258"/>
  <c r="AJ23" i="258"/>
  <c r="J25" i="258"/>
  <c r="R25" i="258"/>
  <c r="Z25" i="258"/>
  <c r="AH25" i="258"/>
  <c r="O22" i="257"/>
  <c r="AI20" i="257"/>
  <c r="AM22" i="257"/>
  <c r="X14" i="257"/>
  <c r="AE18" i="257"/>
  <c r="AO21" i="257"/>
  <c r="AK22" i="257"/>
  <c r="AF18" i="257"/>
  <c r="AL22" i="257"/>
  <c r="R26" i="257"/>
  <c r="AD18" i="257"/>
  <c r="V6" i="257"/>
  <c r="O18" i="257"/>
  <c r="AI18" i="257"/>
  <c r="AD6" i="257"/>
  <c r="AH10" i="257"/>
  <c r="P18" i="257"/>
  <c r="AK18" i="257"/>
  <c r="AN22" i="257"/>
  <c r="AL6" i="257"/>
  <c r="O15" i="257"/>
  <c r="W15" i="257" s="1"/>
  <c r="S18" i="257"/>
  <c r="AN18" i="257"/>
  <c r="V18" i="257"/>
  <c r="AQ18" i="257"/>
  <c r="U22" i="257"/>
  <c r="U25" i="257"/>
  <c r="Y9" i="257"/>
  <c r="V17" i="257"/>
  <c r="W18" i="257"/>
  <c r="W22" i="257"/>
  <c r="AM25" i="257"/>
  <c r="AO10" i="257"/>
  <c r="AE14" i="257"/>
  <c r="W25" i="257"/>
  <c r="AN25" i="257"/>
  <c r="AH14" i="257"/>
  <c r="X25" i="257"/>
  <c r="T8" i="257"/>
  <c r="AM14" i="257"/>
  <c r="AA25" i="257"/>
  <c r="AD8" i="257"/>
  <c r="AR14" i="257"/>
  <c r="L14" i="257" s="1"/>
  <c r="AC25" i="257"/>
  <c r="AL8" i="257"/>
  <c r="Y16" i="257"/>
  <c r="Y17" i="257"/>
  <c r="AA22" i="257"/>
  <c r="M25" i="257"/>
  <c r="AF25" i="257"/>
  <c r="S26" i="257"/>
  <c r="S10" i="257"/>
  <c r="O14" i="257"/>
  <c r="W14" i="257" s="1"/>
  <c r="AI16" i="257"/>
  <c r="AK17" i="257"/>
  <c r="Q20" i="257"/>
  <c r="AC22" i="257"/>
  <c r="AK25" i="257"/>
  <c r="V26" i="257"/>
  <c r="AA7" i="257"/>
  <c r="X10" i="257"/>
  <c r="T14" i="257"/>
  <c r="AC18" i="257"/>
  <c r="AS18" i="257"/>
  <c r="AB20" i="257"/>
  <c r="M22" i="257"/>
  <c r="AF22" i="257"/>
  <c r="S23" i="257"/>
  <c r="O25" i="257"/>
  <c r="AL25" i="257"/>
  <c r="AS26" i="257"/>
  <c r="AO24" i="257"/>
  <c r="O6" i="257"/>
  <c r="W6" i="257" s="1"/>
  <c r="AM6" i="257"/>
  <c r="AH7" i="257"/>
  <c r="AF8" i="257"/>
  <c r="P10" i="257"/>
  <c r="AI10" i="257"/>
  <c r="AH12" i="257"/>
  <c r="AC14" i="257"/>
  <c r="AN14" i="257"/>
  <c r="P15" i="257"/>
  <c r="X18" i="257"/>
  <c r="AL18" i="257"/>
  <c r="R20" i="257"/>
  <c r="AO20" i="257"/>
  <c r="Q21" i="257"/>
  <c r="AQ21" i="257"/>
  <c r="P22" i="257"/>
  <c r="AD22" i="257"/>
  <c r="AQ22" i="257"/>
  <c r="Z23" i="257"/>
  <c r="AQ24" i="257"/>
  <c r="P25" i="257"/>
  <c r="AD25" i="257"/>
  <c r="AQ25" i="257"/>
  <c r="AB26" i="257"/>
  <c r="AG12" i="257"/>
  <c r="P6" i="257"/>
  <c r="AN6" i="257"/>
  <c r="AI7" i="257"/>
  <c r="P8" i="257"/>
  <c r="AK8" i="257"/>
  <c r="P9" i="257"/>
  <c r="Q10" i="257"/>
  <c r="R10" i="257" s="1"/>
  <c r="AN10" i="257"/>
  <c r="AM12" i="257"/>
  <c r="AD14" i="257"/>
  <c r="AP14" i="257"/>
  <c r="Y15" i="257"/>
  <c r="Q16" i="257"/>
  <c r="R16" i="257" s="1"/>
  <c r="AB16" i="257" s="1"/>
  <c r="AA18" i="257"/>
  <c r="AM18" i="257"/>
  <c r="T20" i="257"/>
  <c r="AP20" i="257"/>
  <c r="T21" i="257"/>
  <c r="AS21" i="257"/>
  <c r="S22" i="257"/>
  <c r="AE22" i="257"/>
  <c r="AS22" i="257"/>
  <c r="AA23" i="257"/>
  <c r="AR24" i="257"/>
  <c r="S25" i="257"/>
  <c r="AE25" i="257"/>
  <c r="AS25" i="257"/>
  <c r="AR26" i="257"/>
  <c r="AP7" i="257"/>
  <c r="AR12" i="257"/>
  <c r="L12" i="257" s="1"/>
  <c r="AC15" i="257"/>
  <c r="W20" i="257"/>
  <c r="AQ20" i="257"/>
  <c r="AA21" i="257"/>
  <c r="AD23" i="257"/>
  <c r="Q24" i="257"/>
  <c r="AE16" i="256"/>
  <c r="X6" i="257"/>
  <c r="J7" i="257"/>
  <c r="J8" i="257" s="1"/>
  <c r="J9" i="257" s="1"/>
  <c r="J10" i="257" s="1"/>
  <c r="J11" i="257" s="1"/>
  <c r="J12" i="257" s="1"/>
  <c r="J13" i="257" s="1"/>
  <c r="J14" i="257" s="1"/>
  <c r="J15" i="257" s="1"/>
  <c r="J16" i="257" s="1"/>
  <c r="J17" i="257" s="1"/>
  <c r="J18" i="257" s="1"/>
  <c r="J19" i="257" s="1"/>
  <c r="AQ7" i="257"/>
  <c r="AN8" i="257"/>
  <c r="T10" i="257"/>
  <c r="AR10" i="257"/>
  <c r="O12" i="257"/>
  <c r="W12" i="257" s="1"/>
  <c r="P14" i="257"/>
  <c r="AF14" i="257"/>
  <c r="AS14" i="257"/>
  <c r="AN15" i="257"/>
  <c r="AE16" i="257"/>
  <c r="J20" i="257"/>
  <c r="AA20" i="257"/>
  <c r="AB21" i="257"/>
  <c r="V22" i="257"/>
  <c r="AI22" i="257"/>
  <c r="AG23" i="257"/>
  <c r="S24" i="257"/>
  <c r="V25" i="257"/>
  <c r="AI25" i="257"/>
  <c r="V8" i="257"/>
  <c r="AR8" i="257"/>
  <c r="L8" i="257" s="1"/>
  <c r="M8" i="257" s="1"/>
  <c r="Q12" i="257"/>
  <c r="R12" i="257" s="1"/>
  <c r="AO15" i="257"/>
  <c r="AC21" i="257"/>
  <c r="AN23" i="257"/>
  <c r="AB24" i="257"/>
  <c r="AE6" i="257"/>
  <c r="X8" i="257"/>
  <c r="AS8" i="257"/>
  <c r="Y10" i="257"/>
  <c r="X12" i="257"/>
  <c r="AK14" i="257"/>
  <c r="AE20" i="257"/>
  <c r="AG21" i="257"/>
  <c r="P23" i="257"/>
  <c r="AO23" i="257"/>
  <c r="AC24" i="257"/>
  <c r="AF6" i="257"/>
  <c r="S7" i="257"/>
  <c r="AC8" i="257"/>
  <c r="Y12" i="257"/>
  <c r="V14" i="257"/>
  <c r="AL14" i="257"/>
  <c r="AP16" i="257"/>
  <c r="O20" i="257"/>
  <c r="M21" i="257"/>
  <c r="AL21" i="257"/>
  <c r="Q23" i="257"/>
  <c r="AP23" i="257"/>
  <c r="AD24" i="257"/>
  <c r="AN13" i="257"/>
  <c r="AF13" i="257"/>
  <c r="X13" i="257"/>
  <c r="P13" i="257"/>
  <c r="AL13" i="257"/>
  <c r="AD13" i="257"/>
  <c r="V13" i="257"/>
  <c r="AM13" i="257"/>
  <c r="AL19" i="257"/>
  <c r="AD19" i="257"/>
  <c r="V19" i="257"/>
  <c r="AR19" i="257"/>
  <c r="T19" i="257"/>
  <c r="L19" i="257"/>
  <c r="M19" i="257" s="1"/>
  <c r="AQ19" i="257"/>
  <c r="AI19" i="257"/>
  <c r="AA19" i="257"/>
  <c r="S19" i="257"/>
  <c r="AR9" i="257"/>
  <c r="T9" i="257"/>
  <c r="Q9" i="257"/>
  <c r="R9" i="257" s="1"/>
  <c r="AJ9" i="257" s="1"/>
  <c r="AI9" i="257"/>
  <c r="AS9" i="257"/>
  <c r="AE11" i="257"/>
  <c r="AQ11" i="257"/>
  <c r="S13" i="257"/>
  <c r="AC13" i="257"/>
  <c r="AO13" i="257"/>
  <c r="U19" i="257"/>
  <c r="AG19" i="257"/>
  <c r="Q6" i="257"/>
  <c r="R6" i="257" s="1"/>
  <c r="Y6" i="257"/>
  <c r="AG6" i="257"/>
  <c r="AO6" i="257"/>
  <c r="T7" i="257"/>
  <c r="AR7" i="257"/>
  <c r="L7" i="257" s="1"/>
  <c r="O8" i="257"/>
  <c r="W8" i="257" s="1"/>
  <c r="AE8" i="257"/>
  <c r="AM8" i="257"/>
  <c r="AA9" i="257"/>
  <c r="AK9" i="257"/>
  <c r="AM10" i="257"/>
  <c r="AE10" i="257"/>
  <c r="O10" i="257"/>
  <c r="W10" i="257" s="1"/>
  <c r="AS10" i="257"/>
  <c r="AK10" i="257"/>
  <c r="AC10" i="257"/>
  <c r="AA10" i="257"/>
  <c r="AL10" i="257"/>
  <c r="L11" i="257"/>
  <c r="U11" i="257" s="1"/>
  <c r="V11" i="257"/>
  <c r="AG11" i="257"/>
  <c r="P12" i="257"/>
  <c r="T13" i="257"/>
  <c r="AE13" i="257"/>
  <c r="AP13" i="257"/>
  <c r="Q15" i="257"/>
  <c r="R15" i="257" s="1"/>
  <c r="Z15" i="257" s="1"/>
  <c r="AE15" i="257"/>
  <c r="O16" i="257"/>
  <c r="W16" i="257" s="1"/>
  <c r="AA16" i="257"/>
  <c r="AA17" i="257"/>
  <c r="AL17" i="257"/>
  <c r="AH19" i="257"/>
  <c r="AN20" i="257"/>
  <c r="AF20" i="257"/>
  <c r="X20" i="257"/>
  <c r="P20" i="257"/>
  <c r="AL20" i="257"/>
  <c r="AD20" i="257"/>
  <c r="V20" i="257"/>
  <c r="AS20" i="257"/>
  <c r="AK20" i="257"/>
  <c r="AC20" i="257"/>
  <c r="U20" i="257"/>
  <c r="M20" i="257"/>
  <c r="S20" i="257"/>
  <c r="AG20" i="257"/>
  <c r="AR20" i="257"/>
  <c r="S21" i="257"/>
  <c r="AD21" i="257"/>
  <c r="R23" i="257"/>
  <c r="AF23" i="257"/>
  <c r="T24" i="257"/>
  <c r="AG24" i="257"/>
  <c r="AP11" i="257"/>
  <c r="AH11" i="257"/>
  <c r="AN11" i="257"/>
  <c r="AF11" i="257"/>
  <c r="X11" i="257"/>
  <c r="P11" i="257"/>
  <c r="T11" i="257"/>
  <c r="AO11" i="257"/>
  <c r="AH6" i="257"/>
  <c r="AP6" i="257"/>
  <c r="AC7" i="257"/>
  <c r="AK7" i="257"/>
  <c r="AS7" i="257"/>
  <c r="S9" i="257"/>
  <c r="AC9" i="257"/>
  <c r="AL9" i="257"/>
  <c r="AI11" i="257"/>
  <c r="AS11" i="257"/>
  <c r="AG13" i="257"/>
  <c r="AQ13" i="257"/>
  <c r="AL15" i="257"/>
  <c r="AD15" i="257"/>
  <c r="V15" i="257"/>
  <c r="AR15" i="257"/>
  <c r="L15" i="257" s="1"/>
  <c r="T15" i="257"/>
  <c r="AQ15" i="257"/>
  <c r="AI15" i="257"/>
  <c r="AA15" i="257"/>
  <c r="S15" i="257"/>
  <c r="AF15" i="257"/>
  <c r="AS15" i="257"/>
  <c r="AO17" i="257"/>
  <c r="X19" i="257"/>
  <c r="AK19" i="257"/>
  <c r="AP24" i="257"/>
  <c r="AH24" i="257"/>
  <c r="Z24" i="257"/>
  <c r="R24" i="257"/>
  <c r="J24" i="257"/>
  <c r="AN24" i="257"/>
  <c r="AF24" i="257"/>
  <c r="X24" i="257"/>
  <c r="P24" i="257"/>
  <c r="AM24" i="257"/>
  <c r="AE24" i="257"/>
  <c r="W24" i="257"/>
  <c r="O24" i="257"/>
  <c r="U24" i="257"/>
  <c r="AI24" i="257"/>
  <c r="AD11" i="257"/>
  <c r="R19" i="257"/>
  <c r="AJ19" i="257" s="1"/>
  <c r="S6" i="257"/>
  <c r="AA6" i="257"/>
  <c r="AI6" i="257"/>
  <c r="AQ6" i="257"/>
  <c r="V7" i="257"/>
  <c r="AD7" i="257"/>
  <c r="AL7" i="257"/>
  <c r="Q8" i="257"/>
  <c r="R8" i="257" s="1"/>
  <c r="Z8" i="257" s="1"/>
  <c r="Y8" i="257"/>
  <c r="AG8" i="257"/>
  <c r="AO8" i="257"/>
  <c r="L9" i="257"/>
  <c r="U9" i="257" s="1"/>
  <c r="AD9" i="257"/>
  <c r="AM9" i="257"/>
  <c r="Y11" i="257"/>
  <c r="AS12" i="257"/>
  <c r="AK12" i="257"/>
  <c r="AC12" i="257"/>
  <c r="AQ12" i="257"/>
  <c r="AI12" i="257"/>
  <c r="AA12" i="257"/>
  <c r="S12" i="257"/>
  <c r="AD12" i="257"/>
  <c r="AN12" i="257"/>
  <c r="AH13" i="257"/>
  <c r="AR13" i="257"/>
  <c r="L13" i="257" s="1"/>
  <c r="U13" i="257" s="1"/>
  <c r="AG15" i="257"/>
  <c r="Q17" i="257"/>
  <c r="R17" i="257" s="1"/>
  <c r="AC17" i="257"/>
  <c r="AQ17" i="257"/>
  <c r="Y19" i="257"/>
  <c r="AM19" i="257"/>
  <c r="AP21" i="257"/>
  <c r="AH21" i="257"/>
  <c r="Z21" i="257"/>
  <c r="R21" i="257"/>
  <c r="J21" i="257"/>
  <c r="AN21" i="257"/>
  <c r="AF21" i="257"/>
  <c r="X21" i="257"/>
  <c r="P21" i="257"/>
  <c r="AM21" i="257"/>
  <c r="AE21" i="257"/>
  <c r="W21" i="257"/>
  <c r="O21" i="257"/>
  <c r="U21" i="257"/>
  <c r="AI21" i="257"/>
  <c r="AM23" i="257"/>
  <c r="AE23" i="257"/>
  <c r="W23" i="257"/>
  <c r="O23" i="257"/>
  <c r="AS23" i="257"/>
  <c r="AK23" i="257"/>
  <c r="AC23" i="257"/>
  <c r="U23" i="257"/>
  <c r="M23" i="257"/>
  <c r="AR23" i="257"/>
  <c r="AJ23" i="257"/>
  <c r="AB23" i="257"/>
  <c r="T23" i="257"/>
  <c r="L23" i="257"/>
  <c r="V23" i="257"/>
  <c r="AH23" i="257"/>
  <c r="V24" i="257"/>
  <c r="AJ24" i="257"/>
  <c r="AQ26" i="257"/>
  <c r="AH26" i="257"/>
  <c r="Z26" i="257"/>
  <c r="Q26" i="257"/>
  <c r="AP26" i="257"/>
  <c r="AG26" i="257"/>
  <c r="Y26" i="257"/>
  <c r="P26" i="257"/>
  <c r="AO26" i="257"/>
  <c r="AF26" i="257"/>
  <c r="W26" i="257"/>
  <c r="O26" i="257"/>
  <c r="AN26" i="257"/>
  <c r="AM26" i="257"/>
  <c r="AD26" i="257"/>
  <c r="U26" i="257"/>
  <c r="M26" i="257"/>
  <c r="AK26" i="257"/>
  <c r="AC26" i="257"/>
  <c r="T26" i="257"/>
  <c r="L26" i="257"/>
  <c r="AE26" i="257"/>
  <c r="AS19" i="257"/>
  <c r="T6" i="257"/>
  <c r="AR6" i="257"/>
  <c r="L6" i="257" s="1"/>
  <c r="O7" i="257"/>
  <c r="W7" i="257" s="1"/>
  <c r="AE7" i="257"/>
  <c r="AM7" i="257"/>
  <c r="AH8" i="257"/>
  <c r="AP8" i="257"/>
  <c r="V9" i="257"/>
  <c r="AE9" i="257"/>
  <c r="AN9" i="257"/>
  <c r="L10" i="257"/>
  <c r="M10" i="257" s="1"/>
  <c r="AF10" i="257"/>
  <c r="AP10" i="257"/>
  <c r="O11" i="257"/>
  <c r="W11" i="257" s="1"/>
  <c r="AA11" i="257"/>
  <c r="AK11" i="257"/>
  <c r="T12" i="257"/>
  <c r="AE12" i="257"/>
  <c r="AO12" i="257"/>
  <c r="Y13" i="257"/>
  <c r="AI13" i="257"/>
  <c r="AS13" i="257"/>
  <c r="AH15" i="257"/>
  <c r="AN16" i="257"/>
  <c r="AF16" i="257"/>
  <c r="X16" i="257"/>
  <c r="P16" i="257"/>
  <c r="AL16" i="257"/>
  <c r="AD16" i="257"/>
  <c r="V16" i="257"/>
  <c r="AS16" i="257"/>
  <c r="AK16" i="257"/>
  <c r="AC16" i="257"/>
  <c r="S16" i="257"/>
  <c r="AG16" i="257"/>
  <c r="AR16" i="257"/>
  <c r="L16" i="257" s="1"/>
  <c r="U16" i="257" s="1"/>
  <c r="S17" i="257"/>
  <c r="AD17" i="257"/>
  <c r="AR17" i="257"/>
  <c r="L17" i="257" s="1"/>
  <c r="M17" i="257" s="1"/>
  <c r="O19" i="257"/>
  <c r="W19" i="257" s="1"/>
  <c r="Z19" i="257"/>
  <c r="AN19" i="257"/>
  <c r="L20" i="257"/>
  <c r="Y20" i="257"/>
  <c r="AJ20" i="257"/>
  <c r="V21" i="257"/>
  <c r="AJ21" i="257"/>
  <c r="J23" i="257"/>
  <c r="X23" i="257"/>
  <c r="AI23" i="257"/>
  <c r="L24" i="257"/>
  <c r="Y24" i="257"/>
  <c r="AK24" i="257"/>
  <c r="J26" i="257"/>
  <c r="AI26" i="257"/>
  <c r="X16" i="256"/>
  <c r="AC6" i="257"/>
  <c r="AK6" i="257"/>
  <c r="P7" i="257"/>
  <c r="X7" i="257"/>
  <c r="AF7" i="257"/>
  <c r="AN7" i="257"/>
  <c r="S8" i="257"/>
  <c r="AA8" i="257"/>
  <c r="AI8" i="257"/>
  <c r="AF9" i="257"/>
  <c r="AO9" i="257"/>
  <c r="V10" i="257"/>
  <c r="AG10" i="257"/>
  <c r="AQ10" i="257"/>
  <c r="Q11" i="257"/>
  <c r="R11" i="257" s="1"/>
  <c r="AL11" i="257"/>
  <c r="V12" i="257"/>
  <c r="AF12" i="257"/>
  <c r="AP12" i="257"/>
  <c r="O13" i="257"/>
  <c r="W13" i="257" s="1"/>
  <c r="X15" i="257"/>
  <c r="AK15" i="257"/>
  <c r="T16" i="257"/>
  <c r="AH16" i="257"/>
  <c r="T17" i="257"/>
  <c r="AG17" i="257"/>
  <c r="P19" i="257"/>
  <c r="AC19" i="257"/>
  <c r="AO19" i="257"/>
  <c r="Z20" i="257"/>
  <c r="AM20" i="257"/>
  <c r="L21" i="257"/>
  <c r="Y21" i="257"/>
  <c r="AK21" i="257"/>
  <c r="Y23" i="257"/>
  <c r="AL23" i="257"/>
  <c r="M24" i="257"/>
  <c r="AA24" i="257"/>
  <c r="AL24" i="257"/>
  <c r="AJ26" i="257"/>
  <c r="AF19" i="257"/>
  <c r="Q7" i="257"/>
  <c r="R7" i="257" s="1"/>
  <c r="Z7" i="257" s="1"/>
  <c r="Y7" i="257"/>
  <c r="AG7" i="257"/>
  <c r="O9" i="257"/>
  <c r="W9" i="257" s="1"/>
  <c r="X9" i="257"/>
  <c r="AG9" i="257"/>
  <c r="AP9" i="257"/>
  <c r="S11" i="257"/>
  <c r="AC11" i="257"/>
  <c r="AM11" i="257"/>
  <c r="Q13" i="257"/>
  <c r="R13" i="257" s="1"/>
  <c r="AA13" i="257"/>
  <c r="AK13" i="257"/>
  <c r="AM15" i="257"/>
  <c r="AP17" i="257"/>
  <c r="AH17" i="257"/>
  <c r="AN17" i="257"/>
  <c r="AF17" i="257"/>
  <c r="X17" i="257"/>
  <c r="P17" i="257"/>
  <c r="AM17" i="257"/>
  <c r="AE17" i="257"/>
  <c r="O17" i="257"/>
  <c r="W17" i="257" s="1"/>
  <c r="U17" i="257"/>
  <c r="AI17" i="257"/>
  <c r="Q19" i="257"/>
  <c r="AE19" i="257"/>
  <c r="AP19" i="257"/>
  <c r="Q18" i="257"/>
  <c r="R18" i="257" s="1"/>
  <c r="Y18" i="257"/>
  <c r="AG18" i="257"/>
  <c r="AO18" i="257"/>
  <c r="Q22" i="257"/>
  <c r="Y22" i="257"/>
  <c r="AG22" i="257"/>
  <c r="AO22" i="257"/>
  <c r="Q25" i="257"/>
  <c r="Y25" i="257"/>
  <c r="AG25" i="257"/>
  <c r="AO25" i="257"/>
  <c r="Q14" i="257"/>
  <c r="R14" i="257" s="1"/>
  <c r="Y14" i="257"/>
  <c r="AG14" i="257"/>
  <c r="AO14" i="257"/>
  <c r="AH18" i="257"/>
  <c r="AP18" i="257"/>
  <c r="J22" i="257"/>
  <c r="R22" i="257"/>
  <c r="Z22" i="257"/>
  <c r="AH22" i="257"/>
  <c r="AP22" i="257"/>
  <c r="J25" i="257"/>
  <c r="R25" i="257"/>
  <c r="Z25" i="257"/>
  <c r="AH25" i="257"/>
  <c r="AP25" i="257"/>
  <c r="S14" i="257"/>
  <c r="AA14" i="257"/>
  <c r="AI14" i="257"/>
  <c r="L18" i="257"/>
  <c r="T18" i="257"/>
  <c r="L22" i="257"/>
  <c r="T22" i="257"/>
  <c r="AB22" i="257"/>
  <c r="AJ22" i="257"/>
  <c r="L25" i="257"/>
  <c r="T25" i="257"/>
  <c r="AB25" i="257"/>
  <c r="AJ25" i="257"/>
  <c r="Y11" i="256"/>
  <c r="Q13" i="256"/>
  <c r="R13" i="256" s="1"/>
  <c r="AB13" i="256" s="1"/>
  <c r="AF16" i="256"/>
  <c r="O6" i="256"/>
  <c r="W6" i="256" s="1"/>
  <c r="P10" i="256"/>
  <c r="AL11" i="256"/>
  <c r="AA13" i="256"/>
  <c r="O21" i="256"/>
  <c r="V6" i="256"/>
  <c r="X10" i="256"/>
  <c r="AG19" i="256"/>
  <c r="AA26" i="256"/>
  <c r="X6" i="256"/>
  <c r="AD10" i="256"/>
  <c r="AE24" i="256"/>
  <c r="AM6" i="256"/>
  <c r="AN10" i="256"/>
  <c r="AN24" i="256"/>
  <c r="AD14" i="256"/>
  <c r="P16" i="256"/>
  <c r="X12" i="256"/>
  <c r="AO16" i="256"/>
  <c r="AE21" i="256"/>
  <c r="AC23" i="256"/>
  <c r="AA14" i="256"/>
  <c r="AR16" i="256"/>
  <c r="L16" i="256" s="1"/>
  <c r="AF21" i="256"/>
  <c r="AM14" i="256"/>
  <c r="AH18" i="256"/>
  <c r="AP14" i="256"/>
  <c r="AH17" i="256"/>
  <c r="AC8" i="256"/>
  <c r="AF8" i="256"/>
  <c r="Y12" i="256"/>
  <c r="AK23" i="256"/>
  <c r="AE6" i="256"/>
  <c r="AH8" i="256"/>
  <c r="AI10" i="256"/>
  <c r="AF12" i="256"/>
  <c r="P13" i="256"/>
  <c r="O14" i="256"/>
  <c r="W14" i="256" s="1"/>
  <c r="AQ14" i="256"/>
  <c r="O16" i="256"/>
  <c r="W16" i="256" s="1"/>
  <c r="AM16" i="256"/>
  <c r="V17" i="256"/>
  <c r="R21" i="256"/>
  <c r="AI21" i="256"/>
  <c r="AR23" i="256"/>
  <c r="AI8" i="256"/>
  <c r="AE9" i="256"/>
  <c r="AG12" i="256"/>
  <c r="S21" i="256"/>
  <c r="AL21" i="256"/>
  <c r="L23" i="256"/>
  <c r="AN6" i="256"/>
  <c r="P8" i="256"/>
  <c r="AK8" i="256"/>
  <c r="AK12" i="256"/>
  <c r="T13" i="256"/>
  <c r="AC14" i="256"/>
  <c r="Q16" i="256"/>
  <c r="R16" i="256" s="1"/>
  <c r="AQ16" i="256"/>
  <c r="AR17" i="256"/>
  <c r="L17" i="256" s="1"/>
  <c r="L19" i="256"/>
  <c r="M19" i="256" s="1"/>
  <c r="W21" i="256"/>
  <c r="AM21" i="256"/>
  <c r="S8" i="256"/>
  <c r="AP8" i="256"/>
  <c r="O12" i="256"/>
  <c r="W12" i="256" s="1"/>
  <c r="AL12" i="256"/>
  <c r="X21" i="256"/>
  <c r="AN21" i="256"/>
  <c r="P23" i="256"/>
  <c r="T8" i="256"/>
  <c r="AR8" i="256"/>
  <c r="L8" i="256" s="1"/>
  <c r="P12" i="256"/>
  <c r="AR12" i="256"/>
  <c r="L12" i="256" s="1"/>
  <c r="AP13" i="256"/>
  <c r="AI14" i="256"/>
  <c r="AA16" i="256"/>
  <c r="Q19" i="256"/>
  <c r="R19" i="256" s="1"/>
  <c r="AB19" i="256" s="1"/>
  <c r="J21" i="256"/>
  <c r="Z21" i="256"/>
  <c r="U23" i="256"/>
  <c r="O24" i="256"/>
  <c r="V8" i="256"/>
  <c r="AS8" i="256"/>
  <c r="V12" i="256"/>
  <c r="AL14" i="256"/>
  <c r="AA21" i="256"/>
  <c r="AB23" i="256"/>
  <c r="X24" i="256"/>
  <c r="W26" i="256"/>
  <c r="AD6" i="256"/>
  <c r="AS6" i="256"/>
  <c r="AA7" i="256"/>
  <c r="AA8" i="256"/>
  <c r="AN8" i="256"/>
  <c r="V9" i="256"/>
  <c r="O10" i="256"/>
  <c r="W10" i="256" s="1"/>
  <c r="AC10" i="256"/>
  <c r="AM10" i="256"/>
  <c r="L11" i="256"/>
  <c r="X11" i="256"/>
  <c r="AK11" i="256"/>
  <c r="AM13" i="256"/>
  <c r="T14" i="256"/>
  <c r="AH14" i="256"/>
  <c r="AS14" i="256"/>
  <c r="AE17" i="256"/>
  <c r="AQ17" i="256"/>
  <c r="AS19" i="256"/>
  <c r="P20" i="256"/>
  <c r="Z20" i="256"/>
  <c r="AI20" i="256"/>
  <c r="AR20" i="256"/>
  <c r="AQ21" i="256"/>
  <c r="Z22" i="256"/>
  <c r="AJ23" i="256"/>
  <c r="AB24" i="256"/>
  <c r="AR24" i="256"/>
  <c r="R25" i="256"/>
  <c r="AC25" i="256"/>
  <c r="AP25" i="256"/>
  <c r="AI26" i="256"/>
  <c r="AE7" i="256"/>
  <c r="R20" i="256"/>
  <c r="AA20" i="256"/>
  <c r="AJ20" i="256"/>
  <c r="AS20" i="256"/>
  <c r="AK22" i="256"/>
  <c r="S25" i="256"/>
  <c r="AD25" i="256"/>
  <c r="AQ25" i="256"/>
  <c r="P6" i="256"/>
  <c r="AF6" i="256"/>
  <c r="AF7" i="256"/>
  <c r="AD8" i="256"/>
  <c r="AQ8" i="256"/>
  <c r="AF9" i="256"/>
  <c r="Q10" i="256"/>
  <c r="R10" i="256" s="1"/>
  <c r="Z10" i="256" s="1"/>
  <c r="AE10" i="256"/>
  <c r="AO10" i="256"/>
  <c r="AC11" i="256"/>
  <c r="AN11" i="256"/>
  <c r="V14" i="256"/>
  <c r="AK14" i="256"/>
  <c r="Y16" i="256"/>
  <c r="AN16" i="256"/>
  <c r="AI17" i="256"/>
  <c r="AS17" i="256"/>
  <c r="AK18" i="256"/>
  <c r="Y19" i="256"/>
  <c r="J20" i="256"/>
  <c r="S20" i="256"/>
  <c r="AB20" i="256"/>
  <c r="AK20" i="256"/>
  <c r="V21" i="256"/>
  <c r="AH21" i="256"/>
  <c r="J22" i="256"/>
  <c r="AO22" i="256"/>
  <c r="T23" i="256"/>
  <c r="AN23" i="256"/>
  <c r="P24" i="256"/>
  <c r="AF24" i="256"/>
  <c r="J25" i="256"/>
  <c r="T25" i="256"/>
  <c r="AE25" i="256"/>
  <c r="AS25" i="256"/>
  <c r="T6" i="256"/>
  <c r="AK6" i="256"/>
  <c r="AI7" i="256"/>
  <c r="AN9" i="256"/>
  <c r="S10" i="256"/>
  <c r="AF10" i="256"/>
  <c r="AP10" i="256"/>
  <c r="P11" i="256"/>
  <c r="AD11" i="256"/>
  <c r="AO11" i="256"/>
  <c r="AP18" i="256"/>
  <c r="T20" i="256"/>
  <c r="AC20" i="256"/>
  <c r="AL20" i="256"/>
  <c r="AP22" i="256"/>
  <c r="S24" i="256"/>
  <c r="AI24" i="256"/>
  <c r="U25" i="256"/>
  <c r="AH25" i="256"/>
  <c r="AL6" i="256"/>
  <c r="O7" i="256"/>
  <c r="W7" i="256" s="1"/>
  <c r="AM7" i="256"/>
  <c r="AP9" i="256"/>
  <c r="V10" i="256"/>
  <c r="AG10" i="256"/>
  <c r="AQ10" i="256"/>
  <c r="Q11" i="256"/>
  <c r="R11" i="256" s="1"/>
  <c r="AJ11" i="256" s="1"/>
  <c r="AF11" i="256"/>
  <c r="AP11" i="256"/>
  <c r="O15" i="256"/>
  <c r="W15" i="256" s="1"/>
  <c r="O17" i="256"/>
  <c r="W17" i="256" s="1"/>
  <c r="AA17" i="256"/>
  <c r="AK17" i="256"/>
  <c r="AC19" i="256"/>
  <c r="L20" i="256"/>
  <c r="U20" i="256"/>
  <c r="AD20" i="256"/>
  <c r="AM20" i="256"/>
  <c r="X23" i="256"/>
  <c r="AS23" i="256"/>
  <c r="T24" i="256"/>
  <c r="AJ24" i="256"/>
  <c r="L25" i="256"/>
  <c r="V25" i="256"/>
  <c r="AI25" i="256"/>
  <c r="P7" i="256"/>
  <c r="AN7" i="256"/>
  <c r="AH10" i="256"/>
  <c r="AS10" i="256"/>
  <c r="S11" i="256"/>
  <c r="AG11" i="256"/>
  <c r="AQ11" i="256"/>
  <c r="AC15" i="256"/>
  <c r="AL17" i="256"/>
  <c r="M20" i="256"/>
  <c r="V20" i="256"/>
  <c r="AE20" i="256"/>
  <c r="AN20" i="256"/>
  <c r="Q22" i="256"/>
  <c r="W24" i="256"/>
  <c r="AM24" i="256"/>
  <c r="M25" i="256"/>
  <c r="W25" i="256"/>
  <c r="AK25" i="256"/>
  <c r="S7" i="256"/>
  <c r="AQ7" i="256"/>
  <c r="T11" i="256"/>
  <c r="AH11" i="256"/>
  <c r="AR11" i="256"/>
  <c r="AO15" i="256"/>
  <c r="S17" i="256"/>
  <c r="AC17" i="256"/>
  <c r="AM17" i="256"/>
  <c r="W20" i="256"/>
  <c r="AF20" i="256"/>
  <c r="AP20" i="256"/>
  <c r="R22" i="256"/>
  <c r="Z25" i="256"/>
  <c r="AL25" i="256"/>
  <c r="AC6" i="256"/>
  <c r="AR6" i="256"/>
  <c r="L6" i="256" s="1"/>
  <c r="M6" i="256" s="1"/>
  <c r="X7" i="256"/>
  <c r="X8" i="256"/>
  <c r="AL8" i="256"/>
  <c r="Y10" i="256"/>
  <c r="V11" i="256"/>
  <c r="AS12" i="256"/>
  <c r="S14" i="256"/>
  <c r="AE14" i="256"/>
  <c r="AR14" i="256"/>
  <c r="L14" i="256" s="1"/>
  <c r="S16" i="256"/>
  <c r="T17" i="256"/>
  <c r="AD17" i="256"/>
  <c r="AP17" i="256"/>
  <c r="AR19" i="256"/>
  <c r="O20" i="256"/>
  <c r="X20" i="256"/>
  <c r="AH20" i="256"/>
  <c r="AQ20" i="256"/>
  <c r="P21" i="256"/>
  <c r="AD21" i="256"/>
  <c r="AP21" i="256"/>
  <c r="M23" i="256"/>
  <c r="AF23" i="256"/>
  <c r="L24" i="256"/>
  <c r="AA24" i="256"/>
  <c r="AQ24" i="256"/>
  <c r="O25" i="256"/>
  <c r="AA25" i="256"/>
  <c r="AM25" i="256"/>
  <c r="M20" i="255"/>
  <c r="Q7" i="256"/>
  <c r="R7" i="256" s="1"/>
  <c r="AB7" i="256" s="1"/>
  <c r="Y7" i="256"/>
  <c r="AG7" i="256"/>
  <c r="AO7" i="256"/>
  <c r="O9" i="256"/>
  <c r="W9" i="256" s="1"/>
  <c r="X9" i="256"/>
  <c r="AH9" i="256"/>
  <c r="AQ9" i="256"/>
  <c r="AL13" i="256"/>
  <c r="AD13" i="256"/>
  <c r="V13" i="256"/>
  <c r="AS13" i="256"/>
  <c r="AK13" i="256"/>
  <c r="AC13" i="256"/>
  <c r="AN13" i="256"/>
  <c r="Q15" i="256"/>
  <c r="R15" i="256" s="1"/>
  <c r="Z15" i="256" s="1"/>
  <c r="AD15" i="256"/>
  <c r="AP15" i="256"/>
  <c r="AR18" i="256"/>
  <c r="L18" i="256" s="1"/>
  <c r="T18" i="256"/>
  <c r="AQ18" i="256"/>
  <c r="AI18" i="256"/>
  <c r="AA18" i="256"/>
  <c r="S18" i="256"/>
  <c r="AN18" i="256"/>
  <c r="AF18" i="256"/>
  <c r="X18" i="256"/>
  <c r="P18" i="256"/>
  <c r="AM18" i="256"/>
  <c r="AE18" i="256"/>
  <c r="O18" i="256"/>
  <c r="W18" i="256" s="1"/>
  <c r="V18" i="256"/>
  <c r="AL18" i="256"/>
  <c r="J7" i="256"/>
  <c r="AH7" i="256"/>
  <c r="AP7" i="256"/>
  <c r="P9" i="256"/>
  <c r="AI9" i="256"/>
  <c r="S13" i="256"/>
  <c r="AE13" i="256"/>
  <c r="AO13" i="256"/>
  <c r="AE15" i="256"/>
  <c r="Y18" i="256"/>
  <c r="AO18" i="256"/>
  <c r="P19" i="256"/>
  <c r="AF19" i="256"/>
  <c r="AN22" i="256"/>
  <c r="AF22" i="256"/>
  <c r="X22" i="256"/>
  <c r="P22" i="256"/>
  <c r="AM22" i="256"/>
  <c r="AE22" i="256"/>
  <c r="W22" i="256"/>
  <c r="O22" i="256"/>
  <c r="AL22" i="256"/>
  <c r="AD22" i="256"/>
  <c r="V22" i="256"/>
  <c r="AR22" i="256"/>
  <c r="AJ22" i="256"/>
  <c r="AB22" i="256"/>
  <c r="T22" i="256"/>
  <c r="L22" i="256"/>
  <c r="AQ22" i="256"/>
  <c r="AI22" i="256"/>
  <c r="AA22" i="256"/>
  <c r="S22" i="256"/>
  <c r="Y22" i="256"/>
  <c r="AS22" i="256"/>
  <c r="AM26" i="256"/>
  <c r="AD26" i="256"/>
  <c r="U26" i="256"/>
  <c r="M26" i="256"/>
  <c r="AK26" i="256"/>
  <c r="AC26" i="256"/>
  <c r="T26" i="256"/>
  <c r="L26" i="256"/>
  <c r="AS26" i="256"/>
  <c r="AJ26" i="256"/>
  <c r="AB26" i="256"/>
  <c r="S26" i="256"/>
  <c r="J26" i="256"/>
  <c r="AQ26" i="256"/>
  <c r="AH26" i="256"/>
  <c r="Z26" i="256"/>
  <c r="Q26" i="256"/>
  <c r="AP26" i="256"/>
  <c r="AG26" i="256"/>
  <c r="Y26" i="256"/>
  <c r="P26" i="256"/>
  <c r="AF26" i="256"/>
  <c r="AO9" i="256"/>
  <c r="AG9" i="256"/>
  <c r="Y9" i="256"/>
  <c r="Q9" i="256"/>
  <c r="R9" i="256" s="1"/>
  <c r="AA9" i="256"/>
  <c r="AS9" i="256"/>
  <c r="AR15" i="256"/>
  <c r="L15" i="256" s="1"/>
  <c r="T15" i="256"/>
  <c r="AQ15" i="256"/>
  <c r="AI15" i="256"/>
  <c r="AA15" i="256"/>
  <c r="S15" i="256"/>
  <c r="AN15" i="256"/>
  <c r="AF15" i="256"/>
  <c r="X15" i="256"/>
  <c r="P15" i="256"/>
  <c r="AG15" i="256"/>
  <c r="Q6" i="256"/>
  <c r="R6" i="256" s="1"/>
  <c r="Z6" i="256" s="1"/>
  <c r="Y6" i="256"/>
  <c r="AG6" i="256"/>
  <c r="AO6" i="256"/>
  <c r="T7" i="256"/>
  <c r="AR7" i="256"/>
  <c r="L7" i="256" s="1"/>
  <c r="O8" i="256"/>
  <c r="W8" i="256" s="1"/>
  <c r="AE8" i="256"/>
  <c r="AM8" i="256"/>
  <c r="S9" i="256"/>
  <c r="AK9" i="256"/>
  <c r="AR10" i="256"/>
  <c r="L10" i="256" s="1"/>
  <c r="T10" i="256"/>
  <c r="AA10" i="256"/>
  <c r="AK10" i="256"/>
  <c r="AM11" i="256"/>
  <c r="AE11" i="256"/>
  <c r="O11" i="256"/>
  <c r="W11" i="256" s="1"/>
  <c r="AA11" i="256"/>
  <c r="AS11" i="256"/>
  <c r="Q12" i="256"/>
  <c r="R12" i="256" s="1"/>
  <c r="AC12" i="256"/>
  <c r="AG13" i="256"/>
  <c r="AQ13" i="256"/>
  <c r="V15" i="256"/>
  <c r="AH15" i="256"/>
  <c r="AL16" i="256"/>
  <c r="AD16" i="256"/>
  <c r="V16" i="256"/>
  <c r="AS16" i="256"/>
  <c r="AK16" i="256"/>
  <c r="AC16" i="256"/>
  <c r="AP16" i="256"/>
  <c r="AH16" i="256"/>
  <c r="T16" i="256"/>
  <c r="AG16" i="256"/>
  <c r="AC18" i="256"/>
  <c r="AS18" i="256"/>
  <c r="T19" i="256"/>
  <c r="AC22" i="256"/>
  <c r="O26" i="256"/>
  <c r="AN26" i="256"/>
  <c r="AH6" i="256"/>
  <c r="AP6" i="256"/>
  <c r="AC7" i="256"/>
  <c r="AK7" i="256"/>
  <c r="AS7" i="256"/>
  <c r="T9" i="256"/>
  <c r="AC9" i="256"/>
  <c r="AL9" i="256"/>
  <c r="AQ12" i="256"/>
  <c r="AI12" i="256"/>
  <c r="AA12" i="256"/>
  <c r="S12" i="256"/>
  <c r="AP12" i="256"/>
  <c r="AH12" i="256"/>
  <c r="T12" i="256"/>
  <c r="AD12" i="256"/>
  <c r="AN12" i="256"/>
  <c r="X13" i="256"/>
  <c r="AH13" i="256"/>
  <c r="AR13" i="256"/>
  <c r="L13" i="256" s="1"/>
  <c r="AK15" i="256"/>
  <c r="AD18" i="256"/>
  <c r="AM19" i="256"/>
  <c r="AE19" i="256"/>
  <c r="O19" i="256"/>
  <c r="W19" i="256" s="1"/>
  <c r="AL19" i="256"/>
  <c r="AD19" i="256"/>
  <c r="V19" i="256"/>
  <c r="AQ19" i="256"/>
  <c r="AI19" i="256"/>
  <c r="AA19" i="256"/>
  <c r="S19" i="256"/>
  <c r="AP19" i="256"/>
  <c r="AH19" i="256"/>
  <c r="AK19" i="256"/>
  <c r="M22" i="256"/>
  <c r="AG22" i="256"/>
  <c r="R26" i="256"/>
  <c r="AO26" i="256"/>
  <c r="S6" i="256"/>
  <c r="AA6" i="256"/>
  <c r="AI6" i="256"/>
  <c r="V7" i="256"/>
  <c r="AD7" i="256"/>
  <c r="Q8" i="256"/>
  <c r="R8" i="256" s="1"/>
  <c r="Y8" i="256"/>
  <c r="AG8" i="256"/>
  <c r="L9" i="256"/>
  <c r="M9" i="256" s="1"/>
  <c r="AD9" i="256"/>
  <c r="AM9" i="256"/>
  <c r="AE12" i="256"/>
  <c r="AO12" i="256"/>
  <c r="O13" i="256"/>
  <c r="W13" i="256" s="1"/>
  <c r="Y13" i="256"/>
  <c r="AI13" i="256"/>
  <c r="Y15" i="256"/>
  <c r="AL15" i="256"/>
  <c r="Q18" i="256"/>
  <c r="R18" i="256" s="1"/>
  <c r="AG18" i="256"/>
  <c r="X19" i="256"/>
  <c r="AN19" i="256"/>
  <c r="AH22" i="256"/>
  <c r="V26" i="256"/>
  <c r="AR26" i="256"/>
  <c r="AM15" i="256"/>
  <c r="V23" i="256"/>
  <c r="AD23" i="256"/>
  <c r="AL23" i="256"/>
  <c r="Q24" i="256"/>
  <c r="Y24" i="256"/>
  <c r="AG24" i="256"/>
  <c r="AO24" i="256"/>
  <c r="AB25" i="256"/>
  <c r="AJ25" i="256"/>
  <c r="AR25" i="256"/>
  <c r="Q21" i="256"/>
  <c r="Y21" i="256"/>
  <c r="AG21" i="256"/>
  <c r="AO21" i="256"/>
  <c r="O23" i="256"/>
  <c r="W23" i="256"/>
  <c r="AE23" i="256"/>
  <c r="AM23" i="256"/>
  <c r="J24" i="256"/>
  <c r="R24" i="256"/>
  <c r="Z24" i="256"/>
  <c r="AH24" i="256"/>
  <c r="AP24" i="256"/>
  <c r="Q23" i="256"/>
  <c r="Y23" i="256"/>
  <c r="AG23" i="256"/>
  <c r="AO23" i="256"/>
  <c r="P14" i="256"/>
  <c r="X14" i="256"/>
  <c r="AF14" i="256"/>
  <c r="AN14" i="256"/>
  <c r="P17" i="256"/>
  <c r="X17" i="256"/>
  <c r="AF17" i="256"/>
  <c r="AN17" i="256"/>
  <c r="Q20" i="256"/>
  <c r="Y20" i="256"/>
  <c r="AG20" i="256"/>
  <c r="L21" i="256"/>
  <c r="T21" i="256"/>
  <c r="AB21" i="256"/>
  <c r="AJ21" i="256"/>
  <c r="AR21" i="256"/>
  <c r="J23" i="256"/>
  <c r="R23" i="256"/>
  <c r="Z23" i="256"/>
  <c r="AH23" i="256"/>
  <c r="AP23" i="256"/>
  <c r="M24" i="256"/>
  <c r="U24" i="256"/>
  <c r="AC24" i="256"/>
  <c r="AK24" i="256"/>
  <c r="AS24" i="256"/>
  <c r="P25" i="256"/>
  <c r="X25" i="256"/>
  <c r="AF25" i="256"/>
  <c r="AN25" i="256"/>
  <c r="Q14" i="256"/>
  <c r="R14" i="256" s="1"/>
  <c r="Y14" i="256"/>
  <c r="AG14" i="256"/>
  <c r="Q17" i="256"/>
  <c r="R17" i="256" s="1"/>
  <c r="Y17" i="256"/>
  <c r="AG17" i="256"/>
  <c r="M21" i="256"/>
  <c r="U21" i="256"/>
  <c r="AC21" i="256"/>
  <c r="AK21" i="256"/>
  <c r="S23" i="256"/>
  <c r="AA23" i="256"/>
  <c r="AI23" i="256"/>
  <c r="V24" i="256"/>
  <c r="AD24" i="256"/>
  <c r="Q25" i="256"/>
  <c r="Y25" i="256"/>
  <c r="AG25" i="256"/>
  <c r="L17" i="255"/>
  <c r="U17" i="255" s="1"/>
  <c r="AF15" i="255"/>
  <c r="AI17" i="255"/>
  <c r="Z24" i="255"/>
  <c r="S11" i="255"/>
  <c r="AA20" i="255"/>
  <c r="AE7" i="255"/>
  <c r="AH11" i="255"/>
  <c r="AA17" i="255"/>
  <c r="AH26" i="255"/>
  <c r="O10" i="255"/>
  <c r="W10" i="255" s="1"/>
  <c r="X14" i="255"/>
  <c r="O21" i="255"/>
  <c r="T23" i="255"/>
  <c r="R25" i="255"/>
  <c r="AE10" i="255"/>
  <c r="T25" i="255"/>
  <c r="V25" i="255"/>
  <c r="AD18" i="255"/>
  <c r="T20" i="255"/>
  <c r="L22" i="255"/>
  <c r="AS25" i="255"/>
  <c r="S15" i="255"/>
  <c r="T6" i="255"/>
  <c r="AL7" i="255"/>
  <c r="AG9" i="255"/>
  <c r="AL10" i="255"/>
  <c r="AH14" i="255"/>
  <c r="AS15" i="255"/>
  <c r="M17" i="255"/>
  <c r="AK17" i="255"/>
  <c r="O18" i="255"/>
  <c r="AE18" i="255"/>
  <c r="AG20" i="255"/>
  <c r="P21" i="255"/>
  <c r="AC23" i="255"/>
  <c r="AF24" i="255"/>
  <c r="AP26" i="255"/>
  <c r="AA6" i="255"/>
  <c r="AS7" i="255"/>
  <c r="AK9" i="255"/>
  <c r="AP14" i="255"/>
  <c r="AQ17" i="255"/>
  <c r="P18" i="255"/>
  <c r="AF18" i="255"/>
  <c r="AL20" i="255"/>
  <c r="Q21" i="255"/>
  <c r="Y22" i="255"/>
  <c r="AL23" i="255"/>
  <c r="AP24" i="255"/>
  <c r="X24" i="254"/>
  <c r="AR6" i="255"/>
  <c r="L6" i="255" s="1"/>
  <c r="U6" i="255" s="1"/>
  <c r="P12" i="255"/>
  <c r="Q13" i="255"/>
  <c r="R13" i="255" s="1"/>
  <c r="AQ14" i="255"/>
  <c r="P17" i="255"/>
  <c r="AR17" i="255"/>
  <c r="S18" i="255"/>
  <c r="AK18" i="255"/>
  <c r="AO20" i="255"/>
  <c r="Y21" i="255"/>
  <c r="AA22" i="255"/>
  <c r="AB25" i="255"/>
  <c r="O26" i="255"/>
  <c r="AA12" i="255"/>
  <c r="S17" i="255"/>
  <c r="AS17" i="255"/>
  <c r="U18" i="255"/>
  <c r="AL18" i="255"/>
  <c r="AS20" i="255"/>
  <c r="AM21" i="255"/>
  <c r="AI22" i="255"/>
  <c r="J24" i="255"/>
  <c r="J25" i="255"/>
  <c r="AD25" i="255"/>
  <c r="Q26" i="255"/>
  <c r="AD12" i="255"/>
  <c r="W18" i="255"/>
  <c r="AN18" i="255"/>
  <c r="AH25" i="255"/>
  <c r="V26" i="255"/>
  <c r="AL12" i="255"/>
  <c r="AC17" i="255"/>
  <c r="X18" i="255"/>
  <c r="AQ18" i="255"/>
  <c r="J22" i="255"/>
  <c r="L25" i="255"/>
  <c r="AN25" i="255"/>
  <c r="AC26" i="255"/>
  <c r="O7" i="255"/>
  <c r="W7" i="255" s="1"/>
  <c r="AC10" i="255"/>
  <c r="AM11" i="255"/>
  <c r="AN12" i="255"/>
  <c r="T14" i="255"/>
  <c r="AF17" i="255"/>
  <c r="M18" i="255"/>
  <c r="AC18" i="255"/>
  <c r="AS18" i="255"/>
  <c r="W24" i="255"/>
  <c r="AQ25" i="255"/>
  <c r="AF26" i="255"/>
  <c r="AF19" i="255"/>
  <c r="AL9" i="254"/>
  <c r="S6" i="255"/>
  <c r="AM7" i="255"/>
  <c r="AI9" i="255"/>
  <c r="AG10" i="255"/>
  <c r="P11" i="255"/>
  <c r="AK11" i="255"/>
  <c r="O12" i="255"/>
  <c r="W12" i="255" s="1"/>
  <c r="AC12" i="255"/>
  <c r="AM12" i="255"/>
  <c r="P14" i="255"/>
  <c r="AR14" i="255"/>
  <c r="L14" i="255" s="1"/>
  <c r="U14" i="255" s="1"/>
  <c r="T15" i="255"/>
  <c r="AI15" i="255"/>
  <c r="AH17" i="255"/>
  <c r="V18" i="255"/>
  <c r="AI18" i="255"/>
  <c r="AL19" i="255"/>
  <c r="Q20" i="255"/>
  <c r="AQ20" i="255"/>
  <c r="W21" i="255"/>
  <c r="AG22" i="255"/>
  <c r="L23" i="255"/>
  <c r="U23" i="255"/>
  <c r="AD23" i="255"/>
  <c r="AM23" i="255"/>
  <c r="AE24" i="255"/>
  <c r="U25" i="255"/>
  <c r="AF25" i="255"/>
  <c r="AR25" i="255"/>
  <c r="T26" i="255"/>
  <c r="AG26" i="255"/>
  <c r="V15" i="255"/>
  <c r="AK15" i="255"/>
  <c r="AN19" i="255"/>
  <c r="M23" i="255"/>
  <c r="V23" i="255"/>
  <c r="AE23" i="255"/>
  <c r="AN23" i="255"/>
  <c r="V7" i="255"/>
  <c r="Q9" i="255"/>
  <c r="R9" i="255" s="1"/>
  <c r="AJ9" i="255" s="1"/>
  <c r="AM9" i="255"/>
  <c r="T10" i="255"/>
  <c r="AM10" i="255"/>
  <c r="T11" i="255"/>
  <c r="AO11" i="255"/>
  <c r="S12" i="255"/>
  <c r="AE12" i="255"/>
  <c r="AP12" i="255"/>
  <c r="AC13" i="255"/>
  <c r="X15" i="255"/>
  <c r="AL15" i="255"/>
  <c r="P19" i="255"/>
  <c r="AO19" i="255"/>
  <c r="AE21" i="255"/>
  <c r="AO22" i="255"/>
  <c r="W23" i="255"/>
  <c r="AF23" i="255"/>
  <c r="AP23" i="255"/>
  <c r="O24" i="255"/>
  <c r="AH24" i="255"/>
  <c r="M25" i="255"/>
  <c r="X25" i="255"/>
  <c r="AI25" i="255"/>
  <c r="W26" i="255"/>
  <c r="AK26" i="255"/>
  <c r="AI6" i="255"/>
  <c r="AC7" i="255"/>
  <c r="S9" i="255"/>
  <c r="AO9" i="255"/>
  <c r="V10" i="255"/>
  <c r="AN10" i="255"/>
  <c r="Y11" i="255"/>
  <c r="AQ11" i="255"/>
  <c r="T12" i="255"/>
  <c r="AF12" i="255"/>
  <c r="AQ12" i="255"/>
  <c r="AF14" i="255"/>
  <c r="L15" i="255"/>
  <c r="M15" i="255" s="1"/>
  <c r="AA15" i="255"/>
  <c r="AM15" i="255"/>
  <c r="T17" i="255"/>
  <c r="AN17" i="255"/>
  <c r="AA18" i="255"/>
  <c r="AM18" i="255"/>
  <c r="R19" i="255"/>
  <c r="AQ19" i="255"/>
  <c r="AB20" i="255"/>
  <c r="AF21" i="255"/>
  <c r="Q22" i="255"/>
  <c r="AP22" i="255"/>
  <c r="O23" i="255"/>
  <c r="X23" i="255"/>
  <c r="AH23" i="255"/>
  <c r="AQ23" i="255"/>
  <c r="P24" i="255"/>
  <c r="AM24" i="255"/>
  <c r="Z25" i="255"/>
  <c r="AJ25" i="255"/>
  <c r="L26" i="255"/>
  <c r="Y26" i="255"/>
  <c r="AN26" i="255"/>
  <c r="AQ6" i="255"/>
  <c r="AD7" i="255"/>
  <c r="V9" i="255"/>
  <c r="AP9" i="255"/>
  <c r="X10" i="255"/>
  <c r="AP10" i="255"/>
  <c r="AA11" i="255"/>
  <c r="AS11" i="255"/>
  <c r="V12" i="255"/>
  <c r="AH12" i="255"/>
  <c r="AR12" i="255"/>
  <c r="L12" i="255" s="1"/>
  <c r="M12" i="255" s="1"/>
  <c r="AG14" i="255"/>
  <c r="AC15" i="255"/>
  <c r="AN15" i="255"/>
  <c r="X17" i="255"/>
  <c r="AP17" i="255"/>
  <c r="Y19" i="255"/>
  <c r="AC20" i="255"/>
  <c r="AG21" i="255"/>
  <c r="S22" i="255"/>
  <c r="AQ22" i="255"/>
  <c r="P23" i="255"/>
  <c r="Z23" i="255"/>
  <c r="AI23" i="255"/>
  <c r="AR23" i="255"/>
  <c r="R24" i="255"/>
  <c r="AN24" i="255"/>
  <c r="P25" i="255"/>
  <c r="AA25" i="255"/>
  <c r="AK25" i="255"/>
  <c r="Z26" i="255"/>
  <c r="AO26" i="255"/>
  <c r="AD9" i="255"/>
  <c r="AR9" i="255"/>
  <c r="L9" i="255" s="1"/>
  <c r="U9" i="255" s="1"/>
  <c r="AC11" i="255"/>
  <c r="AI12" i="255"/>
  <c r="AS12" i="255"/>
  <c r="O15" i="255"/>
  <c r="W15" i="255" s="1"/>
  <c r="AD15" i="255"/>
  <c r="AQ15" i="255"/>
  <c r="Z19" i="255"/>
  <c r="R23" i="255"/>
  <c r="AA23" i="255"/>
  <c r="AJ23" i="255"/>
  <c r="AS23" i="255"/>
  <c r="AK7" i="255"/>
  <c r="AE9" i="255"/>
  <c r="AD10" i="255"/>
  <c r="AF11" i="255"/>
  <c r="X12" i="255"/>
  <c r="AK12" i="255"/>
  <c r="P15" i="255"/>
  <c r="AE15" i="255"/>
  <c r="AR15" i="255"/>
  <c r="AA19" i="255"/>
  <c r="Z22" i="255"/>
  <c r="J23" i="255"/>
  <c r="S23" i="255"/>
  <c r="AB23" i="255"/>
  <c r="AK23" i="255"/>
  <c r="X24" i="255"/>
  <c r="S25" i="255"/>
  <c r="AC25" i="255"/>
  <c r="AP25" i="255"/>
  <c r="P26" i="255"/>
  <c r="AE26" i="255"/>
  <c r="AQ26" i="255"/>
  <c r="M10" i="255"/>
  <c r="U10" i="255"/>
  <c r="AH8" i="255"/>
  <c r="AP8" i="255"/>
  <c r="AR13" i="255"/>
  <c r="L13" i="255" s="1"/>
  <c r="T13" i="255"/>
  <c r="AQ13" i="255"/>
  <c r="AI13" i="255"/>
  <c r="AA13" i="255"/>
  <c r="S13" i="255"/>
  <c r="AD13" i="255"/>
  <c r="AN13" i="255"/>
  <c r="AE16" i="255"/>
  <c r="AO16" i="255"/>
  <c r="P23" i="254"/>
  <c r="AC6" i="255"/>
  <c r="AK6" i="255"/>
  <c r="AS6" i="255"/>
  <c r="P7" i="255"/>
  <c r="X7" i="255"/>
  <c r="AF7" i="255"/>
  <c r="AN7" i="255"/>
  <c r="S8" i="255"/>
  <c r="AA8" i="255"/>
  <c r="AI8" i="255"/>
  <c r="AQ8" i="255"/>
  <c r="O9" i="255"/>
  <c r="W9" i="255" s="1"/>
  <c r="Y9" i="255"/>
  <c r="AH9" i="255"/>
  <c r="AF10" i="255"/>
  <c r="AO10" i="255"/>
  <c r="AE11" i="255"/>
  <c r="AN11" i="255"/>
  <c r="AE13" i="255"/>
  <c r="AO13" i="255"/>
  <c r="Y14" i="255"/>
  <c r="AI14" i="255"/>
  <c r="AS14" i="255"/>
  <c r="V16" i="255"/>
  <c r="AF16" i="255"/>
  <c r="AP16" i="255"/>
  <c r="Q19" i="255"/>
  <c r="AD19" i="255"/>
  <c r="AP19" i="255"/>
  <c r="S20" i="255"/>
  <c r="AD20" i="255"/>
  <c r="V21" i="255"/>
  <c r="AB22" i="255"/>
  <c r="AR22" i="255"/>
  <c r="AO8" i="255"/>
  <c r="V6" i="255"/>
  <c r="AD6" i="255"/>
  <c r="AL6" i="255"/>
  <c r="Q7" i="255"/>
  <c r="R7" i="255" s="1"/>
  <c r="Z7" i="255" s="1"/>
  <c r="Y7" i="255"/>
  <c r="AG7" i="255"/>
  <c r="AO7" i="255"/>
  <c r="T8" i="255"/>
  <c r="AR8" i="255"/>
  <c r="L8" i="255" s="1"/>
  <c r="V13" i="255"/>
  <c r="AF13" i="255"/>
  <c r="AP13" i="255"/>
  <c r="AG16" i="255"/>
  <c r="AS16" i="255"/>
  <c r="AN16" i="255"/>
  <c r="AL25" i="254"/>
  <c r="AK11" i="254"/>
  <c r="O6" i="255"/>
  <c r="W6" i="255" s="1"/>
  <c r="AE6" i="255"/>
  <c r="AM6" i="255"/>
  <c r="J7" i="255"/>
  <c r="AH7" i="255"/>
  <c r="AP7" i="255"/>
  <c r="AC8" i="255"/>
  <c r="AK8" i="255"/>
  <c r="AN9" i="255"/>
  <c r="AF9" i="255"/>
  <c r="X9" i="255"/>
  <c r="P9" i="255"/>
  <c r="AA9" i="255"/>
  <c r="AS9" i="255"/>
  <c r="P10" i="255"/>
  <c r="Y10" i="255"/>
  <c r="AH10" i="255"/>
  <c r="O11" i="255"/>
  <c r="W11" i="255" s="1"/>
  <c r="X11" i="255"/>
  <c r="AG11" i="255"/>
  <c r="AG13" i="255"/>
  <c r="AS13" i="255"/>
  <c r="Q14" i="255"/>
  <c r="R14" i="255" s="1"/>
  <c r="AB14" i="255" s="1"/>
  <c r="AA14" i="255"/>
  <c r="X16" i="255"/>
  <c r="AH16" i="255"/>
  <c r="S19" i="255"/>
  <c r="AP20" i="255"/>
  <c r="AH20" i="255"/>
  <c r="Z20" i="255"/>
  <c r="R20" i="255"/>
  <c r="J20" i="255"/>
  <c r="AN20" i="255"/>
  <c r="AF20" i="255"/>
  <c r="X20" i="255"/>
  <c r="P20" i="255"/>
  <c r="AM20" i="255"/>
  <c r="AE20" i="255"/>
  <c r="W20" i="255"/>
  <c r="O20" i="255"/>
  <c r="U20" i="255"/>
  <c r="AI20" i="255"/>
  <c r="AS21" i="255"/>
  <c r="AK21" i="255"/>
  <c r="AC21" i="255"/>
  <c r="U21" i="255"/>
  <c r="M21" i="255"/>
  <c r="AR21" i="255"/>
  <c r="AJ21" i="255"/>
  <c r="AB21" i="255"/>
  <c r="T21" i="255"/>
  <c r="L21" i="255"/>
  <c r="AQ21" i="255"/>
  <c r="AI21" i="255"/>
  <c r="AA21" i="255"/>
  <c r="S21" i="255"/>
  <c r="AP21" i="255"/>
  <c r="AH21" i="255"/>
  <c r="Z21" i="255"/>
  <c r="R21" i="255"/>
  <c r="J21" i="255"/>
  <c r="X21" i="255"/>
  <c r="AN21" i="255"/>
  <c r="R22" i="255"/>
  <c r="AG8" i="255"/>
  <c r="R16" i="255"/>
  <c r="AB16" i="255" s="1"/>
  <c r="AC18" i="254"/>
  <c r="P6" i="255"/>
  <c r="X6" i="255"/>
  <c r="AF6" i="255"/>
  <c r="AN6" i="255"/>
  <c r="S7" i="255"/>
  <c r="AA7" i="255"/>
  <c r="AI7" i="255"/>
  <c r="AQ7" i="255"/>
  <c r="V8" i="255"/>
  <c r="AD8" i="255"/>
  <c r="AL8" i="255"/>
  <c r="AQ10" i="255"/>
  <c r="AI10" i="255"/>
  <c r="AA10" i="255"/>
  <c r="S10" i="255"/>
  <c r="Q10" i="255"/>
  <c r="R10" i="255" s="1"/>
  <c r="Z10" i="255" s="1"/>
  <c r="AS10" i="255"/>
  <c r="X13" i="255"/>
  <c r="AH13" i="255"/>
  <c r="AM14" i="255"/>
  <c r="AE14" i="255"/>
  <c r="O14" i="255"/>
  <c r="W14" i="255" s="1"/>
  <c r="AL14" i="255"/>
  <c r="AD14" i="255"/>
  <c r="V14" i="255"/>
  <c r="AN14" i="255"/>
  <c r="O16" i="255"/>
  <c r="W16" i="255" s="1"/>
  <c r="Y16" i="255"/>
  <c r="AM19" i="255"/>
  <c r="AE19" i="255"/>
  <c r="W19" i="255"/>
  <c r="O19" i="255"/>
  <c r="AS19" i="255"/>
  <c r="AK19" i="255"/>
  <c r="AC19" i="255"/>
  <c r="U19" i="255"/>
  <c r="M19" i="255"/>
  <c r="AR19" i="255"/>
  <c r="AJ19" i="255"/>
  <c r="AB19" i="255"/>
  <c r="T19" i="255"/>
  <c r="L19" i="255"/>
  <c r="V19" i="255"/>
  <c r="AH19" i="255"/>
  <c r="V20" i="255"/>
  <c r="AJ20" i="255"/>
  <c r="AO21" i="255"/>
  <c r="Q8" i="255"/>
  <c r="R8" i="255" s="1"/>
  <c r="AR16" i="255"/>
  <c r="T16" i="255"/>
  <c r="L16" i="255"/>
  <c r="M16" i="255" s="1"/>
  <c r="AQ16" i="255"/>
  <c r="AI16" i="255"/>
  <c r="AA16" i="255"/>
  <c r="S16" i="255"/>
  <c r="AD16" i="255"/>
  <c r="Q6" i="255"/>
  <c r="R6" i="255" s="1"/>
  <c r="Y6" i="255"/>
  <c r="AG6" i="255"/>
  <c r="AO6" i="255"/>
  <c r="L7" i="255"/>
  <c r="T7" i="255"/>
  <c r="O8" i="255"/>
  <c r="W8" i="255" s="1"/>
  <c r="AE8" i="255"/>
  <c r="AM8" i="255"/>
  <c r="T9" i="255"/>
  <c r="AC9" i="255"/>
  <c r="AL9" i="255"/>
  <c r="AK10" i="255"/>
  <c r="AL11" i="255"/>
  <c r="AD11" i="255"/>
  <c r="V11" i="255"/>
  <c r="Q11" i="255"/>
  <c r="R11" i="255" s="1"/>
  <c r="Z11" i="255" s="1"/>
  <c r="AI11" i="255"/>
  <c r="AR11" i="255"/>
  <c r="L11" i="255" s="1"/>
  <c r="U11" i="255" s="1"/>
  <c r="O13" i="255"/>
  <c r="W13" i="255" s="1"/>
  <c r="Y13" i="255"/>
  <c r="AK13" i="255"/>
  <c r="S14" i="255"/>
  <c r="AC14" i="255"/>
  <c r="AO14" i="255"/>
  <c r="P16" i="255"/>
  <c r="AL16" i="255"/>
  <c r="J19" i="255"/>
  <c r="X19" i="255"/>
  <c r="AI19" i="255"/>
  <c r="L20" i="255"/>
  <c r="Y20" i="255"/>
  <c r="AK20" i="255"/>
  <c r="AD21" i="255"/>
  <c r="AN22" i="255"/>
  <c r="AF22" i="255"/>
  <c r="X22" i="255"/>
  <c r="P22" i="255"/>
  <c r="AM22" i="255"/>
  <c r="AE22" i="255"/>
  <c r="W22" i="255"/>
  <c r="O22" i="255"/>
  <c r="AL22" i="255"/>
  <c r="AD22" i="255"/>
  <c r="V22" i="255"/>
  <c r="AS22" i="255"/>
  <c r="AK22" i="255"/>
  <c r="AC22" i="255"/>
  <c r="U22" i="255"/>
  <c r="M22" i="255"/>
  <c r="T22" i="255"/>
  <c r="AJ22" i="255"/>
  <c r="Y8" i="255"/>
  <c r="AH6" i="255"/>
  <c r="P8" i="255"/>
  <c r="X8" i="255"/>
  <c r="AF8" i="255"/>
  <c r="AN8" i="255"/>
  <c r="P13" i="255"/>
  <c r="AL13" i="255"/>
  <c r="Q16" i="255"/>
  <c r="AC16" i="255"/>
  <c r="AM16" i="255"/>
  <c r="Q15" i="255"/>
  <c r="R15" i="255" s="1"/>
  <c r="Z15" i="255" s="1"/>
  <c r="Y15" i="255"/>
  <c r="AG15" i="255"/>
  <c r="AO15" i="255"/>
  <c r="V17" i="255"/>
  <c r="AD17" i="255"/>
  <c r="AL17" i="255"/>
  <c r="Q18" i="255"/>
  <c r="Y18" i="255"/>
  <c r="AG18" i="255"/>
  <c r="AO18" i="255"/>
  <c r="S24" i="255"/>
  <c r="AA24" i="255"/>
  <c r="AI24" i="255"/>
  <c r="AQ24" i="255"/>
  <c r="AL25" i="255"/>
  <c r="R26" i="255"/>
  <c r="AA26" i="255"/>
  <c r="AI26" i="255"/>
  <c r="AR26" i="255"/>
  <c r="Q12" i="255"/>
  <c r="R12" i="255" s="1"/>
  <c r="Y12" i="255"/>
  <c r="AG12" i="255"/>
  <c r="AH15" i="255"/>
  <c r="O17" i="255"/>
  <c r="W17" i="255"/>
  <c r="AE17" i="255"/>
  <c r="AM17" i="255"/>
  <c r="J18" i="255"/>
  <c r="R18" i="255"/>
  <c r="Z18" i="255"/>
  <c r="AH18" i="255"/>
  <c r="AP18" i="255"/>
  <c r="Q23" i="255"/>
  <c r="Y23" i="255"/>
  <c r="AG23" i="255"/>
  <c r="L24" i="255"/>
  <c r="T24" i="255"/>
  <c r="AB24" i="255"/>
  <c r="AJ24" i="255"/>
  <c r="AR24" i="255"/>
  <c r="O25" i="255"/>
  <c r="W25" i="255"/>
  <c r="AE25" i="255"/>
  <c r="AM25" i="255"/>
  <c r="J26" i="255"/>
  <c r="S26" i="255"/>
  <c r="AB26" i="255"/>
  <c r="AJ26" i="255"/>
  <c r="AS26" i="255"/>
  <c r="M24" i="255"/>
  <c r="U24" i="255"/>
  <c r="AC24" i="255"/>
  <c r="AK24" i="255"/>
  <c r="AS24" i="255"/>
  <c r="Q17" i="255"/>
  <c r="R17" i="255" s="1"/>
  <c r="Y17" i="255"/>
  <c r="AG17" i="255"/>
  <c r="L18" i="255"/>
  <c r="T18" i="255"/>
  <c r="AB18" i="255"/>
  <c r="AJ18" i="255"/>
  <c r="V24" i="255"/>
  <c r="AD24" i="255"/>
  <c r="AL24" i="255"/>
  <c r="Q25" i="255"/>
  <c r="Y25" i="255"/>
  <c r="AG25" i="255"/>
  <c r="M26" i="255"/>
  <c r="U26" i="255"/>
  <c r="AD26" i="255"/>
  <c r="Q24" i="255"/>
  <c r="Y24" i="255"/>
  <c r="AG24" i="255"/>
  <c r="AE25" i="254"/>
  <c r="W24" i="254"/>
  <c r="AN16" i="254"/>
  <c r="V9" i="254"/>
  <c r="AP6" i="254"/>
  <c r="AD25" i="254"/>
  <c r="O24" i="254"/>
  <c r="M18" i="254"/>
  <c r="AM16" i="254"/>
  <c r="O9" i="254"/>
  <c r="W9" i="254" s="1"/>
  <c r="Y6" i="254"/>
  <c r="Q25" i="254"/>
  <c r="AB22" i="254"/>
  <c r="P16" i="254"/>
  <c r="AA13" i="254"/>
  <c r="AK10" i="254"/>
  <c r="Q6" i="254"/>
  <c r="R6" i="254" s="1"/>
  <c r="O25" i="254"/>
  <c r="AL17" i="254"/>
  <c r="AD10" i="254"/>
  <c r="AI23" i="254"/>
  <c r="AE17" i="254"/>
  <c r="AG23" i="254"/>
  <c r="AI21" i="254"/>
  <c r="AL18" i="254"/>
  <c r="O17" i="254"/>
  <c r="W17" i="254" s="1"/>
  <c r="AM25" i="254"/>
  <c r="AN24" i="254"/>
  <c r="AA23" i="254"/>
  <c r="AA21" i="254"/>
  <c r="AD18" i="254"/>
  <c r="AM9" i="254"/>
  <c r="AJ19" i="254"/>
  <c r="AI12" i="254"/>
  <c r="Z22" i="254"/>
  <c r="AC19" i="254"/>
  <c r="AG25" i="254"/>
  <c r="P24" i="254"/>
  <c r="AF23" i="254"/>
  <c r="Y22" i="254"/>
  <c r="S21" i="254"/>
  <c r="AB19" i="254"/>
  <c r="AK18" i="254"/>
  <c r="AM17" i="254"/>
  <c r="O16" i="254"/>
  <c r="W16" i="254" s="1"/>
  <c r="S13" i="254"/>
  <c r="AA12" i="254"/>
  <c r="AC11" i="254"/>
  <c r="AL10" i="254"/>
  <c r="AP22" i="254"/>
  <c r="R22" i="254"/>
  <c r="T12" i="254"/>
  <c r="Y23" i="254"/>
  <c r="AO22" i="254"/>
  <c r="Q22" i="254"/>
  <c r="T19" i="254"/>
  <c r="S12" i="254"/>
  <c r="AN8" i="254"/>
  <c r="U19" i="254"/>
  <c r="Y25" i="254"/>
  <c r="AM24" i="254"/>
  <c r="X23" i="254"/>
  <c r="AJ22" i="254"/>
  <c r="V18" i="254"/>
  <c r="AD17" i="254"/>
  <c r="AF16" i="254"/>
  <c r="AO15" i="254"/>
  <c r="AP13" i="254"/>
  <c r="T11" i="254"/>
  <c r="AC10" i="254"/>
  <c r="AE9" i="254"/>
  <c r="AF8" i="254"/>
  <c r="AO6" i="254"/>
  <c r="W25" i="254"/>
  <c r="AF24" i="254"/>
  <c r="AO23" i="254"/>
  <c r="S23" i="254"/>
  <c r="AH22" i="254"/>
  <c r="M19" i="254"/>
  <c r="U18" i="254"/>
  <c r="AE16" i="254"/>
  <c r="AG15" i="254"/>
  <c r="AI13" i="254"/>
  <c r="L12" i="254"/>
  <c r="U12" i="254" s="1"/>
  <c r="V10" i="254"/>
  <c r="AD9" i="254"/>
  <c r="X8" i="254"/>
  <c r="AH6" i="254"/>
  <c r="AO25" i="254"/>
  <c r="V25" i="254"/>
  <c r="AE24" i="254"/>
  <c r="AN23" i="254"/>
  <c r="Q23" i="254"/>
  <c r="AG22" i="254"/>
  <c r="J22" i="254"/>
  <c r="AK19" i="254"/>
  <c r="L19" i="254"/>
  <c r="V17" i="254"/>
  <c r="X16" i="254"/>
  <c r="Y15" i="254"/>
  <c r="AH13" i="254"/>
  <c r="P8" i="254"/>
  <c r="AG6" i="254"/>
  <c r="P26" i="254"/>
  <c r="Y26" i="254"/>
  <c r="AG26" i="254"/>
  <c r="AP26" i="254"/>
  <c r="Q26" i="254"/>
  <c r="Z26" i="254"/>
  <c r="AH26" i="254"/>
  <c r="R26" i="254"/>
  <c r="AA26" i="254"/>
  <c r="AI26" i="254"/>
  <c r="J26" i="254"/>
  <c r="S26" i="254"/>
  <c r="AB26" i="254"/>
  <c r="AJ26" i="254"/>
  <c r="L26" i="254"/>
  <c r="T26" i="254"/>
  <c r="AC26" i="254"/>
  <c r="AK26" i="254"/>
  <c r="M26" i="254"/>
  <c r="U26" i="254"/>
  <c r="AD26" i="254"/>
  <c r="AM26" i="254"/>
  <c r="V26" i="254"/>
  <c r="AE26" i="254"/>
  <c r="AN26" i="254"/>
  <c r="AF26" i="254"/>
  <c r="W26" i="254"/>
  <c r="M20" i="254"/>
  <c r="U20" i="254"/>
  <c r="AC20" i="254"/>
  <c r="AK20" i="254"/>
  <c r="V20" i="254"/>
  <c r="AD20" i="254"/>
  <c r="AL20" i="254"/>
  <c r="O20" i="254"/>
  <c r="W20" i="254"/>
  <c r="AE20" i="254"/>
  <c r="AM20" i="254"/>
  <c r="P20" i="254"/>
  <c r="X20" i="254"/>
  <c r="AF20" i="254"/>
  <c r="AN20" i="254"/>
  <c r="Q20" i="254"/>
  <c r="Y20" i="254"/>
  <c r="AG20" i="254"/>
  <c r="AO20" i="254"/>
  <c r="J20" i="254"/>
  <c r="R20" i="254"/>
  <c r="Z20" i="254"/>
  <c r="AH20" i="254"/>
  <c r="AP20" i="254"/>
  <c r="S20" i="254"/>
  <c r="AA20" i="254"/>
  <c r="AI20" i="254"/>
  <c r="O26" i="254"/>
  <c r="AJ20" i="254"/>
  <c r="S14" i="254"/>
  <c r="AA14" i="254"/>
  <c r="AI14" i="254"/>
  <c r="T14" i="254"/>
  <c r="AH14" i="254"/>
  <c r="AC14" i="254"/>
  <c r="AK14" i="254"/>
  <c r="AP14" i="254"/>
  <c r="V14" i="254"/>
  <c r="AD14" i="254"/>
  <c r="AL14" i="254"/>
  <c r="O14" i="254"/>
  <c r="W14" i="254" s="1"/>
  <c r="AE14" i="254"/>
  <c r="AM14" i="254"/>
  <c r="P14" i="254"/>
  <c r="X14" i="254"/>
  <c r="AF14" i="254"/>
  <c r="AN14" i="254"/>
  <c r="Q14" i="254"/>
  <c r="R14" i="254" s="1"/>
  <c r="Y14" i="254"/>
  <c r="AG14" i="254"/>
  <c r="AO14" i="254"/>
  <c r="AB20" i="254"/>
  <c r="J7" i="254"/>
  <c r="J8" i="254" s="1"/>
  <c r="J9" i="254" s="1"/>
  <c r="J10" i="254" s="1"/>
  <c r="J11" i="254" s="1"/>
  <c r="J12" i="254" s="1"/>
  <c r="J13" i="254" s="1"/>
  <c r="J14" i="254" s="1"/>
  <c r="J15" i="254" s="1"/>
  <c r="J16" i="254" s="1"/>
  <c r="J17" i="254" s="1"/>
  <c r="AH7" i="254"/>
  <c r="AP7" i="254"/>
  <c r="S7" i="254"/>
  <c r="AA7" i="254"/>
  <c r="AI7" i="254"/>
  <c r="Q7" i="254"/>
  <c r="R7" i="254" s="1"/>
  <c r="T7" i="254"/>
  <c r="AG7" i="254"/>
  <c r="AC7" i="254"/>
  <c r="AK7" i="254"/>
  <c r="V7" i="254"/>
  <c r="AD7" i="254"/>
  <c r="AL7" i="254"/>
  <c r="AO7" i="254"/>
  <c r="O7" i="254"/>
  <c r="W7" i="254" s="1"/>
  <c r="AE7" i="254"/>
  <c r="AM7" i="254"/>
  <c r="P7" i="254"/>
  <c r="X7" i="254"/>
  <c r="AF7" i="254"/>
  <c r="AN7" i="254"/>
  <c r="Y7" i="254"/>
  <c r="T20" i="254"/>
  <c r="L20" i="254"/>
  <c r="AP21" i="254"/>
  <c r="AH21" i="254"/>
  <c r="Z21" i="254"/>
  <c r="R21" i="254"/>
  <c r="J21" i="254"/>
  <c r="AN15" i="254"/>
  <c r="AF15" i="254"/>
  <c r="X15" i="254"/>
  <c r="P15" i="254"/>
  <c r="AM8" i="254"/>
  <c r="AE8" i="254"/>
  <c r="O8" i="254"/>
  <c r="W8" i="254" s="1"/>
  <c r="AK25" i="254"/>
  <c r="AC25" i="254"/>
  <c r="U25" i="254"/>
  <c r="M25" i="254"/>
  <c r="AL24" i="254"/>
  <c r="AD24" i="254"/>
  <c r="V24" i="254"/>
  <c r="AM23" i="254"/>
  <c r="AE23" i="254"/>
  <c r="W23" i="254"/>
  <c r="O23" i="254"/>
  <c r="AN22" i="254"/>
  <c r="AF22" i="254"/>
  <c r="X22" i="254"/>
  <c r="P22" i="254"/>
  <c r="AO21" i="254"/>
  <c r="AG21" i="254"/>
  <c r="Y21" i="254"/>
  <c r="Q21" i="254"/>
  <c r="AI19" i="254"/>
  <c r="AA19" i="254"/>
  <c r="S19" i="254"/>
  <c r="AJ18" i="254"/>
  <c r="AB18" i="254"/>
  <c r="T18" i="254"/>
  <c r="L18" i="254"/>
  <c r="AK17" i="254"/>
  <c r="AC17" i="254"/>
  <c r="AL16" i="254"/>
  <c r="AD16" i="254"/>
  <c r="V16" i="254"/>
  <c r="AM15" i="254"/>
  <c r="AE15" i="254"/>
  <c r="O15" i="254"/>
  <c r="W15" i="254" s="1"/>
  <c r="AO13" i="254"/>
  <c r="AG13" i="254"/>
  <c r="Y13" i="254"/>
  <c r="Q13" i="254"/>
  <c r="R13" i="254" s="1"/>
  <c r="AJ13" i="254" s="1"/>
  <c r="AP12" i="254"/>
  <c r="AH12" i="254"/>
  <c r="AI11" i="254"/>
  <c r="AA11" i="254"/>
  <c r="S11" i="254"/>
  <c r="T10" i="254"/>
  <c r="AK9" i="254"/>
  <c r="AC9" i="254"/>
  <c r="AL8" i="254"/>
  <c r="AD8" i="254"/>
  <c r="V8" i="254"/>
  <c r="AN6" i="254"/>
  <c r="AF6" i="254"/>
  <c r="X6" i="254"/>
  <c r="P6" i="254"/>
  <c r="AJ25" i="254"/>
  <c r="AB25" i="254"/>
  <c r="T25" i="254"/>
  <c r="L25" i="254"/>
  <c r="AK24" i="254"/>
  <c r="AC24" i="254"/>
  <c r="U24" i="254"/>
  <c r="M24" i="254"/>
  <c r="AL23" i="254"/>
  <c r="AD23" i="254"/>
  <c r="V23" i="254"/>
  <c r="AM22" i="254"/>
  <c r="AE22" i="254"/>
  <c r="W22" i="254"/>
  <c r="O22" i="254"/>
  <c r="AN21" i="254"/>
  <c r="AF21" i="254"/>
  <c r="X21" i="254"/>
  <c r="P21" i="254"/>
  <c r="AP19" i="254"/>
  <c r="AH19" i="254"/>
  <c r="Z19" i="254"/>
  <c r="R19" i="254"/>
  <c r="J19" i="254"/>
  <c r="AI18" i="254"/>
  <c r="AA18" i="254"/>
  <c r="S18" i="254"/>
  <c r="T17" i="254"/>
  <c r="L17" i="254"/>
  <c r="U17" i="254" s="1"/>
  <c r="AK16" i="254"/>
  <c r="AC16" i="254"/>
  <c r="AL15" i="254"/>
  <c r="AD15" i="254"/>
  <c r="V15" i="254"/>
  <c r="AN13" i="254"/>
  <c r="AF13" i="254"/>
  <c r="X13" i="254"/>
  <c r="P13" i="254"/>
  <c r="AO12" i="254"/>
  <c r="AG12" i="254"/>
  <c r="Y12" i="254"/>
  <c r="Q12" i="254"/>
  <c r="R12" i="254" s="1"/>
  <c r="AP11" i="254"/>
  <c r="AH11" i="254"/>
  <c r="AI10" i="254"/>
  <c r="AA10" i="254"/>
  <c r="S10" i="254"/>
  <c r="T9" i="254"/>
  <c r="AK8" i="254"/>
  <c r="AC8" i="254"/>
  <c r="AM6" i="254"/>
  <c r="AE6" i="254"/>
  <c r="O6" i="254"/>
  <c r="W6" i="254" s="1"/>
  <c r="AQ16" i="254"/>
  <c r="AQ23" i="254"/>
  <c r="AI25" i="254"/>
  <c r="AA25" i="254"/>
  <c r="S25" i="254"/>
  <c r="AJ24" i="254"/>
  <c r="AB24" i="254"/>
  <c r="T24" i="254"/>
  <c r="L24" i="254"/>
  <c r="AK23" i="254"/>
  <c r="AC23" i="254"/>
  <c r="U23" i="254"/>
  <c r="M23" i="254"/>
  <c r="AL22" i="254"/>
  <c r="AD22" i="254"/>
  <c r="V22" i="254"/>
  <c r="AM21" i="254"/>
  <c r="AE21" i="254"/>
  <c r="W21" i="254"/>
  <c r="O21" i="254"/>
  <c r="AO19" i="254"/>
  <c r="AG19" i="254"/>
  <c r="Y19" i="254"/>
  <c r="Q19" i="254"/>
  <c r="AP18" i="254"/>
  <c r="AH18" i="254"/>
  <c r="Z18" i="254"/>
  <c r="R18" i="254"/>
  <c r="J18" i="254"/>
  <c r="AI17" i="254"/>
  <c r="AA17" i="254"/>
  <c r="S17" i="254"/>
  <c r="T16" i="254"/>
  <c r="L16" i="254"/>
  <c r="U16" i="254" s="1"/>
  <c r="AK15" i="254"/>
  <c r="AC15" i="254"/>
  <c r="AM13" i="254"/>
  <c r="AE13" i="254"/>
  <c r="O13" i="254"/>
  <c r="W13" i="254" s="1"/>
  <c r="AN12" i="254"/>
  <c r="AF12" i="254"/>
  <c r="X12" i="254"/>
  <c r="P12" i="254"/>
  <c r="AO11" i="254"/>
  <c r="AG11" i="254"/>
  <c r="Y11" i="254"/>
  <c r="Q11" i="254"/>
  <c r="R11" i="254" s="1"/>
  <c r="AP10" i="254"/>
  <c r="AH10" i="254"/>
  <c r="AI9" i="254"/>
  <c r="AA9" i="254"/>
  <c r="S9" i="254"/>
  <c r="T8" i="254"/>
  <c r="L8" i="254"/>
  <c r="U8" i="254" s="1"/>
  <c r="AL6" i="254"/>
  <c r="AD6" i="254"/>
  <c r="V6" i="254"/>
  <c r="AR23" i="254"/>
  <c r="AP25" i="254"/>
  <c r="AH25" i="254"/>
  <c r="Z25" i="254"/>
  <c r="R25" i="254"/>
  <c r="J25" i="254"/>
  <c r="AI24" i="254"/>
  <c r="AA24" i="254"/>
  <c r="S24" i="254"/>
  <c r="AJ23" i="254"/>
  <c r="AB23" i="254"/>
  <c r="T23" i="254"/>
  <c r="L23" i="254"/>
  <c r="AK22" i="254"/>
  <c r="AC22" i="254"/>
  <c r="U22" i="254"/>
  <c r="M22" i="254"/>
  <c r="AL21" i="254"/>
  <c r="AD21" i="254"/>
  <c r="V21" i="254"/>
  <c r="AN19" i="254"/>
  <c r="AF19" i="254"/>
  <c r="X19" i="254"/>
  <c r="P19" i="254"/>
  <c r="AO18" i="254"/>
  <c r="AG18" i="254"/>
  <c r="Y18" i="254"/>
  <c r="Q18" i="254"/>
  <c r="AP17" i="254"/>
  <c r="AH17" i="254"/>
  <c r="AI16" i="254"/>
  <c r="AA16" i="254"/>
  <c r="S16" i="254"/>
  <c r="T15" i="254"/>
  <c r="L15" i="254"/>
  <c r="M15" i="254" s="1"/>
  <c r="AL13" i="254"/>
  <c r="AD13" i="254"/>
  <c r="V13" i="254"/>
  <c r="AM12" i="254"/>
  <c r="AE12" i="254"/>
  <c r="O12" i="254"/>
  <c r="W12" i="254" s="1"/>
  <c r="AN11" i="254"/>
  <c r="AF11" i="254"/>
  <c r="X11" i="254"/>
  <c r="P11" i="254"/>
  <c r="AO10" i="254"/>
  <c r="AG10" i="254"/>
  <c r="Y10" i="254"/>
  <c r="Q10" i="254"/>
  <c r="R10" i="254" s="1"/>
  <c r="AP9" i="254"/>
  <c r="AH9" i="254"/>
  <c r="AI8" i="254"/>
  <c r="AA8" i="254"/>
  <c r="S8" i="254"/>
  <c r="AK6" i="254"/>
  <c r="AC6" i="254"/>
  <c r="AP24" i="254"/>
  <c r="AH24" i="254"/>
  <c r="Z24" i="254"/>
  <c r="R24" i="254"/>
  <c r="J24" i="254"/>
  <c r="T22" i="254"/>
  <c r="L22" i="254"/>
  <c r="AK21" i="254"/>
  <c r="AC21" i="254"/>
  <c r="U21" i="254"/>
  <c r="M21" i="254"/>
  <c r="AM19" i="254"/>
  <c r="AE19" i="254"/>
  <c r="W19" i="254"/>
  <c r="O19" i="254"/>
  <c r="AN18" i="254"/>
  <c r="AF18" i="254"/>
  <c r="X18" i="254"/>
  <c r="P18" i="254"/>
  <c r="AO17" i="254"/>
  <c r="AG17" i="254"/>
  <c r="Y17" i="254"/>
  <c r="Q17" i="254"/>
  <c r="R17" i="254" s="1"/>
  <c r="AJ17" i="254" s="1"/>
  <c r="AP16" i="254"/>
  <c r="AH16" i="254"/>
  <c r="AI15" i="254"/>
  <c r="AA15" i="254"/>
  <c r="S15" i="254"/>
  <c r="AK13" i="254"/>
  <c r="AC13" i="254"/>
  <c r="AL12" i="254"/>
  <c r="AD12" i="254"/>
  <c r="V12" i="254"/>
  <c r="AM11" i="254"/>
  <c r="AE11" i="254"/>
  <c r="O11" i="254"/>
  <c r="W11" i="254" s="1"/>
  <c r="AN10" i="254"/>
  <c r="AF10" i="254"/>
  <c r="X10" i="254"/>
  <c r="P10" i="254"/>
  <c r="AO9" i="254"/>
  <c r="AG9" i="254"/>
  <c r="Y9" i="254"/>
  <c r="Q9" i="254"/>
  <c r="R9" i="254" s="1"/>
  <c r="AJ9" i="254" s="1"/>
  <c r="AP8" i="254"/>
  <c r="AH8" i="254"/>
  <c r="R8" i="254"/>
  <c r="Z8" i="254" s="1"/>
  <c r="T6" i="254"/>
  <c r="AQ13" i="254"/>
  <c r="AN25" i="254"/>
  <c r="AF25" i="254"/>
  <c r="X25" i="254"/>
  <c r="AO24" i="254"/>
  <c r="AG24" i="254"/>
  <c r="Y24" i="254"/>
  <c r="AP23" i="254"/>
  <c r="AH23" i="254"/>
  <c r="Z23" i="254"/>
  <c r="R23" i="254"/>
  <c r="AI22" i="254"/>
  <c r="AA22" i="254"/>
  <c r="AJ21" i="254"/>
  <c r="AB21" i="254"/>
  <c r="T21" i="254"/>
  <c r="L21" i="254"/>
  <c r="AL19" i="254"/>
  <c r="AD19" i="254"/>
  <c r="AM18" i="254"/>
  <c r="AE18" i="254"/>
  <c r="W18" i="254"/>
  <c r="AN17" i="254"/>
  <c r="AF17" i="254"/>
  <c r="X17" i="254"/>
  <c r="AO16" i="254"/>
  <c r="AG16" i="254"/>
  <c r="Y16" i="254"/>
  <c r="Q16" i="254"/>
  <c r="R16" i="254" s="1"/>
  <c r="AP15" i="254"/>
  <c r="AH15" i="254"/>
  <c r="R15" i="254"/>
  <c r="AJ15" i="254" s="1"/>
  <c r="T13" i="254"/>
  <c r="AK12" i="254"/>
  <c r="AC12" i="254"/>
  <c r="AL11" i="254"/>
  <c r="AD11" i="254"/>
  <c r="AM10" i="254"/>
  <c r="AE10" i="254"/>
  <c r="O10" i="254"/>
  <c r="W10" i="254" s="1"/>
  <c r="AN9" i="254"/>
  <c r="AF9" i="254"/>
  <c r="X9" i="254"/>
  <c r="AO8" i="254"/>
  <c r="AG8" i="254"/>
  <c r="Y8" i="254"/>
  <c r="AI6" i="254"/>
  <c r="AA6" i="254"/>
  <c r="S6" i="254"/>
  <c r="AR10" i="254"/>
  <c r="L10" i="254" s="1"/>
  <c r="AS20" i="254"/>
  <c r="AR8" i="254"/>
  <c r="AS10" i="254"/>
  <c r="S21" i="253"/>
  <c r="AS8" i="254"/>
  <c r="AS7" i="254"/>
  <c r="AQ8" i="254"/>
  <c r="AS12" i="254"/>
  <c r="AQ17" i="254"/>
  <c r="AS23" i="254"/>
  <c r="AQ24" i="254"/>
  <c r="AQ11" i="254"/>
  <c r="AS22" i="254"/>
  <c r="AQ9" i="254"/>
  <c r="AR19" i="254"/>
  <c r="AQ20" i="254"/>
  <c r="AR20" i="254"/>
  <c r="AQ25" i="254"/>
  <c r="AF19" i="253"/>
  <c r="T21" i="253"/>
  <c r="AR15" i="254"/>
  <c r="AS21" i="254"/>
  <c r="S12" i="253"/>
  <c r="AQ7" i="254"/>
  <c r="AQ12" i="254"/>
  <c r="AS15" i="254"/>
  <c r="AR9" i="254"/>
  <c r="L9" i="254" s="1"/>
  <c r="AR7" i="254"/>
  <c r="L7" i="254" s="1"/>
  <c r="AS9" i="254"/>
  <c r="AR11" i="254"/>
  <c r="L11" i="254" s="1"/>
  <c r="U11" i="254" s="1"/>
  <c r="AS14" i="254"/>
  <c r="AR14" i="254"/>
  <c r="L14" i="254" s="1"/>
  <c r="M14" i="254" s="1"/>
  <c r="AS26" i="254"/>
  <c r="AQ26" i="254"/>
  <c r="AQ6" i="254"/>
  <c r="AS18" i="254"/>
  <c r="AR18" i="254"/>
  <c r="AQ18" i="254"/>
  <c r="AR26" i="254"/>
  <c r="AK13" i="253"/>
  <c r="AR6" i="254"/>
  <c r="L6" i="254" s="1"/>
  <c r="AQ14" i="254"/>
  <c r="AS11" i="254"/>
  <c r="AQ15" i="254"/>
  <c r="AS19" i="254"/>
  <c r="AQ19" i="254"/>
  <c r="AR17" i="254"/>
  <c r="AQ22" i="254"/>
  <c r="AR25" i="254"/>
  <c r="AS17" i="254"/>
  <c r="AR22" i="254"/>
  <c r="AS25" i="254"/>
  <c r="AR13" i="254"/>
  <c r="L13" i="254" s="1"/>
  <c r="AR16" i="254"/>
  <c r="AQ21" i="254"/>
  <c r="AR24" i="254"/>
  <c r="AS24" i="254"/>
  <c r="AR10" i="253"/>
  <c r="L10" i="253" s="1"/>
  <c r="U10" i="253" s="1"/>
  <c r="AF12" i="253"/>
  <c r="AJ24" i="253"/>
  <c r="AQ12" i="253"/>
  <c r="Q14" i="253"/>
  <c r="R14" i="253" s="1"/>
  <c r="Z14" i="253" s="1"/>
  <c r="Y14" i="253"/>
  <c r="AI9" i="253"/>
  <c r="AF14" i="253"/>
  <c r="AH13" i="253"/>
  <c r="AI14" i="253"/>
  <c r="AL13" i="253"/>
  <c r="S8" i="253"/>
  <c r="AP14" i="253"/>
  <c r="X16" i="253"/>
  <c r="T18" i="253"/>
  <c r="V21" i="253"/>
  <c r="AM8" i="253"/>
  <c r="P10" i="253"/>
  <c r="AE16" i="253"/>
  <c r="X18" i="253"/>
  <c r="AC21" i="253"/>
  <c r="Y23" i="253"/>
  <c r="O7" i="253"/>
  <c r="W7" i="253" s="1"/>
  <c r="T10" i="253"/>
  <c r="O13" i="253"/>
  <c r="W13" i="253" s="1"/>
  <c r="AN18" i="253"/>
  <c r="AI21" i="253"/>
  <c r="AG23" i="253"/>
  <c r="AE7" i="253"/>
  <c r="X10" i="253"/>
  <c r="P13" i="253"/>
  <c r="P14" i="253"/>
  <c r="AQ18" i="253"/>
  <c r="AH23" i="253"/>
  <c r="AM7" i="253"/>
  <c r="AM10" i="253"/>
  <c r="V13" i="253"/>
  <c r="AD9" i="253"/>
  <c r="V15" i="253"/>
  <c r="AR15" i="253"/>
  <c r="X24" i="253"/>
  <c r="X15" i="253"/>
  <c r="AO9" i="253"/>
  <c r="AA15" i="253"/>
  <c r="AF16" i="253"/>
  <c r="AA18" i="253"/>
  <c r="AS18" i="253"/>
  <c r="AS9" i="253"/>
  <c r="AC10" i="253"/>
  <c r="AM13" i="253"/>
  <c r="L15" i="253"/>
  <c r="M15" i="253" s="1"/>
  <c r="AC15" i="253"/>
  <c r="AH16" i="253"/>
  <c r="AC18" i="253"/>
  <c r="O22" i="253"/>
  <c r="Q6" i="253"/>
  <c r="R6" i="253" s="1"/>
  <c r="Z6" i="253" s="1"/>
  <c r="AD10" i="253"/>
  <c r="X13" i="253"/>
  <c r="AP13" i="253"/>
  <c r="AF15" i="253"/>
  <c r="AK16" i="253"/>
  <c r="L18" i="253"/>
  <c r="U18" i="253" s="1"/>
  <c r="AD18" i="253"/>
  <c r="S20" i="253"/>
  <c r="V22" i="253"/>
  <c r="V6" i="253"/>
  <c r="O9" i="253"/>
  <c r="W9" i="253" s="1"/>
  <c r="AH10" i="253"/>
  <c r="AF11" i="253"/>
  <c r="AD13" i="253"/>
  <c r="AS13" i="253"/>
  <c r="O15" i="253"/>
  <c r="AL15" i="253"/>
  <c r="O16" i="253"/>
  <c r="AM16" i="253"/>
  <c r="AF18" i="253"/>
  <c r="AR20" i="253"/>
  <c r="AE22" i="253"/>
  <c r="AR6" i="253"/>
  <c r="L6" i="253" s="1"/>
  <c r="M6" i="253" s="1"/>
  <c r="S9" i="253"/>
  <c r="AK10" i="253"/>
  <c r="AO11" i="253"/>
  <c r="AE13" i="253"/>
  <c r="AK14" i="253"/>
  <c r="S15" i="253"/>
  <c r="AN15" i="253"/>
  <c r="P16" i="253"/>
  <c r="AS16" i="253"/>
  <c r="O18" i="253"/>
  <c r="W18" i="253" s="1"/>
  <c r="AL18" i="253"/>
  <c r="O19" i="253"/>
  <c r="AK21" i="253"/>
  <c r="AN22" i="253"/>
  <c r="AA9" i="253"/>
  <c r="O10" i="253"/>
  <c r="W10" i="253" s="1"/>
  <c r="AL10" i="253"/>
  <c r="AF13" i="253"/>
  <c r="AN14" i="253"/>
  <c r="T15" i="253"/>
  <c r="AQ15" i="253"/>
  <c r="V16" i="253"/>
  <c r="S18" i="253"/>
  <c r="AM18" i="253"/>
  <c r="X19" i="253"/>
  <c r="AM21" i="253"/>
  <c r="AK26" i="253"/>
  <c r="AO6" i="253"/>
  <c r="P8" i="253"/>
  <c r="AI8" i="253"/>
  <c r="V9" i="253"/>
  <c r="AM9" i="253"/>
  <c r="P12" i="253"/>
  <c r="AE12" i="253"/>
  <c r="AP12" i="253"/>
  <c r="AA17" i="253"/>
  <c r="AD22" i="253"/>
  <c r="M24" i="253"/>
  <c r="W24" i="253"/>
  <c r="AI24" i="253"/>
  <c r="AS24" i="253"/>
  <c r="X25" i="253"/>
  <c r="M26" i="253"/>
  <c r="AJ26" i="253"/>
  <c r="AG17" i="253"/>
  <c r="AG25" i="253"/>
  <c r="T6" i="253"/>
  <c r="AR7" i="253"/>
  <c r="L7" i="253" s="1"/>
  <c r="M7" i="253" s="1"/>
  <c r="T8" i="253"/>
  <c r="AN8" i="253"/>
  <c r="AC9" i="253"/>
  <c r="AR9" i="253"/>
  <c r="L9" i="253" s="1"/>
  <c r="M9" i="253" s="1"/>
  <c r="T12" i="253"/>
  <c r="AH12" i="253"/>
  <c r="AR12" i="253"/>
  <c r="L12" i="253" s="1"/>
  <c r="U12" i="253" s="1"/>
  <c r="AH17" i="253"/>
  <c r="T20" i="253"/>
  <c r="AL21" i="253"/>
  <c r="AF22" i="253"/>
  <c r="O24" i="253"/>
  <c r="AA24" i="253"/>
  <c r="AK24" i="253"/>
  <c r="AM25" i="253"/>
  <c r="S26" i="253"/>
  <c r="AM26" i="253"/>
  <c r="X8" i="253"/>
  <c r="AP8" i="253"/>
  <c r="V12" i="253"/>
  <c r="AI12" i="253"/>
  <c r="AS12" i="253"/>
  <c r="AI17" i="253"/>
  <c r="AA20" i="253"/>
  <c r="AL22" i="253"/>
  <c r="P24" i="253"/>
  <c r="AB24" i="253"/>
  <c r="AL24" i="253"/>
  <c r="AN25" i="253"/>
  <c r="T26" i="253"/>
  <c r="AS26" i="253"/>
  <c r="Y6" i="253"/>
  <c r="AA8" i="253"/>
  <c r="AQ8" i="253"/>
  <c r="P9" i="253"/>
  <c r="AE9" i="253"/>
  <c r="Y10" i="253"/>
  <c r="AP10" i="253"/>
  <c r="X12" i="253"/>
  <c r="AK12" i="253"/>
  <c r="AC13" i="253"/>
  <c r="AN13" i="253"/>
  <c r="X14" i="253"/>
  <c r="AO14" i="253"/>
  <c r="P15" i="253"/>
  <c r="AD15" i="253"/>
  <c r="AS15" i="253"/>
  <c r="W16" i="253"/>
  <c r="AL16" i="253"/>
  <c r="Q17" i="253"/>
  <c r="AO17" i="253"/>
  <c r="P18" i="253"/>
  <c r="AE18" i="253"/>
  <c r="AR18" i="253"/>
  <c r="AH20" i="253"/>
  <c r="L21" i="253"/>
  <c r="M21" i="253" s="1"/>
  <c r="AA21" i="253"/>
  <c r="AQ21" i="253"/>
  <c r="P22" i="253"/>
  <c r="AM22" i="253"/>
  <c r="S24" i="253"/>
  <c r="AC24" i="253"/>
  <c r="AM24" i="253"/>
  <c r="O25" i="253"/>
  <c r="AO25" i="253"/>
  <c r="U26" i="253"/>
  <c r="AD6" i="253"/>
  <c r="AE8" i="253"/>
  <c r="AR8" i="253"/>
  <c r="L8" i="253" s="1"/>
  <c r="AA12" i="253"/>
  <c r="AL12" i="253"/>
  <c r="R17" i="253"/>
  <c r="AP17" i="253"/>
  <c r="AI20" i="253"/>
  <c r="AR21" i="253"/>
  <c r="T24" i="253"/>
  <c r="AD24" i="253"/>
  <c r="AN24" i="253"/>
  <c r="P25" i="253"/>
  <c r="AB26" i="253"/>
  <c r="AG6" i="253"/>
  <c r="AF8" i="253"/>
  <c r="T9" i="253"/>
  <c r="AK9" i="253"/>
  <c r="AC12" i="253"/>
  <c r="AM12" i="253"/>
  <c r="AA14" i="253"/>
  <c r="AQ14" i="253"/>
  <c r="AI15" i="253"/>
  <c r="AC16" i="253"/>
  <c r="AN16" i="253"/>
  <c r="S17" i="253"/>
  <c r="AQ17" i="253"/>
  <c r="AI18" i="253"/>
  <c r="AP20" i="253"/>
  <c r="O21" i="253"/>
  <c r="W21" i="253" s="1"/>
  <c r="AD21" i="253"/>
  <c r="AS21" i="253"/>
  <c r="W22" i="253"/>
  <c r="U24" i="253"/>
  <c r="AE24" i="253"/>
  <c r="AQ24" i="253"/>
  <c r="Q25" i="253"/>
  <c r="J26" i="253"/>
  <c r="AC26" i="253"/>
  <c r="AL6" i="253"/>
  <c r="T7" i="253"/>
  <c r="O8" i="253"/>
  <c r="W8" i="253" s="1"/>
  <c r="AH8" i="253"/>
  <c r="AL9" i="253"/>
  <c r="O12" i="253"/>
  <c r="W12" i="253" s="1"/>
  <c r="AD12" i="253"/>
  <c r="AN12" i="253"/>
  <c r="U15" i="253"/>
  <c r="AK15" i="253"/>
  <c r="AD16" i="253"/>
  <c r="AP16" i="253"/>
  <c r="V18" i="253"/>
  <c r="AK18" i="253"/>
  <c r="L20" i="253"/>
  <c r="AQ20" i="253"/>
  <c r="P21" i="253"/>
  <c r="AE21" i="253"/>
  <c r="X22" i="253"/>
  <c r="L24" i="253"/>
  <c r="V24" i="253"/>
  <c r="AF24" i="253"/>
  <c r="AR24" i="253"/>
  <c r="L26" i="253"/>
  <c r="AD26" i="253"/>
  <c r="AE25" i="252"/>
  <c r="AH6" i="253"/>
  <c r="AP6" i="253"/>
  <c r="AC7" i="253"/>
  <c r="AK7" i="253"/>
  <c r="AS7" i="253"/>
  <c r="O11" i="253"/>
  <c r="W11" i="253" s="1"/>
  <c r="X11" i="253"/>
  <c r="AG11" i="253"/>
  <c r="AP11" i="253"/>
  <c r="M18" i="253"/>
  <c r="AL19" i="253"/>
  <c r="AD19" i="253"/>
  <c r="V19" i="253"/>
  <c r="AS19" i="253"/>
  <c r="AK19" i="253"/>
  <c r="AC19" i="253"/>
  <c r="AR19" i="253"/>
  <c r="T19" i="253"/>
  <c r="L19" i="253"/>
  <c r="M19" i="253" s="1"/>
  <c r="AQ19" i="253"/>
  <c r="AI19" i="253"/>
  <c r="AA19" i="253"/>
  <c r="S19" i="253"/>
  <c r="AP19" i="253"/>
  <c r="AH19" i="253"/>
  <c r="Y19" i="253"/>
  <c r="AN23" i="253"/>
  <c r="AF23" i="253"/>
  <c r="X23" i="253"/>
  <c r="P23" i="253"/>
  <c r="AM23" i="253"/>
  <c r="AE23" i="253"/>
  <c r="W23" i="253"/>
  <c r="O23" i="253"/>
  <c r="AL23" i="253"/>
  <c r="AD23" i="253"/>
  <c r="V23" i="253"/>
  <c r="AS23" i="253"/>
  <c r="AK23" i="253"/>
  <c r="AC23" i="253"/>
  <c r="U23" i="253"/>
  <c r="M23" i="253"/>
  <c r="AR23" i="253"/>
  <c r="AJ23" i="253"/>
  <c r="AB23" i="253"/>
  <c r="T23" i="253"/>
  <c r="L23" i="253"/>
  <c r="Z23" i="253"/>
  <c r="S6" i="253"/>
  <c r="AA6" i="253"/>
  <c r="AI6" i="253"/>
  <c r="AQ6" i="253"/>
  <c r="V7" i="253"/>
  <c r="AD7" i="253"/>
  <c r="AL7" i="253"/>
  <c r="Q8" i="253"/>
  <c r="R8" i="253" s="1"/>
  <c r="Y8" i="253"/>
  <c r="AG8" i="253"/>
  <c r="AO8" i="253"/>
  <c r="AQ10" i="253"/>
  <c r="AI10" i="253"/>
  <c r="AA10" i="253"/>
  <c r="S10" i="253"/>
  <c r="Q10" i="253"/>
  <c r="R10" i="253" s="1"/>
  <c r="AB10" i="253" s="1"/>
  <c r="AS10" i="253"/>
  <c r="P11" i="253"/>
  <c r="Y11" i="253"/>
  <c r="AH11" i="253"/>
  <c r="AE19" i="253"/>
  <c r="J23" i="253"/>
  <c r="AA23" i="253"/>
  <c r="AL11" i="253"/>
  <c r="AD11" i="253"/>
  <c r="V11" i="253"/>
  <c r="Q11" i="253"/>
  <c r="R11" i="253" s="1"/>
  <c r="AJ11" i="253" s="1"/>
  <c r="AI11" i="253"/>
  <c r="AR11" i="253"/>
  <c r="L11" i="253" s="1"/>
  <c r="M11" i="253" s="1"/>
  <c r="AC6" i="253"/>
  <c r="AK6" i="253"/>
  <c r="AS6" i="253"/>
  <c r="P7" i="253"/>
  <c r="X7" i="253"/>
  <c r="AF7" i="253"/>
  <c r="AN7" i="253"/>
  <c r="AA11" i="253"/>
  <c r="AS11" i="253"/>
  <c r="Q7" i="253"/>
  <c r="R7" i="253" s="1"/>
  <c r="Z7" i="253" s="1"/>
  <c r="Y7" i="253"/>
  <c r="AG7" i="253"/>
  <c r="AO7" i="253"/>
  <c r="S11" i="253"/>
  <c r="AK11" i="253"/>
  <c r="P19" i="253"/>
  <c r="AM19" i="253"/>
  <c r="Q23" i="253"/>
  <c r="AI23" i="253"/>
  <c r="AL25" i="253"/>
  <c r="AD25" i="253"/>
  <c r="V25" i="253"/>
  <c r="AS25" i="253"/>
  <c r="AK25" i="253"/>
  <c r="AC25" i="253"/>
  <c r="U25" i="253"/>
  <c r="M25" i="253"/>
  <c r="AR25" i="253"/>
  <c r="AJ25" i="253"/>
  <c r="AB25" i="253"/>
  <c r="T25" i="253"/>
  <c r="L25" i="253"/>
  <c r="AQ25" i="253"/>
  <c r="AI25" i="253"/>
  <c r="AA25" i="253"/>
  <c r="S25" i="253"/>
  <c r="AP25" i="253"/>
  <c r="AH25" i="253"/>
  <c r="Z25" i="253"/>
  <c r="R25" i="253"/>
  <c r="J25" i="253"/>
  <c r="Y25" i="253"/>
  <c r="O6" i="253"/>
  <c r="W6" i="253" s="1"/>
  <c r="AE6" i="253"/>
  <c r="AM6" i="253"/>
  <c r="J7" i="253"/>
  <c r="AH7" i="253"/>
  <c r="AP7" i="253"/>
  <c r="AC8" i="253"/>
  <c r="AK8" i="253"/>
  <c r="AS8" i="253"/>
  <c r="X9" i="253"/>
  <c r="AG9" i="253"/>
  <c r="V10" i="253"/>
  <c r="AE10" i="253"/>
  <c r="AN10" i="253"/>
  <c r="T11" i="253"/>
  <c r="AC11" i="253"/>
  <c r="AM11" i="253"/>
  <c r="AM14" i="253"/>
  <c r="AE14" i="253"/>
  <c r="O14" i="253"/>
  <c r="W14" i="253" s="1"/>
  <c r="AL14" i="253"/>
  <c r="AD14" i="253"/>
  <c r="V14" i="253"/>
  <c r="AR14" i="253"/>
  <c r="T14" i="253"/>
  <c r="L14" i="253"/>
  <c r="M14" i="253" s="1"/>
  <c r="S14" i="253"/>
  <c r="AG14" i="253"/>
  <c r="AS14" i="253"/>
  <c r="AN17" i="253"/>
  <c r="AF17" i="253"/>
  <c r="X17" i="253"/>
  <c r="P17" i="253"/>
  <c r="AM17" i="253"/>
  <c r="AE17" i="253"/>
  <c r="O17" i="253"/>
  <c r="W17" i="253" s="1"/>
  <c r="AL17" i="253"/>
  <c r="AD17" i="253"/>
  <c r="V17" i="253"/>
  <c r="AS17" i="253"/>
  <c r="AK17" i="253"/>
  <c r="AC17" i="253"/>
  <c r="AR17" i="253"/>
  <c r="L17" i="253" s="1"/>
  <c r="AJ17" i="253"/>
  <c r="AB17" i="253"/>
  <c r="T17" i="253"/>
  <c r="Z17" i="253"/>
  <c r="Q19" i="253"/>
  <c r="R19" i="253" s="1"/>
  <c r="AN19" i="253"/>
  <c r="R23" i="253"/>
  <c r="AO23" i="253"/>
  <c r="AE25" i="253"/>
  <c r="P6" i="253"/>
  <c r="X6" i="253"/>
  <c r="AF6" i="253"/>
  <c r="S7" i="253"/>
  <c r="AA7" i="253"/>
  <c r="AI7" i="253"/>
  <c r="V8" i="253"/>
  <c r="AD8" i="253"/>
  <c r="AN9" i="253"/>
  <c r="AF9" i="253"/>
  <c r="Q9" i="253"/>
  <c r="R9" i="253" s="1"/>
  <c r="Y9" i="253"/>
  <c r="AH9" i="253"/>
  <c r="AQ9" i="253"/>
  <c r="AF10" i="253"/>
  <c r="AO10" i="253"/>
  <c r="AE11" i="253"/>
  <c r="AN11" i="253"/>
  <c r="AH14" i="253"/>
  <c r="W19" i="253"/>
  <c r="AO19" i="253"/>
  <c r="S23" i="253"/>
  <c r="AP23" i="253"/>
  <c r="AF25" i="253"/>
  <c r="Q13" i="253"/>
  <c r="R13" i="253" s="1"/>
  <c r="Z13" i="253" s="1"/>
  <c r="Y13" i="253"/>
  <c r="AG13" i="253"/>
  <c r="AO13" i="253"/>
  <c r="W15" i="253"/>
  <c r="AE15" i="253"/>
  <c r="AM15" i="253"/>
  <c r="Q16" i="253"/>
  <c r="R16" i="253" s="1"/>
  <c r="Z16" i="253" s="1"/>
  <c r="Y16" i="253"/>
  <c r="AG16" i="253"/>
  <c r="AO16" i="253"/>
  <c r="M20" i="253"/>
  <c r="U20" i="253"/>
  <c r="AC20" i="253"/>
  <c r="AK20" i="253"/>
  <c r="AS20" i="253"/>
  <c r="Q22" i="253"/>
  <c r="R22" i="253" s="1"/>
  <c r="Y22" i="253"/>
  <c r="AG22" i="253"/>
  <c r="AO22" i="253"/>
  <c r="V26" i="253"/>
  <c r="AE26" i="253"/>
  <c r="AN26" i="253"/>
  <c r="V20" i="253"/>
  <c r="AD20" i="253"/>
  <c r="AL20" i="253"/>
  <c r="X21" i="253"/>
  <c r="AF21" i="253"/>
  <c r="AN21" i="253"/>
  <c r="AH22" i="253"/>
  <c r="AP22" i="253"/>
  <c r="O26" i="253"/>
  <c r="W26" i="253"/>
  <c r="AF26" i="253"/>
  <c r="AO26" i="253"/>
  <c r="S13" i="253"/>
  <c r="AA13" i="253"/>
  <c r="AI13" i="253"/>
  <c r="AQ13" i="253"/>
  <c r="Q15" i="253"/>
  <c r="R15" i="253" s="1"/>
  <c r="Z15" i="253" s="1"/>
  <c r="Y15" i="253"/>
  <c r="AG15" i="253"/>
  <c r="AO15" i="253"/>
  <c r="S16" i="253"/>
  <c r="AA16" i="253"/>
  <c r="AI16" i="253"/>
  <c r="AQ16" i="253"/>
  <c r="Q18" i="253"/>
  <c r="R18" i="253" s="1"/>
  <c r="Z18" i="253" s="1"/>
  <c r="Y18" i="253"/>
  <c r="AG18" i="253"/>
  <c r="AO18" i="253"/>
  <c r="O20" i="253"/>
  <c r="W20" i="253" s="1"/>
  <c r="AE20" i="253"/>
  <c r="AM20" i="253"/>
  <c r="Q21" i="253"/>
  <c r="Y21" i="253"/>
  <c r="AG21" i="253"/>
  <c r="AO21" i="253"/>
  <c r="S22" i="253"/>
  <c r="AA22" i="253"/>
  <c r="AI22" i="253"/>
  <c r="AQ22" i="253"/>
  <c r="Q24" i="253"/>
  <c r="Y24" i="253"/>
  <c r="AG24" i="253"/>
  <c r="AO24" i="253"/>
  <c r="P26" i="253"/>
  <c r="Y26" i="253"/>
  <c r="AG26" i="253"/>
  <c r="AP26" i="253"/>
  <c r="Q12" i="253"/>
  <c r="R12" i="253" s="1"/>
  <c r="Y12" i="253"/>
  <c r="AG12" i="253"/>
  <c r="L13" i="253"/>
  <c r="T13" i="253"/>
  <c r="AH15" i="253"/>
  <c r="L16" i="253"/>
  <c r="T16" i="253"/>
  <c r="AB16" i="253"/>
  <c r="AJ16" i="253"/>
  <c r="AH18" i="253"/>
  <c r="P20" i="253"/>
  <c r="X20" i="253"/>
  <c r="AF20" i="253"/>
  <c r="AN20" i="253"/>
  <c r="R21" i="253"/>
  <c r="Z21" i="253" s="1"/>
  <c r="AH21" i="253"/>
  <c r="L22" i="253"/>
  <c r="M22" i="253" s="1"/>
  <c r="T22" i="253"/>
  <c r="AR22" i="253"/>
  <c r="J24" i="253"/>
  <c r="R24" i="253"/>
  <c r="Z24" i="253"/>
  <c r="AH24" i="253"/>
  <c r="Q26" i="253"/>
  <c r="Z26" i="253"/>
  <c r="AH26" i="253"/>
  <c r="AQ26" i="253"/>
  <c r="Q20" i="253"/>
  <c r="R20" i="253" s="1"/>
  <c r="Y20" i="253"/>
  <c r="AG20" i="253"/>
  <c r="U22" i="253"/>
  <c r="AC22" i="253"/>
  <c r="AK22" i="253"/>
  <c r="R26" i="253"/>
  <c r="AA26" i="253"/>
  <c r="AI26" i="253"/>
  <c r="M25" i="252"/>
  <c r="AL14" i="252"/>
  <c r="AJ25" i="252"/>
  <c r="AC7" i="252"/>
  <c r="O19" i="252"/>
  <c r="AC10" i="252"/>
  <c r="AO17" i="252"/>
  <c r="L25" i="252"/>
  <c r="AD7" i="252"/>
  <c r="AR25" i="252"/>
  <c r="AK7" i="252"/>
  <c r="AH9" i="252"/>
  <c r="O11" i="252"/>
  <c r="W11" i="252" s="1"/>
  <c r="AA16" i="252"/>
  <c r="AS25" i="252"/>
  <c r="P11" i="252"/>
  <c r="L15" i="252"/>
  <c r="U15" i="252" s="1"/>
  <c r="AD16" i="252"/>
  <c r="Y20" i="252"/>
  <c r="X11" i="252"/>
  <c r="AR16" i="252"/>
  <c r="AE11" i="252"/>
  <c r="R23" i="252"/>
  <c r="AF8" i="252"/>
  <c r="AF11" i="252"/>
  <c r="O25" i="252"/>
  <c r="AP23" i="252"/>
  <c r="AK9" i="252"/>
  <c r="AH10" i="252"/>
  <c r="AK13" i="252"/>
  <c r="AS16" i="252"/>
  <c r="AI13" i="252"/>
  <c r="AP9" i="252"/>
  <c r="AN10" i="252"/>
  <c r="AL13" i="252"/>
  <c r="AC16" i="252"/>
  <c r="AP10" i="252"/>
  <c r="O9" i="252"/>
  <c r="W9" i="252" s="1"/>
  <c r="AS10" i="252"/>
  <c r="Y12" i="252"/>
  <c r="S13" i="252"/>
  <c r="AF16" i="252"/>
  <c r="Q18" i="252"/>
  <c r="AD19" i="252"/>
  <c r="S23" i="252"/>
  <c r="Q24" i="252"/>
  <c r="T25" i="252"/>
  <c r="X12" i="252"/>
  <c r="P9" i="252"/>
  <c r="AK11" i="252"/>
  <c r="AH12" i="252"/>
  <c r="T13" i="252"/>
  <c r="S15" i="252"/>
  <c r="P16" i="252"/>
  <c r="AL16" i="252"/>
  <c r="Q17" i="252"/>
  <c r="R17" i="252" s="1"/>
  <c r="R18" i="252"/>
  <c r="AE19" i="252"/>
  <c r="Z23" i="252"/>
  <c r="S24" i="252"/>
  <c r="AB25" i="252"/>
  <c r="T9" i="252"/>
  <c r="S10" i="252"/>
  <c r="AP11" i="252"/>
  <c r="AO12" i="252"/>
  <c r="V13" i="252"/>
  <c r="AI15" i="252"/>
  <c r="S16" i="252"/>
  <c r="AN16" i="252"/>
  <c r="Y17" i="252"/>
  <c r="AI18" i="252"/>
  <c r="AH23" i="252"/>
  <c r="AC25" i="252"/>
  <c r="AR13" i="252"/>
  <c r="L13" i="252" s="1"/>
  <c r="X8" i="252"/>
  <c r="AC9" i="252"/>
  <c r="AA10" i="252"/>
  <c r="AQ11" i="252"/>
  <c r="AP12" i="252"/>
  <c r="AC13" i="252"/>
  <c r="Q14" i="252"/>
  <c r="R14" i="252" s="1"/>
  <c r="Z14" i="252" s="1"/>
  <c r="AP15" i="252"/>
  <c r="T16" i="252"/>
  <c r="AQ16" i="252"/>
  <c r="AG17" i="252"/>
  <c r="AP18" i="252"/>
  <c r="AI23" i="252"/>
  <c r="AD25" i="252"/>
  <c r="AL7" i="252"/>
  <c r="AN8" i="252"/>
  <c r="X9" i="252"/>
  <c r="AN9" i="252"/>
  <c r="O10" i="252"/>
  <c r="W10" i="252" s="1"/>
  <c r="AE10" i="252"/>
  <c r="AQ10" i="252"/>
  <c r="S11" i="252"/>
  <c r="AH11" i="252"/>
  <c r="AS11" i="252"/>
  <c r="AA12" i="252"/>
  <c r="X13" i="252"/>
  <c r="AN13" i="252"/>
  <c r="X14" i="252"/>
  <c r="Q15" i="252"/>
  <c r="R15" i="252" s="1"/>
  <c r="AB15" i="252" s="1"/>
  <c r="AQ15" i="252"/>
  <c r="S18" i="252"/>
  <c r="AQ18" i="252"/>
  <c r="T19" i="252"/>
  <c r="AJ19" i="252"/>
  <c r="AE20" i="252"/>
  <c r="T23" i="252"/>
  <c r="AJ23" i="252"/>
  <c r="Y24" i="252"/>
  <c r="J20" i="252"/>
  <c r="Z20" i="252"/>
  <c r="AS7" i="252"/>
  <c r="Y9" i="252"/>
  <c r="AO9" i="252"/>
  <c r="P10" i="252"/>
  <c r="AF10" i="252"/>
  <c r="AR10" i="252"/>
  <c r="L10" i="252" s="1"/>
  <c r="M10" i="252" s="1"/>
  <c r="V11" i="252"/>
  <c r="AI11" i="252"/>
  <c r="AC12" i="252"/>
  <c r="AA13" i="252"/>
  <c r="AQ13" i="252"/>
  <c r="AE14" i="252"/>
  <c r="AR15" i="252"/>
  <c r="Z18" i="252"/>
  <c r="AR18" i="252"/>
  <c r="U19" i="252"/>
  <c r="AK19" i="252"/>
  <c r="AF20" i="252"/>
  <c r="J23" i="252"/>
  <c r="U23" i="252"/>
  <c r="AK23" i="252"/>
  <c r="AG24" i="252"/>
  <c r="AA18" i="252"/>
  <c r="V19" i="252"/>
  <c r="AL19" i="252"/>
  <c r="O20" i="252"/>
  <c r="AG20" i="252"/>
  <c r="R22" i="252"/>
  <c r="AI24" i="252"/>
  <c r="L9" i="252"/>
  <c r="M9" i="252" s="1"/>
  <c r="AE9" i="252"/>
  <c r="AR9" i="252"/>
  <c r="T10" i="252"/>
  <c r="AI10" i="252"/>
  <c r="AA11" i="252"/>
  <c r="AL11" i="252"/>
  <c r="AI12" i="252"/>
  <c r="AD13" i="252"/>
  <c r="AS13" i="252"/>
  <c r="AA15" i="252"/>
  <c r="AI16" i="252"/>
  <c r="AB18" i="252"/>
  <c r="W19" i="252"/>
  <c r="AM19" i="252"/>
  <c r="P20" i="252"/>
  <c r="AN20" i="252"/>
  <c r="P21" i="252"/>
  <c r="Z22" i="252"/>
  <c r="L23" i="252"/>
  <c r="AA23" i="252"/>
  <c r="AQ23" i="252"/>
  <c r="J24" i="252"/>
  <c r="AO24" i="252"/>
  <c r="U25" i="252"/>
  <c r="AK25" i="252"/>
  <c r="O26" i="252"/>
  <c r="V7" i="252"/>
  <c r="AF9" i="252"/>
  <c r="AS9" i="252"/>
  <c r="AK10" i="252"/>
  <c r="AC11" i="252"/>
  <c r="AM11" i="252"/>
  <c r="P12" i="252"/>
  <c r="AK12" i="252"/>
  <c r="P13" i="252"/>
  <c r="AF13" i="252"/>
  <c r="AG15" i="252"/>
  <c r="V16" i="252"/>
  <c r="L18" i="252"/>
  <c r="AG18" i="252"/>
  <c r="L19" i="252"/>
  <c r="AB19" i="252"/>
  <c r="AR19" i="252"/>
  <c r="Q20" i="252"/>
  <c r="AO20" i="252"/>
  <c r="AF21" i="252"/>
  <c r="AH22" i="252"/>
  <c r="M23" i="252"/>
  <c r="AB23" i="252"/>
  <c r="AR23" i="252"/>
  <c r="V25" i="252"/>
  <c r="AL25" i="252"/>
  <c r="AF26" i="252"/>
  <c r="P8" i="252"/>
  <c r="X10" i="252"/>
  <c r="AM10" i="252"/>
  <c r="AD11" i="252"/>
  <c r="AN11" i="252"/>
  <c r="Q12" i="252"/>
  <c r="R12" i="252" s="1"/>
  <c r="AN12" i="252"/>
  <c r="L16" i="252"/>
  <c r="M16" i="252" s="1"/>
  <c r="X16" i="252"/>
  <c r="AK16" i="252"/>
  <c r="M19" i="252"/>
  <c r="AC19" i="252"/>
  <c r="AS19" i="252"/>
  <c r="X20" i="252"/>
  <c r="AP20" i="252"/>
  <c r="AP22" i="252"/>
  <c r="AC23" i="252"/>
  <c r="AS23" i="252"/>
  <c r="W25" i="252"/>
  <c r="AM25" i="252"/>
  <c r="Q6" i="252"/>
  <c r="R6" i="252" s="1"/>
  <c r="Y6" i="252"/>
  <c r="AG6" i="252"/>
  <c r="AO6" i="252"/>
  <c r="T7" i="252"/>
  <c r="AR7" i="252"/>
  <c r="L7" i="252" s="1"/>
  <c r="O8" i="252"/>
  <c r="W8" i="252" s="1"/>
  <c r="AE8" i="252"/>
  <c r="AM8" i="252"/>
  <c r="AS14" i="252"/>
  <c r="AK14" i="252"/>
  <c r="AC14" i="252"/>
  <c r="AR14" i="252"/>
  <c r="L14" i="252" s="1"/>
  <c r="U14" i="252" s="1"/>
  <c r="T14" i="252"/>
  <c r="AP14" i="252"/>
  <c r="AH14" i="252"/>
  <c r="AI14" i="252"/>
  <c r="P17" i="252"/>
  <c r="AF17" i="252"/>
  <c r="AA21" i="252"/>
  <c r="AQ21" i="252"/>
  <c r="Q22" i="252"/>
  <c r="AG22" i="252"/>
  <c r="AB24" i="252"/>
  <c r="AR24" i="252"/>
  <c r="AA26" i="252"/>
  <c r="AR26" i="252"/>
  <c r="AH6" i="252"/>
  <c r="S6" i="252"/>
  <c r="AA6" i="252"/>
  <c r="AI6" i="252"/>
  <c r="AQ6" i="252"/>
  <c r="Q8" i="252"/>
  <c r="R8" i="252" s="1"/>
  <c r="Z8" i="252" s="1"/>
  <c r="Y8" i="252"/>
  <c r="AG8" i="252"/>
  <c r="AO8" i="252"/>
  <c r="Y14" i="252"/>
  <c r="AM14" i="252"/>
  <c r="V17" i="252"/>
  <c r="AL17" i="252"/>
  <c r="Q21" i="252"/>
  <c r="AG21" i="252"/>
  <c r="S22" i="252"/>
  <c r="R24" i="252"/>
  <c r="P26" i="252"/>
  <c r="AG26" i="252"/>
  <c r="T6" i="252"/>
  <c r="AR6" i="252"/>
  <c r="L6" i="252" s="1"/>
  <c r="U6" i="252" s="1"/>
  <c r="O7" i="252"/>
  <c r="W7" i="252" s="1"/>
  <c r="AE7" i="252"/>
  <c r="AM7" i="252"/>
  <c r="AH8" i="252"/>
  <c r="AP8" i="252"/>
  <c r="O14" i="252"/>
  <c r="W14" i="252" s="1"/>
  <c r="AA14" i="252"/>
  <c r="AN14" i="252"/>
  <c r="R21" i="252"/>
  <c r="AH21" i="252"/>
  <c r="AN22" i="252"/>
  <c r="AF22" i="252"/>
  <c r="X22" i="252"/>
  <c r="P22" i="252"/>
  <c r="AM22" i="252"/>
  <c r="AE22" i="252"/>
  <c r="W22" i="252"/>
  <c r="O22" i="252"/>
  <c r="AL22" i="252"/>
  <c r="AD22" i="252"/>
  <c r="V22" i="252"/>
  <c r="AS22" i="252"/>
  <c r="AK22" i="252"/>
  <c r="AC22" i="252"/>
  <c r="U22" i="252"/>
  <c r="M22" i="252"/>
  <c r="T22" i="252"/>
  <c r="AJ22" i="252"/>
  <c r="Q26" i="252"/>
  <c r="AH26" i="252"/>
  <c r="AP6" i="252"/>
  <c r="AC6" i="252"/>
  <c r="AK6" i="252"/>
  <c r="AS6" i="252"/>
  <c r="P7" i="252"/>
  <c r="X7" i="252"/>
  <c r="AF7" i="252"/>
  <c r="AN7" i="252"/>
  <c r="S8" i="252"/>
  <c r="AA8" i="252"/>
  <c r="AI8" i="252"/>
  <c r="AQ8" i="252"/>
  <c r="P14" i="252"/>
  <c r="AD14" i="252"/>
  <c r="AO14" i="252"/>
  <c r="AS17" i="252"/>
  <c r="AK17" i="252"/>
  <c r="AC17" i="252"/>
  <c r="AR17" i="252"/>
  <c r="T17" i="252"/>
  <c r="L17" i="252"/>
  <c r="U17" i="252" s="1"/>
  <c r="AQ17" i="252"/>
  <c r="AI17" i="252"/>
  <c r="AA17" i="252"/>
  <c r="S17" i="252"/>
  <c r="AP17" i="252"/>
  <c r="AH17" i="252"/>
  <c r="X17" i="252"/>
  <c r="AN17" i="252"/>
  <c r="S21" i="252"/>
  <c r="J22" i="252"/>
  <c r="Y22" i="252"/>
  <c r="AO22" i="252"/>
  <c r="AN24" i="252"/>
  <c r="AF24" i="252"/>
  <c r="X24" i="252"/>
  <c r="P24" i="252"/>
  <c r="AM24" i="252"/>
  <c r="AE24" i="252"/>
  <c r="W24" i="252"/>
  <c r="O24" i="252"/>
  <c r="AL24" i="252"/>
  <c r="AD24" i="252"/>
  <c r="V24" i="252"/>
  <c r="AS24" i="252"/>
  <c r="AK24" i="252"/>
  <c r="AC24" i="252"/>
  <c r="U24" i="252"/>
  <c r="M24" i="252"/>
  <c r="T24" i="252"/>
  <c r="AJ24" i="252"/>
  <c r="R26" i="252"/>
  <c r="V6" i="252"/>
  <c r="AD6" i="252"/>
  <c r="AL6" i="252"/>
  <c r="Q7" i="252"/>
  <c r="R7" i="252" s="1"/>
  <c r="AB7" i="252" s="1"/>
  <c r="Y7" i="252"/>
  <c r="AG7" i="252"/>
  <c r="AO7" i="252"/>
  <c r="T8" i="252"/>
  <c r="AR8" i="252"/>
  <c r="L8" i="252" s="1"/>
  <c r="M8" i="252" s="1"/>
  <c r="AM21" i="252"/>
  <c r="AE21" i="252"/>
  <c r="W21" i="252"/>
  <c r="O21" i="252"/>
  <c r="AL21" i="252"/>
  <c r="AD21" i="252"/>
  <c r="V21" i="252"/>
  <c r="AS21" i="252"/>
  <c r="AK21" i="252"/>
  <c r="AC21" i="252"/>
  <c r="U21" i="252"/>
  <c r="M21" i="252"/>
  <c r="AR21" i="252"/>
  <c r="AJ21" i="252"/>
  <c r="AB21" i="252"/>
  <c r="T21" i="252"/>
  <c r="L21" i="252"/>
  <c r="X21" i="252"/>
  <c r="AN21" i="252"/>
  <c r="AN26" i="252"/>
  <c r="AE26" i="252"/>
  <c r="V26" i="252"/>
  <c r="AM26" i="252"/>
  <c r="AD26" i="252"/>
  <c r="U26" i="252"/>
  <c r="M26" i="252"/>
  <c r="AK26" i="252"/>
  <c r="AC26" i="252"/>
  <c r="T26" i="252"/>
  <c r="L26" i="252"/>
  <c r="AS26" i="252"/>
  <c r="AJ26" i="252"/>
  <c r="AB26" i="252"/>
  <c r="S26" i="252"/>
  <c r="W26" i="252"/>
  <c r="AO26" i="252"/>
  <c r="O6" i="252"/>
  <c r="W6" i="252" s="1"/>
  <c r="AE6" i="252"/>
  <c r="AM6" i="252"/>
  <c r="J7" i="252"/>
  <c r="AH7" i="252"/>
  <c r="AP7" i="252"/>
  <c r="AC8" i="252"/>
  <c r="AK8" i="252"/>
  <c r="AS8" i="252"/>
  <c r="AF12" i="252"/>
  <c r="S14" i="252"/>
  <c r="AF14" i="252"/>
  <c r="AN15" i="252"/>
  <c r="AF15" i="252"/>
  <c r="X15" i="252"/>
  <c r="P15" i="252"/>
  <c r="AM15" i="252"/>
  <c r="AE15" i="252"/>
  <c r="O15" i="252"/>
  <c r="W15" i="252" s="1"/>
  <c r="AL15" i="252"/>
  <c r="AD15" i="252"/>
  <c r="V15" i="252"/>
  <c r="AS15" i="252"/>
  <c r="AK15" i="252"/>
  <c r="AC15" i="252"/>
  <c r="T15" i="252"/>
  <c r="AD17" i="252"/>
  <c r="AN18" i="252"/>
  <c r="AF18" i="252"/>
  <c r="X18" i="252"/>
  <c r="P18" i="252"/>
  <c r="AM18" i="252"/>
  <c r="AE18" i="252"/>
  <c r="W18" i="252"/>
  <c r="O18" i="252"/>
  <c r="AL18" i="252"/>
  <c r="AD18" i="252"/>
  <c r="V18" i="252"/>
  <c r="AS18" i="252"/>
  <c r="AK18" i="252"/>
  <c r="AC18" i="252"/>
  <c r="U18" i="252"/>
  <c r="M18" i="252"/>
  <c r="T18" i="252"/>
  <c r="AJ18" i="252"/>
  <c r="R20" i="252"/>
  <c r="J21" i="252"/>
  <c r="Y21" i="252"/>
  <c r="AO21" i="252"/>
  <c r="L22" i="252"/>
  <c r="AA22" i="252"/>
  <c r="AQ22" i="252"/>
  <c r="Z24" i="252"/>
  <c r="AP24" i="252"/>
  <c r="J26" i="252"/>
  <c r="Y26" i="252"/>
  <c r="AP26" i="252"/>
  <c r="P6" i="252"/>
  <c r="X6" i="252"/>
  <c r="AF6" i="252"/>
  <c r="S7" i="252"/>
  <c r="AA7" i="252"/>
  <c r="AI7" i="252"/>
  <c r="V8" i="252"/>
  <c r="AD8" i="252"/>
  <c r="AL9" i="252"/>
  <c r="AD9" i="252"/>
  <c r="V9" i="252"/>
  <c r="AQ9" i="252"/>
  <c r="AI9" i="252"/>
  <c r="AA9" i="252"/>
  <c r="S9" i="252"/>
  <c r="Q9" i="252"/>
  <c r="R9" i="252" s="1"/>
  <c r="AB9" i="252" s="1"/>
  <c r="AM9" i="252"/>
  <c r="AM12" i="252"/>
  <c r="AE12" i="252"/>
  <c r="O12" i="252"/>
  <c r="W12" i="252" s="1"/>
  <c r="AL12" i="252"/>
  <c r="AD12" i="252"/>
  <c r="V12" i="252"/>
  <c r="AR12" i="252"/>
  <c r="L12" i="252" s="1"/>
  <c r="T12" i="252"/>
  <c r="S12" i="252"/>
  <c r="AG12" i="252"/>
  <c r="AS12" i="252"/>
  <c r="V14" i="252"/>
  <c r="AG14" i="252"/>
  <c r="Y15" i="252"/>
  <c r="AO15" i="252"/>
  <c r="O17" i="252"/>
  <c r="W17" i="252" s="1"/>
  <c r="AE17" i="252"/>
  <c r="J18" i="252"/>
  <c r="Y18" i="252"/>
  <c r="AO18" i="252"/>
  <c r="AL20" i="252"/>
  <c r="AD20" i="252"/>
  <c r="V20" i="252"/>
  <c r="AS20" i="252"/>
  <c r="AK20" i="252"/>
  <c r="AC20" i="252"/>
  <c r="U20" i="252"/>
  <c r="M20" i="252"/>
  <c r="AR20" i="252"/>
  <c r="AJ20" i="252"/>
  <c r="AB20" i="252"/>
  <c r="T20" i="252"/>
  <c r="L20" i="252"/>
  <c r="AQ20" i="252"/>
  <c r="AI20" i="252"/>
  <c r="AA20" i="252"/>
  <c r="S20" i="252"/>
  <c r="W20" i="252"/>
  <c r="AM20" i="252"/>
  <c r="Z21" i="252"/>
  <c r="AP21" i="252"/>
  <c r="AB22" i="252"/>
  <c r="AR22" i="252"/>
  <c r="L24" i="252"/>
  <c r="AA24" i="252"/>
  <c r="AQ24" i="252"/>
  <c r="Z26" i="252"/>
  <c r="AQ26" i="252"/>
  <c r="V10" i="252"/>
  <c r="AD10" i="252"/>
  <c r="AL10" i="252"/>
  <c r="Q11" i="252"/>
  <c r="R11" i="252" s="1"/>
  <c r="Z11" i="252" s="1"/>
  <c r="Y11" i="252"/>
  <c r="AG11" i="252"/>
  <c r="AO11" i="252"/>
  <c r="O13" i="252"/>
  <c r="W13" i="252" s="1"/>
  <c r="AE13" i="252"/>
  <c r="AM13" i="252"/>
  <c r="O16" i="252"/>
  <c r="W16" i="252" s="1"/>
  <c r="AE16" i="252"/>
  <c r="AM16" i="252"/>
  <c r="P19" i="252"/>
  <c r="X19" i="252"/>
  <c r="AF19" i="252"/>
  <c r="AN19" i="252"/>
  <c r="V23" i="252"/>
  <c r="AD23" i="252"/>
  <c r="AL23" i="252"/>
  <c r="P25" i="252"/>
  <c r="X25" i="252"/>
  <c r="AF25" i="252"/>
  <c r="AN25" i="252"/>
  <c r="Q19" i="252"/>
  <c r="Y19" i="252"/>
  <c r="AG19" i="252"/>
  <c r="AO19" i="252"/>
  <c r="O23" i="252"/>
  <c r="W23" i="252"/>
  <c r="AE23" i="252"/>
  <c r="AM23" i="252"/>
  <c r="Q25" i="252"/>
  <c r="Y25" i="252"/>
  <c r="AG25" i="252"/>
  <c r="AO25" i="252"/>
  <c r="Q13" i="252"/>
  <c r="R13" i="252" s="1"/>
  <c r="Z13" i="252" s="1"/>
  <c r="Y13" i="252"/>
  <c r="AG13" i="252"/>
  <c r="AO13" i="252"/>
  <c r="Q16" i="252"/>
  <c r="R16" i="252" s="1"/>
  <c r="Z16" i="252" s="1"/>
  <c r="Y16" i="252"/>
  <c r="AG16" i="252"/>
  <c r="AO16" i="252"/>
  <c r="J19" i="252"/>
  <c r="R19" i="252"/>
  <c r="Z19" i="252"/>
  <c r="AH19" i="252"/>
  <c r="AP19" i="252"/>
  <c r="P23" i="252"/>
  <c r="X23" i="252"/>
  <c r="AF23" i="252"/>
  <c r="AN23" i="252"/>
  <c r="J25" i="252"/>
  <c r="R25" i="252"/>
  <c r="Z25" i="252"/>
  <c r="AH25" i="252"/>
  <c r="AP25" i="252"/>
  <c r="Q10" i="252"/>
  <c r="R10" i="252" s="1"/>
  <c r="Y10" i="252"/>
  <c r="AG10" i="252"/>
  <c r="L11" i="252"/>
  <c r="T11" i="252"/>
  <c r="AH13" i="252"/>
  <c r="AH16" i="252"/>
  <c r="S19" i="252"/>
  <c r="AA19" i="252"/>
  <c r="AI19" i="252"/>
  <c r="Q23" i="252"/>
  <c r="Y23" i="252"/>
  <c r="AG23" i="252"/>
  <c r="S25" i="252"/>
  <c r="AA25" i="252"/>
  <c r="AI25" i="252"/>
  <c r="S6" i="251"/>
  <c r="AK16" i="251"/>
  <c r="P6" i="251"/>
  <c r="X13" i="251"/>
  <c r="AF17" i="251"/>
  <c r="AD19" i="251"/>
  <c r="X16" i="251"/>
  <c r="AI12" i="251"/>
  <c r="V6" i="251"/>
  <c r="W23" i="251"/>
  <c r="X6" i="251"/>
  <c r="V8" i="251"/>
  <c r="L19" i="251"/>
  <c r="AQ6" i="251"/>
  <c r="AD8" i="251"/>
  <c r="AK12" i="251"/>
  <c r="AC13" i="251"/>
  <c r="O12" i="251"/>
  <c r="W12" i="251" s="1"/>
  <c r="AR12" i="251"/>
  <c r="L12" i="251" s="1"/>
  <c r="M12" i="251" s="1"/>
  <c r="AI13" i="251"/>
  <c r="AC22" i="251"/>
  <c r="AA6" i="251"/>
  <c r="L9" i="251"/>
  <c r="M9" i="251" s="1"/>
  <c r="P12" i="251"/>
  <c r="AS12" i="251"/>
  <c r="AK13" i="251"/>
  <c r="AA20" i="251"/>
  <c r="AK22" i="251"/>
  <c r="AF6" i="251"/>
  <c r="L11" i="251"/>
  <c r="M11" i="251" s="1"/>
  <c r="S12" i="251"/>
  <c r="AM13" i="251"/>
  <c r="P17" i="251"/>
  <c r="AL6" i="251"/>
  <c r="T9" i="251"/>
  <c r="T12" i="251"/>
  <c r="AN6" i="251"/>
  <c r="T8" i="251"/>
  <c r="Y9" i="251"/>
  <c r="AM11" i="251"/>
  <c r="AF12" i="251"/>
  <c r="AH17" i="251"/>
  <c r="AH12" i="251"/>
  <c r="V13" i="251"/>
  <c r="AS17" i="251"/>
  <c r="AH21" i="251"/>
  <c r="AP9" i="251"/>
  <c r="AE12" i="251"/>
  <c r="AQ12" i="251"/>
  <c r="S13" i="251"/>
  <c r="AH13" i="251"/>
  <c r="AS13" i="251"/>
  <c r="AA14" i="251"/>
  <c r="AN14" i="251"/>
  <c r="AI15" i="251"/>
  <c r="V16" i="251"/>
  <c r="AI16" i="251"/>
  <c r="AD17" i="251"/>
  <c r="AQ17" i="251"/>
  <c r="AA19" i="251"/>
  <c r="AM20" i="251"/>
  <c r="AD21" i="251"/>
  <c r="U22" i="251"/>
  <c r="O23" i="251"/>
  <c r="Y24" i="251"/>
  <c r="AJ25" i="251"/>
  <c r="AO26" i="251"/>
  <c r="AD14" i="251"/>
  <c r="AQ14" i="251"/>
  <c r="AA16" i="251"/>
  <c r="AM16" i="251"/>
  <c r="AF19" i="251"/>
  <c r="J21" i="251"/>
  <c r="AL21" i="251"/>
  <c r="AE23" i="251"/>
  <c r="AP14" i="251"/>
  <c r="AO26" i="250"/>
  <c r="AA13" i="251"/>
  <c r="AL13" i="251"/>
  <c r="AF14" i="251"/>
  <c r="AS14" i="251"/>
  <c r="AC16" i="251"/>
  <c r="AN16" i="251"/>
  <c r="S17" i="251"/>
  <c r="AI17" i="251"/>
  <c r="P19" i="251"/>
  <c r="AI19" i="251"/>
  <c r="O20" i="251"/>
  <c r="W20" i="251" s="1"/>
  <c r="AP21" i="251"/>
  <c r="AS22" i="251"/>
  <c r="AM23" i="251"/>
  <c r="L25" i="251"/>
  <c r="O10" i="251"/>
  <c r="W10" i="251" s="1"/>
  <c r="P14" i="251"/>
  <c r="AH14" i="251"/>
  <c r="AD16" i="251"/>
  <c r="AP16" i="251"/>
  <c r="V17" i="251"/>
  <c r="AK17" i="251"/>
  <c r="S19" i="251"/>
  <c r="AL19" i="251"/>
  <c r="S20" i="251"/>
  <c r="AC14" i="251"/>
  <c r="AK14" i="250"/>
  <c r="AD6" i="251"/>
  <c r="AL8" i="251"/>
  <c r="AE9" i="251"/>
  <c r="Y10" i="251"/>
  <c r="X12" i="251"/>
  <c r="AM12" i="251"/>
  <c r="AD13" i="251"/>
  <c r="AN13" i="251"/>
  <c r="S14" i="251"/>
  <c r="AI14" i="251"/>
  <c r="O16" i="251"/>
  <c r="W16" i="251" s="1"/>
  <c r="AE16" i="251"/>
  <c r="AQ16" i="251"/>
  <c r="X17" i="251"/>
  <c r="AL17" i="251"/>
  <c r="Y18" i="251"/>
  <c r="T19" i="251"/>
  <c r="AN19" i="251"/>
  <c r="R21" i="251"/>
  <c r="P25" i="251"/>
  <c r="O26" i="251"/>
  <c r="AR8" i="251"/>
  <c r="L8" i="251" s="1"/>
  <c r="U8" i="251" s="1"/>
  <c r="AI9" i="251"/>
  <c r="AL10" i="251"/>
  <c r="AA12" i="251"/>
  <c r="AN12" i="251"/>
  <c r="O13" i="251"/>
  <c r="W13" i="251" s="1"/>
  <c r="AE13" i="251"/>
  <c r="AP13" i="251"/>
  <c r="V14" i="251"/>
  <c r="AK14" i="251"/>
  <c r="P16" i="251"/>
  <c r="AF16" i="251"/>
  <c r="AS16" i="251"/>
  <c r="AA17" i="251"/>
  <c r="AN17" i="251"/>
  <c r="AG18" i="251"/>
  <c r="V19" i="251"/>
  <c r="AQ19" i="251"/>
  <c r="AE20" i="251"/>
  <c r="V21" i="251"/>
  <c r="M22" i="251"/>
  <c r="T25" i="251"/>
  <c r="W26" i="251"/>
  <c r="AR25" i="251"/>
  <c r="AI6" i="251"/>
  <c r="AO10" i="251"/>
  <c r="AC12" i="251"/>
  <c r="AP12" i="251"/>
  <c r="P13" i="251"/>
  <c r="AF13" i="251"/>
  <c r="AQ13" i="251"/>
  <c r="X14" i="251"/>
  <c r="AL14" i="251"/>
  <c r="P15" i="251"/>
  <c r="S16" i="251"/>
  <c r="AH16" i="251"/>
  <c r="AC17" i="251"/>
  <c r="AP17" i="251"/>
  <c r="X19" i="251"/>
  <c r="AR19" i="251"/>
  <c r="AI20" i="251"/>
  <c r="Z21" i="251"/>
  <c r="AB25" i="251"/>
  <c r="AF26" i="251"/>
  <c r="O6" i="251"/>
  <c r="W6" i="251" s="1"/>
  <c r="AE6" i="251"/>
  <c r="AM6" i="251"/>
  <c r="J7" i="251"/>
  <c r="J8" i="251" s="1"/>
  <c r="J9" i="251" s="1"/>
  <c r="J10" i="251" s="1"/>
  <c r="J11" i="251" s="1"/>
  <c r="J12" i="251" s="1"/>
  <c r="J13" i="251" s="1"/>
  <c r="J14" i="251" s="1"/>
  <c r="J15" i="251" s="1"/>
  <c r="J16" i="251" s="1"/>
  <c r="J17" i="251" s="1"/>
  <c r="J18" i="251" s="1"/>
  <c r="J19" i="251" s="1"/>
  <c r="J20" i="251" s="1"/>
  <c r="AH7" i="251"/>
  <c r="AP7" i="251"/>
  <c r="AC8" i="251"/>
  <c r="AK8" i="251"/>
  <c r="AS9" i="251"/>
  <c r="AK9" i="251"/>
  <c r="AC9" i="251"/>
  <c r="AN9" i="251"/>
  <c r="AF9" i="251"/>
  <c r="X9" i="251"/>
  <c r="P9" i="251"/>
  <c r="S9" i="251"/>
  <c r="AD9" i="251"/>
  <c r="AO9" i="251"/>
  <c r="AM10" i="251"/>
  <c r="Y11" i="251"/>
  <c r="AK11" i="251"/>
  <c r="Q15" i="251"/>
  <c r="R15" i="251" s="1"/>
  <c r="AN15" i="251"/>
  <c r="AG24" i="251"/>
  <c r="S7" i="251"/>
  <c r="AA7" i="251"/>
  <c r="AI7" i="251"/>
  <c r="AQ7" i="251"/>
  <c r="S15" i="251"/>
  <c r="AO15" i="251"/>
  <c r="AO7" i="251"/>
  <c r="AD8" i="250"/>
  <c r="AA10" i="250"/>
  <c r="L25" i="250"/>
  <c r="Q6" i="251"/>
  <c r="R6" i="251" s="1"/>
  <c r="Y6" i="251"/>
  <c r="AG6" i="251"/>
  <c r="AO6" i="251"/>
  <c r="T7" i="251"/>
  <c r="AR7" i="251"/>
  <c r="L7" i="251" s="1"/>
  <c r="O8" i="251"/>
  <c r="W8" i="251" s="1"/>
  <c r="AE8" i="251"/>
  <c r="AM8" i="251"/>
  <c r="V9" i="251"/>
  <c r="AG9" i="251"/>
  <c r="AQ9" i="251"/>
  <c r="Q10" i="251"/>
  <c r="R10" i="251" s="1"/>
  <c r="AD10" i="251"/>
  <c r="AP10" i="251"/>
  <c r="O11" i="251"/>
  <c r="W11" i="251" s="1"/>
  <c r="AO11" i="251"/>
  <c r="X15" i="251"/>
  <c r="AQ15" i="251"/>
  <c r="Q7" i="251"/>
  <c r="R7" i="251" s="1"/>
  <c r="AG7" i="251"/>
  <c r="AH8" i="250"/>
  <c r="AG20" i="250"/>
  <c r="AH6" i="251"/>
  <c r="AP6" i="251"/>
  <c r="AC7" i="251"/>
  <c r="AK7" i="251"/>
  <c r="AS7" i="251"/>
  <c r="P8" i="251"/>
  <c r="X8" i="251"/>
  <c r="AF8" i="251"/>
  <c r="AN8" i="251"/>
  <c r="AH9" i="251"/>
  <c r="AR9" i="251"/>
  <c r="AE10" i="251"/>
  <c r="Q11" i="251"/>
  <c r="R11" i="251" s="1"/>
  <c r="AC11" i="251"/>
  <c r="AN18" i="251"/>
  <c r="AF18" i="251"/>
  <c r="X18" i="251"/>
  <c r="P18" i="251"/>
  <c r="AM18" i="251"/>
  <c r="AE18" i="251"/>
  <c r="O18" i="251"/>
  <c r="W18" i="251" s="1"/>
  <c r="AL18" i="251"/>
  <c r="AD18" i="251"/>
  <c r="V18" i="251"/>
  <c r="AS18" i="251"/>
  <c r="AK18" i="251"/>
  <c r="AC18" i="251"/>
  <c r="AR18" i="251"/>
  <c r="T18" i="251"/>
  <c r="L18" i="251"/>
  <c r="U18" i="251" s="1"/>
  <c r="AQ18" i="251"/>
  <c r="AI18" i="251"/>
  <c r="AA18" i="251"/>
  <c r="S18" i="251"/>
  <c r="AP18" i="251"/>
  <c r="AH18" i="251"/>
  <c r="AN24" i="251"/>
  <c r="AF24" i="251"/>
  <c r="X24" i="251"/>
  <c r="P24" i="251"/>
  <c r="AM24" i="251"/>
  <c r="AE24" i="251"/>
  <c r="W24" i="251"/>
  <c r="O24" i="251"/>
  <c r="AL24" i="251"/>
  <c r="AD24" i="251"/>
  <c r="V24" i="251"/>
  <c r="AS24" i="251"/>
  <c r="AK24" i="251"/>
  <c r="AC24" i="251"/>
  <c r="U24" i="251"/>
  <c r="M24" i="251"/>
  <c r="AR24" i="251"/>
  <c r="AJ24" i="251"/>
  <c r="AB24" i="251"/>
  <c r="T24" i="251"/>
  <c r="L24" i="251"/>
  <c r="AQ24" i="251"/>
  <c r="AI24" i="251"/>
  <c r="AA24" i="251"/>
  <c r="S24" i="251"/>
  <c r="AP24" i="251"/>
  <c r="AH24" i="251"/>
  <c r="Z24" i="251"/>
  <c r="R24" i="251"/>
  <c r="J24" i="251"/>
  <c r="V7" i="251"/>
  <c r="AD7" i="251"/>
  <c r="AL7" i="251"/>
  <c r="Q8" i="251"/>
  <c r="R8" i="251" s="1"/>
  <c r="Z8" i="251" s="1"/>
  <c r="Y8" i="251"/>
  <c r="AG8" i="251"/>
  <c r="AO8" i="251"/>
  <c r="AN10" i="251"/>
  <c r="AF10" i="251"/>
  <c r="X10" i="251"/>
  <c r="P10" i="251"/>
  <c r="AS10" i="251"/>
  <c r="AK10" i="251"/>
  <c r="AC10" i="251"/>
  <c r="U10" i="251"/>
  <c r="M10" i="251"/>
  <c r="AQ10" i="251"/>
  <c r="AI10" i="251"/>
  <c r="AA10" i="251"/>
  <c r="S10" i="251"/>
  <c r="T10" i="251"/>
  <c r="AG10" i="251"/>
  <c r="AQ11" i="251"/>
  <c r="AI11" i="251"/>
  <c r="AA11" i="251"/>
  <c r="S11" i="251"/>
  <c r="AN11" i="251"/>
  <c r="AF11" i="251"/>
  <c r="X11" i="251"/>
  <c r="P11" i="251"/>
  <c r="AL11" i="251"/>
  <c r="AD11" i="251"/>
  <c r="V11" i="251"/>
  <c r="AE11" i="251"/>
  <c r="AR11" i="251"/>
  <c r="AM15" i="251"/>
  <c r="AE15" i="251"/>
  <c r="O15" i="251"/>
  <c r="W15" i="251" s="1"/>
  <c r="AL15" i="251"/>
  <c r="AD15" i="251"/>
  <c r="V15" i="251"/>
  <c r="AS15" i="251"/>
  <c r="AK15" i="251"/>
  <c r="AC15" i="251"/>
  <c r="AR15" i="251"/>
  <c r="T15" i="251"/>
  <c r="L15" i="251"/>
  <c r="U15" i="251" s="1"/>
  <c r="AP15" i="251"/>
  <c r="AH15" i="251"/>
  <c r="AA15" i="251"/>
  <c r="T6" i="251"/>
  <c r="AR6" i="251"/>
  <c r="L6" i="251" s="1"/>
  <c r="O7" i="251"/>
  <c r="W7" i="251" s="1"/>
  <c r="AE7" i="251"/>
  <c r="AM7" i="251"/>
  <c r="AH8" i="251"/>
  <c r="AP8" i="251"/>
  <c r="O9" i="251"/>
  <c r="W9" i="251" s="1"/>
  <c r="V10" i="251"/>
  <c r="AH10" i="251"/>
  <c r="T11" i="251"/>
  <c r="AG11" i="251"/>
  <c r="AS11" i="251"/>
  <c r="AF15" i="251"/>
  <c r="Y7" i="251"/>
  <c r="AC6" i="251"/>
  <c r="AK6" i="251"/>
  <c r="P7" i="251"/>
  <c r="X7" i="251"/>
  <c r="AF7" i="251"/>
  <c r="S8" i="251"/>
  <c r="AA8" i="251"/>
  <c r="AI8" i="251"/>
  <c r="AQ8" i="251"/>
  <c r="Q9" i="251"/>
  <c r="R9" i="251" s="1"/>
  <c r="AB9" i="251" s="1"/>
  <c r="AA9" i="251"/>
  <c r="AL9" i="251"/>
  <c r="AH11" i="251"/>
  <c r="AG15" i="251"/>
  <c r="Q18" i="251"/>
  <c r="R18" i="251" s="1"/>
  <c r="Q24" i="251"/>
  <c r="Q12" i="251"/>
  <c r="R12" i="251" s="1"/>
  <c r="Y12" i="251"/>
  <c r="AG12" i="251"/>
  <c r="AO12" i="251"/>
  <c r="T13" i="251"/>
  <c r="AR13" i="251"/>
  <c r="L13" i="251" s="1"/>
  <c r="O14" i="251"/>
  <c r="W14" i="251" s="1"/>
  <c r="AE14" i="251"/>
  <c r="AM14" i="251"/>
  <c r="L16" i="251"/>
  <c r="T16" i="251"/>
  <c r="AR16" i="251"/>
  <c r="O17" i="251"/>
  <c r="W17" i="251" s="1"/>
  <c r="AE17" i="251"/>
  <c r="AM17" i="251"/>
  <c r="M19" i="251"/>
  <c r="U19" i="251"/>
  <c r="AC19" i="251"/>
  <c r="AK19" i="251"/>
  <c r="AS19" i="251"/>
  <c r="P20" i="251"/>
  <c r="X20" i="251"/>
  <c r="AF20" i="251"/>
  <c r="AN20" i="251"/>
  <c r="S21" i="251"/>
  <c r="AA21" i="251"/>
  <c r="AI21" i="251"/>
  <c r="AQ21" i="251"/>
  <c r="V22" i="251"/>
  <c r="AD22" i="251"/>
  <c r="AL22" i="251"/>
  <c r="P23" i="251"/>
  <c r="X23" i="251"/>
  <c r="AF23" i="251"/>
  <c r="AN23" i="251"/>
  <c r="M25" i="251"/>
  <c r="U25" i="251"/>
  <c r="AC25" i="251"/>
  <c r="AK25" i="251"/>
  <c r="AS25" i="251"/>
  <c r="P26" i="251"/>
  <c r="Y26" i="251"/>
  <c r="AG26" i="251"/>
  <c r="AP26" i="251"/>
  <c r="Q20" i="251"/>
  <c r="Y20" i="251"/>
  <c r="AG20" i="251"/>
  <c r="AO20" i="251"/>
  <c r="L21" i="251"/>
  <c r="T21" i="251"/>
  <c r="AB21" i="251"/>
  <c r="AJ21" i="251"/>
  <c r="AR21" i="251"/>
  <c r="O22" i="251"/>
  <c r="W22" i="251"/>
  <c r="AE22" i="251"/>
  <c r="AM22" i="251"/>
  <c r="Q23" i="251"/>
  <c r="Y23" i="251"/>
  <c r="AG23" i="251"/>
  <c r="AO23" i="251"/>
  <c r="V25" i="251"/>
  <c r="AD25" i="251"/>
  <c r="AL25" i="251"/>
  <c r="Q26" i="251"/>
  <c r="Z26" i="251"/>
  <c r="AH26" i="251"/>
  <c r="AQ26" i="251"/>
  <c r="Q14" i="251"/>
  <c r="R14" i="251" s="1"/>
  <c r="Z14" i="251" s="1"/>
  <c r="Y14" i="251"/>
  <c r="AG14" i="251"/>
  <c r="AO14" i="251"/>
  <c r="AL16" i="251"/>
  <c r="Q17" i="251"/>
  <c r="R17" i="251" s="1"/>
  <c r="Z17" i="251" s="1"/>
  <c r="Y17" i="251"/>
  <c r="AG17" i="251"/>
  <c r="AO17" i="251"/>
  <c r="O19" i="251"/>
  <c r="W19" i="251"/>
  <c r="AE19" i="251"/>
  <c r="AM19" i="251"/>
  <c r="R20" i="251"/>
  <c r="Z20" i="251" s="1"/>
  <c r="AH20" i="251"/>
  <c r="AP20" i="251"/>
  <c r="M21" i="251"/>
  <c r="U21" i="251"/>
  <c r="AC21" i="251"/>
  <c r="AK21" i="251"/>
  <c r="AS21" i="251"/>
  <c r="P22" i="251"/>
  <c r="X22" i="251"/>
  <c r="AF22" i="251"/>
  <c r="AN22" i="251"/>
  <c r="J23" i="251"/>
  <c r="R23" i="251"/>
  <c r="Z23" i="251"/>
  <c r="AH23" i="251"/>
  <c r="AP23" i="251"/>
  <c r="O25" i="251"/>
  <c r="W25" i="251"/>
  <c r="AE25" i="251"/>
  <c r="AM25" i="251"/>
  <c r="J26" i="251"/>
  <c r="R26" i="251"/>
  <c r="AA26" i="251"/>
  <c r="AI26" i="251"/>
  <c r="AR26" i="251"/>
  <c r="AQ20" i="251"/>
  <c r="Q22" i="251"/>
  <c r="Y22" i="251"/>
  <c r="AG22" i="251"/>
  <c r="AO22" i="251"/>
  <c r="S23" i="251"/>
  <c r="AA23" i="251"/>
  <c r="AI23" i="251"/>
  <c r="AQ23" i="251"/>
  <c r="X25" i="251"/>
  <c r="AF25" i="251"/>
  <c r="AN25" i="251"/>
  <c r="S26" i="251"/>
  <c r="AB26" i="251"/>
  <c r="AJ26" i="251"/>
  <c r="AS26" i="251"/>
  <c r="Q19" i="251"/>
  <c r="R19" i="251" s="1"/>
  <c r="Z19" i="251" s="1"/>
  <c r="Y19" i="251"/>
  <c r="AG19" i="251"/>
  <c r="AO19" i="251"/>
  <c r="L20" i="251"/>
  <c r="M20" i="251" s="1"/>
  <c r="T20" i="251"/>
  <c r="AR20" i="251"/>
  <c r="O21" i="251"/>
  <c r="W21" i="251"/>
  <c r="AE21" i="251"/>
  <c r="AM21" i="251"/>
  <c r="J22" i="251"/>
  <c r="R22" i="251"/>
  <c r="Z22" i="251"/>
  <c r="AH22" i="251"/>
  <c r="AP22" i="251"/>
  <c r="L23" i="251"/>
  <c r="T23" i="251"/>
  <c r="AB23" i="251"/>
  <c r="AJ23" i="251"/>
  <c r="AR23" i="251"/>
  <c r="Q25" i="251"/>
  <c r="Y25" i="251"/>
  <c r="AG25" i="251"/>
  <c r="AO25" i="251"/>
  <c r="L26" i="251"/>
  <c r="T26" i="251"/>
  <c r="AC26" i="251"/>
  <c r="AK26" i="251"/>
  <c r="V12" i="251"/>
  <c r="AD12" i="251"/>
  <c r="Q13" i="251"/>
  <c r="R13" i="251" s="1"/>
  <c r="Z13" i="251" s="1"/>
  <c r="Y13" i="251"/>
  <c r="AG13" i="251"/>
  <c r="L14" i="251"/>
  <c r="T14" i="251"/>
  <c r="Q16" i="251"/>
  <c r="R16" i="251" s="1"/>
  <c r="Z16" i="251" s="1"/>
  <c r="Y16" i="251"/>
  <c r="AG16" i="251"/>
  <c r="L17" i="251"/>
  <c r="T17" i="251"/>
  <c r="AB17" i="251"/>
  <c r="AH19" i="251"/>
  <c r="AC20" i="251"/>
  <c r="AK20" i="251"/>
  <c r="AS20" i="251"/>
  <c r="P21" i="251"/>
  <c r="X21" i="251"/>
  <c r="AF21" i="251"/>
  <c r="AN21" i="251"/>
  <c r="S22" i="251"/>
  <c r="AA22" i="251"/>
  <c r="AI22" i="251"/>
  <c r="AQ22" i="251"/>
  <c r="M23" i="251"/>
  <c r="U23" i="251"/>
  <c r="AC23" i="251"/>
  <c r="AK23" i="251"/>
  <c r="AS23" i="251"/>
  <c r="J25" i="251"/>
  <c r="R25" i="251"/>
  <c r="Z25" i="251"/>
  <c r="AH25" i="251"/>
  <c r="AP25" i="251"/>
  <c r="M26" i="251"/>
  <c r="U26" i="251"/>
  <c r="AD26" i="251"/>
  <c r="AM26" i="251"/>
  <c r="V20" i="251"/>
  <c r="AD20" i="251"/>
  <c r="Q21" i="251"/>
  <c r="Y21" i="251"/>
  <c r="AG21" i="251"/>
  <c r="L22" i="251"/>
  <c r="T22" i="251"/>
  <c r="AB22" i="251"/>
  <c r="AJ22" i="251"/>
  <c r="V23" i="251"/>
  <c r="AD23" i="251"/>
  <c r="S25" i="251"/>
  <c r="AA25" i="251"/>
  <c r="AI25" i="251"/>
  <c r="V26" i="251"/>
  <c r="AE26" i="251"/>
  <c r="T8" i="250"/>
  <c r="O18" i="250"/>
  <c r="W18" i="250" s="1"/>
  <c r="AF8" i="250"/>
  <c r="P14" i="250"/>
  <c r="AE18" i="250"/>
  <c r="AH20" i="250"/>
  <c r="AN8" i="250"/>
  <c r="AN10" i="250"/>
  <c r="O23" i="250"/>
  <c r="W23" i="250" s="1"/>
  <c r="AQ10" i="250"/>
  <c r="P23" i="250"/>
  <c r="AJ25" i="250"/>
  <c r="T6" i="250"/>
  <c r="AO6" i="250"/>
  <c r="AR6" i="250"/>
  <c r="L6" i="250" s="1"/>
  <c r="AK21" i="250"/>
  <c r="P8" i="250"/>
  <c r="AI8" i="250"/>
  <c r="AC13" i="250"/>
  <c r="V14" i="250"/>
  <c r="P15" i="250"/>
  <c r="V18" i="250"/>
  <c r="AM19" i="250"/>
  <c r="AG23" i="250"/>
  <c r="V25" i="250"/>
  <c r="AP26" i="250"/>
  <c r="S8" i="250"/>
  <c r="AM8" i="250"/>
  <c r="S12" i="250"/>
  <c r="AD13" i="250"/>
  <c r="X14" i="250"/>
  <c r="AH15" i="250"/>
  <c r="AC18" i="250"/>
  <c r="L21" i="250"/>
  <c r="U21" i="250" s="1"/>
  <c r="X25" i="250"/>
  <c r="P11" i="250"/>
  <c r="Y12" i="250"/>
  <c r="AR13" i="250"/>
  <c r="L13" i="250" s="1"/>
  <c r="U13" i="250" s="1"/>
  <c r="AN15" i="250"/>
  <c r="AA17" i="250"/>
  <c r="P6" i="250"/>
  <c r="AA7" i="250"/>
  <c r="X8" i="250"/>
  <c r="AP8" i="250"/>
  <c r="X10" i="250"/>
  <c r="Q11" i="250"/>
  <c r="R11" i="250" s="1"/>
  <c r="Z11" i="250" s="1"/>
  <c r="AG12" i="250"/>
  <c r="AS13" i="250"/>
  <c r="AL14" i="250"/>
  <c r="AQ17" i="250"/>
  <c r="AL18" i="250"/>
  <c r="O21" i="250"/>
  <c r="W21" i="250" s="1"/>
  <c r="AK25" i="250"/>
  <c r="Q6" i="250"/>
  <c r="R6" i="250" s="1"/>
  <c r="AA8" i="250"/>
  <c r="AR8" i="250"/>
  <c r="L8" i="250" s="1"/>
  <c r="M8" i="250" s="1"/>
  <c r="AD11" i="250"/>
  <c r="AQ12" i="250"/>
  <c r="AM14" i="250"/>
  <c r="AS18" i="250"/>
  <c r="S20" i="250"/>
  <c r="T21" i="250"/>
  <c r="AO11" i="250"/>
  <c r="AH21" i="250"/>
  <c r="AI21" i="250"/>
  <c r="X6" i="250"/>
  <c r="AI7" i="250"/>
  <c r="O8" i="250"/>
  <c r="W8" i="250" s="1"/>
  <c r="AE8" i="250"/>
  <c r="AQ8" i="250"/>
  <c r="AC10" i="250"/>
  <c r="AR10" i="250"/>
  <c r="L10" i="250" s="1"/>
  <c r="M10" i="250" s="1"/>
  <c r="AE11" i="250"/>
  <c r="AD12" i="250"/>
  <c r="P13" i="250"/>
  <c r="AF13" i="250"/>
  <c r="AC14" i="250"/>
  <c r="AN14" i="250"/>
  <c r="Q15" i="250"/>
  <c r="R15" i="250" s="1"/>
  <c r="Q16" i="250"/>
  <c r="R16" i="250" s="1"/>
  <c r="AE17" i="250"/>
  <c r="AS17" i="250"/>
  <c r="AD18" i="250"/>
  <c r="AI20" i="250"/>
  <c r="S21" i="250"/>
  <c r="AM21" i="250"/>
  <c r="AM22" i="250"/>
  <c r="AF23" i="250"/>
  <c r="Q24" i="250"/>
  <c r="M25" i="250"/>
  <c r="AA25" i="250"/>
  <c r="AL25" i="250"/>
  <c r="O26" i="250"/>
  <c r="Y6" i="250"/>
  <c r="AM7" i="250"/>
  <c r="P10" i="250"/>
  <c r="AD10" i="250"/>
  <c r="AS10" i="250"/>
  <c r="S13" i="250"/>
  <c r="AI13" i="250"/>
  <c r="AD14" i="250"/>
  <c r="AP14" i="250"/>
  <c r="S16" i="250"/>
  <c r="L17" i="250"/>
  <c r="U17" i="250" s="1"/>
  <c r="AH17" i="250"/>
  <c r="AP20" i="250"/>
  <c r="AP21" i="250"/>
  <c r="O22" i="250"/>
  <c r="W22" i="250" s="1"/>
  <c r="AS22" i="250"/>
  <c r="S24" i="250"/>
  <c r="AB25" i="250"/>
  <c r="AN25" i="250"/>
  <c r="P26" i="250"/>
  <c r="AE7" i="250"/>
  <c r="AC17" i="250"/>
  <c r="AR17" i="250"/>
  <c r="AO19" i="250"/>
  <c r="AF6" i="250"/>
  <c r="AQ7" i="250"/>
  <c r="S10" i="250"/>
  <c r="AF10" i="250"/>
  <c r="AQ11" i="250"/>
  <c r="T13" i="250"/>
  <c r="AK13" i="250"/>
  <c r="AE14" i="250"/>
  <c r="AS14" i="250"/>
  <c r="AG16" i="250"/>
  <c r="AI17" i="250"/>
  <c r="AK18" i="250"/>
  <c r="O19" i="250"/>
  <c r="W19" i="250" s="1"/>
  <c r="AA21" i="250"/>
  <c r="AQ21" i="250"/>
  <c r="V22" i="250"/>
  <c r="AM23" i="250"/>
  <c r="AH24" i="250"/>
  <c r="P25" i="250"/>
  <c r="AC25" i="250"/>
  <c r="AQ25" i="250"/>
  <c r="W26" i="250"/>
  <c r="AK22" i="250"/>
  <c r="AG6" i="250"/>
  <c r="O7" i="250"/>
  <c r="W7" i="250" s="1"/>
  <c r="AR7" i="250"/>
  <c r="L7" i="250" s="1"/>
  <c r="T10" i="250"/>
  <c r="AI10" i="250"/>
  <c r="V13" i="250"/>
  <c r="AL13" i="250"/>
  <c r="AF14" i="250"/>
  <c r="AH16" i="250"/>
  <c r="O17" i="250"/>
  <c r="W17" i="250" s="1"/>
  <c r="AK17" i="250"/>
  <c r="P19" i="250"/>
  <c r="AC21" i="250"/>
  <c r="AR21" i="250"/>
  <c r="AC22" i="250"/>
  <c r="AO23" i="250"/>
  <c r="AO24" i="250"/>
  <c r="S25" i="250"/>
  <c r="AD25" i="250"/>
  <c r="AR25" i="250"/>
  <c r="Y26" i="250"/>
  <c r="AL22" i="250"/>
  <c r="AN6" i="250"/>
  <c r="S7" i="250"/>
  <c r="V8" i="250"/>
  <c r="AL8" i="250"/>
  <c r="AK10" i="250"/>
  <c r="X13" i="250"/>
  <c r="AN13" i="250"/>
  <c r="O14" i="250"/>
  <c r="W14" i="250" s="1"/>
  <c r="AH14" i="250"/>
  <c r="AI16" i="250"/>
  <c r="S17" i="250"/>
  <c r="AM17" i="250"/>
  <c r="AM18" i="250"/>
  <c r="AF19" i="250"/>
  <c r="Q20" i="250"/>
  <c r="R20" i="250" s="1"/>
  <c r="AB20" i="250" s="1"/>
  <c r="AE21" i="250"/>
  <c r="AS21" i="250"/>
  <c r="AD22" i="250"/>
  <c r="AP24" i="250"/>
  <c r="T25" i="250"/>
  <c r="AF25" i="250"/>
  <c r="AS25" i="250"/>
  <c r="AF26" i="250"/>
  <c r="T7" i="250"/>
  <c r="V10" i="250"/>
  <c r="AL10" i="250"/>
  <c r="AA13" i="250"/>
  <c r="AQ13" i="250"/>
  <c r="AP16" i="250"/>
  <c r="T17" i="250"/>
  <c r="AP17" i="250"/>
  <c r="AG19" i="250"/>
  <c r="AE22" i="250"/>
  <c r="U25" i="250"/>
  <c r="AI25" i="250"/>
  <c r="AG26" i="250"/>
  <c r="AF9" i="250"/>
  <c r="AM9" i="250"/>
  <c r="AE9" i="250"/>
  <c r="O9" i="250"/>
  <c r="W9" i="250" s="1"/>
  <c r="AR9" i="250"/>
  <c r="T9" i="250"/>
  <c r="L9" i="250"/>
  <c r="U9" i="250" s="1"/>
  <c r="S9" i="250"/>
  <c r="AH6" i="250"/>
  <c r="AP6" i="250"/>
  <c r="AC7" i="250"/>
  <c r="AK7" i="250"/>
  <c r="AS7" i="250"/>
  <c r="V9" i="250"/>
  <c r="AG9" i="250"/>
  <c r="AQ9" i="250"/>
  <c r="S11" i="250"/>
  <c r="AF11" i="250"/>
  <c r="AN12" i="250"/>
  <c r="AF12" i="250"/>
  <c r="X12" i="250"/>
  <c r="P12" i="250"/>
  <c r="AM12" i="250"/>
  <c r="AE12" i="250"/>
  <c r="O12" i="250"/>
  <c r="W12" i="250" s="1"/>
  <c r="AS12" i="250"/>
  <c r="AK12" i="250"/>
  <c r="AC12" i="250"/>
  <c r="T12" i="250"/>
  <c r="AH12" i="250"/>
  <c r="AO15" i="250"/>
  <c r="M21" i="250"/>
  <c r="S6" i="250"/>
  <c r="AA6" i="250"/>
  <c r="AI6" i="250"/>
  <c r="AQ6" i="250"/>
  <c r="V7" i="250"/>
  <c r="AD7" i="250"/>
  <c r="AL7" i="250"/>
  <c r="Q8" i="250"/>
  <c r="R8" i="250" s="1"/>
  <c r="Y8" i="250"/>
  <c r="AG8" i="250"/>
  <c r="AO8" i="250"/>
  <c r="X9" i="250"/>
  <c r="AH9" i="250"/>
  <c r="AS9" i="250"/>
  <c r="V11" i="250"/>
  <c r="V12" i="250"/>
  <c r="AI12" i="250"/>
  <c r="X15" i="250"/>
  <c r="AO16" i="250"/>
  <c r="Q19" i="250"/>
  <c r="R19" i="250" s="1"/>
  <c r="AJ19" i="250" s="1"/>
  <c r="AN19" i="250"/>
  <c r="AO20" i="250"/>
  <c r="Q23" i="250"/>
  <c r="AN23" i="250"/>
  <c r="R24" i="250"/>
  <c r="Y9" i="250"/>
  <c r="AI9" i="250"/>
  <c r="AS11" i="250"/>
  <c r="AK11" i="250"/>
  <c r="AC11" i="250"/>
  <c r="AR11" i="250"/>
  <c r="L11" i="250" s="1"/>
  <c r="U11" i="250" s="1"/>
  <c r="T11" i="250"/>
  <c r="AP11" i="250"/>
  <c r="AH11" i="250"/>
  <c r="AI11" i="250"/>
  <c r="AM15" i="250"/>
  <c r="AE15" i="250"/>
  <c r="O15" i="250"/>
  <c r="W15" i="250" s="1"/>
  <c r="AL15" i="250"/>
  <c r="AD15" i="250"/>
  <c r="V15" i="250"/>
  <c r="AS15" i="250"/>
  <c r="AK15" i="250"/>
  <c r="AC15" i="250"/>
  <c r="AR15" i="250"/>
  <c r="L15" i="250" s="1"/>
  <c r="U15" i="250" s="1"/>
  <c r="T15" i="250"/>
  <c r="AQ15" i="250"/>
  <c r="AI15" i="250"/>
  <c r="AA15" i="250"/>
  <c r="S15" i="250"/>
  <c r="Y15" i="250"/>
  <c r="AO9" i="250"/>
  <c r="AC6" i="250"/>
  <c r="AK6" i="250"/>
  <c r="AS6" i="250"/>
  <c r="P7" i="250"/>
  <c r="X7" i="250"/>
  <c r="AF7" i="250"/>
  <c r="AN7" i="250"/>
  <c r="P9" i="250"/>
  <c r="AK9" i="250"/>
  <c r="X11" i="250"/>
  <c r="AL11" i="250"/>
  <c r="L12" i="250"/>
  <c r="U12" i="250" s="1"/>
  <c r="AL12" i="250"/>
  <c r="Y16" i="250"/>
  <c r="Y20" i="250"/>
  <c r="AD9" i="250"/>
  <c r="V6" i="250"/>
  <c r="AD6" i="250"/>
  <c r="AL6" i="250"/>
  <c r="Q7" i="250"/>
  <c r="R7" i="250" s="1"/>
  <c r="Z7" i="250" s="1"/>
  <c r="Y7" i="250"/>
  <c r="AG7" i="250"/>
  <c r="AO7" i="250"/>
  <c r="Q9" i="250"/>
  <c r="R9" i="250" s="1"/>
  <c r="Z9" i="250" s="1"/>
  <c r="AA9" i="250"/>
  <c r="AL9" i="250"/>
  <c r="Y11" i="250"/>
  <c r="AM11" i="250"/>
  <c r="AA12" i="250"/>
  <c r="AO12" i="250"/>
  <c r="AF15" i="250"/>
  <c r="AN16" i="250"/>
  <c r="AF16" i="250"/>
  <c r="X16" i="250"/>
  <c r="P16" i="250"/>
  <c r="AM16" i="250"/>
  <c r="AE16" i="250"/>
  <c r="O16" i="250"/>
  <c r="W16" i="250" s="1"/>
  <c r="AL16" i="250"/>
  <c r="AD16" i="250"/>
  <c r="V16" i="250"/>
  <c r="AS16" i="250"/>
  <c r="AK16" i="250"/>
  <c r="AC16" i="250"/>
  <c r="AR16" i="250"/>
  <c r="T16" i="250"/>
  <c r="L16" i="250"/>
  <c r="U16" i="250" s="1"/>
  <c r="AL19" i="250"/>
  <c r="AD19" i="250"/>
  <c r="V19" i="250"/>
  <c r="AS19" i="250"/>
  <c r="AK19" i="250"/>
  <c r="AC19" i="250"/>
  <c r="AR19" i="250"/>
  <c r="T19" i="250"/>
  <c r="L19" i="250"/>
  <c r="U19" i="250" s="1"/>
  <c r="AQ19" i="250"/>
  <c r="AI19" i="250"/>
  <c r="AA19" i="250"/>
  <c r="S19" i="250"/>
  <c r="AP19" i="250"/>
  <c r="AH19" i="250"/>
  <c r="Y19" i="250"/>
  <c r="AN20" i="250"/>
  <c r="AF20" i="250"/>
  <c r="X20" i="250"/>
  <c r="P20" i="250"/>
  <c r="AM20" i="250"/>
  <c r="AE20" i="250"/>
  <c r="O20" i="250"/>
  <c r="W20" i="250" s="1"/>
  <c r="AL20" i="250"/>
  <c r="AD20" i="250"/>
  <c r="V20" i="250"/>
  <c r="AS20" i="250"/>
  <c r="AK20" i="250"/>
  <c r="AC20" i="250"/>
  <c r="AR20" i="250"/>
  <c r="T20" i="250"/>
  <c r="L20" i="250"/>
  <c r="M20" i="250" s="1"/>
  <c r="AL23" i="250"/>
  <c r="AD23" i="250"/>
  <c r="V23" i="250"/>
  <c r="AS23" i="250"/>
  <c r="AK23" i="250"/>
  <c r="AC23" i="250"/>
  <c r="AR23" i="250"/>
  <c r="T23" i="250"/>
  <c r="L23" i="250"/>
  <c r="U23" i="250" s="1"/>
  <c r="AQ23" i="250"/>
  <c r="AI23" i="250"/>
  <c r="AA23" i="250"/>
  <c r="S23" i="250"/>
  <c r="AP23" i="250"/>
  <c r="AH23" i="250"/>
  <c r="Z23" i="250"/>
  <c r="R23" i="250"/>
  <c r="AB23" i="250" s="1"/>
  <c r="Y23" i="250"/>
  <c r="AN24" i="250"/>
  <c r="AF24" i="250"/>
  <c r="X24" i="250"/>
  <c r="P24" i="250"/>
  <c r="AM24" i="250"/>
  <c r="AE24" i="250"/>
  <c r="W24" i="250"/>
  <c r="O24" i="250"/>
  <c r="AL24" i="250"/>
  <c r="AD24" i="250"/>
  <c r="V24" i="250"/>
  <c r="AS24" i="250"/>
  <c r="AK24" i="250"/>
  <c r="AC24" i="250"/>
  <c r="U24" i="250"/>
  <c r="M24" i="250"/>
  <c r="AR24" i="250"/>
  <c r="AJ24" i="250"/>
  <c r="AB24" i="250"/>
  <c r="T24" i="250"/>
  <c r="L24" i="250"/>
  <c r="AQ24" i="250"/>
  <c r="AI24" i="250"/>
  <c r="AA24" i="250"/>
  <c r="Z24" i="250"/>
  <c r="O6" i="250"/>
  <c r="W6" i="250" s="1"/>
  <c r="AE6" i="250"/>
  <c r="J7" i="250"/>
  <c r="AH7" i="250"/>
  <c r="AC8" i="250"/>
  <c r="AK8" i="250"/>
  <c r="AC9" i="250"/>
  <c r="AN9" i="250"/>
  <c r="O11" i="250"/>
  <c r="W11" i="250" s="1"/>
  <c r="AA11" i="250"/>
  <c r="AN11" i="250"/>
  <c r="Q12" i="250"/>
  <c r="R12" i="250" s="1"/>
  <c r="AJ12" i="250" s="1"/>
  <c r="AP12" i="250"/>
  <c r="AG15" i="250"/>
  <c r="AA16" i="250"/>
  <c r="AE19" i="250"/>
  <c r="AA20" i="250"/>
  <c r="AE23" i="250"/>
  <c r="J24" i="250"/>
  <c r="AG24" i="250"/>
  <c r="Q26" i="250"/>
  <c r="Z26" i="250"/>
  <c r="AH26" i="250"/>
  <c r="AQ26" i="250"/>
  <c r="O10" i="250"/>
  <c r="W10" i="250" s="1"/>
  <c r="AE10" i="250"/>
  <c r="AM10" i="250"/>
  <c r="O13" i="250"/>
  <c r="W13" i="250" s="1"/>
  <c r="AE13" i="250"/>
  <c r="AM13" i="250"/>
  <c r="Q14" i="250"/>
  <c r="R14" i="250" s="1"/>
  <c r="Z14" i="250" s="1"/>
  <c r="Y14" i="250"/>
  <c r="AG14" i="250"/>
  <c r="AO14" i="250"/>
  <c r="V17" i="250"/>
  <c r="AD17" i="250"/>
  <c r="AL17" i="250"/>
  <c r="P18" i="250"/>
  <c r="X18" i="250"/>
  <c r="AF18" i="250"/>
  <c r="AN18" i="250"/>
  <c r="V21" i="250"/>
  <c r="AD21" i="250"/>
  <c r="AL21" i="250"/>
  <c r="P22" i="250"/>
  <c r="X22" i="250"/>
  <c r="AF22" i="250"/>
  <c r="AN22" i="250"/>
  <c r="O25" i="250"/>
  <c r="W25" i="250"/>
  <c r="AE25" i="250"/>
  <c r="AM25" i="250"/>
  <c r="J26" i="250"/>
  <c r="R26" i="250"/>
  <c r="AA26" i="250"/>
  <c r="AI26" i="250"/>
  <c r="AR26" i="250"/>
  <c r="Q18" i="250"/>
  <c r="R18" i="250" s="1"/>
  <c r="Z18" i="250" s="1"/>
  <c r="Y18" i="250"/>
  <c r="AG18" i="250"/>
  <c r="AO18" i="250"/>
  <c r="Q22" i="250"/>
  <c r="R22" i="250" s="1"/>
  <c r="Y22" i="250"/>
  <c r="AG22" i="250"/>
  <c r="AO22" i="250"/>
  <c r="S26" i="250"/>
  <c r="AB26" i="250"/>
  <c r="AJ26" i="250"/>
  <c r="AS26" i="250"/>
  <c r="Q10" i="250"/>
  <c r="R10" i="250" s="1"/>
  <c r="Y10" i="250"/>
  <c r="AG10" i="250"/>
  <c r="AO10" i="250"/>
  <c r="Q13" i="250"/>
  <c r="R13" i="250" s="1"/>
  <c r="Z13" i="250" s="1"/>
  <c r="Y13" i="250"/>
  <c r="AG13" i="250"/>
  <c r="AO13" i="250"/>
  <c r="S14" i="250"/>
  <c r="AA14" i="250"/>
  <c r="AI14" i="250"/>
  <c r="AQ14" i="250"/>
  <c r="P17" i="250"/>
  <c r="X17" i="250"/>
  <c r="AF17" i="250"/>
  <c r="AN17" i="250"/>
  <c r="AH18" i="250"/>
  <c r="AP18" i="250"/>
  <c r="P21" i="250"/>
  <c r="X21" i="250"/>
  <c r="AF21" i="250"/>
  <c r="AN21" i="250"/>
  <c r="AH22" i="250"/>
  <c r="AP22" i="250"/>
  <c r="Q25" i="250"/>
  <c r="Y25" i="250"/>
  <c r="AG25" i="250"/>
  <c r="AO25" i="250"/>
  <c r="L26" i="250"/>
  <c r="T26" i="250"/>
  <c r="AC26" i="250"/>
  <c r="AK26" i="250"/>
  <c r="AH10" i="250"/>
  <c r="AH13" i="250"/>
  <c r="L14" i="250"/>
  <c r="T14" i="250"/>
  <c r="Q17" i="250"/>
  <c r="R17" i="250" s="1"/>
  <c r="Y17" i="250"/>
  <c r="AG17" i="250"/>
  <c r="S18" i="250"/>
  <c r="AA18" i="250"/>
  <c r="AI18" i="250"/>
  <c r="AQ18" i="250"/>
  <c r="Q21" i="250"/>
  <c r="R21" i="250" s="1"/>
  <c r="Y21" i="250"/>
  <c r="AG21" i="250"/>
  <c r="S22" i="250"/>
  <c r="AA22" i="250"/>
  <c r="AI22" i="250"/>
  <c r="AQ22" i="250"/>
  <c r="J25" i="250"/>
  <c r="R25" i="250"/>
  <c r="Z25" i="250"/>
  <c r="AH25" i="250"/>
  <c r="M26" i="250"/>
  <c r="U26" i="250"/>
  <c r="AD26" i="250"/>
  <c r="AM26" i="250"/>
  <c r="L18" i="250"/>
  <c r="T18" i="250"/>
  <c r="L22" i="250"/>
  <c r="T22" i="250"/>
  <c r="V26" i="250"/>
  <c r="AE26" i="250"/>
  <c r="V17" i="249"/>
  <c r="P14" i="249"/>
  <c r="AH14" i="249"/>
  <c r="X16" i="249"/>
  <c r="AL12" i="249"/>
  <c r="V20" i="249"/>
  <c r="AQ12" i="249"/>
  <c r="AA14" i="249"/>
  <c r="AA16" i="249"/>
  <c r="X20" i="249"/>
  <c r="L12" i="249"/>
  <c r="U12" i="249" s="1"/>
  <c r="AE14" i="249"/>
  <c r="AE16" i="249"/>
  <c r="AM16" i="249"/>
  <c r="L20" i="249"/>
  <c r="M20" i="249" s="1"/>
  <c r="AC20" i="249"/>
  <c r="O21" i="249"/>
  <c r="W21" i="249" s="1"/>
  <c r="AP8" i="249"/>
  <c r="V12" i="249"/>
  <c r="AL14" i="249"/>
  <c r="AN16" i="249"/>
  <c r="AC21" i="249"/>
  <c r="AD6" i="249"/>
  <c r="Y12" i="249"/>
  <c r="AP14" i="249"/>
  <c r="L16" i="249"/>
  <c r="U16" i="249" s="1"/>
  <c r="AQ16" i="249"/>
  <c r="AM20" i="249"/>
  <c r="AL11" i="249"/>
  <c r="AA12" i="249"/>
  <c r="AS14" i="249"/>
  <c r="P20" i="249"/>
  <c r="AN20" i="249"/>
  <c r="S24" i="249"/>
  <c r="AQ11" i="249"/>
  <c r="AG12" i="249"/>
  <c r="S16" i="249"/>
  <c r="T20" i="249"/>
  <c r="AQ20" i="249"/>
  <c r="AM24" i="249"/>
  <c r="O11" i="249"/>
  <c r="W11" i="249" s="1"/>
  <c r="AE12" i="249"/>
  <c r="AI14" i="249"/>
  <c r="AI16" i="249"/>
  <c r="AL17" i="249"/>
  <c r="S19" i="249"/>
  <c r="O20" i="249"/>
  <c r="W20" i="249" s="1"/>
  <c r="AP20" i="249"/>
  <c r="AN21" i="249"/>
  <c r="P23" i="249"/>
  <c r="P11" i="249"/>
  <c r="AP19" i="249"/>
  <c r="AC23" i="249"/>
  <c r="T7" i="249"/>
  <c r="V11" i="249"/>
  <c r="S20" i="249"/>
  <c r="AE20" i="249"/>
  <c r="AS20" i="249"/>
  <c r="AQ23" i="249"/>
  <c r="P23" i="248"/>
  <c r="AA11" i="249"/>
  <c r="AF20" i="249"/>
  <c r="S25" i="249"/>
  <c r="AD11" i="249"/>
  <c r="O12" i="249"/>
  <c r="W12" i="249" s="1"/>
  <c r="AR12" i="249"/>
  <c r="V14" i="249"/>
  <c r="AI20" i="249"/>
  <c r="AP25" i="249"/>
  <c r="AF11" i="249"/>
  <c r="AA6" i="249"/>
  <c r="L8" i="249"/>
  <c r="M8" i="249" s="1"/>
  <c r="AR8" i="249"/>
  <c r="AA9" i="249"/>
  <c r="AO9" i="249"/>
  <c r="AA13" i="249"/>
  <c r="X14" i="249"/>
  <c r="AK14" i="249"/>
  <c r="AC16" i="249"/>
  <c r="AP16" i="249"/>
  <c r="P17" i="249"/>
  <c r="AK17" i="249"/>
  <c r="AL19" i="249"/>
  <c r="AM21" i="249"/>
  <c r="AN23" i="249"/>
  <c r="P24" i="249"/>
  <c r="AI24" i="249"/>
  <c r="R25" i="249"/>
  <c r="AL25" i="249"/>
  <c r="AO26" i="249"/>
  <c r="AC13" i="249"/>
  <c r="AG6" i="249"/>
  <c r="O8" i="249"/>
  <c r="W8" i="249" s="1"/>
  <c r="AD9" i="249"/>
  <c r="Q11" i="249"/>
  <c r="R11" i="249" s="1"/>
  <c r="Z11" i="249" s="1"/>
  <c r="AM11" i="249"/>
  <c r="Q12" i="249"/>
  <c r="R12" i="249" s="1"/>
  <c r="AB12" i="249" s="1"/>
  <c r="AH12" i="249"/>
  <c r="AF13" i="249"/>
  <c r="AC14" i="249"/>
  <c r="AM14" i="249"/>
  <c r="Y15" i="249"/>
  <c r="O16" i="249"/>
  <c r="W16" i="249" s="1"/>
  <c r="AF16" i="249"/>
  <c r="AR16" i="249"/>
  <c r="X17" i="249"/>
  <c r="AM17" i="249"/>
  <c r="V19" i="249"/>
  <c r="AQ19" i="249"/>
  <c r="AH20" i="249"/>
  <c r="AR20" i="249"/>
  <c r="P21" i="249"/>
  <c r="AD21" i="249"/>
  <c r="AP21" i="249"/>
  <c r="AH22" i="249"/>
  <c r="S23" i="249"/>
  <c r="AD23" i="249"/>
  <c r="AR23" i="249"/>
  <c r="V24" i="249"/>
  <c r="AN24" i="249"/>
  <c r="V25" i="249"/>
  <c r="AQ25" i="249"/>
  <c r="AC9" i="249"/>
  <c r="Q6" i="249"/>
  <c r="R6" i="249" s="1"/>
  <c r="Z6" i="249" s="1"/>
  <c r="AI6" i="249"/>
  <c r="T8" i="249"/>
  <c r="AF9" i="249"/>
  <c r="S11" i="249"/>
  <c r="AN11" i="249"/>
  <c r="T12" i="249"/>
  <c r="AI12" i="249"/>
  <c r="AK13" i="249"/>
  <c r="O14" i="249"/>
  <c r="W14" i="249" s="1"/>
  <c r="AD14" i="249"/>
  <c r="AN14" i="249"/>
  <c r="AK15" i="249"/>
  <c r="P16" i="249"/>
  <c r="AH16" i="249"/>
  <c r="AS16" i="249"/>
  <c r="AC17" i="249"/>
  <c r="AN17" i="249"/>
  <c r="AE21" i="249"/>
  <c r="AS21" i="249"/>
  <c r="AP22" i="249"/>
  <c r="T23" i="249"/>
  <c r="AF23" i="249"/>
  <c r="AS23" i="249"/>
  <c r="W24" i="249"/>
  <c r="AQ24" i="249"/>
  <c r="Z25" i="249"/>
  <c r="AP9" i="249"/>
  <c r="S6" i="249"/>
  <c r="AL6" i="249"/>
  <c r="AE8" i="249"/>
  <c r="O9" i="249"/>
  <c r="W9" i="249" s="1"/>
  <c r="AI9" i="249"/>
  <c r="P13" i="249"/>
  <c r="AL13" i="249"/>
  <c r="AD17" i="249"/>
  <c r="AP17" i="249"/>
  <c r="AA19" i="249"/>
  <c r="AF21" i="249"/>
  <c r="AI23" i="249"/>
  <c r="X24" i="249"/>
  <c r="AA25" i="249"/>
  <c r="T6" i="249"/>
  <c r="AO6" i="249"/>
  <c r="AR7" i="249"/>
  <c r="L7" i="249" s="1"/>
  <c r="AH8" i="249"/>
  <c r="S9" i="249"/>
  <c r="AK9" i="249"/>
  <c r="AP12" i="249"/>
  <c r="Q13" i="249"/>
  <c r="R13" i="249" s="1"/>
  <c r="Z13" i="249" s="1"/>
  <c r="AN13" i="249"/>
  <c r="S14" i="249"/>
  <c r="AF14" i="249"/>
  <c r="AQ14" i="249"/>
  <c r="T16" i="249"/>
  <c r="AK16" i="249"/>
  <c r="AE17" i="249"/>
  <c r="AS17" i="249"/>
  <c r="AD19" i="249"/>
  <c r="AA20" i="249"/>
  <c r="AK20" i="249"/>
  <c r="V21" i="249"/>
  <c r="AH21" i="249"/>
  <c r="V23" i="249"/>
  <c r="AA24" i="249"/>
  <c r="J25" i="249"/>
  <c r="AD25" i="249"/>
  <c r="O26" i="249"/>
  <c r="V6" i="249"/>
  <c r="AQ6" i="249"/>
  <c r="AM8" i="249"/>
  <c r="T9" i="249"/>
  <c r="AL9" i="249"/>
  <c r="S13" i="249"/>
  <c r="AQ13" i="249"/>
  <c r="AF17" i="249"/>
  <c r="AH19" i="249"/>
  <c r="AK21" i="249"/>
  <c r="L23" i="249"/>
  <c r="U23" i="249" s="1"/>
  <c r="X23" i="249"/>
  <c r="AK23" i="249"/>
  <c r="AE24" i="249"/>
  <c r="AH25" i="249"/>
  <c r="W26" i="249"/>
  <c r="Y6" i="249"/>
  <c r="AR6" i="249"/>
  <c r="L6" i="249" s="1"/>
  <c r="M6" i="249" s="1"/>
  <c r="V9" i="249"/>
  <c r="AN9" i="249"/>
  <c r="O17" i="249"/>
  <c r="W17" i="249" s="1"/>
  <c r="AH17" i="249"/>
  <c r="AI19" i="249"/>
  <c r="X21" i="249"/>
  <c r="AL21" i="249"/>
  <c r="AA23" i="249"/>
  <c r="AL23" i="249"/>
  <c r="O24" i="249"/>
  <c r="AF24" i="249"/>
  <c r="AI25" i="249"/>
  <c r="AF26" i="249"/>
  <c r="AH6" i="249"/>
  <c r="AP6" i="249"/>
  <c r="AC7" i="249"/>
  <c r="AK7" i="249"/>
  <c r="AS7" i="249"/>
  <c r="P8" i="249"/>
  <c r="X8" i="249"/>
  <c r="AF8" i="249"/>
  <c r="AN8" i="249"/>
  <c r="AF10" i="249"/>
  <c r="AN15" i="249"/>
  <c r="AH18" i="249"/>
  <c r="AP10" i="249"/>
  <c r="AH10" i="249"/>
  <c r="AM10" i="249"/>
  <c r="AE10" i="249"/>
  <c r="O10" i="249"/>
  <c r="W10" i="249" s="1"/>
  <c r="AO10" i="249"/>
  <c r="V7" i="249"/>
  <c r="AD7" i="249"/>
  <c r="AL7" i="249"/>
  <c r="Q8" i="249"/>
  <c r="R8" i="249" s="1"/>
  <c r="Y8" i="249"/>
  <c r="AG8" i="249"/>
  <c r="AO8" i="249"/>
  <c r="V10" i="249"/>
  <c r="AG10" i="249"/>
  <c r="AR10" i="249"/>
  <c r="L10" i="249" s="1"/>
  <c r="M10" i="249" s="1"/>
  <c r="P15" i="249"/>
  <c r="AA15" i="249"/>
  <c r="AO15" i="249"/>
  <c r="Q18" i="249"/>
  <c r="R18" i="249" s="1"/>
  <c r="AK18" i="249"/>
  <c r="T10" i="249"/>
  <c r="AD10" i="249"/>
  <c r="O7" i="249"/>
  <c r="W7" i="249" s="1"/>
  <c r="AE7" i="249"/>
  <c r="AM7" i="249"/>
  <c r="X10" i="249"/>
  <c r="AI10" i="249"/>
  <c r="AS10" i="249"/>
  <c r="Q15" i="249"/>
  <c r="R15" i="249" s="1"/>
  <c r="AJ15" i="249" s="1"/>
  <c r="AC15" i="249"/>
  <c r="AP15" i="249"/>
  <c r="AO18" i="249"/>
  <c r="AC6" i="249"/>
  <c r="AK6" i="249"/>
  <c r="AS6" i="249"/>
  <c r="P7" i="249"/>
  <c r="X7" i="249"/>
  <c r="AF7" i="249"/>
  <c r="AN7" i="249"/>
  <c r="S8" i="249"/>
  <c r="AA8" i="249"/>
  <c r="AI8" i="249"/>
  <c r="AQ8" i="249"/>
  <c r="Y10" i="249"/>
  <c r="AS11" i="249"/>
  <c r="AK11" i="249"/>
  <c r="AC11" i="249"/>
  <c r="AP11" i="249"/>
  <c r="AH11" i="249"/>
  <c r="T11" i="249"/>
  <c r="AE11" i="249"/>
  <c r="AO11" i="249"/>
  <c r="AP13" i="249"/>
  <c r="AH13" i="249"/>
  <c r="AM13" i="249"/>
  <c r="AE13" i="249"/>
  <c r="O13" i="249"/>
  <c r="W13" i="249" s="1"/>
  <c r="T13" i="249"/>
  <c r="AD13" i="249"/>
  <c r="AO13" i="249"/>
  <c r="AF15" i="249"/>
  <c r="AP18" i="249"/>
  <c r="Q7" i="249"/>
  <c r="R7" i="249" s="1"/>
  <c r="Z7" i="249" s="1"/>
  <c r="Y7" i="249"/>
  <c r="AG7" i="249"/>
  <c r="AO7" i="249"/>
  <c r="P10" i="249"/>
  <c r="AA10" i="249"/>
  <c r="AK10" i="249"/>
  <c r="AM15" i="249"/>
  <c r="AE15" i="249"/>
  <c r="O15" i="249"/>
  <c r="W15" i="249" s="1"/>
  <c r="AL15" i="249"/>
  <c r="AD15" i="249"/>
  <c r="V15" i="249"/>
  <c r="AR15" i="249"/>
  <c r="T15" i="249"/>
  <c r="L15" i="249"/>
  <c r="M15" i="249" s="1"/>
  <c r="S15" i="249"/>
  <c r="AG15" i="249"/>
  <c r="AS15" i="249"/>
  <c r="AS18" i="249"/>
  <c r="X18" i="248"/>
  <c r="O6" i="249"/>
  <c r="W6" i="249" s="1"/>
  <c r="AE6" i="249"/>
  <c r="AM6" i="249"/>
  <c r="J7" i="249"/>
  <c r="J8" i="249" s="1"/>
  <c r="J9" i="249" s="1"/>
  <c r="J10" i="249" s="1"/>
  <c r="J11" i="249" s="1"/>
  <c r="J12" i="249" s="1"/>
  <c r="J13" i="249" s="1"/>
  <c r="J14" i="249" s="1"/>
  <c r="J15" i="249" s="1"/>
  <c r="J16" i="249" s="1"/>
  <c r="J17" i="249" s="1"/>
  <c r="J18" i="249" s="1"/>
  <c r="J19" i="249" s="1"/>
  <c r="J20" i="249" s="1"/>
  <c r="J21" i="249" s="1"/>
  <c r="J22" i="249" s="1"/>
  <c r="J23" i="249" s="1"/>
  <c r="AH7" i="249"/>
  <c r="AP7" i="249"/>
  <c r="AC8" i="249"/>
  <c r="AK8" i="249"/>
  <c r="AS8" i="249"/>
  <c r="P9" i="249"/>
  <c r="X9" i="249"/>
  <c r="AG9" i="249"/>
  <c r="Q10" i="249"/>
  <c r="R10" i="249" s="1"/>
  <c r="AJ10" i="249" s="1"/>
  <c r="AL10" i="249"/>
  <c r="AG11" i="249"/>
  <c r="AR11" i="249"/>
  <c r="L11" i="249" s="1"/>
  <c r="V13" i="249"/>
  <c r="AG13" i="249"/>
  <c r="AR13" i="249"/>
  <c r="L13" i="249" s="1"/>
  <c r="U13" i="249" s="1"/>
  <c r="AH15" i="249"/>
  <c r="AN18" i="249"/>
  <c r="AF18" i="249"/>
  <c r="X18" i="249"/>
  <c r="P18" i="249"/>
  <c r="AM18" i="249"/>
  <c r="AE18" i="249"/>
  <c r="O18" i="249"/>
  <c r="W18" i="249" s="1"/>
  <c r="AL18" i="249"/>
  <c r="AD18" i="249"/>
  <c r="V18" i="249"/>
  <c r="AR18" i="249"/>
  <c r="L18" i="249" s="1"/>
  <c r="M18" i="249" s="1"/>
  <c r="T18" i="249"/>
  <c r="AQ18" i="249"/>
  <c r="AI18" i="249"/>
  <c r="AA18" i="249"/>
  <c r="S18" i="249"/>
  <c r="Y18" i="249"/>
  <c r="AG18" i="248"/>
  <c r="P6" i="249"/>
  <c r="X6" i="249"/>
  <c r="AF6" i="249"/>
  <c r="S7" i="249"/>
  <c r="AA7" i="249"/>
  <c r="AI7" i="249"/>
  <c r="V8" i="249"/>
  <c r="AD8" i="249"/>
  <c r="AM9" i="249"/>
  <c r="AE9" i="249"/>
  <c r="AR9" i="249"/>
  <c r="L9" i="249" s="1"/>
  <c r="Q9" i="249"/>
  <c r="R9" i="249" s="1"/>
  <c r="Y9" i="249"/>
  <c r="AH9" i="249"/>
  <c r="AS9" i="249"/>
  <c r="S10" i="249"/>
  <c r="AC10" i="249"/>
  <c r="AN10" i="249"/>
  <c r="X11" i="249"/>
  <c r="AI11" i="249"/>
  <c r="AN12" i="249"/>
  <c r="AF12" i="249"/>
  <c r="X12" i="249"/>
  <c r="P12" i="249"/>
  <c r="AS12" i="249"/>
  <c r="AK12" i="249"/>
  <c r="AC12" i="249"/>
  <c r="S12" i="249"/>
  <c r="AD12" i="249"/>
  <c r="AO12" i="249"/>
  <c r="X13" i="249"/>
  <c r="AI13" i="249"/>
  <c r="AS13" i="249"/>
  <c r="X15" i="249"/>
  <c r="AI15" i="249"/>
  <c r="AC18" i="249"/>
  <c r="T19" i="249"/>
  <c r="AR19" i="249"/>
  <c r="L19" i="249" s="1"/>
  <c r="S22" i="249"/>
  <c r="AA22" i="249"/>
  <c r="AI22" i="249"/>
  <c r="AQ22" i="249"/>
  <c r="Q24" i="249"/>
  <c r="Y24" i="249"/>
  <c r="AG24" i="249"/>
  <c r="AO24" i="249"/>
  <c r="L25" i="249"/>
  <c r="T25" i="249"/>
  <c r="AB25" i="249"/>
  <c r="AJ25" i="249"/>
  <c r="AR25" i="249"/>
  <c r="P26" i="249"/>
  <c r="Y26" i="249"/>
  <c r="AG26" i="249"/>
  <c r="AP26" i="249"/>
  <c r="Q14" i="249"/>
  <c r="R14" i="249" s="1"/>
  <c r="Z14" i="249" s="1"/>
  <c r="Y14" i="249"/>
  <c r="AG14" i="249"/>
  <c r="AO14" i="249"/>
  <c r="V16" i="249"/>
  <c r="AD16" i="249"/>
  <c r="AL16" i="249"/>
  <c r="Q17" i="249"/>
  <c r="R17" i="249" s="1"/>
  <c r="Z17" i="249" s="1"/>
  <c r="Y17" i="249"/>
  <c r="AG17" i="249"/>
  <c r="AO17" i="249"/>
  <c r="AC19" i="249"/>
  <c r="AK19" i="249"/>
  <c r="AS19" i="249"/>
  <c r="AD20" i="249"/>
  <c r="AL20" i="249"/>
  <c r="Q21" i="249"/>
  <c r="R21" i="249" s="1"/>
  <c r="Z21" i="249" s="1"/>
  <c r="Y21" i="249"/>
  <c r="AG21" i="249"/>
  <c r="AO21" i="249"/>
  <c r="L22" i="249"/>
  <c r="M22" i="249" s="1"/>
  <c r="T22" i="249"/>
  <c r="AR22" i="249"/>
  <c r="O23" i="249"/>
  <c r="W23" i="249" s="1"/>
  <c r="AE23" i="249"/>
  <c r="AM23" i="249"/>
  <c r="J24" i="249"/>
  <c r="R24" i="249"/>
  <c r="Z24" i="249"/>
  <c r="AH24" i="249"/>
  <c r="AP24" i="249"/>
  <c r="M25" i="249"/>
  <c r="U25" i="249"/>
  <c r="AC25" i="249"/>
  <c r="AK25" i="249"/>
  <c r="AS25" i="249"/>
  <c r="Q26" i="249"/>
  <c r="Z26" i="249"/>
  <c r="AH26" i="249"/>
  <c r="AQ26" i="249"/>
  <c r="AC22" i="249"/>
  <c r="AK22" i="249"/>
  <c r="AS22" i="249"/>
  <c r="R26" i="249"/>
  <c r="AA26" i="249"/>
  <c r="AI26" i="249"/>
  <c r="AR26" i="249"/>
  <c r="S17" i="249"/>
  <c r="AA17" i="249"/>
  <c r="AI17" i="249"/>
  <c r="AQ17" i="249"/>
  <c r="O19" i="249"/>
  <c r="W19" i="249" s="1"/>
  <c r="AE19" i="249"/>
  <c r="AM19" i="249"/>
  <c r="S21" i="249"/>
  <c r="AA21" i="249"/>
  <c r="AI21" i="249"/>
  <c r="AQ21" i="249"/>
  <c r="V22" i="249"/>
  <c r="AD22" i="249"/>
  <c r="AL22" i="249"/>
  <c r="Q23" i="249"/>
  <c r="R23" i="249" s="1"/>
  <c r="Y23" i="249"/>
  <c r="AG23" i="249"/>
  <c r="AO23" i="249"/>
  <c r="L24" i="249"/>
  <c r="T24" i="249"/>
  <c r="AB24" i="249"/>
  <c r="AJ24" i="249"/>
  <c r="AR24" i="249"/>
  <c r="O25" i="249"/>
  <c r="W25" i="249"/>
  <c r="AE25" i="249"/>
  <c r="AM25" i="249"/>
  <c r="J26" i="249"/>
  <c r="S26" i="249"/>
  <c r="AB26" i="249"/>
  <c r="AJ26" i="249"/>
  <c r="AS26" i="249"/>
  <c r="L14" i="249"/>
  <c r="T14" i="249"/>
  <c r="Q16" i="249"/>
  <c r="R16" i="249" s="1"/>
  <c r="Y16" i="249"/>
  <c r="AG16" i="249"/>
  <c r="L17" i="249"/>
  <c r="T17" i="249"/>
  <c r="P19" i="249"/>
  <c r="X19" i="249"/>
  <c r="AF19" i="249"/>
  <c r="AN19" i="249"/>
  <c r="Q20" i="249"/>
  <c r="R20" i="249" s="1"/>
  <c r="Y20" i="249"/>
  <c r="AG20" i="249"/>
  <c r="L21" i="249"/>
  <c r="M21" i="249" s="1"/>
  <c r="T21" i="249"/>
  <c r="O22" i="249"/>
  <c r="W22" i="249" s="1"/>
  <c r="AE22" i="249"/>
  <c r="AM22" i="249"/>
  <c r="AH23" i="249"/>
  <c r="M24" i="249"/>
  <c r="U24" i="249"/>
  <c r="AC24" i="249"/>
  <c r="AK24" i="249"/>
  <c r="AS24" i="249"/>
  <c r="P25" i="249"/>
  <c r="X25" i="249"/>
  <c r="AF25" i="249"/>
  <c r="AN25" i="249"/>
  <c r="L26" i="249"/>
  <c r="T26" i="249"/>
  <c r="AC26" i="249"/>
  <c r="AK26" i="249"/>
  <c r="Q19" i="249"/>
  <c r="R19" i="249" s="1"/>
  <c r="Y19" i="249"/>
  <c r="AG19" i="249"/>
  <c r="P22" i="249"/>
  <c r="X22" i="249"/>
  <c r="AF22" i="249"/>
  <c r="AN22" i="249"/>
  <c r="AD24" i="249"/>
  <c r="Q25" i="249"/>
  <c r="Y25" i="249"/>
  <c r="AG25" i="249"/>
  <c r="M26" i="249"/>
  <c r="U26" i="249"/>
  <c r="AD26" i="249"/>
  <c r="AM26" i="249"/>
  <c r="Q22" i="249"/>
  <c r="R22" i="249" s="1"/>
  <c r="Y22" i="249"/>
  <c r="AG22" i="249"/>
  <c r="V26" i="249"/>
  <c r="AE26" i="249"/>
  <c r="AO24" i="248"/>
  <c r="AF12" i="248"/>
  <c r="V23" i="248"/>
  <c r="AQ12" i="248"/>
  <c r="AB23" i="248"/>
  <c r="AC23" i="248"/>
  <c r="R25" i="248"/>
  <c r="T25" i="248"/>
  <c r="AD25" i="248"/>
  <c r="L23" i="248"/>
  <c r="AH25" i="248"/>
  <c r="O11" i="248"/>
  <c r="W11" i="248" s="1"/>
  <c r="L19" i="248"/>
  <c r="O20" i="248"/>
  <c r="W20" i="248" s="1"/>
  <c r="AN23" i="248"/>
  <c r="AQ11" i="248"/>
  <c r="V20" i="248"/>
  <c r="AR23" i="248"/>
  <c r="P13" i="248"/>
  <c r="S14" i="248"/>
  <c r="S19" i="248"/>
  <c r="Y13" i="248"/>
  <c r="T14" i="248"/>
  <c r="T19" i="248"/>
  <c r="AF13" i="248"/>
  <c r="AF14" i="248"/>
  <c r="AA19" i="248"/>
  <c r="AK13" i="248"/>
  <c r="AL14" i="248"/>
  <c r="Y24" i="248"/>
  <c r="AQ14" i="248"/>
  <c r="AG24" i="248"/>
  <c r="AQ6" i="248"/>
  <c r="AO8" i="248"/>
  <c r="S12" i="248"/>
  <c r="P14" i="248"/>
  <c r="AK14" i="248"/>
  <c r="AM15" i="248"/>
  <c r="AH16" i="248"/>
  <c r="AL23" i="248"/>
  <c r="AE11" i="248"/>
  <c r="AQ13" i="248"/>
  <c r="V14" i="248"/>
  <c r="AR14" i="248"/>
  <c r="L14" i="248" s="1"/>
  <c r="AQ18" i="248"/>
  <c r="AI19" i="248"/>
  <c r="AD20" i="248"/>
  <c r="X23" i="248"/>
  <c r="AS23" i="248"/>
  <c r="AI25" i="248"/>
  <c r="AL7" i="248"/>
  <c r="AA14" i="248"/>
  <c r="AA17" i="248"/>
  <c r="AP19" i="248"/>
  <c r="AE20" i="248"/>
  <c r="AA23" i="248"/>
  <c r="AJ25" i="248"/>
  <c r="S6" i="248"/>
  <c r="AC14" i="248"/>
  <c r="Q16" i="248"/>
  <c r="R16" i="248" s="1"/>
  <c r="AQ17" i="248"/>
  <c r="AQ19" i="248"/>
  <c r="AL20" i="248"/>
  <c r="V6" i="248"/>
  <c r="AI6" i="248"/>
  <c r="X13" i="248"/>
  <c r="AI14" i="248"/>
  <c r="P15" i="248"/>
  <c r="AG16" i="248"/>
  <c r="M23" i="248"/>
  <c r="AK23" i="248"/>
  <c r="S25" i="248"/>
  <c r="P26" i="248"/>
  <c r="T9" i="248"/>
  <c r="AS9" i="248"/>
  <c r="Y10" i="248"/>
  <c r="AC11" i="248"/>
  <c r="AP11" i="248"/>
  <c r="P12" i="248"/>
  <c r="AE12" i="248"/>
  <c r="AP12" i="248"/>
  <c r="AP13" i="248"/>
  <c r="AI15" i="248"/>
  <c r="X17" i="248"/>
  <c r="AN17" i="248"/>
  <c r="AA22" i="248"/>
  <c r="O26" i="248"/>
  <c r="X9" i="248"/>
  <c r="AE10" i="248"/>
  <c r="AH22" i="248"/>
  <c r="AA6" i="248"/>
  <c r="V7" i="248"/>
  <c r="AC9" i="248"/>
  <c r="AF10" i="248"/>
  <c r="P11" i="248"/>
  <c r="AF11" i="248"/>
  <c r="AR11" i="248"/>
  <c r="L11" i="248" s="1"/>
  <c r="U11" i="248" s="1"/>
  <c r="V12" i="248"/>
  <c r="AH12" i="248"/>
  <c r="AS12" i="248"/>
  <c r="AA13" i="248"/>
  <c r="X14" i="248"/>
  <c r="AN14" i="248"/>
  <c r="Q15" i="248"/>
  <c r="R15" i="248" s="1"/>
  <c r="AJ15" i="248" s="1"/>
  <c r="AO15" i="248"/>
  <c r="Y16" i="248"/>
  <c r="AC17" i="248"/>
  <c r="AR17" i="248"/>
  <c r="L17" i="248" s="1"/>
  <c r="AI18" i="248"/>
  <c r="V19" i="248"/>
  <c r="AR19" i="248"/>
  <c r="J22" i="248"/>
  <c r="AI22" i="248"/>
  <c r="V25" i="248"/>
  <c r="AL25" i="248"/>
  <c r="W26" i="248"/>
  <c r="AD6" i="248"/>
  <c r="AD7" i="248"/>
  <c r="AG9" i="248"/>
  <c r="AK10" i="248"/>
  <c r="S11" i="248"/>
  <c r="AH11" i="248"/>
  <c r="AS11" i="248"/>
  <c r="AI12" i="248"/>
  <c r="AC13" i="248"/>
  <c r="S15" i="248"/>
  <c r="AQ15" i="248"/>
  <c r="P17" i="248"/>
  <c r="AD17" i="248"/>
  <c r="AS17" i="248"/>
  <c r="AM20" i="248"/>
  <c r="AP22" i="248"/>
  <c r="S23" i="248"/>
  <c r="AD23" i="248"/>
  <c r="J25" i="248"/>
  <c r="Z25" i="248"/>
  <c r="AP25" i="248"/>
  <c r="Y26" i="248"/>
  <c r="AH9" i="248"/>
  <c r="AO10" i="248"/>
  <c r="T11" i="248"/>
  <c r="AI11" i="248"/>
  <c r="X12" i="248"/>
  <c r="AK12" i="248"/>
  <c r="Y15" i="248"/>
  <c r="S17" i="248"/>
  <c r="AF17" i="248"/>
  <c r="AD19" i="248"/>
  <c r="AQ22" i="248"/>
  <c r="T23" i="248"/>
  <c r="AF23" i="248"/>
  <c r="AA25" i="248"/>
  <c r="AQ25" i="248"/>
  <c r="AF26" i="248"/>
  <c r="AL6" i="248"/>
  <c r="O9" i="248"/>
  <c r="W9" i="248" s="1"/>
  <c r="AL9" i="248"/>
  <c r="O10" i="248"/>
  <c r="W10" i="248" s="1"/>
  <c r="AP10" i="248"/>
  <c r="AK11" i="248"/>
  <c r="AA12" i="248"/>
  <c r="AL12" i="248"/>
  <c r="AI13" i="248"/>
  <c r="AD14" i="248"/>
  <c r="AS14" i="248"/>
  <c r="AA15" i="248"/>
  <c r="AO16" i="248"/>
  <c r="T17" i="248"/>
  <c r="AI17" i="248"/>
  <c r="AH19" i="248"/>
  <c r="R22" i="248"/>
  <c r="U23" i="248"/>
  <c r="AJ23" i="248"/>
  <c r="L25" i="248"/>
  <c r="AB25" i="248"/>
  <c r="AR25" i="248"/>
  <c r="AG26" i="248"/>
  <c r="P9" i="248"/>
  <c r="AM9" i="248"/>
  <c r="P10" i="248"/>
  <c r="X11" i="248"/>
  <c r="AM11" i="248"/>
  <c r="AC12" i="248"/>
  <c r="AM12" i="248"/>
  <c r="AF15" i="248"/>
  <c r="AK17" i="248"/>
  <c r="S22" i="248"/>
  <c r="AO26" i="248"/>
  <c r="S9" i="248"/>
  <c r="AR9" i="248"/>
  <c r="L9" i="248" s="1"/>
  <c r="M9" i="248" s="1"/>
  <c r="T10" i="248"/>
  <c r="AA11" i="248"/>
  <c r="AN11" i="248"/>
  <c r="O12" i="248"/>
  <c r="W12" i="248" s="1"/>
  <c r="AD12" i="248"/>
  <c r="AN12" i="248"/>
  <c r="Q13" i="248"/>
  <c r="R13" i="248" s="1"/>
  <c r="Z13" i="248" s="1"/>
  <c r="AO13" i="248"/>
  <c r="AG15" i="248"/>
  <c r="V17" i="248"/>
  <c r="AL17" i="248"/>
  <c r="P18" i="248"/>
  <c r="AL19" i="248"/>
  <c r="Z22" i="248"/>
  <c r="AP26" i="248"/>
  <c r="Q8" i="248"/>
  <c r="R8" i="248" s="1"/>
  <c r="Y8" i="248"/>
  <c r="AG8" i="248"/>
  <c r="AM21" i="248"/>
  <c r="AE21" i="248"/>
  <c r="O21" i="248"/>
  <c r="W21" i="248" s="1"/>
  <c r="AL21" i="248"/>
  <c r="AD21" i="248"/>
  <c r="V21" i="248"/>
  <c r="AS21" i="248"/>
  <c r="AK21" i="248"/>
  <c r="AC21" i="248"/>
  <c r="AR21" i="248"/>
  <c r="T21" i="248"/>
  <c r="L21" i="248"/>
  <c r="M21" i="248" s="1"/>
  <c r="AQ21" i="248"/>
  <c r="AI21" i="248"/>
  <c r="AA21" i="248"/>
  <c r="S21" i="248"/>
  <c r="AP21" i="248"/>
  <c r="AH21" i="248"/>
  <c r="T6" i="248"/>
  <c r="AR6" i="248"/>
  <c r="L6" i="248" s="1"/>
  <c r="O7" i="248"/>
  <c r="W7" i="248" s="1"/>
  <c r="AE7" i="248"/>
  <c r="AM7" i="248"/>
  <c r="AH8" i="248"/>
  <c r="AP8" i="248"/>
  <c r="AD9" i="248"/>
  <c r="AO9" i="248"/>
  <c r="AG10" i="248"/>
  <c r="AR10" i="248"/>
  <c r="L10" i="248" s="1"/>
  <c r="U10" i="248" s="1"/>
  <c r="O15" i="248"/>
  <c r="W15" i="248" s="1"/>
  <c r="S16" i="248"/>
  <c r="Q18" i="248"/>
  <c r="R18" i="248" s="1"/>
  <c r="AN18" i="248"/>
  <c r="AN21" i="248"/>
  <c r="AG21" i="248"/>
  <c r="AC6" i="248"/>
  <c r="AK6" i="248"/>
  <c r="AS6" i="248"/>
  <c r="P7" i="248"/>
  <c r="X7" i="248"/>
  <c r="AF7" i="248"/>
  <c r="AN7" i="248"/>
  <c r="S8" i="248"/>
  <c r="AA8" i="248"/>
  <c r="AI8" i="248"/>
  <c r="AQ8" i="248"/>
  <c r="V9" i="248"/>
  <c r="AE9" i="248"/>
  <c r="X10" i="248"/>
  <c r="AH10" i="248"/>
  <c r="AN16" i="248"/>
  <c r="AF16" i="248"/>
  <c r="X16" i="248"/>
  <c r="P16" i="248"/>
  <c r="AM16" i="248"/>
  <c r="AE16" i="248"/>
  <c r="O16" i="248"/>
  <c r="W16" i="248" s="1"/>
  <c r="AL16" i="248"/>
  <c r="AD16" i="248"/>
  <c r="V16" i="248"/>
  <c r="AR16" i="248"/>
  <c r="T16" i="248"/>
  <c r="L16" i="248"/>
  <c r="M16" i="248" s="1"/>
  <c r="AK16" i="248"/>
  <c r="S18" i="248"/>
  <c r="AO18" i="248"/>
  <c r="AO21" i="248"/>
  <c r="Q7" i="248"/>
  <c r="R7" i="248" s="1"/>
  <c r="Y7" i="248"/>
  <c r="AG7" i="248"/>
  <c r="AO7" i="248"/>
  <c r="T8" i="248"/>
  <c r="AR8" i="248"/>
  <c r="L8" i="248" s="1"/>
  <c r="P21" i="248"/>
  <c r="O6" i="248"/>
  <c r="W6" i="248" s="1"/>
  <c r="AE6" i="248"/>
  <c r="AM6" i="248"/>
  <c r="J7" i="248"/>
  <c r="J8" i="248" s="1"/>
  <c r="J9" i="248" s="1"/>
  <c r="J10" i="248" s="1"/>
  <c r="J11" i="248" s="1"/>
  <c r="J12" i="248" s="1"/>
  <c r="J13" i="248" s="1"/>
  <c r="J14" i="248" s="1"/>
  <c r="J15" i="248" s="1"/>
  <c r="J16" i="248" s="1"/>
  <c r="J17" i="248" s="1"/>
  <c r="J18" i="248" s="1"/>
  <c r="J19" i="248" s="1"/>
  <c r="J20" i="248" s="1"/>
  <c r="J21" i="248" s="1"/>
  <c r="AH7" i="248"/>
  <c r="AP7" i="248"/>
  <c r="AC8" i="248"/>
  <c r="AK8" i="248"/>
  <c r="AS8" i="248"/>
  <c r="AP16" i="248"/>
  <c r="Q21" i="248"/>
  <c r="R21" i="248" s="1"/>
  <c r="P6" i="248"/>
  <c r="X6" i="248"/>
  <c r="AF6" i="248"/>
  <c r="AN6" i="248"/>
  <c r="S7" i="248"/>
  <c r="AA7" i="248"/>
  <c r="AI7" i="248"/>
  <c r="AQ7" i="248"/>
  <c r="V8" i="248"/>
  <c r="AD8" i="248"/>
  <c r="AL8" i="248"/>
  <c r="AQ9" i="248"/>
  <c r="AI9" i="248"/>
  <c r="AA9" i="248"/>
  <c r="AN9" i="248"/>
  <c r="AF9" i="248"/>
  <c r="Q9" i="248"/>
  <c r="R9" i="248" s="1"/>
  <c r="Y9" i="248"/>
  <c r="AL10" i="248"/>
  <c r="AD10" i="248"/>
  <c r="V10" i="248"/>
  <c r="AQ10" i="248"/>
  <c r="AI10" i="248"/>
  <c r="AA10" i="248"/>
  <c r="S10" i="248"/>
  <c r="Q10" i="248"/>
  <c r="R10" i="248" s="1"/>
  <c r="AM10" i="248"/>
  <c r="AM13" i="248"/>
  <c r="AE13" i="248"/>
  <c r="O13" i="248"/>
  <c r="W13" i="248" s="1"/>
  <c r="AL13" i="248"/>
  <c r="AD13" i="248"/>
  <c r="V13" i="248"/>
  <c r="AR13" i="248"/>
  <c r="L13" i="248" s="1"/>
  <c r="M13" i="248" s="1"/>
  <c r="T13" i="248"/>
  <c r="S13" i="248"/>
  <c r="AG13" i="248"/>
  <c r="AS13" i="248"/>
  <c r="AA16" i="248"/>
  <c r="AQ16" i="248"/>
  <c r="AM18" i="248"/>
  <c r="AE18" i="248"/>
  <c r="O18" i="248"/>
  <c r="W18" i="248" s="1"/>
  <c r="AL18" i="248"/>
  <c r="AD18" i="248"/>
  <c r="V18" i="248"/>
  <c r="AS18" i="248"/>
  <c r="AK18" i="248"/>
  <c r="AC18" i="248"/>
  <c r="AR18" i="248"/>
  <c r="T18" i="248"/>
  <c r="L18" i="248"/>
  <c r="U18" i="248" s="1"/>
  <c r="AP18" i="248"/>
  <c r="AH18" i="248"/>
  <c r="AA18" i="248"/>
  <c r="X21" i="248"/>
  <c r="Q6" i="248"/>
  <c r="R6" i="248" s="1"/>
  <c r="AB6" i="248" s="1"/>
  <c r="Y6" i="248"/>
  <c r="AG6" i="248"/>
  <c r="AO6" i="248"/>
  <c r="T7" i="248"/>
  <c r="AR7" i="248"/>
  <c r="L7" i="248" s="1"/>
  <c r="O8" i="248"/>
  <c r="W8" i="248" s="1"/>
  <c r="AE8" i="248"/>
  <c r="AM8" i="248"/>
  <c r="AK9" i="248"/>
  <c r="AC10" i="248"/>
  <c r="AN10" i="248"/>
  <c r="AH13" i="248"/>
  <c r="AL15" i="248"/>
  <c r="AD15" i="248"/>
  <c r="V15" i="248"/>
  <c r="AS15" i="248"/>
  <c r="AK15" i="248"/>
  <c r="AC15" i="248"/>
  <c r="AR15" i="248"/>
  <c r="T15" i="248"/>
  <c r="L15" i="248"/>
  <c r="U15" i="248" s="1"/>
  <c r="AP15" i="248"/>
  <c r="AH15" i="248"/>
  <c r="X15" i="248"/>
  <c r="AN15" i="248"/>
  <c r="AC16" i="248"/>
  <c r="AS16" i="248"/>
  <c r="AF18" i="248"/>
  <c r="Y21" i="248"/>
  <c r="AM24" i="248"/>
  <c r="AE24" i="248"/>
  <c r="W24" i="248"/>
  <c r="O24" i="248"/>
  <c r="AL24" i="248"/>
  <c r="AD24" i="248"/>
  <c r="V24" i="248"/>
  <c r="AS24" i="248"/>
  <c r="AK24" i="248"/>
  <c r="AC24" i="248"/>
  <c r="U24" i="248"/>
  <c r="M24" i="248"/>
  <c r="AR24" i="248"/>
  <c r="AJ24" i="248"/>
  <c r="AB24" i="248"/>
  <c r="T24" i="248"/>
  <c r="L24" i="248"/>
  <c r="AQ24" i="248"/>
  <c r="AI24" i="248"/>
  <c r="AA24" i="248"/>
  <c r="S24" i="248"/>
  <c r="AP24" i="248"/>
  <c r="AH24" i="248"/>
  <c r="Z24" i="248"/>
  <c r="R24" i="248"/>
  <c r="J24" i="248"/>
  <c r="AN24" i="248"/>
  <c r="AF24" i="248"/>
  <c r="X24" i="248"/>
  <c r="P24" i="248"/>
  <c r="AH6" i="248"/>
  <c r="AC7" i="248"/>
  <c r="AK7" i="248"/>
  <c r="P8" i="248"/>
  <c r="X8" i="248"/>
  <c r="AF8" i="248"/>
  <c r="AF21" i="248"/>
  <c r="V11" i="248"/>
  <c r="AD11" i="248"/>
  <c r="AL11" i="248"/>
  <c r="Q12" i="248"/>
  <c r="R12" i="248" s="1"/>
  <c r="Z12" i="248" s="1"/>
  <c r="Y12" i="248"/>
  <c r="AG12" i="248"/>
  <c r="AO12" i="248"/>
  <c r="O14" i="248"/>
  <c r="W14" i="248" s="1"/>
  <c r="AE14" i="248"/>
  <c r="AM14" i="248"/>
  <c r="O17" i="248"/>
  <c r="W17" i="248" s="1"/>
  <c r="AE17" i="248"/>
  <c r="AM17" i="248"/>
  <c r="M19" i="248"/>
  <c r="U19" i="248"/>
  <c r="AC19" i="248"/>
  <c r="AK19" i="248"/>
  <c r="AS19" i="248"/>
  <c r="P20" i="248"/>
  <c r="X20" i="248"/>
  <c r="AF20" i="248"/>
  <c r="AN20" i="248"/>
  <c r="L22" i="248"/>
  <c r="T22" i="248"/>
  <c r="AB22" i="248"/>
  <c r="AJ22" i="248"/>
  <c r="AR22" i="248"/>
  <c r="O23" i="248"/>
  <c r="W23" i="248"/>
  <c r="AE23" i="248"/>
  <c r="AM23" i="248"/>
  <c r="M25" i="248"/>
  <c r="U25" i="248"/>
  <c r="AC25" i="248"/>
  <c r="AK25" i="248"/>
  <c r="AS25" i="248"/>
  <c r="Q26" i="248"/>
  <c r="Z26" i="248"/>
  <c r="AH26" i="248"/>
  <c r="AQ26" i="248"/>
  <c r="Q20" i="248"/>
  <c r="R20" i="248" s="1"/>
  <c r="Y20" i="248"/>
  <c r="AG20" i="248"/>
  <c r="AO20" i="248"/>
  <c r="M22" i="248"/>
  <c r="U22" i="248"/>
  <c r="AC22" i="248"/>
  <c r="AK22" i="248"/>
  <c r="AS22" i="248"/>
  <c r="R26" i="248"/>
  <c r="AA26" i="248"/>
  <c r="AI26" i="248"/>
  <c r="AR26" i="248"/>
  <c r="Q14" i="248"/>
  <c r="R14" i="248" s="1"/>
  <c r="Z14" i="248" s="1"/>
  <c r="Y14" i="248"/>
  <c r="AG14" i="248"/>
  <c r="AO14" i="248"/>
  <c r="Q17" i="248"/>
  <c r="R17" i="248" s="1"/>
  <c r="Z17" i="248" s="1"/>
  <c r="Y17" i="248"/>
  <c r="AG17" i="248"/>
  <c r="AO17" i="248"/>
  <c r="O19" i="248"/>
  <c r="W19" i="248"/>
  <c r="AE19" i="248"/>
  <c r="AM19" i="248"/>
  <c r="AH20" i="248"/>
  <c r="AP20" i="248"/>
  <c r="V22" i="248"/>
  <c r="AD22" i="248"/>
  <c r="AL22" i="248"/>
  <c r="Q23" i="248"/>
  <c r="Y23" i="248"/>
  <c r="AG23" i="248"/>
  <c r="AO23" i="248"/>
  <c r="O25" i="248"/>
  <c r="W25" i="248"/>
  <c r="AE25" i="248"/>
  <c r="AM25" i="248"/>
  <c r="J26" i="248"/>
  <c r="S26" i="248"/>
  <c r="AB26" i="248"/>
  <c r="AJ26" i="248"/>
  <c r="AS26" i="248"/>
  <c r="Q11" i="248"/>
  <c r="R11" i="248" s="1"/>
  <c r="Y11" i="248"/>
  <c r="AG11" i="248"/>
  <c r="L12" i="248"/>
  <c r="T12" i="248"/>
  <c r="AH14" i="248"/>
  <c r="AH17" i="248"/>
  <c r="P19" i="248"/>
  <c r="X19" i="248"/>
  <c r="AF19" i="248"/>
  <c r="AN19" i="248"/>
  <c r="S20" i="248"/>
  <c r="AA20" i="248"/>
  <c r="AI20" i="248"/>
  <c r="AQ20" i="248"/>
  <c r="O22" i="248"/>
  <c r="W22" i="248"/>
  <c r="AE22" i="248"/>
  <c r="AM22" i="248"/>
  <c r="J23" i="248"/>
  <c r="R23" i="248"/>
  <c r="Z23" i="248"/>
  <c r="AH23" i="248"/>
  <c r="AP23" i="248"/>
  <c r="P25" i="248"/>
  <c r="X25" i="248"/>
  <c r="AF25" i="248"/>
  <c r="AN25" i="248"/>
  <c r="L26" i="248"/>
  <c r="T26" i="248"/>
  <c r="AC26" i="248"/>
  <c r="AK26" i="248"/>
  <c r="Q19" i="248"/>
  <c r="R19" i="248" s="1"/>
  <c r="Y19" i="248"/>
  <c r="AG19" i="248"/>
  <c r="L20" i="248"/>
  <c r="U20" i="248" s="1"/>
  <c r="T20" i="248"/>
  <c r="AR20" i="248"/>
  <c r="P22" i="248"/>
  <c r="X22" i="248"/>
  <c r="AF22" i="248"/>
  <c r="AN22" i="248"/>
  <c r="AI23" i="248"/>
  <c r="Q25" i="248"/>
  <c r="Y25" i="248"/>
  <c r="AG25" i="248"/>
  <c r="M26" i="248"/>
  <c r="U26" i="248"/>
  <c r="AD26" i="248"/>
  <c r="AM26" i="248"/>
  <c r="M20" i="248"/>
  <c r="AC20" i="248"/>
  <c r="AK20" i="248"/>
  <c r="Q22" i="248"/>
  <c r="Y22" i="248"/>
  <c r="AG22" i="248"/>
  <c r="V26" i="248"/>
  <c r="AE26" i="248"/>
  <c r="AA14" i="247"/>
  <c r="P12" i="247"/>
  <c r="AH23" i="247"/>
  <c r="P17" i="247"/>
  <c r="O15" i="246"/>
  <c r="W15" i="246" s="1"/>
  <c r="S17" i="247"/>
  <c r="L23" i="247"/>
  <c r="J25" i="247"/>
  <c r="X12" i="247"/>
  <c r="S14" i="247"/>
  <c r="AR12" i="247"/>
  <c r="L12" i="247" s="1"/>
  <c r="U12" i="247" s="1"/>
  <c r="T14" i="247"/>
  <c r="Z23" i="247"/>
  <c r="AR25" i="247"/>
  <c r="S12" i="247"/>
  <c r="V14" i="247"/>
  <c r="Q20" i="247"/>
  <c r="R20" i="247" s="1"/>
  <c r="AB20" i="247" s="1"/>
  <c r="AA17" i="247"/>
  <c r="AE18" i="247"/>
  <c r="T20" i="247"/>
  <c r="R25" i="247"/>
  <c r="AF12" i="247"/>
  <c r="AC13" i="247"/>
  <c r="AL14" i="247"/>
  <c r="AH17" i="247"/>
  <c r="S25" i="247"/>
  <c r="AH12" i="247"/>
  <c r="AN14" i="247"/>
  <c r="AI17" i="247"/>
  <c r="AC20" i="247"/>
  <c r="V25" i="247"/>
  <c r="AC9" i="247"/>
  <c r="AI12" i="247"/>
  <c r="AQ14" i="247"/>
  <c r="AL17" i="247"/>
  <c r="AF24" i="247"/>
  <c r="AF25" i="247"/>
  <c r="AF9" i="247"/>
  <c r="AK12" i="247"/>
  <c r="AN17" i="247"/>
  <c r="AJ25" i="247"/>
  <c r="AG8" i="247"/>
  <c r="AF10" i="247"/>
  <c r="Q11" i="247"/>
  <c r="R11" i="247" s="1"/>
  <c r="AJ11" i="247" s="1"/>
  <c r="T12" i="247"/>
  <c r="AL12" i="247"/>
  <c r="AL13" i="247"/>
  <c r="AF14" i="247"/>
  <c r="Q15" i="247"/>
  <c r="R15" i="247" s="1"/>
  <c r="Z15" i="247" s="1"/>
  <c r="AC16" i="247"/>
  <c r="T17" i="247"/>
  <c r="AQ17" i="247"/>
  <c r="AS20" i="247"/>
  <c r="Q22" i="247"/>
  <c r="R22" i="247" s="1"/>
  <c r="AJ23" i="247"/>
  <c r="AG24" i="247"/>
  <c r="X25" i="247"/>
  <c r="AN8" i="247"/>
  <c r="AL10" i="247"/>
  <c r="AA11" i="247"/>
  <c r="V12" i="247"/>
  <c r="AP12" i="247"/>
  <c r="AI14" i="247"/>
  <c r="Y15" i="247"/>
  <c r="AI16" i="247"/>
  <c r="V17" i="247"/>
  <c r="S22" i="247"/>
  <c r="P23" i="247"/>
  <c r="AK23" i="247"/>
  <c r="AD25" i="247"/>
  <c r="AK7" i="246"/>
  <c r="AM10" i="247"/>
  <c r="AD15" i="247"/>
  <c r="AO16" i="247"/>
  <c r="Y22" i="247"/>
  <c r="U23" i="247"/>
  <c r="AQ23" i="247"/>
  <c r="O10" i="247"/>
  <c r="W10" i="247" s="1"/>
  <c r="AN10" i="247"/>
  <c r="AC12" i="247"/>
  <c r="AS12" i="247"/>
  <c r="AQ15" i="247"/>
  <c r="AF17" i="247"/>
  <c r="AH22" i="247"/>
  <c r="V23" i="247"/>
  <c r="AR23" i="247"/>
  <c r="AI25" i="247"/>
  <c r="AD10" i="247"/>
  <c r="S10" i="247"/>
  <c r="AQ10" i="247"/>
  <c r="AI22" i="247"/>
  <c r="AA10" i="247"/>
  <c r="AA23" i="247"/>
  <c r="AC10" i="247"/>
  <c r="AF23" i="247"/>
  <c r="AF7" i="247"/>
  <c r="AS21" i="247"/>
  <c r="AI7" i="247"/>
  <c r="AK9" i="247"/>
  <c r="AM13" i="247"/>
  <c r="AK16" i="247"/>
  <c r="AI18" i="247"/>
  <c r="S21" i="247"/>
  <c r="AK21" i="247"/>
  <c r="AG22" i="247"/>
  <c r="M23" i="247"/>
  <c r="X23" i="247"/>
  <c r="AI23" i="247"/>
  <c r="AS23" i="247"/>
  <c r="T25" i="247"/>
  <c r="AH25" i="247"/>
  <c r="L26" i="247"/>
  <c r="AC26" i="247"/>
  <c r="AA21" i="247"/>
  <c r="AP26" i="247"/>
  <c r="V7" i="247"/>
  <c r="AK7" i="247"/>
  <c r="AM9" i="247"/>
  <c r="P10" i="247"/>
  <c r="AE10" i="247"/>
  <c r="AP10" i="247"/>
  <c r="X14" i="247"/>
  <c r="AP14" i="247"/>
  <c r="AA15" i="247"/>
  <c r="AM16" i="247"/>
  <c r="O18" i="247"/>
  <c r="W18" i="247" s="1"/>
  <c r="AK18" i="247"/>
  <c r="V19" i="247"/>
  <c r="T21" i="247"/>
  <c r="AC21" i="247"/>
  <c r="AL21" i="247"/>
  <c r="AE26" i="247"/>
  <c r="AS7" i="247"/>
  <c r="X7" i="247"/>
  <c r="AL7" i="247"/>
  <c r="AO9" i="247"/>
  <c r="S18" i="247"/>
  <c r="AL18" i="247"/>
  <c r="L21" i="247"/>
  <c r="U21" i="247" s="1"/>
  <c r="AD21" i="247"/>
  <c r="AM21" i="247"/>
  <c r="O26" i="247"/>
  <c r="AF26" i="247"/>
  <c r="T7" i="247"/>
  <c r="Y26" i="247"/>
  <c r="AA7" i="247"/>
  <c r="AM7" i="247"/>
  <c r="P8" i="247"/>
  <c r="S9" i="247"/>
  <c r="AS9" i="247"/>
  <c r="T10" i="247"/>
  <c r="AH10" i="247"/>
  <c r="AR10" i="247"/>
  <c r="L10" i="247" s="1"/>
  <c r="M10" i="247" s="1"/>
  <c r="AA12" i="247"/>
  <c r="AN12" i="247"/>
  <c r="P13" i="247"/>
  <c r="AD14" i="247"/>
  <c r="AR14" i="247"/>
  <c r="L14" i="247" s="1"/>
  <c r="AK15" i="247"/>
  <c r="P16" i="247"/>
  <c r="X17" i="247"/>
  <c r="AP17" i="247"/>
  <c r="V18" i="247"/>
  <c r="AM18" i="247"/>
  <c r="AG20" i="247"/>
  <c r="V21" i="247"/>
  <c r="AE21" i="247"/>
  <c r="AN21" i="247"/>
  <c r="AO22" i="247"/>
  <c r="R23" i="247"/>
  <c r="AB23" i="247"/>
  <c r="AL23" i="247"/>
  <c r="L25" i="247"/>
  <c r="Z25" i="247"/>
  <c r="AN25" i="247"/>
  <c r="P26" i="247"/>
  <c r="AG26" i="247"/>
  <c r="O7" i="247"/>
  <c r="W7" i="247" s="1"/>
  <c r="AC7" i="247"/>
  <c r="AN7" i="247"/>
  <c r="X8" i="247"/>
  <c r="T9" i="247"/>
  <c r="V10" i="247"/>
  <c r="AI10" i="247"/>
  <c r="AS10" i="247"/>
  <c r="Q13" i="247"/>
  <c r="R13" i="247" s="1"/>
  <c r="AJ13" i="247" s="1"/>
  <c r="AL15" i="247"/>
  <c r="X16" i="247"/>
  <c r="AA18" i="247"/>
  <c r="AQ18" i="247"/>
  <c r="AF21" i="247"/>
  <c r="AP21" i="247"/>
  <c r="S23" i="247"/>
  <c r="AC23" i="247"/>
  <c r="AN23" i="247"/>
  <c r="P24" i="247"/>
  <c r="AA25" i="247"/>
  <c r="AP25" i="247"/>
  <c r="T26" i="247"/>
  <c r="AK26" i="247"/>
  <c r="P7" i="247"/>
  <c r="AD7" i="247"/>
  <c r="AQ7" i="247"/>
  <c r="AF8" i="247"/>
  <c r="AA9" i="247"/>
  <c r="X10" i="247"/>
  <c r="AK10" i="247"/>
  <c r="AD12" i="247"/>
  <c r="AQ12" i="247"/>
  <c r="AA13" i="247"/>
  <c r="P14" i="247"/>
  <c r="AH14" i="247"/>
  <c r="AM15" i="247"/>
  <c r="Y16" i="247"/>
  <c r="AD17" i="247"/>
  <c r="AR17" i="247"/>
  <c r="L17" i="247" s="1"/>
  <c r="AC18" i="247"/>
  <c r="AS18" i="247"/>
  <c r="AR20" i="247"/>
  <c r="O21" i="247"/>
  <c r="W21" i="247" s="1"/>
  <c r="X21" i="247"/>
  <c r="AH21" i="247"/>
  <c r="AQ21" i="247"/>
  <c r="J23" i="247"/>
  <c r="T23" i="247"/>
  <c r="AD23" i="247"/>
  <c r="AP23" i="247"/>
  <c r="Q24" i="247"/>
  <c r="P25" i="247"/>
  <c r="AB25" i="247"/>
  <c r="AQ25" i="247"/>
  <c r="V26" i="247"/>
  <c r="AN26" i="247"/>
  <c r="S7" i="247"/>
  <c r="AE7" i="247"/>
  <c r="AR7" i="247"/>
  <c r="L7" i="247" s="1"/>
  <c r="AD18" i="247"/>
  <c r="P21" i="247"/>
  <c r="AI21" i="247"/>
  <c r="AR21" i="247"/>
  <c r="W26" i="247"/>
  <c r="AO26" i="247"/>
  <c r="S6" i="247"/>
  <c r="AA6" i="247"/>
  <c r="Q8" i="247"/>
  <c r="R8" i="247" s="1"/>
  <c r="Z8" i="247" s="1"/>
  <c r="Y8" i="247"/>
  <c r="AO8" i="247"/>
  <c r="AM19" i="247"/>
  <c r="AE19" i="247"/>
  <c r="O19" i="247"/>
  <c r="W19" i="247" s="1"/>
  <c r="AS19" i="247"/>
  <c r="AK19" i="247"/>
  <c r="AC19" i="247"/>
  <c r="AR19" i="247"/>
  <c r="L19" i="247" s="1"/>
  <c r="T19" i="247"/>
  <c r="AQ19" i="247"/>
  <c r="AI19" i="247"/>
  <c r="AA19" i="247"/>
  <c r="S19" i="247"/>
  <c r="X19" i="247"/>
  <c r="AN19" i="247"/>
  <c r="AI6" i="247"/>
  <c r="AL11" i="247"/>
  <c r="AD11" i="247"/>
  <c r="V11" i="247"/>
  <c r="AR11" i="247"/>
  <c r="L11" i="247" s="1"/>
  <c r="M11" i="247" s="1"/>
  <c r="T11" i="247"/>
  <c r="AC11" i="247"/>
  <c r="AN11" i="247"/>
  <c r="T6" i="247"/>
  <c r="AR6" i="247"/>
  <c r="L6" i="247" s="1"/>
  <c r="AH8" i="247"/>
  <c r="AP8" i="247"/>
  <c r="AE9" i="247"/>
  <c r="AN9" i="247"/>
  <c r="S11" i="247"/>
  <c r="AE11" i="247"/>
  <c r="AO11" i="247"/>
  <c r="S13" i="247"/>
  <c r="AD13" i="247"/>
  <c r="O15" i="247"/>
  <c r="W15" i="247" s="1"/>
  <c r="AC15" i="247"/>
  <c r="AO15" i="247"/>
  <c r="O16" i="247"/>
  <c r="W16" i="247" s="1"/>
  <c r="AA16" i="247"/>
  <c r="AN16" i="247"/>
  <c r="Y19" i="247"/>
  <c r="AO19" i="247"/>
  <c r="S20" i="247"/>
  <c r="AN22" i="247"/>
  <c r="AF22" i="247"/>
  <c r="X22" i="247"/>
  <c r="P22" i="247"/>
  <c r="AL22" i="247"/>
  <c r="AD22" i="247"/>
  <c r="V22" i="247"/>
  <c r="AS22" i="247"/>
  <c r="AK22" i="247"/>
  <c r="AC22" i="247"/>
  <c r="AR22" i="247"/>
  <c r="T22" i="247"/>
  <c r="L22" i="247"/>
  <c r="U22" i="247" s="1"/>
  <c r="AM22" i="247"/>
  <c r="U24" i="247"/>
  <c r="AQ6" i="247"/>
  <c r="AC6" i="247"/>
  <c r="AK6" i="247"/>
  <c r="AS6" i="247"/>
  <c r="S8" i="247"/>
  <c r="AA8" i="247"/>
  <c r="AI8" i="247"/>
  <c r="AQ8" i="247"/>
  <c r="AF11" i="247"/>
  <c r="AP11" i="247"/>
  <c r="AR13" i="247"/>
  <c r="L13" i="247" s="1"/>
  <c r="U13" i="247" s="1"/>
  <c r="T13" i="247"/>
  <c r="AP13" i="247"/>
  <c r="AH13" i="247"/>
  <c r="AE13" i="247"/>
  <c r="AO13" i="247"/>
  <c r="AP19" i="247"/>
  <c r="AL24" i="247"/>
  <c r="AD24" i="247"/>
  <c r="V24" i="247"/>
  <c r="AR24" i="247"/>
  <c r="AJ24" i="247"/>
  <c r="AB24" i="247"/>
  <c r="T24" i="247"/>
  <c r="L24" i="247"/>
  <c r="AQ24" i="247"/>
  <c r="AI24" i="247"/>
  <c r="AA24" i="247"/>
  <c r="S24" i="247"/>
  <c r="AP24" i="247"/>
  <c r="AH24" i="247"/>
  <c r="Z24" i="247"/>
  <c r="R24" i="247"/>
  <c r="J24" i="247"/>
  <c r="W24" i="247"/>
  <c r="AM24" i="247"/>
  <c r="AH6" i="247"/>
  <c r="AP6" i="247"/>
  <c r="V6" i="247"/>
  <c r="AD6" i="247"/>
  <c r="AL6" i="247"/>
  <c r="Q7" i="247"/>
  <c r="R7" i="247" s="1"/>
  <c r="Y7" i="247"/>
  <c r="AG7" i="247"/>
  <c r="AO7" i="247"/>
  <c r="T8" i="247"/>
  <c r="AR8" i="247"/>
  <c r="L8" i="247" s="1"/>
  <c r="M8" i="247" s="1"/>
  <c r="O9" i="247"/>
  <c r="W9" i="247" s="1"/>
  <c r="X9" i="247"/>
  <c r="AG9" i="247"/>
  <c r="AP9" i="247"/>
  <c r="AG11" i="247"/>
  <c r="AQ11" i="247"/>
  <c r="V13" i="247"/>
  <c r="AF13" i="247"/>
  <c r="AQ13" i="247"/>
  <c r="S15" i="247"/>
  <c r="AE15" i="247"/>
  <c r="AS15" i="247"/>
  <c r="Q16" i="247"/>
  <c r="R16" i="247" s="1"/>
  <c r="AE16" i="247"/>
  <c r="AQ16" i="247"/>
  <c r="AD19" i="247"/>
  <c r="AP20" i="247"/>
  <c r="AH20" i="247"/>
  <c r="AN20" i="247"/>
  <c r="AF20" i="247"/>
  <c r="X20" i="247"/>
  <c r="P20" i="247"/>
  <c r="AM20" i="247"/>
  <c r="AE20" i="247"/>
  <c r="O20" i="247"/>
  <c r="W20" i="247" s="1"/>
  <c r="AL20" i="247"/>
  <c r="AD20" i="247"/>
  <c r="V20" i="247"/>
  <c r="AK20" i="247"/>
  <c r="AP22" i="247"/>
  <c r="X24" i="247"/>
  <c r="AN24" i="247"/>
  <c r="O6" i="247"/>
  <c r="W6" i="247" s="1"/>
  <c r="AE6" i="247"/>
  <c r="AM6" i="247"/>
  <c r="J7" i="247"/>
  <c r="AH7" i="247"/>
  <c r="AC8" i="247"/>
  <c r="AK8" i="247"/>
  <c r="AS8" i="247"/>
  <c r="P9" i="247"/>
  <c r="Y9" i="247"/>
  <c r="AH9" i="247"/>
  <c r="X11" i="247"/>
  <c r="AH11" i="247"/>
  <c r="AS11" i="247"/>
  <c r="AG13" i="247"/>
  <c r="AS13" i="247"/>
  <c r="S16" i="247"/>
  <c r="AF16" i="247"/>
  <c r="P19" i="247"/>
  <c r="AF19" i="247"/>
  <c r="Y20" i="247"/>
  <c r="AO20" i="247"/>
  <c r="AA22" i="247"/>
  <c r="AQ22" i="247"/>
  <c r="M24" i="247"/>
  <c r="Y24" i="247"/>
  <c r="AO24" i="247"/>
  <c r="O9" i="246"/>
  <c r="W9" i="246" s="1"/>
  <c r="S24" i="246"/>
  <c r="P6" i="247"/>
  <c r="X6" i="247"/>
  <c r="AF6" i="247"/>
  <c r="AN6" i="247"/>
  <c r="V8" i="247"/>
  <c r="AD8" i="247"/>
  <c r="AL8" i="247"/>
  <c r="AL9" i="247"/>
  <c r="AD9" i="247"/>
  <c r="V9" i="247"/>
  <c r="Q9" i="247"/>
  <c r="R9" i="247" s="1"/>
  <c r="Z9" i="247" s="1"/>
  <c r="AI9" i="247"/>
  <c r="AR9" i="247"/>
  <c r="L9" i="247" s="1"/>
  <c r="M9" i="247" s="1"/>
  <c r="O11" i="247"/>
  <c r="W11" i="247" s="1"/>
  <c r="Y11" i="247"/>
  <c r="AI11" i="247"/>
  <c r="X13" i="247"/>
  <c r="AI13" i="247"/>
  <c r="AR15" i="247"/>
  <c r="T15" i="247"/>
  <c r="L15" i="247"/>
  <c r="M15" i="247" s="1"/>
  <c r="AP15" i="247"/>
  <c r="AH15" i="247"/>
  <c r="AN15" i="247"/>
  <c r="AF15" i="247"/>
  <c r="X15" i="247"/>
  <c r="P15" i="247"/>
  <c r="V15" i="247"/>
  <c r="AI15" i="247"/>
  <c r="AL16" i="247"/>
  <c r="AD16" i="247"/>
  <c r="V16" i="247"/>
  <c r="AR16" i="247"/>
  <c r="L16" i="247" s="1"/>
  <c r="T16" i="247"/>
  <c r="AP16" i="247"/>
  <c r="AH16" i="247"/>
  <c r="AG16" i="247"/>
  <c r="Q19" i="247"/>
  <c r="R19" i="247" s="1"/>
  <c r="AJ19" i="247" s="1"/>
  <c r="AG19" i="247"/>
  <c r="L20" i="247"/>
  <c r="M20" i="247" s="1"/>
  <c r="AA20" i="247"/>
  <c r="AQ20" i="247"/>
  <c r="O22" i="247"/>
  <c r="W22" i="247" s="1"/>
  <c r="AE22" i="247"/>
  <c r="AC24" i="247"/>
  <c r="AS24" i="247"/>
  <c r="Q6" i="247"/>
  <c r="R6" i="247" s="1"/>
  <c r="Y6" i="247"/>
  <c r="AG6" i="247"/>
  <c r="O8" i="247"/>
  <c r="W8" i="247" s="1"/>
  <c r="AE8" i="247"/>
  <c r="P11" i="247"/>
  <c r="AK11" i="247"/>
  <c r="O13" i="247"/>
  <c r="W13" i="247" s="1"/>
  <c r="Y13" i="247"/>
  <c r="AK13" i="247"/>
  <c r="AH19" i="247"/>
  <c r="O24" i="247"/>
  <c r="AE24" i="247"/>
  <c r="Q10" i="247"/>
  <c r="R10" i="247" s="1"/>
  <c r="Y10" i="247"/>
  <c r="AG10" i="247"/>
  <c r="O12" i="247"/>
  <c r="W12" i="247" s="1"/>
  <c r="AE12" i="247"/>
  <c r="AM12" i="247"/>
  <c r="AC14" i="247"/>
  <c r="AK14" i="247"/>
  <c r="AS14" i="247"/>
  <c r="AC17" i="247"/>
  <c r="AK17" i="247"/>
  <c r="AS17" i="247"/>
  <c r="P18" i="247"/>
  <c r="X18" i="247"/>
  <c r="AF18" i="247"/>
  <c r="AN18" i="247"/>
  <c r="Q21" i="247"/>
  <c r="R21" i="247" s="1"/>
  <c r="Y21" i="247"/>
  <c r="AG21" i="247"/>
  <c r="O23" i="247"/>
  <c r="W23" i="247"/>
  <c r="AE23" i="247"/>
  <c r="AM23" i="247"/>
  <c r="M25" i="247"/>
  <c r="U25" i="247"/>
  <c r="AC25" i="247"/>
  <c r="AK25" i="247"/>
  <c r="AS25" i="247"/>
  <c r="Q26" i="247"/>
  <c r="Z26" i="247"/>
  <c r="AH26" i="247"/>
  <c r="AQ26" i="247"/>
  <c r="Q18" i="247"/>
  <c r="R18" i="247" s="1"/>
  <c r="Y18" i="247"/>
  <c r="AG18" i="247"/>
  <c r="AO18" i="247"/>
  <c r="AL25" i="247"/>
  <c r="R26" i="247"/>
  <c r="AA26" i="247"/>
  <c r="AI26" i="247"/>
  <c r="AR26" i="247"/>
  <c r="Q12" i="247"/>
  <c r="R12" i="247" s="1"/>
  <c r="Y12" i="247"/>
  <c r="AG12" i="247"/>
  <c r="O14" i="247"/>
  <c r="W14" i="247" s="1"/>
  <c r="AE14" i="247"/>
  <c r="AM14" i="247"/>
  <c r="O17" i="247"/>
  <c r="W17" i="247" s="1"/>
  <c r="AE17" i="247"/>
  <c r="AM17" i="247"/>
  <c r="AH18" i="247"/>
  <c r="AP18" i="247"/>
  <c r="Q23" i="247"/>
  <c r="Y23" i="247"/>
  <c r="AG23" i="247"/>
  <c r="O25" i="247"/>
  <c r="W25" i="247"/>
  <c r="AE25" i="247"/>
  <c r="AM25" i="247"/>
  <c r="J26" i="247"/>
  <c r="S26" i="247"/>
  <c r="AB26" i="247"/>
  <c r="AJ26" i="247"/>
  <c r="AS26" i="247"/>
  <c r="Q14" i="247"/>
  <c r="R14" i="247" s="1"/>
  <c r="Y14" i="247"/>
  <c r="AG14" i="247"/>
  <c r="Q17" i="247"/>
  <c r="R17" i="247" s="1"/>
  <c r="Y17" i="247"/>
  <c r="AG17" i="247"/>
  <c r="L18" i="247"/>
  <c r="T18" i="247"/>
  <c r="Q25" i="247"/>
  <c r="Y25" i="247"/>
  <c r="AG25" i="247"/>
  <c r="M26" i="247"/>
  <c r="U26" i="247"/>
  <c r="AD26" i="247"/>
  <c r="AF9" i="246"/>
  <c r="AL15" i="246"/>
  <c r="P14" i="246"/>
  <c r="AA17" i="246"/>
  <c r="O12" i="246"/>
  <c r="W12" i="246" s="1"/>
  <c r="AD14" i="246"/>
  <c r="O8" i="246"/>
  <c r="W8" i="246" s="1"/>
  <c r="AM14" i="246"/>
  <c r="AD24" i="244"/>
  <c r="O16" i="246"/>
  <c r="W16" i="246" s="1"/>
  <c r="AF20" i="245"/>
  <c r="AF15" i="246"/>
  <c r="S16" i="246"/>
  <c r="AE21" i="246"/>
  <c r="U24" i="246"/>
  <c r="X16" i="246"/>
  <c r="L21" i="246"/>
  <c r="AF21" i="246"/>
  <c r="AB21" i="246"/>
  <c r="AD9" i="246"/>
  <c r="AF14" i="246"/>
  <c r="AL16" i="246"/>
  <c r="M21" i="246"/>
  <c r="AN21" i="246"/>
  <c r="U23" i="246"/>
  <c r="AN16" i="246"/>
  <c r="AP21" i="246"/>
  <c r="AF23" i="246"/>
  <c r="P7" i="246"/>
  <c r="X8" i="246"/>
  <c r="AM9" i="246"/>
  <c r="Q11" i="246"/>
  <c r="R11" i="246" s="1"/>
  <c r="AB11" i="246" s="1"/>
  <c r="O13" i="246"/>
  <c r="W13" i="246" s="1"/>
  <c r="AA18" i="246"/>
  <c r="T20" i="246"/>
  <c r="O21" i="246"/>
  <c r="X7" i="246"/>
  <c r="AQ8" i="246"/>
  <c r="AQ9" i="246"/>
  <c r="AQ18" i="246"/>
  <c r="AB20" i="246"/>
  <c r="S21" i="246"/>
  <c r="AD7" i="246"/>
  <c r="AJ20" i="246"/>
  <c r="X21" i="246"/>
  <c r="AK9" i="246"/>
  <c r="X14" i="246"/>
  <c r="AI15" i="246"/>
  <c r="AS16" i="246"/>
  <c r="AH17" i="246"/>
  <c r="AD18" i="246"/>
  <c r="AD21" i="246"/>
  <c r="AQ21" i="246"/>
  <c r="AA24" i="246"/>
  <c r="AN17" i="246"/>
  <c r="AQ23" i="246"/>
  <c r="AD24" i="246"/>
  <c r="AA25" i="246"/>
  <c r="S8" i="246"/>
  <c r="AA11" i="246"/>
  <c r="T12" i="246"/>
  <c r="AA13" i="246"/>
  <c r="P15" i="246"/>
  <c r="AN15" i="246"/>
  <c r="AQ17" i="246"/>
  <c r="AE24" i="246"/>
  <c r="AQ25" i="246"/>
  <c r="AG11" i="246"/>
  <c r="AD12" i="246"/>
  <c r="AM13" i="246"/>
  <c r="S15" i="246"/>
  <c r="AS15" i="246"/>
  <c r="U21" i="246"/>
  <c r="AH21" i="246"/>
  <c r="AF24" i="246"/>
  <c r="AN7" i="246"/>
  <c r="AA8" i="246"/>
  <c r="S9" i="246"/>
  <c r="AO11" i="246"/>
  <c r="AM12" i="246"/>
  <c r="AP14" i="246"/>
  <c r="X15" i="246"/>
  <c r="AC16" i="246"/>
  <c r="J21" i="246"/>
  <c r="V21" i="246"/>
  <c r="AK21" i="246"/>
  <c r="AM24" i="246"/>
  <c r="V8" i="245"/>
  <c r="Y23" i="245"/>
  <c r="AS7" i="246"/>
  <c r="AF8" i="246"/>
  <c r="AA9" i="246"/>
  <c r="AS11" i="246"/>
  <c r="AO12" i="246"/>
  <c r="AS14" i="246"/>
  <c r="AC15" i="246"/>
  <c r="AE16" i="246"/>
  <c r="W21" i="246"/>
  <c r="AM21" i="246"/>
  <c r="P24" i="246"/>
  <c r="AQ24" i="246"/>
  <c r="AO26" i="246"/>
  <c r="AM8" i="246"/>
  <c r="AE15" i="246"/>
  <c r="X17" i="246"/>
  <c r="AN10" i="246"/>
  <c r="T7" i="246"/>
  <c r="AL7" i="246"/>
  <c r="P8" i="246"/>
  <c r="AN8" i="246"/>
  <c r="V9" i="246"/>
  <c r="AI9" i="246"/>
  <c r="AO10" i="246"/>
  <c r="AC11" i="246"/>
  <c r="AN12" i="246"/>
  <c r="AO13" i="246"/>
  <c r="T14" i="246"/>
  <c r="AH14" i="246"/>
  <c r="V15" i="246"/>
  <c r="AK15" i="246"/>
  <c r="AF16" i="246"/>
  <c r="AC18" i="246"/>
  <c r="L23" i="246"/>
  <c r="V23" i="246"/>
  <c r="AH23" i="246"/>
  <c r="AR23" i="246"/>
  <c r="AS24" i="246"/>
  <c r="AQ10" i="246"/>
  <c r="V14" i="246"/>
  <c r="AK14" i="246"/>
  <c r="V16" i="246"/>
  <c r="AI16" i="246"/>
  <c r="R22" i="246"/>
  <c r="M23" i="246"/>
  <c r="X23" i="246"/>
  <c r="AI23" i="246"/>
  <c r="AS23" i="246"/>
  <c r="AP6" i="245"/>
  <c r="V7" i="246"/>
  <c r="AR7" i="246"/>
  <c r="L7" i="246" s="1"/>
  <c r="X9" i="246"/>
  <c r="AL9" i="246"/>
  <c r="P10" i="246"/>
  <c r="AL11" i="246"/>
  <c r="P12" i="246"/>
  <c r="AL14" i="246"/>
  <c r="AA15" i="246"/>
  <c r="AM15" i="246"/>
  <c r="AK16" i="246"/>
  <c r="AF17" i="246"/>
  <c r="AI18" i="246"/>
  <c r="Y19" i="246"/>
  <c r="Z22" i="246"/>
  <c r="Z23" i="246"/>
  <c r="AJ23" i="246"/>
  <c r="V24" i="246"/>
  <c r="AI24" i="246"/>
  <c r="O26" i="246"/>
  <c r="Y10" i="246"/>
  <c r="AK18" i="246"/>
  <c r="AG19" i="246"/>
  <c r="AR20" i="246"/>
  <c r="P21" i="246"/>
  <c r="Z21" i="246"/>
  <c r="AI21" i="246"/>
  <c r="AR21" i="246"/>
  <c r="AH22" i="246"/>
  <c r="P23" i="246"/>
  <c r="AA23" i="246"/>
  <c r="AK23" i="246"/>
  <c r="W24" i="246"/>
  <c r="AK24" i="246"/>
  <c r="W26" i="246"/>
  <c r="AC7" i="246"/>
  <c r="AE8" i="246"/>
  <c r="AC9" i="246"/>
  <c r="AN9" i="246"/>
  <c r="AA10" i="246"/>
  <c r="AQ11" i="246"/>
  <c r="Y12" i="246"/>
  <c r="AC14" i="246"/>
  <c r="AN14" i="246"/>
  <c r="AD15" i="246"/>
  <c r="AQ15" i="246"/>
  <c r="AA16" i="246"/>
  <c r="AM16" i="246"/>
  <c r="P17" i="246"/>
  <c r="AI17" i="246"/>
  <c r="S18" i="246"/>
  <c r="AL18" i="246"/>
  <c r="R21" i="246"/>
  <c r="AA21" i="246"/>
  <c r="AJ21" i="246"/>
  <c r="AS21" i="246"/>
  <c r="AP22" i="246"/>
  <c r="R23" i="246"/>
  <c r="AB23" i="246"/>
  <c r="AL23" i="246"/>
  <c r="M24" i="246"/>
  <c r="X24" i="246"/>
  <c r="AL24" i="246"/>
  <c r="S25" i="246"/>
  <c r="AF26" i="246"/>
  <c r="AF10" i="246"/>
  <c r="S23" i="246"/>
  <c r="AC23" i="246"/>
  <c r="AN23" i="246"/>
  <c r="AF7" i="246"/>
  <c r="AI8" i="246"/>
  <c r="P9" i="246"/>
  <c r="AE9" i="246"/>
  <c r="AS9" i="246"/>
  <c r="AL10" i="246"/>
  <c r="T11" i="246"/>
  <c r="AF12" i="246"/>
  <c r="O14" i="246"/>
  <c r="W14" i="246" s="1"/>
  <c r="AE14" i="246"/>
  <c r="AR14" i="246"/>
  <c r="L14" i="246" s="1"/>
  <c r="U14" i="246" s="1"/>
  <c r="P16" i="246"/>
  <c r="AD16" i="246"/>
  <c r="AQ16" i="246"/>
  <c r="S17" i="246"/>
  <c r="AP17" i="246"/>
  <c r="V18" i="246"/>
  <c r="AS18" i="246"/>
  <c r="L20" i="246"/>
  <c r="T21" i="246"/>
  <c r="AC21" i="246"/>
  <c r="AL21" i="246"/>
  <c r="J22" i="246"/>
  <c r="J23" i="246"/>
  <c r="T23" i="246"/>
  <c r="AD23" i="246"/>
  <c r="AP23" i="246"/>
  <c r="O24" i="246"/>
  <c r="AC24" i="246"/>
  <c r="AN24" i="246"/>
  <c r="AI25" i="246"/>
  <c r="AN8" i="245"/>
  <c r="S6" i="246"/>
  <c r="AA6" i="246"/>
  <c r="AI6" i="246"/>
  <c r="AQ6" i="246"/>
  <c r="Q8" i="246"/>
  <c r="R8" i="246" s="1"/>
  <c r="Y8" i="246"/>
  <c r="AG8" i="246"/>
  <c r="AO8" i="246"/>
  <c r="Q13" i="246"/>
  <c r="R13" i="246" s="1"/>
  <c r="AP13" i="246"/>
  <c r="T6" i="246"/>
  <c r="AR6" i="246"/>
  <c r="L6" i="246" s="1"/>
  <c r="O7" i="246"/>
  <c r="W7" i="246" s="1"/>
  <c r="AE7" i="246"/>
  <c r="AM7" i="246"/>
  <c r="AH8" i="246"/>
  <c r="AP8" i="246"/>
  <c r="Q10" i="246"/>
  <c r="R10" i="246" s="1"/>
  <c r="Z10" i="246" s="1"/>
  <c r="AD10" i="246"/>
  <c r="AP10" i="246"/>
  <c r="S11" i="246"/>
  <c r="AD11" i="246"/>
  <c r="Q12" i="246"/>
  <c r="R12" i="246" s="1"/>
  <c r="Z12" i="246" s="1"/>
  <c r="AE12" i="246"/>
  <c r="AE13" i="246"/>
  <c r="AC6" i="246"/>
  <c r="AK6" i="246"/>
  <c r="AS6" i="246"/>
  <c r="AN13" i="246"/>
  <c r="AF13" i="246"/>
  <c r="X13" i="246"/>
  <c r="P13" i="246"/>
  <c r="AL13" i="246"/>
  <c r="AD13" i="246"/>
  <c r="V13" i="246"/>
  <c r="AS13" i="246"/>
  <c r="AK13" i="246"/>
  <c r="AC13" i="246"/>
  <c r="S13" i="246"/>
  <c r="AG13" i="246"/>
  <c r="AR13" i="246"/>
  <c r="L13" i="246" s="1"/>
  <c r="AN19" i="246"/>
  <c r="AF19" i="246"/>
  <c r="X19" i="246"/>
  <c r="P19" i="246"/>
  <c r="AM19" i="246"/>
  <c r="AE19" i="246"/>
  <c r="O19" i="246"/>
  <c r="W19" i="246" s="1"/>
  <c r="AL19" i="246"/>
  <c r="AD19" i="246"/>
  <c r="V19" i="246"/>
  <c r="AS19" i="246"/>
  <c r="AK19" i="246"/>
  <c r="AC19" i="246"/>
  <c r="AR19" i="246"/>
  <c r="T19" i="246"/>
  <c r="L19" i="246"/>
  <c r="U19" i="246" s="1"/>
  <c r="AQ19" i="246"/>
  <c r="AI19" i="246"/>
  <c r="AA19" i="246"/>
  <c r="S19" i="246"/>
  <c r="AP19" i="246"/>
  <c r="AH19" i="246"/>
  <c r="V6" i="246"/>
  <c r="AD6" i="246"/>
  <c r="AL6" i="246"/>
  <c r="Q7" i="246"/>
  <c r="R7" i="246" s="1"/>
  <c r="Z7" i="246" s="1"/>
  <c r="Y7" i="246"/>
  <c r="AG7" i="246"/>
  <c r="AO7" i="246"/>
  <c r="L8" i="246"/>
  <c r="U8" i="246" s="1"/>
  <c r="T8" i="246"/>
  <c r="AR8" i="246"/>
  <c r="S10" i="246"/>
  <c r="AP11" i="246"/>
  <c r="AH11" i="246"/>
  <c r="AN11" i="246"/>
  <c r="AF11" i="246"/>
  <c r="X11" i="246"/>
  <c r="P11" i="246"/>
  <c r="AM11" i="246"/>
  <c r="AE11" i="246"/>
  <c r="O11" i="246"/>
  <c r="W11" i="246" s="1"/>
  <c r="AI11" i="246"/>
  <c r="AS12" i="246"/>
  <c r="AK12" i="246"/>
  <c r="AC12" i="246"/>
  <c r="AQ12" i="246"/>
  <c r="AI12" i="246"/>
  <c r="AA12" i="246"/>
  <c r="S12" i="246"/>
  <c r="AP12" i="246"/>
  <c r="AH12" i="246"/>
  <c r="V12" i="246"/>
  <c r="AG12" i="246"/>
  <c r="T13" i="246"/>
  <c r="AH13" i="246"/>
  <c r="O6" i="246"/>
  <c r="W6" i="246" s="1"/>
  <c r="AE6" i="246"/>
  <c r="AM6" i="246"/>
  <c r="J7" i="246"/>
  <c r="J8" i="246" s="1"/>
  <c r="AH7" i="246"/>
  <c r="AP7" i="246"/>
  <c r="AC8" i="246"/>
  <c r="AK8" i="246"/>
  <c r="AS8" i="246"/>
  <c r="AM10" i="246"/>
  <c r="AE10" i="246"/>
  <c r="O10" i="246"/>
  <c r="W10" i="246" s="1"/>
  <c r="AS10" i="246"/>
  <c r="AK10" i="246"/>
  <c r="AC10" i="246"/>
  <c r="AR10" i="246"/>
  <c r="L10" i="246" s="1"/>
  <c r="T10" i="246"/>
  <c r="V10" i="246"/>
  <c r="AH10" i="246"/>
  <c r="V11" i="246"/>
  <c r="AI13" i="246"/>
  <c r="AH6" i="246"/>
  <c r="AP6" i="246"/>
  <c r="P6" i="246"/>
  <c r="X6" i="246"/>
  <c r="AF6" i="246"/>
  <c r="AN6" i="246"/>
  <c r="S7" i="246"/>
  <c r="AA7" i="246"/>
  <c r="AI7" i="246"/>
  <c r="V8" i="246"/>
  <c r="AD8" i="246"/>
  <c r="X10" i="246"/>
  <c r="AI10" i="246"/>
  <c r="L11" i="246"/>
  <c r="M11" i="246" s="1"/>
  <c r="Y11" i="246"/>
  <c r="AK11" i="246"/>
  <c r="L12" i="246"/>
  <c r="U12" i="246" s="1"/>
  <c r="X12" i="246"/>
  <c r="AL12" i="246"/>
  <c r="Y13" i="246"/>
  <c r="Q19" i="246"/>
  <c r="R19" i="246" s="1"/>
  <c r="Q6" i="246"/>
  <c r="R6" i="246" s="1"/>
  <c r="AB6" i="246" s="1"/>
  <c r="Y6" i="246"/>
  <c r="AG6" i="246"/>
  <c r="Q9" i="246"/>
  <c r="R9" i="246" s="1"/>
  <c r="Z9" i="246" s="1"/>
  <c r="Y9" i="246"/>
  <c r="AG9" i="246"/>
  <c r="AO9" i="246"/>
  <c r="Q15" i="246"/>
  <c r="R15" i="246" s="1"/>
  <c r="Y15" i="246"/>
  <c r="AG15" i="246"/>
  <c r="AO15" i="246"/>
  <c r="Q16" i="246"/>
  <c r="R16" i="246" s="1"/>
  <c r="Y16" i="246"/>
  <c r="AG16" i="246"/>
  <c r="AO16" i="246"/>
  <c r="T17" i="246"/>
  <c r="AR17" i="246"/>
  <c r="L17" i="246" s="1"/>
  <c r="M17" i="246" s="1"/>
  <c r="O18" i="246"/>
  <c r="W18" i="246" s="1"/>
  <c r="AE18" i="246"/>
  <c r="AM18" i="246"/>
  <c r="M20" i="246"/>
  <c r="U20" i="246"/>
  <c r="AC20" i="246"/>
  <c r="AK20" i="246"/>
  <c r="AS20" i="246"/>
  <c r="S22" i="246"/>
  <c r="AA22" i="246"/>
  <c r="AI22" i="246"/>
  <c r="AQ22" i="246"/>
  <c r="Q24" i="246"/>
  <c r="Y24" i="246"/>
  <c r="AG24" i="246"/>
  <c r="AO24" i="246"/>
  <c r="L25" i="246"/>
  <c r="T25" i="246"/>
  <c r="AB25" i="246"/>
  <c r="AJ25" i="246"/>
  <c r="AR25" i="246"/>
  <c r="P26" i="246"/>
  <c r="Y26" i="246"/>
  <c r="AG26" i="246"/>
  <c r="AP26" i="246"/>
  <c r="AH9" i="246"/>
  <c r="AP9" i="246"/>
  <c r="Q14" i="246"/>
  <c r="R14" i="246" s="1"/>
  <c r="Y14" i="246"/>
  <c r="AG14" i="246"/>
  <c r="AO14" i="246"/>
  <c r="AH15" i="246"/>
  <c r="AP15" i="246"/>
  <c r="AH16" i="246"/>
  <c r="AP16" i="246"/>
  <c r="AC17" i="246"/>
  <c r="AK17" i="246"/>
  <c r="AS17" i="246"/>
  <c r="P18" i="246"/>
  <c r="X18" i="246"/>
  <c r="AF18" i="246"/>
  <c r="AN18" i="246"/>
  <c r="V20" i="246"/>
  <c r="AD20" i="246"/>
  <c r="AL20" i="246"/>
  <c r="Q21" i="246"/>
  <c r="Y21" i="246"/>
  <c r="AG21" i="246"/>
  <c r="L22" i="246"/>
  <c r="T22" i="246"/>
  <c r="AB22" i="246"/>
  <c r="AJ22" i="246"/>
  <c r="AR22" i="246"/>
  <c r="O23" i="246"/>
  <c r="W23" i="246"/>
  <c r="AE23" i="246"/>
  <c r="AM23" i="246"/>
  <c r="J24" i="246"/>
  <c r="R24" i="246"/>
  <c r="Z24" i="246"/>
  <c r="AH24" i="246"/>
  <c r="AP24" i="246"/>
  <c r="M25" i="246"/>
  <c r="U25" i="246"/>
  <c r="AC25" i="246"/>
  <c r="AK25" i="246"/>
  <c r="AS25" i="246"/>
  <c r="Q26" i="246"/>
  <c r="Z26" i="246"/>
  <c r="AH26" i="246"/>
  <c r="AQ26" i="246"/>
  <c r="V17" i="246"/>
  <c r="AD17" i="246"/>
  <c r="AL17" i="246"/>
  <c r="Q18" i="246"/>
  <c r="R18" i="246" s="1"/>
  <c r="Z18" i="246" s="1"/>
  <c r="Y18" i="246"/>
  <c r="AG18" i="246"/>
  <c r="AO18" i="246"/>
  <c r="O20" i="246"/>
  <c r="W20" i="246"/>
  <c r="AE20" i="246"/>
  <c r="AM20" i="246"/>
  <c r="M22" i="246"/>
  <c r="U22" i="246"/>
  <c r="AC22" i="246"/>
  <c r="AK22" i="246"/>
  <c r="AS22" i="246"/>
  <c r="V25" i="246"/>
  <c r="AD25" i="246"/>
  <c r="AL25" i="246"/>
  <c r="R26" i="246"/>
  <c r="AA26" i="246"/>
  <c r="AI26" i="246"/>
  <c r="AR26" i="246"/>
  <c r="L9" i="246"/>
  <c r="T9" i="246"/>
  <c r="S14" i="246"/>
  <c r="AA14" i="246"/>
  <c r="AI14" i="246"/>
  <c r="L15" i="246"/>
  <c r="T15" i="246"/>
  <c r="L16" i="246"/>
  <c r="U16" i="246" s="1"/>
  <c r="T16" i="246"/>
  <c r="O17" i="246"/>
  <c r="W17" i="246" s="1"/>
  <c r="AE17" i="246"/>
  <c r="AM17" i="246"/>
  <c r="AH18" i="246"/>
  <c r="AP18" i="246"/>
  <c r="P20" i="246"/>
  <c r="X20" i="246"/>
  <c r="AF20" i="246"/>
  <c r="AN20" i="246"/>
  <c r="V22" i="246"/>
  <c r="AD22" i="246"/>
  <c r="AL22" i="246"/>
  <c r="Q23" i="246"/>
  <c r="Y23" i="246"/>
  <c r="AG23" i="246"/>
  <c r="L24" i="246"/>
  <c r="T24" i="246"/>
  <c r="AB24" i="246"/>
  <c r="AJ24" i="246"/>
  <c r="O25" i="246"/>
  <c r="W25" i="246"/>
  <c r="AE25" i="246"/>
  <c r="AM25" i="246"/>
  <c r="J26" i="246"/>
  <c r="S26" i="246"/>
  <c r="AB26" i="246"/>
  <c r="AJ26" i="246"/>
  <c r="AS26" i="246"/>
  <c r="Q20" i="246"/>
  <c r="Y20" i="246"/>
  <c r="AG20" i="246"/>
  <c r="AO20" i="246"/>
  <c r="O22" i="246"/>
  <c r="W22" i="246"/>
  <c r="AE22" i="246"/>
  <c r="AM22" i="246"/>
  <c r="P25" i="246"/>
  <c r="X25" i="246"/>
  <c r="AF25" i="246"/>
  <c r="AN25" i="246"/>
  <c r="L26" i="246"/>
  <c r="T26" i="246"/>
  <c r="AC26" i="246"/>
  <c r="AK26" i="246"/>
  <c r="Q17" i="246"/>
  <c r="R17" i="246" s="1"/>
  <c r="Y17" i="246"/>
  <c r="AG17" i="246"/>
  <c r="L18" i="246"/>
  <c r="U18" i="246" s="1"/>
  <c r="T18" i="246"/>
  <c r="J20" i="246"/>
  <c r="R20" i="246"/>
  <c r="Z20" i="246"/>
  <c r="AH20" i="246"/>
  <c r="AP20" i="246"/>
  <c r="P22" i="246"/>
  <c r="X22" i="246"/>
  <c r="AF22" i="246"/>
  <c r="AN22" i="246"/>
  <c r="Q25" i="246"/>
  <c r="Y25" i="246"/>
  <c r="AG25" i="246"/>
  <c r="AO25" i="246"/>
  <c r="M26" i="246"/>
  <c r="U26" i="246"/>
  <c r="AD26" i="246"/>
  <c r="AM26" i="246"/>
  <c r="S20" i="246"/>
  <c r="AA20" i="246"/>
  <c r="AI20" i="246"/>
  <c r="Q22" i="246"/>
  <c r="Y22" i="246"/>
  <c r="AG22" i="246"/>
  <c r="J25" i="246"/>
  <c r="R25" i="246"/>
  <c r="Z25" i="246"/>
  <c r="AH25" i="246"/>
  <c r="V26" i="246"/>
  <c r="AE26" i="246"/>
  <c r="L19" i="245"/>
  <c r="U19" i="245" s="1"/>
  <c r="AJ26" i="245"/>
  <c r="O24" i="245"/>
  <c r="AB24" i="245"/>
  <c r="W24" i="244"/>
  <c r="T13" i="245"/>
  <c r="X15" i="245"/>
  <c r="AO23" i="245"/>
  <c r="AC11" i="245"/>
  <c r="AP13" i="245"/>
  <c r="AO15" i="245"/>
  <c r="AS19" i="245"/>
  <c r="AS7" i="245"/>
  <c r="AA16" i="245"/>
  <c r="O17" i="245"/>
  <c r="W17" i="245" s="1"/>
  <c r="O19" i="245"/>
  <c r="W19" i="245" s="1"/>
  <c r="AL20" i="245"/>
  <c r="AD8" i="245"/>
  <c r="AQ8" i="245"/>
  <c r="AF10" i="245"/>
  <c r="AC17" i="245"/>
  <c r="X19" i="245"/>
  <c r="O20" i="245"/>
  <c r="W20" i="245" s="1"/>
  <c r="AN20" i="245"/>
  <c r="O25" i="245"/>
  <c r="AC8" i="245"/>
  <c r="AP8" i="245"/>
  <c r="P7" i="245"/>
  <c r="AE8" i="245"/>
  <c r="AS8" i="245"/>
  <c r="AP10" i="245"/>
  <c r="AD12" i="245"/>
  <c r="AE17" i="245"/>
  <c r="Q18" i="245"/>
  <c r="AF19" i="245"/>
  <c r="P20" i="245"/>
  <c r="AQ20" i="245"/>
  <c r="AL22" i="245"/>
  <c r="W25" i="245"/>
  <c r="X7" i="245"/>
  <c r="O8" i="245"/>
  <c r="W8" i="245" s="1"/>
  <c r="AF8" i="245"/>
  <c r="AH17" i="245"/>
  <c r="AK18" i="245"/>
  <c r="AN19" i="245"/>
  <c r="X20" i="245"/>
  <c r="AS20" i="245"/>
  <c r="AD25" i="245"/>
  <c r="AA7" i="245"/>
  <c r="P8" i="245"/>
  <c r="AH8" i="245"/>
  <c r="AK17" i="245"/>
  <c r="AP19" i="245"/>
  <c r="AC20" i="245"/>
  <c r="AL25" i="245"/>
  <c r="AI7" i="245"/>
  <c r="S8" i="245"/>
  <c r="AI8" i="245"/>
  <c r="AL17" i="245"/>
  <c r="AD20" i="245"/>
  <c r="AR7" i="245"/>
  <c r="L7" i="245" s="1"/>
  <c r="T8" i="245"/>
  <c r="AM8" i="245"/>
  <c r="AR17" i="245"/>
  <c r="L17" i="245" s="1"/>
  <c r="AE20" i="245"/>
  <c r="J25" i="245"/>
  <c r="AP14" i="245"/>
  <c r="X21" i="245"/>
  <c r="AC7" i="245"/>
  <c r="X8" i="245"/>
  <c r="AK8" i="245"/>
  <c r="AP9" i="245"/>
  <c r="O12" i="245"/>
  <c r="W12" i="245" s="1"/>
  <c r="O13" i="245"/>
  <c r="W13" i="245" s="1"/>
  <c r="AC14" i="245"/>
  <c r="AR14" i="245"/>
  <c r="L14" i="245" s="1"/>
  <c r="U14" i="245" s="1"/>
  <c r="Y15" i="245"/>
  <c r="AP15" i="245"/>
  <c r="AG16" i="245"/>
  <c r="T17" i="245"/>
  <c r="AM17" i="245"/>
  <c r="R18" i="245"/>
  <c r="Z18" i="245" s="1"/>
  <c r="M19" i="245"/>
  <c r="AA19" i="245"/>
  <c r="AQ19" i="245"/>
  <c r="S20" i="245"/>
  <c r="AI20" i="245"/>
  <c r="J21" i="245"/>
  <c r="Z21" i="245"/>
  <c r="AP21" i="245"/>
  <c r="L24" i="245"/>
  <c r="AE24" i="245"/>
  <c r="AE25" i="245"/>
  <c r="S26" i="245"/>
  <c r="AL9" i="245"/>
  <c r="AN21" i="245"/>
  <c r="AF7" i="245"/>
  <c r="AA8" i="245"/>
  <c r="AL8" i="245"/>
  <c r="Q11" i="245"/>
  <c r="R11" i="245" s="1"/>
  <c r="AB11" i="245" s="1"/>
  <c r="P12" i="245"/>
  <c r="Q13" i="245"/>
  <c r="R13" i="245" s="1"/>
  <c r="AB13" i="245" s="1"/>
  <c r="AD14" i="245"/>
  <c r="AS14" i="245"/>
  <c r="AC15" i="245"/>
  <c r="AO16" i="245"/>
  <c r="V17" i="245"/>
  <c r="AP17" i="245"/>
  <c r="AC18" i="245"/>
  <c r="AC19" i="245"/>
  <c r="AR19" i="245"/>
  <c r="V20" i="245"/>
  <c r="AK20" i="245"/>
  <c r="AA21" i="245"/>
  <c r="AQ21" i="245"/>
  <c r="AI24" i="245"/>
  <c r="AH25" i="245"/>
  <c r="AB26" i="245"/>
  <c r="AA23" i="244"/>
  <c r="S9" i="245"/>
  <c r="AE14" i="245"/>
  <c r="AE15" i="245"/>
  <c r="AQ16" i="245"/>
  <c r="AD21" i="245"/>
  <c r="AJ24" i="245"/>
  <c r="S7" i="245"/>
  <c r="AK7" i="245"/>
  <c r="T9" i="245"/>
  <c r="AO11" i="245"/>
  <c r="AN12" i="245"/>
  <c r="AA13" i="245"/>
  <c r="AH14" i="245"/>
  <c r="AG15" i="245"/>
  <c r="AD17" i="245"/>
  <c r="AS17" i="245"/>
  <c r="AO18" i="245"/>
  <c r="P19" i="245"/>
  <c r="AH19" i="245"/>
  <c r="AA20" i="245"/>
  <c r="AM20" i="245"/>
  <c r="P21" i="245"/>
  <c r="AF21" i="245"/>
  <c r="Q23" i="245"/>
  <c r="S24" i="245"/>
  <c r="AM24" i="245"/>
  <c r="R25" i="245"/>
  <c r="AM25" i="245"/>
  <c r="AS26" i="245"/>
  <c r="T7" i="245"/>
  <c r="AN7" i="245"/>
  <c r="AC9" i="245"/>
  <c r="AQ11" i="245"/>
  <c r="AO12" i="245"/>
  <c r="AH13" i="245"/>
  <c r="O14" i="245"/>
  <c r="W14" i="245" s="1"/>
  <c r="AK14" i="245"/>
  <c r="AH15" i="245"/>
  <c r="S19" i="245"/>
  <c r="AI19" i="245"/>
  <c r="R21" i="245"/>
  <c r="AH21" i="245"/>
  <c r="T24" i="245"/>
  <c r="AQ24" i="245"/>
  <c r="V25" i="245"/>
  <c r="AP25" i="245"/>
  <c r="AQ7" i="245"/>
  <c r="AF9" i="245"/>
  <c r="AO13" i="245"/>
  <c r="T14" i="245"/>
  <c r="AL14" i="245"/>
  <c r="P15" i="245"/>
  <c r="AK15" i="245"/>
  <c r="Q16" i="245"/>
  <c r="R16" i="245" s="1"/>
  <c r="T19" i="245"/>
  <c r="AK19" i="245"/>
  <c r="S21" i="245"/>
  <c r="AI21" i="245"/>
  <c r="V22" i="245"/>
  <c r="W24" i="245"/>
  <c r="AR24" i="245"/>
  <c r="AK9" i="245"/>
  <c r="V14" i="245"/>
  <c r="AM14" i="245"/>
  <c r="Q15" i="245"/>
  <c r="R15" i="245" s="1"/>
  <c r="AJ15" i="245" s="1"/>
  <c r="AM15" i="245"/>
  <c r="V21" i="245"/>
  <c r="AL21" i="245"/>
  <c r="AD22" i="245"/>
  <c r="AA24" i="245"/>
  <c r="Z25" i="245"/>
  <c r="J26" i="245"/>
  <c r="U8" i="245"/>
  <c r="M8" i="245"/>
  <c r="AH6" i="245"/>
  <c r="S14" i="244"/>
  <c r="S16" i="244"/>
  <c r="S6" i="245"/>
  <c r="AA6" i="245"/>
  <c r="AI6" i="245"/>
  <c r="AQ6" i="245"/>
  <c r="V7" i="245"/>
  <c r="AD7" i="245"/>
  <c r="AL7" i="245"/>
  <c r="Q8" i="245"/>
  <c r="R8" i="245" s="1"/>
  <c r="Z8" i="245" s="1"/>
  <c r="Y8" i="245"/>
  <c r="AG8" i="245"/>
  <c r="AO8" i="245"/>
  <c r="L9" i="245"/>
  <c r="U9" i="245" s="1"/>
  <c r="AD9" i="245"/>
  <c r="AM9" i="245"/>
  <c r="V10" i="245"/>
  <c r="AG10" i="245"/>
  <c r="AQ10" i="245"/>
  <c r="S11" i="245"/>
  <c r="AD11" i="245"/>
  <c r="AR11" i="245"/>
  <c r="L11" i="245" s="1"/>
  <c r="M11" i="245" s="1"/>
  <c r="Q12" i="245"/>
  <c r="R12" i="245" s="1"/>
  <c r="AB12" i="245" s="1"/>
  <c r="AE12" i="245"/>
  <c r="AR12" i="245"/>
  <c r="L12" i="245" s="1"/>
  <c r="U12" i="245" s="1"/>
  <c r="AE13" i="245"/>
  <c r="O15" i="245"/>
  <c r="W15" i="245" s="1"/>
  <c r="AR16" i="245"/>
  <c r="L16" i="245" s="1"/>
  <c r="AN18" i="245"/>
  <c r="AF18" i="245"/>
  <c r="X18" i="245"/>
  <c r="P18" i="245"/>
  <c r="AM18" i="245"/>
  <c r="AE18" i="245"/>
  <c r="O18" i="245"/>
  <c r="W18" i="245" s="1"/>
  <c r="AL18" i="245"/>
  <c r="AD18" i="245"/>
  <c r="V18" i="245"/>
  <c r="AS18" i="245"/>
  <c r="AR18" i="245"/>
  <c r="AJ18" i="245"/>
  <c r="AB18" i="245"/>
  <c r="T18" i="245"/>
  <c r="L18" i="245"/>
  <c r="U18" i="245" s="1"/>
  <c r="AQ18" i="245"/>
  <c r="AI18" i="245"/>
  <c r="AA18" i="245"/>
  <c r="S18" i="245"/>
  <c r="Y18" i="245"/>
  <c r="AE16" i="244"/>
  <c r="T6" i="245"/>
  <c r="AR6" i="245"/>
  <c r="L6" i="245" s="1"/>
  <c r="O7" i="245"/>
  <c r="W7" i="245" s="1"/>
  <c r="AE7" i="245"/>
  <c r="AM7" i="245"/>
  <c r="V9" i="245"/>
  <c r="AE9" i="245"/>
  <c r="AN9" i="245"/>
  <c r="X10" i="245"/>
  <c r="AH10" i="245"/>
  <c r="AS10" i="245"/>
  <c r="T11" i="245"/>
  <c r="AG11" i="245"/>
  <c r="T12" i="245"/>
  <c r="AN13" i="245"/>
  <c r="AF13" i="245"/>
  <c r="X13" i="245"/>
  <c r="P13" i="245"/>
  <c r="AL13" i="245"/>
  <c r="AD13" i="245"/>
  <c r="V13" i="245"/>
  <c r="AS13" i="245"/>
  <c r="AK13" i="245"/>
  <c r="AC13" i="245"/>
  <c r="S13" i="245"/>
  <c r="AG13" i="245"/>
  <c r="AR13" i="245"/>
  <c r="L13" i="245" s="1"/>
  <c r="O16" i="245"/>
  <c r="AE16" i="245"/>
  <c r="P10" i="244"/>
  <c r="AC6" i="245"/>
  <c r="AK6" i="245"/>
  <c r="AS6" i="245"/>
  <c r="Y10" i="245"/>
  <c r="AI10" i="245"/>
  <c r="AP11" i="245"/>
  <c r="AH11" i="245"/>
  <c r="AN11" i="245"/>
  <c r="AF11" i="245"/>
  <c r="X11" i="245"/>
  <c r="P11" i="245"/>
  <c r="AM11" i="245"/>
  <c r="AE11" i="245"/>
  <c r="O11" i="245"/>
  <c r="W11" i="245" s="1"/>
  <c r="AI11" i="245"/>
  <c r="AS12" i="245"/>
  <c r="AK12" i="245"/>
  <c r="AC12" i="245"/>
  <c r="AQ12" i="245"/>
  <c r="AI12" i="245"/>
  <c r="AA12" i="245"/>
  <c r="S12" i="245"/>
  <c r="AP12" i="245"/>
  <c r="AH12" i="245"/>
  <c r="V12" i="245"/>
  <c r="AG12" i="245"/>
  <c r="AM10" i="244"/>
  <c r="V6" i="245"/>
  <c r="AD6" i="245"/>
  <c r="AL6" i="245"/>
  <c r="Q7" i="245"/>
  <c r="R7" i="245" s="1"/>
  <c r="Z7" i="245" s="1"/>
  <c r="Y7" i="245"/>
  <c r="AG7" i="245"/>
  <c r="AO7" i="245"/>
  <c r="O9" i="245"/>
  <c r="W9" i="245" s="1"/>
  <c r="X9" i="245"/>
  <c r="AH9" i="245"/>
  <c r="AQ9" i="245"/>
  <c r="P10" i="245"/>
  <c r="AK10" i="245"/>
  <c r="V11" i="245"/>
  <c r="AI13" i="245"/>
  <c r="AL15" i="245"/>
  <c r="AD15" i="245"/>
  <c r="V15" i="245"/>
  <c r="AR15" i="245"/>
  <c r="L15" i="245" s="1"/>
  <c r="T15" i="245"/>
  <c r="AQ15" i="245"/>
  <c r="AI15" i="245"/>
  <c r="AA15" i="245"/>
  <c r="S15" i="245"/>
  <c r="AF15" i="245"/>
  <c r="AS15" i="245"/>
  <c r="S16" i="245"/>
  <c r="AI16" i="245"/>
  <c r="M18" i="245"/>
  <c r="AG18" i="245"/>
  <c r="AN23" i="245"/>
  <c r="AF23" i="245"/>
  <c r="X23" i="245"/>
  <c r="P23" i="245"/>
  <c r="AM23" i="245"/>
  <c r="AE23" i="245"/>
  <c r="W23" i="245"/>
  <c r="O23" i="245"/>
  <c r="AL23" i="245"/>
  <c r="AD23" i="245"/>
  <c r="V23" i="245"/>
  <c r="AS23" i="245"/>
  <c r="AK23" i="245"/>
  <c r="AC23" i="245"/>
  <c r="U23" i="245"/>
  <c r="M23" i="245"/>
  <c r="AR23" i="245"/>
  <c r="AJ23" i="245"/>
  <c r="AB23" i="245"/>
  <c r="T23" i="245"/>
  <c r="L23" i="245"/>
  <c r="AQ23" i="245"/>
  <c r="AI23" i="245"/>
  <c r="AA23" i="245"/>
  <c r="S23" i="245"/>
  <c r="AP23" i="245"/>
  <c r="AH23" i="245"/>
  <c r="Z23" i="245"/>
  <c r="R23" i="245"/>
  <c r="J23" i="245"/>
  <c r="O6" i="245"/>
  <c r="W6" i="245" s="1"/>
  <c r="AE6" i="245"/>
  <c r="AM6" i="245"/>
  <c r="J7" i="245"/>
  <c r="AH7" i="245"/>
  <c r="P9" i="245"/>
  <c r="AI9" i="245"/>
  <c r="Q10" i="245"/>
  <c r="R10" i="245" s="1"/>
  <c r="AA10" i="245"/>
  <c r="AL10" i="245"/>
  <c r="Y11" i="245"/>
  <c r="AK11" i="245"/>
  <c r="X12" i="245"/>
  <c r="AL12" i="245"/>
  <c r="Y13" i="245"/>
  <c r="T16" i="245"/>
  <c r="U17" i="245"/>
  <c r="M17" i="245"/>
  <c r="AH18" i="245"/>
  <c r="P6" i="245"/>
  <c r="X6" i="245"/>
  <c r="AF6" i="245"/>
  <c r="AN6" i="245"/>
  <c r="AO9" i="245"/>
  <c r="AG9" i="245"/>
  <c r="Y9" i="245"/>
  <c r="Q9" i="245"/>
  <c r="R9" i="245" s="1"/>
  <c r="AA9" i="245"/>
  <c r="AS9" i="245"/>
  <c r="AC10" i="245"/>
  <c r="AA11" i="245"/>
  <c r="AL11" i="245"/>
  <c r="Y12" i="245"/>
  <c r="AM12" i="245"/>
  <c r="AM13" i="245"/>
  <c r="AP16" i="245"/>
  <c r="AH16" i="245"/>
  <c r="AN16" i="245"/>
  <c r="AF16" i="245"/>
  <c r="X16" i="245"/>
  <c r="P16" i="245"/>
  <c r="AL16" i="245"/>
  <c r="AD16" i="245"/>
  <c r="V16" i="245"/>
  <c r="AS16" i="245"/>
  <c r="AK16" i="245"/>
  <c r="AC16" i="245"/>
  <c r="U16" i="245"/>
  <c r="M16" i="245"/>
  <c r="W16" i="245"/>
  <c r="AM16" i="245"/>
  <c r="Q6" i="245"/>
  <c r="R6" i="245" s="1"/>
  <c r="Y6" i="245"/>
  <c r="AG6" i="245"/>
  <c r="AM10" i="245"/>
  <c r="AE10" i="245"/>
  <c r="O10" i="245"/>
  <c r="W10" i="245" s="1"/>
  <c r="AR10" i="245"/>
  <c r="L10" i="245" s="1"/>
  <c r="U10" i="245" s="1"/>
  <c r="T10" i="245"/>
  <c r="S10" i="245"/>
  <c r="AD10" i="245"/>
  <c r="AO10" i="245"/>
  <c r="P14" i="245"/>
  <c r="X14" i="245"/>
  <c r="AF14" i="245"/>
  <c r="AN14" i="245"/>
  <c r="P17" i="245"/>
  <c r="X17" i="245"/>
  <c r="AF17" i="245"/>
  <c r="AN17" i="245"/>
  <c r="V19" i="245"/>
  <c r="AD19" i="245"/>
  <c r="AL19" i="245"/>
  <c r="Q20" i="245"/>
  <c r="R20" i="245" s="1"/>
  <c r="Z20" i="245" s="1"/>
  <c r="Y20" i="245"/>
  <c r="AG20" i="245"/>
  <c r="AO20" i="245"/>
  <c r="L21" i="245"/>
  <c r="T21" i="245"/>
  <c r="AB21" i="245"/>
  <c r="AJ21" i="245"/>
  <c r="AR21" i="245"/>
  <c r="O22" i="245"/>
  <c r="W22" i="245"/>
  <c r="AE22" i="245"/>
  <c r="AM22" i="245"/>
  <c r="M24" i="245"/>
  <c r="U24" i="245"/>
  <c r="AC24" i="245"/>
  <c r="AK24" i="245"/>
  <c r="AS24" i="245"/>
  <c r="P25" i="245"/>
  <c r="X25" i="245"/>
  <c r="AF25" i="245"/>
  <c r="AN25" i="245"/>
  <c r="L26" i="245"/>
  <c r="T26" i="245"/>
  <c r="AC26" i="245"/>
  <c r="AK26" i="245"/>
  <c r="Q14" i="245"/>
  <c r="R14" i="245" s="1"/>
  <c r="Y14" i="245"/>
  <c r="AG14" i="245"/>
  <c r="AO14" i="245"/>
  <c r="Q17" i="245"/>
  <c r="R17" i="245" s="1"/>
  <c r="Y17" i="245"/>
  <c r="AG17" i="245"/>
  <c r="AO17" i="245"/>
  <c r="AE19" i="245"/>
  <c r="AM19" i="245"/>
  <c r="AH20" i="245"/>
  <c r="AP20" i="245"/>
  <c r="M21" i="245"/>
  <c r="U21" i="245"/>
  <c r="AC21" i="245"/>
  <c r="AK21" i="245"/>
  <c r="AS21" i="245"/>
  <c r="P22" i="245"/>
  <c r="X22" i="245"/>
  <c r="AF22" i="245"/>
  <c r="AN22" i="245"/>
  <c r="V24" i="245"/>
  <c r="AD24" i="245"/>
  <c r="AL24" i="245"/>
  <c r="Q25" i="245"/>
  <c r="Y25" i="245"/>
  <c r="AG25" i="245"/>
  <c r="AO25" i="245"/>
  <c r="M26" i="245"/>
  <c r="U26" i="245"/>
  <c r="AD26" i="245"/>
  <c r="AM26" i="245"/>
  <c r="Q22" i="245"/>
  <c r="Y22" i="245"/>
  <c r="AG22" i="245"/>
  <c r="AO22" i="245"/>
  <c r="V26" i="245"/>
  <c r="AE26" i="245"/>
  <c r="AN26" i="245"/>
  <c r="S14" i="245"/>
  <c r="AA14" i="245"/>
  <c r="AI14" i="245"/>
  <c r="S17" i="245"/>
  <c r="AA17" i="245"/>
  <c r="AI17" i="245"/>
  <c r="Q19" i="245"/>
  <c r="R19" i="245" s="1"/>
  <c r="Y19" i="245"/>
  <c r="AG19" i="245"/>
  <c r="L20" i="245"/>
  <c r="T20" i="245"/>
  <c r="AB20" i="245"/>
  <c r="O21" i="245"/>
  <c r="W21" i="245"/>
  <c r="AE21" i="245"/>
  <c r="AM21" i="245"/>
  <c r="J22" i="245"/>
  <c r="R22" i="245"/>
  <c r="Z22" i="245"/>
  <c r="AH22" i="245"/>
  <c r="AP22" i="245"/>
  <c r="P24" i="245"/>
  <c r="X24" i="245"/>
  <c r="AF24" i="245"/>
  <c r="AN24" i="245"/>
  <c r="S25" i="245"/>
  <c r="AA25" i="245"/>
  <c r="AI25" i="245"/>
  <c r="AQ25" i="245"/>
  <c r="O26" i="245"/>
  <c r="W26" i="245"/>
  <c r="AF26" i="245"/>
  <c r="AO26" i="245"/>
  <c r="S22" i="245"/>
  <c r="AA22" i="245"/>
  <c r="AI22" i="245"/>
  <c r="AQ22" i="245"/>
  <c r="Q24" i="245"/>
  <c r="Y24" i="245"/>
  <c r="AG24" i="245"/>
  <c r="AO24" i="245"/>
  <c r="L25" i="245"/>
  <c r="T25" i="245"/>
  <c r="AB25" i="245"/>
  <c r="AJ25" i="245"/>
  <c r="AR25" i="245"/>
  <c r="P26" i="245"/>
  <c r="Y26" i="245"/>
  <c r="AG26" i="245"/>
  <c r="AP26" i="245"/>
  <c r="Q21" i="245"/>
  <c r="Y21" i="245"/>
  <c r="AG21" i="245"/>
  <c r="L22" i="245"/>
  <c r="T22" i="245"/>
  <c r="AB22" i="245"/>
  <c r="AJ22" i="245"/>
  <c r="AR22" i="245"/>
  <c r="J24" i="245"/>
  <c r="R24" i="245"/>
  <c r="Z24" i="245"/>
  <c r="AH24" i="245"/>
  <c r="M25" i="245"/>
  <c r="U25" i="245"/>
  <c r="AC25" i="245"/>
  <c r="AK25" i="245"/>
  <c r="Q26" i="245"/>
  <c r="Z26" i="245"/>
  <c r="AH26" i="245"/>
  <c r="AQ26" i="245"/>
  <c r="M22" i="245"/>
  <c r="U22" i="245"/>
  <c r="AC22" i="245"/>
  <c r="AK22" i="245"/>
  <c r="R26" i="245"/>
  <c r="AA26" i="245"/>
  <c r="AI26" i="245"/>
  <c r="AF10" i="244"/>
  <c r="AS16" i="244"/>
  <c r="AQ24" i="244"/>
  <c r="AS23" i="244"/>
  <c r="V17" i="244"/>
  <c r="AH17" i="244"/>
  <c r="L23" i="244"/>
  <c r="AD10" i="244"/>
  <c r="P14" i="244"/>
  <c r="AA20" i="244"/>
  <c r="Z23" i="244"/>
  <c r="AQ23" i="244"/>
  <c r="AD14" i="244"/>
  <c r="R22" i="244"/>
  <c r="M23" i="244"/>
  <c r="AB23" i="244"/>
  <c r="AN10" i="244"/>
  <c r="AH14" i="244"/>
  <c r="Z22" i="244"/>
  <c r="AD23" i="244"/>
  <c r="V6" i="244"/>
  <c r="AP14" i="244"/>
  <c r="AA17" i="244"/>
  <c r="AC21" i="244"/>
  <c r="AH22" i="244"/>
  <c r="P23" i="244"/>
  <c r="AH23" i="244"/>
  <c r="AO6" i="244"/>
  <c r="S8" i="244"/>
  <c r="AQ14" i="244"/>
  <c r="AD17" i="244"/>
  <c r="AL21" i="244"/>
  <c r="AP22" i="244"/>
  <c r="R23" i="244"/>
  <c r="AJ23" i="244"/>
  <c r="O26" i="244"/>
  <c r="AN8" i="244"/>
  <c r="O10" i="244"/>
  <c r="W10" i="244" s="1"/>
  <c r="V23" i="244"/>
  <c r="AK23" i="244"/>
  <c r="AR8" i="244"/>
  <c r="L8" i="244" s="1"/>
  <c r="J22" i="244"/>
  <c r="J23" i="244"/>
  <c r="X23" i="244"/>
  <c r="AN23" i="244"/>
  <c r="Y6" i="244"/>
  <c r="AQ6" i="244"/>
  <c r="AH10" i="244"/>
  <c r="AK14" i="244"/>
  <c r="AI16" i="244"/>
  <c r="V18" i="244"/>
  <c r="T21" i="244"/>
  <c r="X24" i="244"/>
  <c r="AF26" i="244"/>
  <c r="AA6" i="244"/>
  <c r="AQ16" i="244"/>
  <c r="AL18" i="244"/>
  <c r="AA24" i="244"/>
  <c r="AG6" i="244"/>
  <c r="V10" i="244"/>
  <c r="AO10" i="244"/>
  <c r="V14" i="244"/>
  <c r="AR14" i="244"/>
  <c r="L14" i="244" s="1"/>
  <c r="M14" i="244" s="1"/>
  <c r="AL17" i="244"/>
  <c r="AE20" i="244"/>
  <c r="T23" i="244"/>
  <c r="AI23" i="244"/>
  <c r="M24" i="244"/>
  <c r="AF24" i="244"/>
  <c r="S25" i="244"/>
  <c r="AD6" i="244"/>
  <c r="AI6" i="244"/>
  <c r="AC10" i="244"/>
  <c r="AP10" i="244"/>
  <c r="AC14" i="244"/>
  <c r="AS14" i="244"/>
  <c r="O16" i="244"/>
  <c r="W16" i="244" s="1"/>
  <c r="AQ17" i="244"/>
  <c r="AR20" i="244"/>
  <c r="AK24" i="244"/>
  <c r="AA25" i="244"/>
  <c r="Q6" i="244"/>
  <c r="R6" i="244" s="1"/>
  <c r="AK6" i="244"/>
  <c r="P24" i="244"/>
  <c r="AL24" i="244"/>
  <c r="S6" i="244"/>
  <c r="AL6" i="244"/>
  <c r="AE10" i="244"/>
  <c r="AF14" i="244"/>
  <c r="AD16" i="244"/>
  <c r="S17" i="244"/>
  <c r="U24" i="244"/>
  <c r="AM24" i="244"/>
  <c r="AE11" i="244"/>
  <c r="AQ13" i="244"/>
  <c r="V15" i="244"/>
  <c r="AI15" i="244"/>
  <c r="AS15" i="244"/>
  <c r="T8" i="244"/>
  <c r="X10" i="244"/>
  <c r="AK10" i="244"/>
  <c r="AF11" i="244"/>
  <c r="AA12" i="244"/>
  <c r="AL12" i="244"/>
  <c r="X14" i="244"/>
  <c r="AL14" i="244"/>
  <c r="X15" i="244"/>
  <c r="AK15" i="244"/>
  <c r="V16" i="244"/>
  <c r="AK16" i="244"/>
  <c r="AP17" i="244"/>
  <c r="O20" i="244"/>
  <c r="W20" i="244" s="1"/>
  <c r="AI20" i="244"/>
  <c r="L21" i="244"/>
  <c r="U21" i="244"/>
  <c r="AD21" i="244"/>
  <c r="AM21" i="244"/>
  <c r="U23" i="244"/>
  <c r="AF23" i="244"/>
  <c r="AR23" i="244"/>
  <c r="S24" i="244"/>
  <c r="AE24" i="244"/>
  <c r="AS24" i="244"/>
  <c r="AD25" i="244"/>
  <c r="AO26" i="244"/>
  <c r="X12" i="244"/>
  <c r="AK12" i="244"/>
  <c r="AA8" i="244"/>
  <c r="Y10" i="244"/>
  <c r="AL10" i="244"/>
  <c r="AG11" i="244"/>
  <c r="AC12" i="244"/>
  <c r="AM12" i="244"/>
  <c r="AA14" i="244"/>
  <c r="AN14" i="244"/>
  <c r="AA15" i="244"/>
  <c r="AL15" i="244"/>
  <c r="X16" i="244"/>
  <c r="AL16" i="244"/>
  <c r="M21" i="244"/>
  <c r="V21" i="244"/>
  <c r="AE21" i="244"/>
  <c r="AN21" i="244"/>
  <c r="AI25" i="244"/>
  <c r="AE8" i="244"/>
  <c r="O11" i="244"/>
  <c r="W11" i="244" s="1"/>
  <c r="AM11" i="244"/>
  <c r="O12" i="244"/>
  <c r="W12" i="244" s="1"/>
  <c r="AD12" i="244"/>
  <c r="AN12" i="244"/>
  <c r="P13" i="244"/>
  <c r="AC15" i="244"/>
  <c r="AM15" i="244"/>
  <c r="AA16" i="244"/>
  <c r="AM16" i="244"/>
  <c r="S20" i="244"/>
  <c r="AM20" i="244"/>
  <c r="W21" i="244"/>
  <c r="AF21" i="244"/>
  <c r="AP21" i="244"/>
  <c r="V24" i="244"/>
  <c r="AI24" i="244"/>
  <c r="J25" i="244"/>
  <c r="AQ25" i="244"/>
  <c r="AI8" i="244"/>
  <c r="T11" i="244"/>
  <c r="AN11" i="244"/>
  <c r="P12" i="244"/>
  <c r="AE12" i="244"/>
  <c r="AP12" i="244"/>
  <c r="AF13" i="244"/>
  <c r="O15" i="244"/>
  <c r="W15" i="244" s="1"/>
  <c r="AD15" i="244"/>
  <c r="AN15" i="244"/>
  <c r="AC16" i="244"/>
  <c r="AN16" i="244"/>
  <c r="T20" i="244"/>
  <c r="AQ20" i="244"/>
  <c r="O21" i="244"/>
  <c r="X21" i="244"/>
  <c r="AH21" i="244"/>
  <c r="AQ21" i="244"/>
  <c r="X11" i="244"/>
  <c r="AO11" i="244"/>
  <c r="S12" i="244"/>
  <c r="AF12" i="244"/>
  <c r="AQ12" i="244"/>
  <c r="AG13" i="244"/>
  <c r="P15" i="244"/>
  <c r="AE15" i="244"/>
  <c r="AP15" i="244"/>
  <c r="P21" i="244"/>
  <c r="Z21" i="244"/>
  <c r="AI21" i="244"/>
  <c r="AR21" i="244"/>
  <c r="AA11" i="244"/>
  <c r="AP11" i="244"/>
  <c r="T12" i="244"/>
  <c r="AH12" i="244"/>
  <c r="AR12" i="244"/>
  <c r="L12" i="244" s="1"/>
  <c r="U12" i="244" s="1"/>
  <c r="AK13" i="244"/>
  <c r="S15" i="244"/>
  <c r="AF15" i="244"/>
  <c r="AQ15" i="244"/>
  <c r="R21" i="244"/>
  <c r="AA21" i="244"/>
  <c r="AJ21" i="244"/>
  <c r="AS21" i="244"/>
  <c r="AC6" i="244"/>
  <c r="AS6" i="244"/>
  <c r="O8" i="244"/>
  <c r="W8" i="244" s="1"/>
  <c r="T10" i="244"/>
  <c r="AG10" i="244"/>
  <c r="AC11" i="244"/>
  <c r="AS11" i="244"/>
  <c r="V12" i="244"/>
  <c r="AI12" i="244"/>
  <c r="AS12" i="244"/>
  <c r="AP13" i="244"/>
  <c r="T14" i="244"/>
  <c r="AI14" i="244"/>
  <c r="T15" i="244"/>
  <c r="AH15" i="244"/>
  <c r="AR15" i="244"/>
  <c r="L15" i="244" s="1"/>
  <c r="M15" i="244" s="1"/>
  <c r="P16" i="244"/>
  <c r="AF16" i="244"/>
  <c r="AI17" i="244"/>
  <c r="AD18" i="244"/>
  <c r="L20" i="244"/>
  <c r="U20" i="244" s="1"/>
  <c r="J21" i="244"/>
  <c r="S21" i="244"/>
  <c r="AB21" i="244"/>
  <c r="AK21" i="244"/>
  <c r="S23" i="244"/>
  <c r="AC23" i="244"/>
  <c r="AP23" i="244"/>
  <c r="O24" i="244"/>
  <c r="AC24" i="244"/>
  <c r="AN24" i="244"/>
  <c r="V25" i="244"/>
  <c r="W26" i="244"/>
  <c r="M10" i="244"/>
  <c r="U10" i="244"/>
  <c r="Y7" i="244"/>
  <c r="AN19" i="244"/>
  <c r="AF19" i="244"/>
  <c r="X19" i="244"/>
  <c r="P19" i="244"/>
  <c r="AM19" i="244"/>
  <c r="AE19" i="244"/>
  <c r="O19" i="244"/>
  <c r="W19" i="244" s="1"/>
  <c r="AL19" i="244"/>
  <c r="AD19" i="244"/>
  <c r="V19" i="244"/>
  <c r="AS19" i="244"/>
  <c r="AK19" i="244"/>
  <c r="AC19" i="244"/>
  <c r="AR19" i="244"/>
  <c r="T19" i="244"/>
  <c r="L19" i="244"/>
  <c r="U19" i="244" s="1"/>
  <c r="AQ19" i="244"/>
  <c r="AI19" i="244"/>
  <c r="AA19" i="244"/>
  <c r="S19" i="244"/>
  <c r="AP19" i="244"/>
  <c r="AH19" i="244"/>
  <c r="O6" i="244"/>
  <c r="W6" i="244" s="1"/>
  <c r="AE6" i="244"/>
  <c r="AM6" i="244"/>
  <c r="J7" i="244"/>
  <c r="J8" i="244" s="1"/>
  <c r="J9" i="244" s="1"/>
  <c r="J10" i="244" s="1"/>
  <c r="J11" i="244" s="1"/>
  <c r="J12" i="244" s="1"/>
  <c r="J13" i="244" s="1"/>
  <c r="J14" i="244" s="1"/>
  <c r="J15" i="244" s="1"/>
  <c r="J16" i="244" s="1"/>
  <c r="J17" i="244" s="1"/>
  <c r="J18" i="244" s="1"/>
  <c r="J19" i="244" s="1"/>
  <c r="J20" i="244" s="1"/>
  <c r="AH7" i="244"/>
  <c r="AP7" i="244"/>
  <c r="AC8" i="244"/>
  <c r="AL8" i="244"/>
  <c r="S9" i="244"/>
  <c r="AQ10" i="244"/>
  <c r="AI10" i="244"/>
  <c r="AA10" i="244"/>
  <c r="S10" i="244"/>
  <c r="Q10" i="244"/>
  <c r="R10" i="244" s="1"/>
  <c r="AB10" i="244" s="1"/>
  <c r="AS10" i="244"/>
  <c r="P11" i="244"/>
  <c r="Y11" i="244"/>
  <c r="AH11" i="244"/>
  <c r="X13" i="244"/>
  <c r="AH13" i="244"/>
  <c r="AS13" i="244"/>
  <c r="Q7" i="244"/>
  <c r="R7" i="244" s="1"/>
  <c r="AN9" i="244"/>
  <c r="AF9" i="244"/>
  <c r="X9" i="244"/>
  <c r="P9" i="244"/>
  <c r="AA9" i="244"/>
  <c r="AS9" i="244"/>
  <c r="P6" i="244"/>
  <c r="X6" i="244"/>
  <c r="AF6" i="244"/>
  <c r="AN6" i="244"/>
  <c r="S7" i="244"/>
  <c r="AA7" i="244"/>
  <c r="AI7" i="244"/>
  <c r="AQ7" i="244"/>
  <c r="V8" i="244"/>
  <c r="AD8" i="244"/>
  <c r="AM8" i="244"/>
  <c r="T9" i="244"/>
  <c r="AC9" i="244"/>
  <c r="AL9" i="244"/>
  <c r="AL11" i="244"/>
  <c r="AD11" i="244"/>
  <c r="V11" i="244"/>
  <c r="Q11" i="244"/>
  <c r="R11" i="244" s="1"/>
  <c r="AJ11" i="244" s="1"/>
  <c r="AI11" i="244"/>
  <c r="AR11" i="244"/>
  <c r="L11" i="244" s="1"/>
  <c r="O13" i="244"/>
  <c r="W13" i="244" s="1"/>
  <c r="Y13" i="244"/>
  <c r="AI13" i="244"/>
  <c r="T7" i="244"/>
  <c r="AR7" i="244"/>
  <c r="L7" i="244" s="1"/>
  <c r="AD9" i="244"/>
  <c r="AM9" i="244"/>
  <c r="Q19" i="244"/>
  <c r="R19" i="244" s="1"/>
  <c r="AB19" i="244" s="1"/>
  <c r="AH6" i="244"/>
  <c r="AP6" i="244"/>
  <c r="AC7" i="244"/>
  <c r="AK7" i="244"/>
  <c r="AS7" i="244"/>
  <c r="P8" i="244"/>
  <c r="X8" i="244"/>
  <c r="AF8" i="244"/>
  <c r="V9" i="244"/>
  <c r="AE9" i="244"/>
  <c r="AO9" i="244"/>
  <c r="S11" i="244"/>
  <c r="AK11" i="244"/>
  <c r="Q13" i="244"/>
  <c r="R13" i="244" s="1"/>
  <c r="AA13" i="244"/>
  <c r="Y19" i="244"/>
  <c r="M23" i="243"/>
  <c r="V7" i="244"/>
  <c r="AD7" i="244"/>
  <c r="AL7" i="244"/>
  <c r="AS8" i="244"/>
  <c r="AK8" i="244"/>
  <c r="Q8" i="244"/>
  <c r="R8" i="244" s="1"/>
  <c r="Z8" i="244" s="1"/>
  <c r="Y8" i="244"/>
  <c r="AG8" i="244"/>
  <c r="AP8" i="244"/>
  <c r="AG9" i="244"/>
  <c r="AP9" i="244"/>
  <c r="AL13" i="244"/>
  <c r="AD13" i="244"/>
  <c r="V13" i="244"/>
  <c r="AR13" i="244"/>
  <c r="L13" i="244" s="1"/>
  <c r="T13" i="244"/>
  <c r="AC13" i="244"/>
  <c r="AN13" i="244"/>
  <c r="AG19" i="244"/>
  <c r="AG7" i="244"/>
  <c r="AO7" i="244"/>
  <c r="L6" i="244"/>
  <c r="T6" i="244"/>
  <c r="O7" i="244"/>
  <c r="W7" i="244" s="1"/>
  <c r="AE7" i="244"/>
  <c r="AM7" i="244"/>
  <c r="AH8" i="244"/>
  <c r="AQ8" i="244"/>
  <c r="O9" i="244"/>
  <c r="W9" i="244" s="1"/>
  <c r="Y9" i="244"/>
  <c r="AH9" i="244"/>
  <c r="AQ9" i="244"/>
  <c r="S13" i="244"/>
  <c r="AE13" i="244"/>
  <c r="AO13" i="244"/>
  <c r="AO19" i="244"/>
  <c r="P7" i="244"/>
  <c r="X7" i="244"/>
  <c r="AF7" i="244"/>
  <c r="Q9" i="244"/>
  <c r="R9" i="244" s="1"/>
  <c r="AI9" i="244"/>
  <c r="AR9" i="244"/>
  <c r="L9" i="244" s="1"/>
  <c r="Q16" i="244"/>
  <c r="R16" i="244" s="1"/>
  <c r="Y16" i="244"/>
  <c r="AG16" i="244"/>
  <c r="AO16" i="244"/>
  <c r="T17" i="244"/>
  <c r="AR17" i="244"/>
  <c r="L17" i="244" s="1"/>
  <c r="M17" i="244" s="1"/>
  <c r="O18" i="244"/>
  <c r="W18" i="244" s="1"/>
  <c r="AE18" i="244"/>
  <c r="AM18" i="244"/>
  <c r="AC20" i="244"/>
  <c r="AK20" i="244"/>
  <c r="AS20" i="244"/>
  <c r="S22" i="244"/>
  <c r="AA22" i="244"/>
  <c r="AI22" i="244"/>
  <c r="AQ22" i="244"/>
  <c r="AL23" i="244"/>
  <c r="Q24" i="244"/>
  <c r="Y24" i="244"/>
  <c r="AG24" i="244"/>
  <c r="AO24" i="244"/>
  <c r="L25" i="244"/>
  <c r="T25" i="244"/>
  <c r="AB25" i="244"/>
  <c r="AJ25" i="244"/>
  <c r="AR25" i="244"/>
  <c r="P26" i="244"/>
  <c r="Y26" i="244"/>
  <c r="AG26" i="244"/>
  <c r="AP26" i="244"/>
  <c r="Q12" i="244"/>
  <c r="R12" i="244" s="1"/>
  <c r="Y12" i="244"/>
  <c r="AG12" i="244"/>
  <c r="O14" i="244"/>
  <c r="W14" i="244" s="1"/>
  <c r="AE14" i="244"/>
  <c r="AM14" i="244"/>
  <c r="Q15" i="244"/>
  <c r="R15" i="244" s="1"/>
  <c r="Y15" i="244"/>
  <c r="AG15" i="244"/>
  <c r="AH16" i="244"/>
  <c r="AP16" i="244"/>
  <c r="AC17" i="244"/>
  <c r="AK17" i="244"/>
  <c r="AS17" i="244"/>
  <c r="P18" i="244"/>
  <c r="X18" i="244"/>
  <c r="AF18" i="244"/>
  <c r="AN18" i="244"/>
  <c r="V20" i="244"/>
  <c r="AD20" i="244"/>
  <c r="AL20" i="244"/>
  <c r="Q21" i="244"/>
  <c r="Y21" i="244"/>
  <c r="AG21" i="244"/>
  <c r="L22" i="244"/>
  <c r="T22" i="244"/>
  <c r="AB22" i="244"/>
  <c r="AJ22" i="244"/>
  <c r="AR22" i="244"/>
  <c r="O23" i="244"/>
  <c r="W23" i="244"/>
  <c r="AE23" i="244"/>
  <c r="AM23" i="244"/>
  <c r="J24" i="244"/>
  <c r="R24" i="244"/>
  <c r="Z24" i="244"/>
  <c r="AH24" i="244"/>
  <c r="AP24" i="244"/>
  <c r="M25" i="244"/>
  <c r="U25" i="244"/>
  <c r="AC25" i="244"/>
  <c r="AK25" i="244"/>
  <c r="AS25" i="244"/>
  <c r="Q26" i="244"/>
  <c r="Z26" i="244"/>
  <c r="AH26" i="244"/>
  <c r="AQ26" i="244"/>
  <c r="Q18" i="244"/>
  <c r="R18" i="244" s="1"/>
  <c r="Z18" i="244" s="1"/>
  <c r="Y18" i="244"/>
  <c r="AG18" i="244"/>
  <c r="AO18" i="244"/>
  <c r="M22" i="244"/>
  <c r="U22" i="244"/>
  <c r="AC22" i="244"/>
  <c r="AK22" i="244"/>
  <c r="AS22" i="244"/>
  <c r="AL25" i="244"/>
  <c r="R26" i="244"/>
  <c r="AA26" i="244"/>
  <c r="AI26" i="244"/>
  <c r="AR26" i="244"/>
  <c r="Q14" i="244"/>
  <c r="R14" i="244" s="1"/>
  <c r="Y14" i="244"/>
  <c r="AG14" i="244"/>
  <c r="L16" i="244"/>
  <c r="T16" i="244"/>
  <c r="O17" i="244"/>
  <c r="W17" i="244" s="1"/>
  <c r="AE17" i="244"/>
  <c r="AM17" i="244"/>
  <c r="AH18" i="244"/>
  <c r="AP18" i="244"/>
  <c r="P20" i="244"/>
  <c r="X20" i="244"/>
  <c r="AF20" i="244"/>
  <c r="AN20" i="244"/>
  <c r="V22" i="244"/>
  <c r="AD22" i="244"/>
  <c r="AL22" i="244"/>
  <c r="Q23" i="244"/>
  <c r="Y23" i="244"/>
  <c r="AG23" i="244"/>
  <c r="L24" i="244"/>
  <c r="T24" i="244"/>
  <c r="AB24" i="244"/>
  <c r="AJ24" i="244"/>
  <c r="O25" i="244"/>
  <c r="W25" i="244"/>
  <c r="AE25" i="244"/>
  <c r="AM25" i="244"/>
  <c r="J26" i="244"/>
  <c r="S26" i="244"/>
  <c r="AB26" i="244"/>
  <c r="AJ26" i="244"/>
  <c r="AS26" i="244"/>
  <c r="P17" i="244"/>
  <c r="X17" i="244"/>
  <c r="AF17" i="244"/>
  <c r="AN17" i="244"/>
  <c r="S18" i="244"/>
  <c r="AA18" i="244"/>
  <c r="AI18" i="244"/>
  <c r="AQ18" i="244"/>
  <c r="Q20" i="244"/>
  <c r="R20" i="244" s="1"/>
  <c r="Y20" i="244"/>
  <c r="AG20" i="244"/>
  <c r="AO20" i="244"/>
  <c r="O22" i="244"/>
  <c r="W22" i="244"/>
  <c r="AE22" i="244"/>
  <c r="AM22" i="244"/>
  <c r="P25" i="244"/>
  <c r="X25" i="244"/>
  <c r="AF25" i="244"/>
  <c r="AN25" i="244"/>
  <c r="L26" i="244"/>
  <c r="T26" i="244"/>
  <c r="AC26" i="244"/>
  <c r="AK26" i="244"/>
  <c r="Q17" i="244"/>
  <c r="R17" i="244" s="1"/>
  <c r="Z17" i="244" s="1"/>
  <c r="Y17" i="244"/>
  <c r="AG17" i="244"/>
  <c r="L18" i="244"/>
  <c r="M18" i="244" s="1"/>
  <c r="T18" i="244"/>
  <c r="AR18" i="244"/>
  <c r="AH20" i="244"/>
  <c r="P22" i="244"/>
  <c r="X22" i="244"/>
  <c r="AF22" i="244"/>
  <c r="AN22" i="244"/>
  <c r="Q25" i="244"/>
  <c r="Y25" i="244"/>
  <c r="AG25" i="244"/>
  <c r="AO25" i="244"/>
  <c r="M26" i="244"/>
  <c r="U26" i="244"/>
  <c r="AD26" i="244"/>
  <c r="AM26" i="244"/>
  <c r="AC18" i="244"/>
  <c r="AK18" i="244"/>
  <c r="Q22" i="244"/>
  <c r="Y22" i="244"/>
  <c r="AG22" i="244"/>
  <c r="R25" i="244"/>
  <c r="Z25" i="244"/>
  <c r="AH25" i="244"/>
  <c r="V26" i="244"/>
  <c r="AE26" i="244"/>
  <c r="AH12" i="243"/>
  <c r="X17" i="243"/>
  <c r="AO11" i="243"/>
  <c r="P24" i="243"/>
  <c r="AF9" i="243"/>
  <c r="AP11" i="243"/>
  <c r="AE20" i="243"/>
  <c r="S24" i="243"/>
  <c r="Z23" i="243"/>
  <c r="P17" i="243"/>
  <c r="Y17" i="243"/>
  <c r="X19" i="243"/>
  <c r="AF24" i="243"/>
  <c r="AA17" i="243"/>
  <c r="AA8" i="243"/>
  <c r="AK16" i="243"/>
  <c r="AQ23" i="243"/>
  <c r="L20" i="243"/>
  <c r="U20" i="243" s="1"/>
  <c r="AS12" i="243"/>
  <c r="L9" i="243"/>
  <c r="M9" i="243" s="1"/>
  <c r="AA20" i="243"/>
  <c r="AH8" i="243"/>
  <c r="AH9" i="243"/>
  <c r="AI12" i="243"/>
  <c r="AH20" i="243"/>
  <c r="AA23" i="243"/>
  <c r="AR23" i="243"/>
  <c r="U24" i="243"/>
  <c r="AL12" i="243"/>
  <c r="AI20" i="243"/>
  <c r="R22" i="243"/>
  <c r="P23" i="243"/>
  <c r="AD23" i="243"/>
  <c r="AS23" i="243"/>
  <c r="AC24" i="243"/>
  <c r="AI25" i="243"/>
  <c r="X22" i="243"/>
  <c r="R23" i="243"/>
  <c r="AF23" i="243"/>
  <c r="AD24" i="243"/>
  <c r="AQ25" i="243"/>
  <c r="T23" i="243"/>
  <c r="AH23" i="243"/>
  <c r="S12" i="243"/>
  <c r="O20" i="243"/>
  <c r="J23" i="243"/>
  <c r="U23" i="243"/>
  <c r="AI23" i="243"/>
  <c r="AN24" i="243"/>
  <c r="AC9" i="243"/>
  <c r="T12" i="243"/>
  <c r="Q20" i="243"/>
  <c r="R20" i="243" s="1"/>
  <c r="AH21" i="243"/>
  <c r="V23" i="243"/>
  <c r="AJ23" i="243"/>
  <c r="O24" i="243"/>
  <c r="AQ24" i="243"/>
  <c r="S8" i="243"/>
  <c r="AE9" i="243"/>
  <c r="X12" i="243"/>
  <c r="P19" i="243"/>
  <c r="L23" i="243"/>
  <c r="X23" i="243"/>
  <c r="AP23" i="243"/>
  <c r="AA7" i="243"/>
  <c r="V21" i="243"/>
  <c r="AR21" i="243"/>
  <c r="AE6" i="243"/>
  <c r="AC7" i="243"/>
  <c r="AM7" i="243"/>
  <c r="AI10" i="243"/>
  <c r="AS10" i="243"/>
  <c r="X16" i="243"/>
  <c r="AL16" i="243"/>
  <c r="AK18" i="243"/>
  <c r="AI21" i="243"/>
  <c r="AS21" i="243"/>
  <c r="AH10" i="243"/>
  <c r="AI6" i="243"/>
  <c r="AD7" i="243"/>
  <c r="AN7" i="243"/>
  <c r="X10" i="243"/>
  <c r="AK10" i="243"/>
  <c r="V12" i="243"/>
  <c r="AK12" i="243"/>
  <c r="AA16" i="243"/>
  <c r="AM16" i="243"/>
  <c r="L18" i="243"/>
  <c r="M18" i="243" s="1"/>
  <c r="AL18" i="243"/>
  <c r="Y19" i="243"/>
  <c r="L21" i="243"/>
  <c r="M21" i="243" s="1"/>
  <c r="X21" i="243"/>
  <c r="AK21" i="243"/>
  <c r="Z22" i="243"/>
  <c r="AE24" i="243"/>
  <c r="AS24" i="243"/>
  <c r="AK6" i="243"/>
  <c r="O7" i="243"/>
  <c r="W7" i="243" s="1"/>
  <c r="AE7" i="243"/>
  <c r="AP7" i="243"/>
  <c r="AA10" i="243"/>
  <c r="AL10" i="243"/>
  <c r="AC16" i="243"/>
  <c r="AN16" i="243"/>
  <c r="AQ18" i="243"/>
  <c r="AD19" i="243"/>
  <c r="AA21" i="243"/>
  <c r="AL21" i="243"/>
  <c r="J22" i="243"/>
  <c r="AF22" i="243"/>
  <c r="O6" i="243"/>
  <c r="W6" i="243" s="1"/>
  <c r="AM6" i="243"/>
  <c r="P7" i="243"/>
  <c r="AF7" i="243"/>
  <c r="AQ7" i="243"/>
  <c r="AI8" i="243"/>
  <c r="P9" i="243"/>
  <c r="AM9" i="243"/>
  <c r="O10" i="243"/>
  <c r="W10" i="243" s="1"/>
  <c r="AC10" i="243"/>
  <c r="AM10" i="243"/>
  <c r="AA12" i="243"/>
  <c r="AN12" i="243"/>
  <c r="V15" i="243"/>
  <c r="O16" i="243"/>
  <c r="W16" i="243" s="1"/>
  <c r="AD16" i="243"/>
  <c r="AQ16" i="243"/>
  <c r="Q18" i="243"/>
  <c r="R18" i="243" s="1"/>
  <c r="AJ18" i="243" s="1"/>
  <c r="AL19" i="243"/>
  <c r="AM20" i="243"/>
  <c r="O21" i="243"/>
  <c r="W21" i="243" s="1"/>
  <c r="AC21" i="243"/>
  <c r="AM21" i="243"/>
  <c r="AH22" i="243"/>
  <c r="V24" i="243"/>
  <c r="AI24" i="243"/>
  <c r="O26" i="243"/>
  <c r="V10" i="243"/>
  <c r="AR10" i="243"/>
  <c r="L10" i="243" s="1"/>
  <c r="AC18" i="243"/>
  <c r="S6" i="243"/>
  <c r="AQ6" i="243"/>
  <c r="S7" i="243"/>
  <c r="AH7" i="243"/>
  <c r="AS7" i="243"/>
  <c r="AP8" i="243"/>
  <c r="T9" i="243"/>
  <c r="AN9" i="243"/>
  <c r="P10" i="243"/>
  <c r="AD10" i="243"/>
  <c r="AN10" i="243"/>
  <c r="S11" i="243"/>
  <c r="AC12" i="243"/>
  <c r="AP12" i="243"/>
  <c r="Y15" i="243"/>
  <c r="P16" i="243"/>
  <c r="AE16" i="243"/>
  <c r="AS16" i="243"/>
  <c r="AI17" i="243"/>
  <c r="V18" i="243"/>
  <c r="AM19" i="243"/>
  <c r="T20" i="243"/>
  <c r="AO20" i="243"/>
  <c r="P21" i="243"/>
  <c r="AD21" i="243"/>
  <c r="AN21" i="243"/>
  <c r="M22" i="243"/>
  <c r="AN22" i="243"/>
  <c r="AK23" i="243"/>
  <c r="W24" i="243"/>
  <c r="AK24" i="243"/>
  <c r="W26" i="243"/>
  <c r="AC6" i="243"/>
  <c r="AL7" i="243"/>
  <c r="S7" i="242"/>
  <c r="T6" i="243"/>
  <c r="AR6" i="243"/>
  <c r="L6" i="243" s="1"/>
  <c r="V7" i="243"/>
  <c r="AI7" i="243"/>
  <c r="AQ8" i="243"/>
  <c r="AO9" i="243"/>
  <c r="S10" i="243"/>
  <c r="AE10" i="243"/>
  <c r="AP10" i="243"/>
  <c r="AE11" i="243"/>
  <c r="AD12" i="243"/>
  <c r="AQ12" i="243"/>
  <c r="AK15" i="243"/>
  <c r="S16" i="243"/>
  <c r="AF16" i="243"/>
  <c r="AL17" i="243"/>
  <c r="Y18" i="243"/>
  <c r="L19" i="243"/>
  <c r="U19" i="243" s="1"/>
  <c r="AO19" i="243"/>
  <c r="W20" i="243"/>
  <c r="AP20" i="243"/>
  <c r="S21" i="243"/>
  <c r="AE21" i="243"/>
  <c r="AP21" i="243"/>
  <c r="AP22" i="243"/>
  <c r="AB23" i="243"/>
  <c r="AL23" i="243"/>
  <c r="M24" i="243"/>
  <c r="X24" i="243"/>
  <c r="AL24" i="243"/>
  <c r="S25" i="243"/>
  <c r="AF26" i="243"/>
  <c r="AA6" i="243"/>
  <c r="AS6" i="243"/>
  <c r="X7" i="243"/>
  <c r="AK7" i="243"/>
  <c r="Y9" i="243"/>
  <c r="AQ9" i="243"/>
  <c r="T10" i="243"/>
  <c r="AF10" i="243"/>
  <c r="AQ10" i="243"/>
  <c r="AF11" i="243"/>
  <c r="P12" i="243"/>
  <c r="AF12" i="243"/>
  <c r="AR12" i="243"/>
  <c r="L12" i="243" s="1"/>
  <c r="AO15" i="243"/>
  <c r="V16" i="243"/>
  <c r="AI16" i="243"/>
  <c r="AO17" i="243"/>
  <c r="AA18" i="243"/>
  <c r="Y20" i="243"/>
  <c r="T21" i="243"/>
  <c r="AF21" i="243"/>
  <c r="AQ21" i="243"/>
  <c r="P22" i="243"/>
  <c r="S23" i="243"/>
  <c r="AC23" i="243"/>
  <c r="AN23" i="243"/>
  <c r="AA24" i="243"/>
  <c r="AM24" i="243"/>
  <c r="AA25" i="243"/>
  <c r="AO26" i="243"/>
  <c r="AB20" i="243"/>
  <c r="AJ20" i="243"/>
  <c r="Z20" i="243"/>
  <c r="AM14" i="243"/>
  <c r="AE14" i="243"/>
  <c r="O14" i="243"/>
  <c r="W14" i="243" s="1"/>
  <c r="AS14" i="243"/>
  <c r="AK14" i="243"/>
  <c r="AC14" i="243"/>
  <c r="AR14" i="243"/>
  <c r="L14" i="243" s="1"/>
  <c r="U14" i="243" s="1"/>
  <c r="T14" i="243"/>
  <c r="V14" i="243"/>
  <c r="AR13" i="243"/>
  <c r="L13" i="243" s="1"/>
  <c r="U13" i="243" s="1"/>
  <c r="T13" i="243"/>
  <c r="AP13" i="243"/>
  <c r="AH13" i="243"/>
  <c r="AO13" i="243"/>
  <c r="AG13" i="243"/>
  <c r="Y13" i="243"/>
  <c r="Q13" i="243"/>
  <c r="R13" i="243" s="1"/>
  <c r="V13" i="243"/>
  <c r="AI13" i="243"/>
  <c r="X14" i="243"/>
  <c r="AI14" i="243"/>
  <c r="T7" i="242"/>
  <c r="V6" i="243"/>
  <c r="AD6" i="243"/>
  <c r="AL6" i="243"/>
  <c r="Q7" i="243"/>
  <c r="R7" i="243" s="1"/>
  <c r="Z7" i="243" s="1"/>
  <c r="Y7" i="243"/>
  <c r="AG7" i="243"/>
  <c r="AO7" i="243"/>
  <c r="T8" i="243"/>
  <c r="AR8" i="243"/>
  <c r="L8" i="243" s="1"/>
  <c r="O9" i="243"/>
  <c r="W9" i="243" s="1"/>
  <c r="X9" i="243"/>
  <c r="AG9" i="243"/>
  <c r="AG11" i="243"/>
  <c r="AQ11" i="243"/>
  <c r="AK13" i="243"/>
  <c r="Y14" i="243"/>
  <c r="AL14" i="243"/>
  <c r="AA15" i="243"/>
  <c r="AL15" i="243"/>
  <c r="AN17" i="243"/>
  <c r="AO18" i="243"/>
  <c r="O19" i="243"/>
  <c r="W19" i="243" s="1"/>
  <c r="AN19" i="243"/>
  <c r="J7" i="243"/>
  <c r="J8" i="243" s="1"/>
  <c r="J9" i="243" s="1"/>
  <c r="J10" i="243" s="1"/>
  <c r="J11" i="243" s="1"/>
  <c r="J12" i="243" s="1"/>
  <c r="J13" i="243" s="1"/>
  <c r="J14" i="243" s="1"/>
  <c r="J15" i="243" s="1"/>
  <c r="J16" i="243" s="1"/>
  <c r="J17" i="243" s="1"/>
  <c r="J18" i="243" s="1"/>
  <c r="J19" i="243" s="1"/>
  <c r="J20" i="243" s="1"/>
  <c r="J21" i="243" s="1"/>
  <c r="AC8" i="243"/>
  <c r="AK8" i="243"/>
  <c r="AS8" i="243"/>
  <c r="X11" i="243"/>
  <c r="AH11" i="243"/>
  <c r="AS11" i="243"/>
  <c r="X13" i="243"/>
  <c r="AL13" i="243"/>
  <c r="AN14" i="243"/>
  <c r="P6" i="243"/>
  <c r="X6" i="243"/>
  <c r="AF6" i="243"/>
  <c r="AN6" i="243"/>
  <c r="V8" i="243"/>
  <c r="AD8" i="243"/>
  <c r="AL8" i="243"/>
  <c r="AL9" i="243"/>
  <c r="AD9" i="243"/>
  <c r="V9" i="243"/>
  <c r="Q9" i="243"/>
  <c r="R9" i="243" s="1"/>
  <c r="AJ9" i="243" s="1"/>
  <c r="AI9" i="243"/>
  <c r="AR9" i="243"/>
  <c r="O11" i="243"/>
  <c r="W11" i="243" s="1"/>
  <c r="Y11" i="243"/>
  <c r="AI11" i="243"/>
  <c r="AA13" i="243"/>
  <c r="AM13" i="243"/>
  <c r="P14" i="243"/>
  <c r="AA14" i="243"/>
  <c r="AO14" i="243"/>
  <c r="Q15" i="243"/>
  <c r="R15" i="243" s="1"/>
  <c r="AC15" i="243"/>
  <c r="AQ15" i="243"/>
  <c r="Q17" i="243"/>
  <c r="R17" i="243" s="1"/>
  <c r="AD17" i="243"/>
  <c r="AP17" i="243"/>
  <c r="S18" i="243"/>
  <c r="AD18" i="243"/>
  <c r="AR18" i="243"/>
  <c r="Q19" i="243"/>
  <c r="R19" i="243" s="1"/>
  <c r="AJ19" i="243" s="1"/>
  <c r="AE19" i="243"/>
  <c r="AR19" i="243"/>
  <c r="AH14" i="243"/>
  <c r="Q6" i="243"/>
  <c r="R6" i="243" s="1"/>
  <c r="Z6" i="243" s="1"/>
  <c r="Y6" i="243"/>
  <c r="AG6" i="243"/>
  <c r="AO6" i="243"/>
  <c r="L7" i="243"/>
  <c r="T7" i="243"/>
  <c r="O8" i="243"/>
  <c r="W8" i="243" s="1"/>
  <c r="AE8" i="243"/>
  <c r="AM8" i="243"/>
  <c r="AA9" i="243"/>
  <c r="AS9" i="243"/>
  <c r="P11" i="243"/>
  <c r="AK11" i="243"/>
  <c r="O13" i="243"/>
  <c r="W13" i="243" s="1"/>
  <c r="AC13" i="243"/>
  <c r="AN13" i="243"/>
  <c r="Q14" i="243"/>
  <c r="R14" i="243" s="1"/>
  <c r="AD14" i="243"/>
  <c r="AP14" i="243"/>
  <c r="S15" i="243"/>
  <c r="AD15" i="243"/>
  <c r="AR15" i="243"/>
  <c r="L15" i="243" s="1"/>
  <c r="U15" i="243" s="1"/>
  <c r="AF17" i="243"/>
  <c r="AQ17" i="243"/>
  <c r="T18" i="243"/>
  <c r="AG18" i="243"/>
  <c r="T19" i="243"/>
  <c r="AN20" i="243"/>
  <c r="AF20" i="243"/>
  <c r="X20" i="243"/>
  <c r="P20" i="243"/>
  <c r="AL20" i="243"/>
  <c r="AD20" i="243"/>
  <c r="V20" i="243"/>
  <c r="AS20" i="243"/>
  <c r="AK20" i="243"/>
  <c r="AC20" i="243"/>
  <c r="M20" i="243"/>
  <c r="S20" i="243"/>
  <c r="AG20" i="243"/>
  <c r="AR20" i="243"/>
  <c r="AH6" i="243"/>
  <c r="P8" i="243"/>
  <c r="X8" i="243"/>
  <c r="AF8" i="243"/>
  <c r="AN8" i="243"/>
  <c r="S9" i="243"/>
  <c r="AK9" i="243"/>
  <c r="Q11" i="243"/>
  <c r="R11" i="243" s="1"/>
  <c r="AJ11" i="243" s="1"/>
  <c r="AA11" i="243"/>
  <c r="P13" i="243"/>
  <c r="AD13" i="243"/>
  <c r="AQ13" i="243"/>
  <c r="AF14" i="243"/>
  <c r="AQ14" i="243"/>
  <c r="T15" i="243"/>
  <c r="AG15" i="243"/>
  <c r="S17" i="243"/>
  <c r="AP18" i="243"/>
  <c r="AH18" i="243"/>
  <c r="AN18" i="243"/>
  <c r="AF18" i="243"/>
  <c r="X18" i="243"/>
  <c r="P18" i="243"/>
  <c r="AM18" i="243"/>
  <c r="AE18" i="243"/>
  <c r="O18" i="243"/>
  <c r="W18" i="243" s="1"/>
  <c r="AI18" i="243"/>
  <c r="AS19" i="243"/>
  <c r="AK19" i="243"/>
  <c r="AC19" i="243"/>
  <c r="AQ19" i="243"/>
  <c r="AI19" i="243"/>
  <c r="AA19" i="243"/>
  <c r="S19" i="243"/>
  <c r="AP19" i="243"/>
  <c r="AH19" i="243"/>
  <c r="V19" i="243"/>
  <c r="AG19" i="243"/>
  <c r="Q8" i="243"/>
  <c r="R8" i="243" s="1"/>
  <c r="Z8" i="243" s="1"/>
  <c r="Y8" i="243"/>
  <c r="AG8" i="243"/>
  <c r="AL11" i="243"/>
  <c r="AD11" i="243"/>
  <c r="V11" i="243"/>
  <c r="AR11" i="243"/>
  <c r="L11" i="243" s="1"/>
  <c r="T11" i="243"/>
  <c r="AC11" i="243"/>
  <c r="AN11" i="243"/>
  <c r="S13" i="243"/>
  <c r="AE13" i="243"/>
  <c r="AS13" i="243"/>
  <c r="S14" i="243"/>
  <c r="AG14" i="243"/>
  <c r="AP15" i="243"/>
  <c r="AH15" i="243"/>
  <c r="AN15" i="243"/>
  <c r="AF15" i="243"/>
  <c r="X15" i="243"/>
  <c r="P15" i="243"/>
  <c r="AM15" i="243"/>
  <c r="AE15" i="243"/>
  <c r="O15" i="243"/>
  <c r="W15" i="243" s="1"/>
  <c r="AI15" i="243"/>
  <c r="AM17" i="243"/>
  <c r="AE17" i="243"/>
  <c r="O17" i="243"/>
  <c r="W17" i="243" s="1"/>
  <c r="AS17" i="243"/>
  <c r="AK17" i="243"/>
  <c r="AC17" i="243"/>
  <c r="AR17" i="243"/>
  <c r="L17" i="243" s="1"/>
  <c r="T17" i="243"/>
  <c r="V17" i="243"/>
  <c r="AH17" i="243"/>
  <c r="Q16" i="243"/>
  <c r="R16" i="243" s="1"/>
  <c r="Y16" i="243"/>
  <c r="AG16" i="243"/>
  <c r="AO16" i="243"/>
  <c r="S22" i="243"/>
  <c r="AA22" i="243"/>
  <c r="AI22" i="243"/>
  <c r="AQ22" i="243"/>
  <c r="Q24" i="243"/>
  <c r="Y24" i="243"/>
  <c r="AG24" i="243"/>
  <c r="AO24" i="243"/>
  <c r="L25" i="243"/>
  <c r="T25" i="243"/>
  <c r="AB25" i="243"/>
  <c r="AJ25" i="243"/>
  <c r="AR25" i="243"/>
  <c r="P26" i="243"/>
  <c r="Y26" i="243"/>
  <c r="AG26" i="243"/>
  <c r="AP26" i="243"/>
  <c r="Q10" i="243"/>
  <c r="R10" i="243" s="1"/>
  <c r="Y10" i="243"/>
  <c r="AG10" i="243"/>
  <c r="O12" i="243"/>
  <c r="W12" i="243" s="1"/>
  <c r="AE12" i="243"/>
  <c r="AM12" i="243"/>
  <c r="AH16" i="243"/>
  <c r="AP16" i="243"/>
  <c r="Q21" i="243"/>
  <c r="R21" i="243" s="1"/>
  <c r="Y21" i="243"/>
  <c r="AG21" i="243"/>
  <c r="L22" i="243"/>
  <c r="T22" i="243"/>
  <c r="AB22" i="243"/>
  <c r="AJ22" i="243"/>
  <c r="AR22" i="243"/>
  <c r="O23" i="243"/>
  <c r="W23" i="243"/>
  <c r="AE23" i="243"/>
  <c r="AM23" i="243"/>
  <c r="J24" i="243"/>
  <c r="R24" i="243"/>
  <c r="Z24" i="243"/>
  <c r="AH24" i="243"/>
  <c r="AP24" i="243"/>
  <c r="M25" i="243"/>
  <c r="U25" i="243"/>
  <c r="AC25" i="243"/>
  <c r="AK25" i="243"/>
  <c r="AS25" i="243"/>
  <c r="Q26" i="243"/>
  <c r="Z26" i="243"/>
  <c r="AH26" i="243"/>
  <c r="AQ26" i="243"/>
  <c r="U22" i="243"/>
  <c r="AC22" i="243"/>
  <c r="AK22" i="243"/>
  <c r="AS22" i="243"/>
  <c r="V25" i="243"/>
  <c r="AD25" i="243"/>
  <c r="AL25" i="243"/>
  <c r="R26" i="243"/>
  <c r="AA26" i="243"/>
  <c r="AI26" i="243"/>
  <c r="AR26" i="243"/>
  <c r="Q12" i="243"/>
  <c r="R12" i="243" s="1"/>
  <c r="Y12" i="243"/>
  <c r="AG12" i="243"/>
  <c r="L16" i="243"/>
  <c r="T16" i="243"/>
  <c r="V22" i="243"/>
  <c r="AD22" i="243"/>
  <c r="AL22" i="243"/>
  <c r="Q23" i="243"/>
  <c r="Y23" i="243"/>
  <c r="AG23" i="243"/>
  <c r="L24" i="243"/>
  <c r="T24" i="243"/>
  <c r="AB24" i="243"/>
  <c r="AJ24" i="243"/>
  <c r="O25" i="243"/>
  <c r="W25" i="243"/>
  <c r="AE25" i="243"/>
  <c r="AM25" i="243"/>
  <c r="J26" i="243"/>
  <c r="S26" i="243"/>
  <c r="AB26" i="243"/>
  <c r="AJ26" i="243"/>
  <c r="AS26" i="243"/>
  <c r="O22" i="243"/>
  <c r="W22" i="243"/>
  <c r="AE22" i="243"/>
  <c r="AM22" i="243"/>
  <c r="P25" i="243"/>
  <c r="X25" i="243"/>
  <c r="AF25" i="243"/>
  <c r="AN25" i="243"/>
  <c r="L26" i="243"/>
  <c r="T26" i="243"/>
  <c r="AC26" i="243"/>
  <c r="AK26" i="243"/>
  <c r="Q25" i="243"/>
  <c r="Y25" i="243"/>
  <c r="AG25" i="243"/>
  <c r="AO25" i="243"/>
  <c r="M26" i="243"/>
  <c r="U26" i="243"/>
  <c r="AD26" i="243"/>
  <c r="AM26" i="243"/>
  <c r="Q22" i="243"/>
  <c r="Y22" i="243"/>
  <c r="AG22" i="243"/>
  <c r="J25" i="243"/>
  <c r="R25" i="243"/>
  <c r="Z25" i="243"/>
  <c r="AH25" i="243"/>
  <c r="V26" i="243"/>
  <c r="AE26" i="243"/>
  <c r="AL23" i="242"/>
  <c r="AE7" i="242"/>
  <c r="AK18" i="242"/>
  <c r="AQ7" i="242"/>
  <c r="O23" i="242"/>
  <c r="P12" i="242"/>
  <c r="AI14" i="242"/>
  <c r="P23" i="242"/>
  <c r="T12" i="242"/>
  <c r="AB23" i="242"/>
  <c r="AF23" i="242"/>
  <c r="AD8" i="242"/>
  <c r="O22" i="242"/>
  <c r="AK23" i="242"/>
  <c r="AN26" i="242"/>
  <c r="X10" i="242"/>
  <c r="L23" i="242"/>
  <c r="AE23" i="242"/>
  <c r="AP26" i="242"/>
  <c r="S22" i="242"/>
  <c r="AI7" i="242"/>
  <c r="T11" i="242"/>
  <c r="AM22" i="242"/>
  <c r="T23" i="242"/>
  <c r="AR23" i="242"/>
  <c r="AP11" i="242"/>
  <c r="V23" i="242"/>
  <c r="P26" i="242"/>
  <c r="AC17" i="242"/>
  <c r="X21" i="242"/>
  <c r="J23" i="242"/>
  <c r="Z23" i="242"/>
  <c r="T26" i="242"/>
  <c r="AL10" i="242"/>
  <c r="O16" i="242"/>
  <c r="W16" i="242" s="1"/>
  <c r="P6" i="242"/>
  <c r="AD7" i="242"/>
  <c r="AR10" i="242"/>
  <c r="L10" i="242" s="1"/>
  <c r="M10" i="242" s="1"/>
  <c r="V11" i="242"/>
  <c r="AC15" i="242"/>
  <c r="Q16" i="242"/>
  <c r="R16" i="242" s="1"/>
  <c r="AJ16" i="242" s="1"/>
  <c r="AM17" i="242"/>
  <c r="O6" i="242"/>
  <c r="W6" i="242" s="1"/>
  <c r="AG6" i="242"/>
  <c r="AC8" i="242"/>
  <c r="AS10" i="242"/>
  <c r="AD11" i="242"/>
  <c r="AK15" i="242"/>
  <c r="AE16" i="242"/>
  <c r="AM6" i="242"/>
  <c r="S10" i="242"/>
  <c r="AE11" i="242"/>
  <c r="AO15" i="242"/>
  <c r="O24" i="242"/>
  <c r="AK7" i="242"/>
  <c r="AK8" i="242"/>
  <c r="T10" i="242"/>
  <c r="AK11" i="242"/>
  <c r="AK22" i="242"/>
  <c r="Q24" i="242"/>
  <c r="AC24" i="242"/>
  <c r="AR7" i="242"/>
  <c r="L7" i="242" s="1"/>
  <c r="U7" i="242" s="1"/>
  <c r="AF10" i="242"/>
  <c r="O11" i="242"/>
  <c r="W11" i="242" s="1"/>
  <c r="AR11" i="242"/>
  <c r="L11" i="242" s="1"/>
  <c r="AN21" i="242"/>
  <c r="U23" i="242"/>
  <c r="AP23" i="242"/>
  <c r="AS24" i="242"/>
  <c r="AC26" i="242"/>
  <c r="AH10" i="242"/>
  <c r="P11" i="242"/>
  <c r="S15" i="242"/>
  <c r="S17" i="242"/>
  <c r="AI18" i="242"/>
  <c r="V14" i="242"/>
  <c r="AS14" i="242"/>
  <c r="AC20" i="242"/>
  <c r="V25" i="242"/>
  <c r="AL25" i="242"/>
  <c r="Q6" i="242"/>
  <c r="R6" i="242" s="1"/>
  <c r="Z6" i="242" s="1"/>
  <c r="AN6" i="242"/>
  <c r="O7" i="242"/>
  <c r="W7" i="242" s="1"/>
  <c r="AH7" i="242"/>
  <c r="AS7" i="242"/>
  <c r="AE8" i="242"/>
  <c r="AI10" i="242"/>
  <c r="AF11" i="242"/>
  <c r="AS11" i="242"/>
  <c r="X12" i="242"/>
  <c r="X14" i="242"/>
  <c r="AK14" i="242"/>
  <c r="Y15" i="242"/>
  <c r="AQ15" i="242"/>
  <c r="S16" i="242"/>
  <c r="T17" i="242"/>
  <c r="AD17" i="242"/>
  <c r="AN17" i="242"/>
  <c r="O18" i="242"/>
  <c r="W18" i="242" s="1"/>
  <c r="AQ18" i="242"/>
  <c r="P19" i="242"/>
  <c r="AA19" i="242"/>
  <c r="AK19" i="242"/>
  <c r="AE20" i="242"/>
  <c r="AP21" i="242"/>
  <c r="U22" i="242"/>
  <c r="AQ22" i="242"/>
  <c r="M23" i="242"/>
  <c r="W23" i="242"/>
  <c r="AH23" i="242"/>
  <c r="AS23" i="242"/>
  <c r="U24" i="242"/>
  <c r="J25" i="242"/>
  <c r="X25" i="242"/>
  <c r="AN25" i="242"/>
  <c r="V26" i="242"/>
  <c r="T6" i="242"/>
  <c r="AO6" i="242"/>
  <c r="AH8" i="242"/>
  <c r="V10" i="242"/>
  <c r="AK10" i="242"/>
  <c r="AH11" i="242"/>
  <c r="Y12" i="242"/>
  <c r="Y13" i="242"/>
  <c r="AA14" i="242"/>
  <c r="AL14" i="242"/>
  <c r="AA15" i="242"/>
  <c r="AS15" i="242"/>
  <c r="Y16" i="242"/>
  <c r="AE17" i="242"/>
  <c r="AP17" i="242"/>
  <c r="S18" i="242"/>
  <c r="AS18" i="242"/>
  <c r="AL19" i="242"/>
  <c r="AG20" i="242"/>
  <c r="L21" i="242"/>
  <c r="M21" i="242" s="1"/>
  <c r="AR21" i="242"/>
  <c r="W22" i="242"/>
  <c r="AS22" i="242"/>
  <c r="X23" i="242"/>
  <c r="AJ23" i="242"/>
  <c r="W24" i="242"/>
  <c r="Z25" i="242"/>
  <c r="AP25" i="242"/>
  <c r="Y26" i="242"/>
  <c r="X6" i="242"/>
  <c r="AR6" i="242"/>
  <c r="L6" i="242" s="1"/>
  <c r="AE12" i="242"/>
  <c r="AE13" i="242"/>
  <c r="AC14" i="242"/>
  <c r="AM14" i="242"/>
  <c r="V17" i="242"/>
  <c r="AF17" i="242"/>
  <c r="AR17" i="242"/>
  <c r="L17" i="242" s="1"/>
  <c r="S19" i="242"/>
  <c r="AC19" i="242"/>
  <c r="AN19" i="242"/>
  <c r="AK20" i="242"/>
  <c r="AD21" i="242"/>
  <c r="AA22" i="242"/>
  <c r="L25" i="242"/>
  <c r="AB25" i="242"/>
  <c r="AR25" i="242"/>
  <c r="Y6" i="242"/>
  <c r="V7" i="242"/>
  <c r="AL7" i="242"/>
  <c r="AL8" i="242"/>
  <c r="AA10" i="242"/>
  <c r="AN10" i="242"/>
  <c r="AL11" i="242"/>
  <c r="AL12" i="242"/>
  <c r="AI13" i="242"/>
  <c r="O14" i="242"/>
  <c r="W14" i="242" s="1"/>
  <c r="AD14" i="242"/>
  <c r="AN14" i="242"/>
  <c r="AE15" i="242"/>
  <c r="AG16" i="242"/>
  <c r="AH17" i="242"/>
  <c r="AS17" i="242"/>
  <c r="AA18" i="242"/>
  <c r="T19" i="242"/>
  <c r="AD19" i="242"/>
  <c r="AP19" i="242"/>
  <c r="O20" i="242"/>
  <c r="W20" i="242" s="1"/>
  <c r="AM20" i="242"/>
  <c r="P21" i="242"/>
  <c r="AF21" i="242"/>
  <c r="AC22" i="242"/>
  <c r="AK24" i="242"/>
  <c r="AD25" i="242"/>
  <c r="AE26" i="242"/>
  <c r="AE6" i="242"/>
  <c r="J7" i="242"/>
  <c r="J8" i="242" s="1"/>
  <c r="J9" i="242" s="1"/>
  <c r="J10" i="242" s="1"/>
  <c r="J11" i="242" s="1"/>
  <c r="J12" i="242" s="1"/>
  <c r="J13" i="242" s="1"/>
  <c r="J14" i="242" s="1"/>
  <c r="J15" i="242" s="1"/>
  <c r="J16" i="242" s="1"/>
  <c r="J17" i="242" s="1"/>
  <c r="J18" i="242" s="1"/>
  <c r="J19" i="242" s="1"/>
  <c r="J20" i="242" s="1"/>
  <c r="J21" i="242" s="1"/>
  <c r="AA7" i="242"/>
  <c r="AM7" i="242"/>
  <c r="O8" i="242"/>
  <c r="W8" i="242" s="1"/>
  <c r="AM8" i="242"/>
  <c r="AC10" i="242"/>
  <c r="AP10" i="242"/>
  <c r="X11" i="242"/>
  <c r="AM11" i="242"/>
  <c r="AM12" i="242"/>
  <c r="AK13" i="242"/>
  <c r="P14" i="242"/>
  <c r="AE14" i="242"/>
  <c r="AP14" i="242"/>
  <c r="O15" i="242"/>
  <c r="W15" i="242" s="1"/>
  <c r="AG15" i="242"/>
  <c r="AI16" i="242"/>
  <c r="O17" i="242"/>
  <c r="W17" i="242" s="1"/>
  <c r="X17" i="242"/>
  <c r="AC18" i="242"/>
  <c r="AF19" i="242"/>
  <c r="AQ19" i="242"/>
  <c r="Q20" i="242"/>
  <c r="R20" i="242" s="1"/>
  <c r="AJ20" i="242" s="1"/>
  <c r="AO20" i="242"/>
  <c r="AH21" i="242"/>
  <c r="M22" i="242"/>
  <c r="AE22" i="242"/>
  <c r="R23" i="242"/>
  <c r="AC23" i="242"/>
  <c r="AM23" i="242"/>
  <c r="AM24" i="242"/>
  <c r="P25" i="242"/>
  <c r="AF25" i="242"/>
  <c r="L26" i="242"/>
  <c r="AG26" i="242"/>
  <c r="AF6" i="242"/>
  <c r="AC7" i="242"/>
  <c r="AP7" i="242"/>
  <c r="V8" i="242"/>
  <c r="AQ8" i="242"/>
  <c r="P10" i="242"/>
  <c r="AD10" i="242"/>
  <c r="AQ10" i="242"/>
  <c r="AC11" i="242"/>
  <c r="AN11" i="242"/>
  <c r="O12" i="242"/>
  <c r="W12" i="242" s="1"/>
  <c r="AR12" i="242"/>
  <c r="L12" i="242" s="1"/>
  <c r="U12" i="242" s="1"/>
  <c r="AM13" i="242"/>
  <c r="S14" i="242"/>
  <c r="AF14" i="242"/>
  <c r="AQ14" i="242"/>
  <c r="Q15" i="242"/>
  <c r="R15" i="242" s="1"/>
  <c r="AJ15" i="242" s="1"/>
  <c r="AO16" i="242"/>
  <c r="P17" i="242"/>
  <c r="AK17" i="242"/>
  <c r="AE18" i="242"/>
  <c r="L19" i="242"/>
  <c r="M19" i="242" s="1"/>
  <c r="V19" i="242"/>
  <c r="AH19" i="242"/>
  <c r="AR19" i="242"/>
  <c r="AS20" i="242"/>
  <c r="T21" i="242"/>
  <c r="AI22" i="242"/>
  <c r="AD23" i="242"/>
  <c r="AN23" i="242"/>
  <c r="R25" i="242"/>
  <c r="AH25" i="242"/>
  <c r="AK26" i="242"/>
  <c r="AQ13" i="242"/>
  <c r="T14" i="242"/>
  <c r="AH14" i="242"/>
  <c r="AR14" i="242"/>
  <c r="L14" i="242" s="1"/>
  <c r="M14" i="242" s="1"/>
  <c r="AL17" i="242"/>
  <c r="X19" i="242"/>
  <c r="AI19" i="242"/>
  <c r="AS19" i="242"/>
  <c r="V21" i="242"/>
  <c r="AL21" i="242"/>
  <c r="T25" i="242"/>
  <c r="AJ25" i="242"/>
  <c r="S9" i="242"/>
  <c r="AC9" i="242"/>
  <c r="AL9" i="242"/>
  <c r="AD9" i="242"/>
  <c r="AM9" i="242"/>
  <c r="AF13" i="241"/>
  <c r="AH6" i="242"/>
  <c r="AP6" i="242"/>
  <c r="P8" i="242"/>
  <c r="X8" i="242"/>
  <c r="AF8" i="242"/>
  <c r="AN8" i="242"/>
  <c r="V9" i="242"/>
  <c r="AE9" i="242"/>
  <c r="AN9" i="242"/>
  <c r="Q12" i="242"/>
  <c r="R12" i="242" s="1"/>
  <c r="O13" i="242"/>
  <c r="W13" i="242" s="1"/>
  <c r="AA13" i="242"/>
  <c r="AO13" i="242"/>
  <c r="Q18" i="242"/>
  <c r="R18" i="242" s="1"/>
  <c r="AB18" i="242" s="1"/>
  <c r="S6" i="242"/>
  <c r="AA6" i="242"/>
  <c r="AI6" i="242"/>
  <c r="AQ6" i="242"/>
  <c r="Q8" i="242"/>
  <c r="R8" i="242" s="1"/>
  <c r="Z8" i="242" s="1"/>
  <c r="Y8" i="242"/>
  <c r="AG8" i="242"/>
  <c r="AP8" i="242"/>
  <c r="AF9" i="242"/>
  <c r="AO9" i="242"/>
  <c r="AS12" i="242"/>
  <c r="AK12" i="242"/>
  <c r="AC12" i="242"/>
  <c r="AQ12" i="242"/>
  <c r="AI12" i="242"/>
  <c r="AA12" i="242"/>
  <c r="S12" i="242"/>
  <c r="AO12" i="242"/>
  <c r="AG12" i="242"/>
  <c r="AD12" i="242"/>
  <c r="AP12" i="242"/>
  <c r="Q13" i="242"/>
  <c r="R13" i="242" s="1"/>
  <c r="Z13" i="242" s="1"/>
  <c r="AC13" i="242"/>
  <c r="AP16" i="242"/>
  <c r="AH16" i="242"/>
  <c r="AN16" i="242"/>
  <c r="AF16" i="242"/>
  <c r="X16" i="242"/>
  <c r="P16" i="242"/>
  <c r="AL16" i="242"/>
  <c r="AD16" i="242"/>
  <c r="V16" i="242"/>
  <c r="AR16" i="242"/>
  <c r="L16" i="242" s="1"/>
  <c r="M16" i="242" s="1"/>
  <c r="T16" i="242"/>
  <c r="AM16" i="242"/>
  <c r="AL24" i="242"/>
  <c r="AD24" i="242"/>
  <c r="V24" i="242"/>
  <c r="AR24" i="242"/>
  <c r="AJ24" i="242"/>
  <c r="AB24" i="242"/>
  <c r="T24" i="242"/>
  <c r="L24" i="242"/>
  <c r="AQ24" i="242"/>
  <c r="AI24" i="242"/>
  <c r="AA24" i="242"/>
  <c r="S24" i="242"/>
  <c r="AP24" i="242"/>
  <c r="AH24" i="242"/>
  <c r="Z24" i="242"/>
  <c r="R24" i="242"/>
  <c r="J24" i="242"/>
  <c r="AN24" i="242"/>
  <c r="AF24" i="242"/>
  <c r="X24" i="242"/>
  <c r="P24" i="242"/>
  <c r="Y24" i="242"/>
  <c r="O9" i="242"/>
  <c r="W9" i="242" s="1"/>
  <c r="X9" i="242"/>
  <c r="AG9" i="242"/>
  <c r="AR9" i="242"/>
  <c r="L9" i="242" s="1"/>
  <c r="M9" i="242" s="1"/>
  <c r="T9" i="242"/>
  <c r="AA9" i="242"/>
  <c r="AK9" i="242"/>
  <c r="AC6" i="242"/>
  <c r="AK6" i="242"/>
  <c r="AS6" i="242"/>
  <c r="P7" i="242"/>
  <c r="X7" i="242"/>
  <c r="AF7" i="242"/>
  <c r="AN7" i="242"/>
  <c r="S8" i="242"/>
  <c r="AA8" i="242"/>
  <c r="AI8" i="242"/>
  <c r="AR8" i="242"/>
  <c r="L8" i="242" s="1"/>
  <c r="P9" i="242"/>
  <c r="Y9" i="242"/>
  <c r="AH9" i="242"/>
  <c r="AQ9" i="242"/>
  <c r="V12" i="242"/>
  <c r="AF12" i="242"/>
  <c r="AN13" i="242"/>
  <c r="AF13" i="242"/>
  <c r="X13" i="242"/>
  <c r="P13" i="242"/>
  <c r="AL13" i="242"/>
  <c r="AD13" i="242"/>
  <c r="V13" i="242"/>
  <c r="AR13" i="242"/>
  <c r="L13" i="242" s="1"/>
  <c r="M13" i="242" s="1"/>
  <c r="T13" i="242"/>
  <c r="S13" i="242"/>
  <c r="AG13" i="242"/>
  <c r="AS13" i="242"/>
  <c r="AA16" i="242"/>
  <c r="AQ16" i="242"/>
  <c r="AN18" i="242"/>
  <c r="AF18" i="242"/>
  <c r="X18" i="242"/>
  <c r="P18" i="242"/>
  <c r="AL18" i="242"/>
  <c r="AD18" i="242"/>
  <c r="V18" i="242"/>
  <c r="AR18" i="242"/>
  <c r="T18" i="242"/>
  <c r="L18" i="242"/>
  <c r="M18" i="242" s="1"/>
  <c r="AP18" i="242"/>
  <c r="AH18" i="242"/>
  <c r="AM18" i="242"/>
  <c r="M24" i="242"/>
  <c r="AE24" i="242"/>
  <c r="V6" i="242"/>
  <c r="AD6" i="242"/>
  <c r="Q7" i="242"/>
  <c r="R7" i="242" s="1"/>
  <c r="Y7" i="242"/>
  <c r="AG7" i="242"/>
  <c r="T8" i="242"/>
  <c r="AS8" i="242"/>
  <c r="Q9" i="242"/>
  <c r="R9" i="242" s="1"/>
  <c r="AI9" i="242"/>
  <c r="AS9" i="242"/>
  <c r="AH12" i="242"/>
  <c r="AH13" i="242"/>
  <c r="AN15" i="242"/>
  <c r="AF15" i="242"/>
  <c r="X15" i="242"/>
  <c r="P15" i="242"/>
  <c r="AL15" i="242"/>
  <c r="AD15" i="242"/>
  <c r="V15" i="242"/>
  <c r="AR15" i="242"/>
  <c r="T15" i="242"/>
  <c r="L15" i="242"/>
  <c r="U15" i="242" s="1"/>
  <c r="AP15" i="242"/>
  <c r="AH15" i="242"/>
  <c r="AM15" i="242"/>
  <c r="AC16" i="242"/>
  <c r="AS16" i="242"/>
  <c r="Y18" i="242"/>
  <c r="AO18" i="242"/>
  <c r="AL20" i="242"/>
  <c r="AD20" i="242"/>
  <c r="V20" i="242"/>
  <c r="AR20" i="242"/>
  <c r="T20" i="242"/>
  <c r="L20" i="242"/>
  <c r="M20" i="242" s="1"/>
  <c r="AQ20" i="242"/>
  <c r="AI20" i="242"/>
  <c r="AA20" i="242"/>
  <c r="S20" i="242"/>
  <c r="AP20" i="242"/>
  <c r="AH20" i="242"/>
  <c r="AN20" i="242"/>
  <c r="AF20" i="242"/>
  <c r="X20" i="242"/>
  <c r="P20" i="242"/>
  <c r="Y20" i="242"/>
  <c r="AG24" i="242"/>
  <c r="S21" i="242"/>
  <c r="AA21" i="242"/>
  <c r="AI21" i="242"/>
  <c r="AQ21" i="242"/>
  <c r="V22" i="242"/>
  <c r="AD22" i="242"/>
  <c r="AL22" i="242"/>
  <c r="S25" i="242"/>
  <c r="AA25" i="242"/>
  <c r="AI25" i="242"/>
  <c r="AQ25" i="242"/>
  <c r="O26" i="242"/>
  <c r="W26" i="242"/>
  <c r="AF26" i="242"/>
  <c r="AO26" i="242"/>
  <c r="O10" i="242"/>
  <c r="W10" i="242" s="1"/>
  <c r="AE10" i="242"/>
  <c r="AM10" i="242"/>
  <c r="Q11" i="242"/>
  <c r="R11" i="242" s="1"/>
  <c r="Y11" i="242"/>
  <c r="AG11" i="242"/>
  <c r="AO11" i="242"/>
  <c r="Q14" i="242"/>
  <c r="R14" i="242" s="1"/>
  <c r="Y14" i="242"/>
  <c r="AG14" i="242"/>
  <c r="Q17" i="242"/>
  <c r="R17" i="242" s="1"/>
  <c r="AB17" i="242" s="1"/>
  <c r="Y17" i="242"/>
  <c r="AG17" i="242"/>
  <c r="AO17" i="242"/>
  <c r="O19" i="242"/>
  <c r="W19" i="242" s="1"/>
  <c r="AE19" i="242"/>
  <c r="AM19" i="242"/>
  <c r="AC21" i="242"/>
  <c r="AK21" i="242"/>
  <c r="AS21" i="242"/>
  <c r="P22" i="242"/>
  <c r="X22" i="242"/>
  <c r="AF22" i="242"/>
  <c r="AN22" i="242"/>
  <c r="Q23" i="242"/>
  <c r="Y23" i="242"/>
  <c r="AG23" i="242"/>
  <c r="AO23" i="242"/>
  <c r="M25" i="242"/>
  <c r="U25" i="242"/>
  <c r="AC25" i="242"/>
  <c r="AK25" i="242"/>
  <c r="AS25" i="242"/>
  <c r="Q26" i="242"/>
  <c r="Z26" i="242"/>
  <c r="AH26" i="242"/>
  <c r="AQ26" i="242"/>
  <c r="Q22" i="242"/>
  <c r="Y22" i="242"/>
  <c r="AG22" i="242"/>
  <c r="AO22" i="242"/>
  <c r="R26" i="242"/>
  <c r="AA26" i="242"/>
  <c r="AI26" i="242"/>
  <c r="AR26" i="242"/>
  <c r="Q10" i="242"/>
  <c r="R10" i="242" s="1"/>
  <c r="Y10" i="242"/>
  <c r="AG10" i="242"/>
  <c r="S11" i="242"/>
  <c r="AA11" i="242"/>
  <c r="AI11" i="242"/>
  <c r="AA17" i="242"/>
  <c r="AI17" i="242"/>
  <c r="Q19" i="242"/>
  <c r="R19" i="242" s="1"/>
  <c r="Y19" i="242"/>
  <c r="AG19" i="242"/>
  <c r="O21" i="242"/>
  <c r="W21" i="242" s="1"/>
  <c r="AE21" i="242"/>
  <c r="AM21" i="242"/>
  <c r="J22" i="242"/>
  <c r="R22" i="242"/>
  <c r="Z22" i="242"/>
  <c r="AH22" i="242"/>
  <c r="AP22" i="242"/>
  <c r="S23" i="242"/>
  <c r="AA23" i="242"/>
  <c r="AI23" i="242"/>
  <c r="O25" i="242"/>
  <c r="W25" i="242"/>
  <c r="AE25" i="242"/>
  <c r="AM25" i="242"/>
  <c r="J26" i="242"/>
  <c r="S26" i="242"/>
  <c r="AB26" i="242"/>
  <c r="AJ26" i="242"/>
  <c r="AS26" i="242"/>
  <c r="Q21" i="242"/>
  <c r="R21" i="242" s="1"/>
  <c r="Y21" i="242"/>
  <c r="AG21" i="242"/>
  <c r="L22" i="242"/>
  <c r="T22" i="242"/>
  <c r="AB22" i="242"/>
  <c r="AJ22" i="242"/>
  <c r="Q25" i="242"/>
  <c r="Y25" i="242"/>
  <c r="AG25" i="242"/>
  <c r="M26" i="242"/>
  <c r="U26" i="242"/>
  <c r="AD26" i="242"/>
  <c r="P16" i="241"/>
  <c r="U20" i="241"/>
  <c r="S16" i="241"/>
  <c r="AM20" i="241"/>
  <c r="Z22" i="241"/>
  <c r="O24" i="241"/>
  <c r="AP16" i="241"/>
  <c r="P24" i="241"/>
  <c r="O8" i="241"/>
  <c r="W8" i="241" s="1"/>
  <c r="X10" i="241"/>
  <c r="Z24" i="241"/>
  <c r="AL6" i="241"/>
  <c r="AK8" i="241"/>
  <c r="X19" i="241"/>
  <c r="AF24" i="241"/>
  <c r="J22" i="241"/>
  <c r="J24" i="241"/>
  <c r="P9" i="241"/>
  <c r="P15" i="241"/>
  <c r="AA16" i="241"/>
  <c r="P18" i="241"/>
  <c r="AF19" i="241"/>
  <c r="AA24" i="241"/>
  <c r="Q15" i="241"/>
  <c r="AD18" i="241"/>
  <c r="AD24" i="241"/>
  <c r="AQ26" i="241"/>
  <c r="S14" i="241"/>
  <c r="AF18" i="241"/>
  <c r="AA14" i="241"/>
  <c r="AL18" i="241"/>
  <c r="AI24" i="241"/>
  <c r="AK14" i="241"/>
  <c r="S8" i="241"/>
  <c r="AL8" i="241"/>
  <c r="AI9" i="241"/>
  <c r="AF10" i="241"/>
  <c r="AC12" i="241"/>
  <c r="AH13" i="241"/>
  <c r="W20" i="241"/>
  <c r="AP20" i="241"/>
  <c r="T8" i="241"/>
  <c r="AM8" i="241"/>
  <c r="AK9" i="241"/>
  <c r="AG10" i="241"/>
  <c r="AE12" i="241"/>
  <c r="AI13" i="241"/>
  <c r="AI14" i="241"/>
  <c r="Z16" i="241"/>
  <c r="J20" i="241"/>
  <c r="AB20" i="241"/>
  <c r="V8" i="241"/>
  <c r="AR8" i="241"/>
  <c r="L8" i="241" s="1"/>
  <c r="U8" i="241" s="1"/>
  <c r="AQ9" i="241"/>
  <c r="O12" i="241"/>
  <c r="W12" i="241" s="1"/>
  <c r="AF12" i="241"/>
  <c r="AL13" i="241"/>
  <c r="AC20" i="241"/>
  <c r="AC8" i="241"/>
  <c r="AS8" i="241"/>
  <c r="P12" i="241"/>
  <c r="AI12" i="241"/>
  <c r="P13" i="241"/>
  <c r="AN13" i="241"/>
  <c r="AL14" i="241"/>
  <c r="AD16" i="241"/>
  <c r="L20" i="241"/>
  <c r="AD20" i="241"/>
  <c r="R24" i="241"/>
  <c r="AM24" i="241"/>
  <c r="O26" i="241"/>
  <c r="AA12" i="241"/>
  <c r="AD8" i="241"/>
  <c r="S12" i="241"/>
  <c r="AN12" i="241"/>
  <c r="S13" i="241"/>
  <c r="AQ14" i="241"/>
  <c r="AF16" i="241"/>
  <c r="AF20" i="241"/>
  <c r="Y21" i="241"/>
  <c r="S24" i="241"/>
  <c r="AN24" i="241"/>
  <c r="V26" i="241"/>
  <c r="AA6" i="241"/>
  <c r="AE8" i="241"/>
  <c r="X11" i="241"/>
  <c r="T12" i="241"/>
  <c r="AQ12" i="241"/>
  <c r="V13" i="241"/>
  <c r="AM16" i="241"/>
  <c r="M18" i="241"/>
  <c r="S20" i="241"/>
  <c r="AK20" i="241"/>
  <c r="W24" i="241"/>
  <c r="AP24" i="241"/>
  <c r="AH26" i="241"/>
  <c r="AS12" i="241"/>
  <c r="AI6" i="241"/>
  <c r="AI8" i="241"/>
  <c r="O10" i="241"/>
  <c r="W10" i="241" s="1"/>
  <c r="AH11" i="241"/>
  <c r="X12" i="241"/>
  <c r="AR12" i="241"/>
  <c r="L12" i="241" s="1"/>
  <c r="M12" i="241" s="1"/>
  <c r="AA13" i="241"/>
  <c r="O16" i="241"/>
  <c r="AN16" i="241"/>
  <c r="T20" i="241"/>
  <c r="AL20" i="241"/>
  <c r="AN26" i="241"/>
  <c r="AL17" i="241"/>
  <c r="T23" i="241"/>
  <c r="AS23" i="241"/>
  <c r="V25" i="241"/>
  <c r="AL25" i="241"/>
  <c r="O6" i="241"/>
  <c r="W6" i="241" s="1"/>
  <c r="AC6" i="241"/>
  <c r="AM6" i="241"/>
  <c r="AA8" i="241"/>
  <c r="AQ8" i="241"/>
  <c r="S9" i="241"/>
  <c r="AR9" i="241"/>
  <c r="L9" i="241" s="1"/>
  <c r="U9" i="241" s="1"/>
  <c r="AO10" i="241"/>
  <c r="AK12" i="241"/>
  <c r="AD13" i="241"/>
  <c r="AP13" i="241"/>
  <c r="AC14" i="241"/>
  <c r="AS14" i="241"/>
  <c r="V16" i="241"/>
  <c r="AH16" i="241"/>
  <c r="J17" i="241"/>
  <c r="Z17" i="241"/>
  <c r="AP17" i="241"/>
  <c r="U18" i="241"/>
  <c r="AN18" i="241"/>
  <c r="AG19" i="241"/>
  <c r="O20" i="241"/>
  <c r="X20" i="241"/>
  <c r="AH20" i="241"/>
  <c r="AQ20" i="241"/>
  <c r="AE21" i="241"/>
  <c r="U23" i="241"/>
  <c r="AI23" i="241"/>
  <c r="V24" i="241"/>
  <c r="AH24" i="241"/>
  <c r="J25" i="241"/>
  <c r="Z25" i="241"/>
  <c r="AP25" i="241"/>
  <c r="W26" i="241"/>
  <c r="AF23" i="241"/>
  <c r="P6" i="241"/>
  <c r="AD6" i="241"/>
  <c r="AN6" i="241"/>
  <c r="X9" i="241"/>
  <c r="AP10" i="241"/>
  <c r="AM12" i="241"/>
  <c r="O13" i="241"/>
  <c r="W13" i="241" s="1"/>
  <c r="AE13" i="241"/>
  <c r="AQ13" i="241"/>
  <c r="AD14" i="241"/>
  <c r="J16" i="241"/>
  <c r="W16" i="241"/>
  <c r="AI16" i="241"/>
  <c r="AA17" i="241"/>
  <c r="AQ17" i="241"/>
  <c r="V18" i="241"/>
  <c r="AS18" i="241"/>
  <c r="AQ19" i="241"/>
  <c r="P20" i="241"/>
  <c r="Z20" i="241"/>
  <c r="AI20" i="241"/>
  <c r="AR20" i="241"/>
  <c r="AG21" i="241"/>
  <c r="L23" i="241"/>
  <c r="W23" i="241"/>
  <c r="AJ23" i="241"/>
  <c r="AA25" i="241"/>
  <c r="AQ25" i="241"/>
  <c r="Z26" i="241"/>
  <c r="V17" i="241"/>
  <c r="Q6" i="241"/>
  <c r="R6" i="241" s="1"/>
  <c r="AB6" i="241" s="1"/>
  <c r="AE6" i="241"/>
  <c r="AO6" i="241"/>
  <c r="AF9" i="241"/>
  <c r="AH14" i="241"/>
  <c r="X16" i="241"/>
  <c r="AL16" i="241"/>
  <c r="M17" i="241"/>
  <c r="AC17" i="241"/>
  <c r="AS17" i="241"/>
  <c r="X18" i="241"/>
  <c r="R20" i="241"/>
  <c r="AA20" i="241"/>
  <c r="AJ20" i="241"/>
  <c r="AS20" i="241"/>
  <c r="M23" i="241"/>
  <c r="X23" i="241"/>
  <c r="AK23" i="241"/>
  <c r="X24" i="241"/>
  <c r="AL24" i="241"/>
  <c r="M25" i="241"/>
  <c r="AC25" i="241"/>
  <c r="AS25" i="241"/>
  <c r="AE26" i="241"/>
  <c r="S6" i="241"/>
  <c r="AF6" i="241"/>
  <c r="AQ6" i="241"/>
  <c r="AH9" i="241"/>
  <c r="AD17" i="241"/>
  <c r="AC18" i="241"/>
  <c r="AA23" i="241"/>
  <c r="AM23" i="241"/>
  <c r="AD25" i="241"/>
  <c r="AF26" i="241"/>
  <c r="V6" i="241"/>
  <c r="AG6" i="241"/>
  <c r="AS6" i="241"/>
  <c r="R17" i="241"/>
  <c r="AH17" i="241"/>
  <c r="O23" i="241"/>
  <c r="AB23" i="241"/>
  <c r="AN23" i="241"/>
  <c r="R25" i="241"/>
  <c r="AH25" i="241"/>
  <c r="X6" i="241"/>
  <c r="S17" i="241"/>
  <c r="AI17" i="241"/>
  <c r="P23" i="241"/>
  <c r="AC23" i="241"/>
  <c r="AQ23" i="241"/>
  <c r="S25" i="241"/>
  <c r="AI25" i="241"/>
  <c r="Y6" i="241"/>
  <c r="AK6" i="241"/>
  <c r="O9" i="241"/>
  <c r="W9" i="241" s="1"/>
  <c r="Y11" i="241"/>
  <c r="X13" i="241"/>
  <c r="AM13" i="241"/>
  <c r="V14" i="241"/>
  <c r="AP14" i="241"/>
  <c r="AG15" i="241"/>
  <c r="R16" i="241"/>
  <c r="AE16" i="241"/>
  <c r="AQ16" i="241"/>
  <c r="U17" i="241"/>
  <c r="AK17" i="241"/>
  <c r="AK18" i="241"/>
  <c r="M20" i="241"/>
  <c r="V20" i="241"/>
  <c r="AE20" i="241"/>
  <c r="AN20" i="241"/>
  <c r="S23" i="241"/>
  <c r="AE23" i="241"/>
  <c r="AR23" i="241"/>
  <c r="AE24" i="241"/>
  <c r="AQ24" i="241"/>
  <c r="U25" i="241"/>
  <c r="AK25" i="241"/>
  <c r="Q26" i="241"/>
  <c r="AO26" i="241"/>
  <c r="J7" i="241"/>
  <c r="J8" i="241" s="1"/>
  <c r="J9" i="241" s="1"/>
  <c r="J10" i="241" s="1"/>
  <c r="J11" i="241" s="1"/>
  <c r="J12" i="241" s="1"/>
  <c r="J13" i="241" s="1"/>
  <c r="J14" i="241" s="1"/>
  <c r="J15" i="241" s="1"/>
  <c r="AH7" i="241"/>
  <c r="AP7" i="241"/>
  <c r="P10" i="241"/>
  <c r="Y10" i="241"/>
  <c r="AH10" i="241"/>
  <c r="AQ10" i="241"/>
  <c r="P11" i="241"/>
  <c r="AK11" i="241"/>
  <c r="AK15" i="241"/>
  <c r="AM19" i="241"/>
  <c r="AE19" i="241"/>
  <c r="W19" i="241"/>
  <c r="O19" i="241"/>
  <c r="AL19" i="241"/>
  <c r="AD19" i="241"/>
  <c r="V19" i="241"/>
  <c r="AS19" i="241"/>
  <c r="AK19" i="241"/>
  <c r="AC19" i="241"/>
  <c r="U19" i="241"/>
  <c r="M19" i="241"/>
  <c r="AR19" i="241"/>
  <c r="AJ19" i="241"/>
  <c r="AB19" i="241"/>
  <c r="T19" i="241"/>
  <c r="L19" i="241"/>
  <c r="AP19" i="241"/>
  <c r="AH19" i="241"/>
  <c r="Z19" i="241"/>
  <c r="R19" i="241"/>
  <c r="J19" i="241"/>
  <c r="AA19" i="241"/>
  <c r="AS21" i="241"/>
  <c r="AK21" i="241"/>
  <c r="AC21" i="241"/>
  <c r="U21" i="241"/>
  <c r="M21" i="241"/>
  <c r="AR21" i="241"/>
  <c r="AJ21" i="241"/>
  <c r="AB21" i="241"/>
  <c r="T21" i="241"/>
  <c r="L21" i="241"/>
  <c r="AQ21" i="241"/>
  <c r="AI21" i="241"/>
  <c r="AA21" i="241"/>
  <c r="S21" i="241"/>
  <c r="AP21" i="241"/>
  <c r="AH21" i="241"/>
  <c r="Z21" i="241"/>
  <c r="R21" i="241"/>
  <c r="J21" i="241"/>
  <c r="AN21" i="241"/>
  <c r="AF21" i="241"/>
  <c r="X21" i="241"/>
  <c r="P21" i="241"/>
  <c r="AD21" i="241"/>
  <c r="AB22" i="241"/>
  <c r="Q7" i="241"/>
  <c r="R7" i="241" s="1"/>
  <c r="AO7" i="241"/>
  <c r="S7" i="241"/>
  <c r="AA7" i="241"/>
  <c r="AI7" i="241"/>
  <c r="AQ7" i="241"/>
  <c r="AO9" i="241"/>
  <c r="AG9" i="241"/>
  <c r="Y9" i="241"/>
  <c r="Q9" i="241"/>
  <c r="R9" i="241" s="1"/>
  <c r="AA9" i="241"/>
  <c r="AS9" i="241"/>
  <c r="Q10" i="241"/>
  <c r="R10" i="241" s="1"/>
  <c r="AJ10" i="241" s="1"/>
  <c r="AI10" i="241"/>
  <c r="Q11" i="241"/>
  <c r="R11" i="241" s="1"/>
  <c r="AA11" i="241"/>
  <c r="V15" i="241"/>
  <c r="L22" i="241"/>
  <c r="AG22" i="241"/>
  <c r="T7" i="241"/>
  <c r="AR7" i="241"/>
  <c r="L7" i="241" s="1"/>
  <c r="AR10" i="241"/>
  <c r="L10" i="241" s="1"/>
  <c r="T10" i="241"/>
  <c r="AA10" i="241"/>
  <c r="AK10" i="241"/>
  <c r="AM11" i="241"/>
  <c r="AE11" i="241"/>
  <c r="O11" i="241"/>
  <c r="W11" i="241" s="1"/>
  <c r="AL11" i="241"/>
  <c r="AD11" i="241"/>
  <c r="V11" i="241"/>
  <c r="AQ11" i="241"/>
  <c r="AI11" i="241"/>
  <c r="AO11" i="241"/>
  <c r="AR15" i="241"/>
  <c r="AJ15" i="241"/>
  <c r="T15" i="241"/>
  <c r="L15" i="241"/>
  <c r="U15" i="241" s="1"/>
  <c r="AQ15" i="241"/>
  <c r="AI15" i="241"/>
  <c r="AA15" i="241"/>
  <c r="S15" i="241"/>
  <c r="AP15" i="241"/>
  <c r="AH15" i="241"/>
  <c r="R15" i="241"/>
  <c r="Z15" i="241" s="1"/>
  <c r="AM15" i="241"/>
  <c r="AE15" i="241"/>
  <c r="O15" i="241"/>
  <c r="W15" i="241" s="1"/>
  <c r="X15" i="241"/>
  <c r="AN15" i="241"/>
  <c r="AH22" i="241"/>
  <c r="Y7" i="241"/>
  <c r="AH6" i="241"/>
  <c r="AP6" i="241"/>
  <c r="AC7" i="241"/>
  <c r="AK7" i="241"/>
  <c r="AS7" i="241"/>
  <c r="P8" i="241"/>
  <c r="X8" i="241"/>
  <c r="AF8" i="241"/>
  <c r="AN8" i="241"/>
  <c r="T9" i="241"/>
  <c r="AC9" i="241"/>
  <c r="AL9" i="241"/>
  <c r="S10" i="241"/>
  <c r="AC10" i="241"/>
  <c r="AL10" i="241"/>
  <c r="S11" i="241"/>
  <c r="AC11" i="241"/>
  <c r="AP11" i="241"/>
  <c r="Y15" i="241"/>
  <c r="AO15" i="241"/>
  <c r="P19" i="241"/>
  <c r="AI19" i="241"/>
  <c r="O21" i="241"/>
  <c r="AL21" i="241"/>
  <c r="Q22" i="241"/>
  <c r="AJ22" i="241"/>
  <c r="V7" i="241"/>
  <c r="AD7" i="241"/>
  <c r="AL7" i="241"/>
  <c r="Q8" i="241"/>
  <c r="R8" i="241" s="1"/>
  <c r="Y8" i="241"/>
  <c r="AG8" i="241"/>
  <c r="AO8" i="241"/>
  <c r="AD9" i="241"/>
  <c r="AM9" i="241"/>
  <c r="AD10" i="241"/>
  <c r="AM10" i="241"/>
  <c r="T11" i="241"/>
  <c r="AF11" i="241"/>
  <c r="AR11" i="241"/>
  <c r="L11" i="241" s="1"/>
  <c r="M15" i="241"/>
  <c r="AC15" i="241"/>
  <c r="AS15" i="241"/>
  <c r="Q19" i="241"/>
  <c r="AN19" i="241"/>
  <c r="Q21" i="241"/>
  <c r="AM21" i="241"/>
  <c r="R22" i="241"/>
  <c r="AO22" i="241"/>
  <c r="AG7" i="241"/>
  <c r="L6" i="241"/>
  <c r="T6" i="241"/>
  <c r="O7" i="241"/>
  <c r="W7" i="241" s="1"/>
  <c r="AE7" i="241"/>
  <c r="AM7" i="241"/>
  <c r="AH8" i="241"/>
  <c r="V9" i="241"/>
  <c r="AE9" i="241"/>
  <c r="AN9" i="241"/>
  <c r="V10" i="241"/>
  <c r="AE10" i="241"/>
  <c r="AN10" i="241"/>
  <c r="AG11" i="241"/>
  <c r="AS11" i="241"/>
  <c r="AD15" i="241"/>
  <c r="S19" i="241"/>
  <c r="AO19" i="241"/>
  <c r="V21" i="241"/>
  <c r="AO21" i="241"/>
  <c r="T22" i="241"/>
  <c r="P7" i="241"/>
  <c r="X7" i="241"/>
  <c r="AF7" i="241"/>
  <c r="AF15" i="241"/>
  <c r="AN22" i="241"/>
  <c r="AF22" i="241"/>
  <c r="X22" i="241"/>
  <c r="P22" i="241"/>
  <c r="AM22" i="241"/>
  <c r="AE22" i="241"/>
  <c r="W22" i="241"/>
  <c r="O22" i="241"/>
  <c r="AL22" i="241"/>
  <c r="AD22" i="241"/>
  <c r="V22" i="241"/>
  <c r="AS22" i="241"/>
  <c r="AK22" i="241"/>
  <c r="AC22" i="241"/>
  <c r="U22" i="241"/>
  <c r="M22" i="241"/>
  <c r="AQ22" i="241"/>
  <c r="AI22" i="241"/>
  <c r="AA22" i="241"/>
  <c r="S22" i="241"/>
  <c r="Y22" i="241"/>
  <c r="AR22" i="241"/>
  <c r="V12" i="241"/>
  <c r="AD12" i="241"/>
  <c r="AL12" i="241"/>
  <c r="Q13" i="241"/>
  <c r="R13" i="241" s="1"/>
  <c r="Z13" i="241" s="1"/>
  <c r="Y13" i="241"/>
  <c r="AG13" i="241"/>
  <c r="AO13" i="241"/>
  <c r="L14" i="241"/>
  <c r="T14" i="241"/>
  <c r="AR14" i="241"/>
  <c r="Q16" i="241"/>
  <c r="Y16" i="241"/>
  <c r="AG16" i="241"/>
  <c r="AO16" i="241"/>
  <c r="L17" i="241"/>
  <c r="T17" i="241"/>
  <c r="AB17" i="241"/>
  <c r="AJ17" i="241"/>
  <c r="AR17" i="241"/>
  <c r="O18" i="241"/>
  <c r="W18" i="241"/>
  <c r="AE18" i="241"/>
  <c r="AM18" i="241"/>
  <c r="V23" i="241"/>
  <c r="AD23" i="241"/>
  <c r="AL23" i="241"/>
  <c r="Q24" i="241"/>
  <c r="Y24" i="241"/>
  <c r="AG24" i="241"/>
  <c r="AO24" i="241"/>
  <c r="L25" i="241"/>
  <c r="T25" i="241"/>
  <c r="AB25" i="241"/>
  <c r="AJ25" i="241"/>
  <c r="AR25" i="241"/>
  <c r="P26" i="241"/>
  <c r="Y26" i="241"/>
  <c r="AG26" i="241"/>
  <c r="AP26" i="241"/>
  <c r="Q18" i="241"/>
  <c r="Y18" i="241"/>
  <c r="AG18" i="241"/>
  <c r="AO18" i="241"/>
  <c r="R26" i="241"/>
  <c r="AA26" i="241"/>
  <c r="AI26" i="241"/>
  <c r="AR26" i="241"/>
  <c r="Q12" i="241"/>
  <c r="R12" i="241" s="1"/>
  <c r="Y12" i="241"/>
  <c r="AG12" i="241"/>
  <c r="AO12" i="241"/>
  <c r="T13" i="241"/>
  <c r="AR13" i="241"/>
  <c r="L13" i="241" s="1"/>
  <c r="O14" i="241"/>
  <c r="W14" i="241" s="1"/>
  <c r="AE14" i="241"/>
  <c r="AM14" i="241"/>
  <c r="L16" i="241"/>
  <c r="T16" i="241"/>
  <c r="AB16" i="241"/>
  <c r="AJ16" i="241"/>
  <c r="AR16" i="241"/>
  <c r="O17" i="241"/>
  <c r="W17" i="241"/>
  <c r="AE17" i="241"/>
  <c r="AM17" i="241"/>
  <c r="J18" i="241"/>
  <c r="R18" i="241"/>
  <c r="Z18" i="241"/>
  <c r="AH18" i="241"/>
  <c r="AP18" i="241"/>
  <c r="Q23" i="241"/>
  <c r="Y23" i="241"/>
  <c r="AG23" i="241"/>
  <c r="AO23" i="241"/>
  <c r="L24" i="241"/>
  <c r="T24" i="241"/>
  <c r="AB24" i="241"/>
  <c r="AJ24" i="241"/>
  <c r="AR24" i="241"/>
  <c r="O25" i="241"/>
  <c r="W25" i="241"/>
  <c r="AE25" i="241"/>
  <c r="AM25" i="241"/>
  <c r="J26" i="241"/>
  <c r="S26" i="241"/>
  <c r="AB26" i="241"/>
  <c r="AJ26" i="241"/>
  <c r="AS26" i="241"/>
  <c r="AH12" i="241"/>
  <c r="AC13" i="241"/>
  <c r="AK13" i="241"/>
  <c r="P14" i="241"/>
  <c r="X14" i="241"/>
  <c r="AF14" i="241"/>
  <c r="AN14" i="241"/>
  <c r="M16" i="241"/>
  <c r="U16" i="241"/>
  <c r="AC16" i="241"/>
  <c r="AK16" i="241"/>
  <c r="P17" i="241"/>
  <c r="X17" i="241"/>
  <c r="AF17" i="241"/>
  <c r="AN17" i="241"/>
  <c r="S18" i="241"/>
  <c r="AA18" i="241"/>
  <c r="AI18" i="241"/>
  <c r="AQ18" i="241"/>
  <c r="Q20" i="241"/>
  <c r="Y20" i="241"/>
  <c r="AG20" i="241"/>
  <c r="J23" i="241"/>
  <c r="R23" i="241"/>
  <c r="Z23" i="241"/>
  <c r="AH23" i="241"/>
  <c r="M24" i="241"/>
  <c r="U24" i="241"/>
  <c r="AC24" i="241"/>
  <c r="AK24" i="241"/>
  <c r="P25" i="241"/>
  <c r="X25" i="241"/>
  <c r="AF25" i="241"/>
  <c r="AN25" i="241"/>
  <c r="L26" i="241"/>
  <c r="T26" i="241"/>
  <c r="AC26" i="241"/>
  <c r="AK26" i="241"/>
  <c r="Q14" i="241"/>
  <c r="R14" i="241" s="1"/>
  <c r="Z14" i="241" s="1"/>
  <c r="Y14" i="241"/>
  <c r="AG14" i="241"/>
  <c r="Q17" i="241"/>
  <c r="Y17" i="241"/>
  <c r="AG17" i="241"/>
  <c r="L18" i="241"/>
  <c r="T18" i="241"/>
  <c r="AB18" i="241"/>
  <c r="AJ18" i="241"/>
  <c r="Q25" i="241"/>
  <c r="Y25" i="241"/>
  <c r="AG25" i="241"/>
  <c r="M26" i="241"/>
  <c r="U26" i="241"/>
  <c r="AD26" i="241"/>
  <c r="AA7" i="240"/>
  <c r="AL21" i="240"/>
  <c r="AN7" i="240"/>
  <c r="AL12" i="240"/>
  <c r="AD17" i="240"/>
  <c r="AN20" i="240"/>
  <c r="AS21" i="240"/>
  <c r="T12" i="240"/>
  <c r="AH17" i="240"/>
  <c r="AF8" i="240"/>
  <c r="AF16" i="240"/>
  <c r="P20" i="240"/>
  <c r="P21" i="240"/>
  <c r="X7" i="240"/>
  <c r="AN8" i="240"/>
  <c r="AL16" i="240"/>
  <c r="S20" i="240"/>
  <c r="U21" i="240"/>
  <c r="T15" i="240"/>
  <c r="T20" i="240"/>
  <c r="W21" i="240"/>
  <c r="AD7" i="240"/>
  <c r="S13" i="240"/>
  <c r="AG15" i="240"/>
  <c r="AK20" i="240"/>
  <c r="AH21" i="240"/>
  <c r="V12" i="240"/>
  <c r="AQ12" i="240"/>
  <c r="AL17" i="240"/>
  <c r="AP20" i="240"/>
  <c r="L23" i="240"/>
  <c r="O10" i="240"/>
  <c r="W10" i="240" s="1"/>
  <c r="AA12" i="240"/>
  <c r="AR12" i="240"/>
  <c r="L12" i="240" s="1"/>
  <c r="J17" i="240"/>
  <c r="W20" i="240"/>
  <c r="AR20" i="240"/>
  <c r="V25" i="240"/>
  <c r="AQ7" i="240"/>
  <c r="AD10" i="240"/>
  <c r="AC12" i="240"/>
  <c r="AS12" i="240"/>
  <c r="J20" i="240"/>
  <c r="AA20" i="240"/>
  <c r="X21" i="240"/>
  <c r="P23" i="240"/>
  <c r="S24" i="240"/>
  <c r="AI25" i="240"/>
  <c r="T9" i="240"/>
  <c r="AE10" i="240"/>
  <c r="AD12" i="240"/>
  <c r="M18" i="240"/>
  <c r="AC20" i="240"/>
  <c r="J21" i="240"/>
  <c r="AA21" i="240"/>
  <c r="R22" i="240"/>
  <c r="X23" i="240"/>
  <c r="X24" i="240"/>
  <c r="AQ25" i="240"/>
  <c r="AE9" i="240"/>
  <c r="AN10" i="240"/>
  <c r="AF12" i="240"/>
  <c r="O16" i="240"/>
  <c r="W16" i="240" s="1"/>
  <c r="R17" i="240"/>
  <c r="M20" i="240"/>
  <c r="AE20" i="240"/>
  <c r="Z22" i="240"/>
  <c r="AC23" i="240"/>
  <c r="AF24" i="240"/>
  <c r="AF9" i="240"/>
  <c r="AP10" i="240"/>
  <c r="P12" i="240"/>
  <c r="AI12" i="240"/>
  <c r="Q15" i="240"/>
  <c r="R15" i="240" s="1"/>
  <c r="AJ15" i="240" s="1"/>
  <c r="S16" i="240"/>
  <c r="Z17" i="240"/>
  <c r="AG18" i="240"/>
  <c r="AH20" i="240"/>
  <c r="M21" i="240"/>
  <c r="AI21" i="240"/>
  <c r="AK22" i="240"/>
  <c r="AK23" i="240"/>
  <c r="AN24" i="240"/>
  <c r="S12" i="240"/>
  <c r="AK12" i="240"/>
  <c r="AQ23" i="240"/>
  <c r="AF26" i="240"/>
  <c r="V7" i="240"/>
  <c r="AL7" i="240"/>
  <c r="X8" i="240"/>
  <c r="X9" i="240"/>
  <c r="AC10" i="240"/>
  <c r="AM10" i="240"/>
  <c r="X12" i="240"/>
  <c r="AN12" i="240"/>
  <c r="Q13" i="240"/>
  <c r="R13" i="240" s="1"/>
  <c r="Z13" i="240" s="1"/>
  <c r="AQ13" i="240"/>
  <c r="AI14" i="240"/>
  <c r="V15" i="240"/>
  <c r="P16" i="240"/>
  <c r="AI16" i="240"/>
  <c r="AI17" i="240"/>
  <c r="L20" i="240"/>
  <c r="U20" i="240"/>
  <c r="AF20" i="240"/>
  <c r="AQ20" i="240"/>
  <c r="O21" i="240"/>
  <c r="Z21" i="240"/>
  <c r="AK21" i="240"/>
  <c r="J22" i="240"/>
  <c r="AH22" i="240"/>
  <c r="AB23" i="240"/>
  <c r="AN23" i="240"/>
  <c r="P24" i="240"/>
  <c r="AM24" i="240"/>
  <c r="S25" i="240"/>
  <c r="AP25" i="240"/>
  <c r="V13" i="240"/>
  <c r="AR14" i="240"/>
  <c r="V16" i="240"/>
  <c r="AM16" i="240"/>
  <c r="S17" i="240"/>
  <c r="AP17" i="240"/>
  <c r="X20" i="240"/>
  <c r="AI20" i="240"/>
  <c r="AS20" i="240"/>
  <c r="R21" i="240"/>
  <c r="AC21" i="240"/>
  <c r="AM21" i="240"/>
  <c r="M22" i="240"/>
  <c r="AP22" i="240"/>
  <c r="S23" i="240"/>
  <c r="AD23" i="240"/>
  <c r="AR23" i="240"/>
  <c r="W24" i="240"/>
  <c r="AQ24" i="240"/>
  <c r="Z25" i="240"/>
  <c r="AC7" i="240"/>
  <c r="AS7" i="240"/>
  <c r="AI9" i="240"/>
  <c r="P10" i="240"/>
  <c r="AF10" i="240"/>
  <c r="AQ10" i="240"/>
  <c r="AD13" i="240"/>
  <c r="X16" i="240"/>
  <c r="AN16" i="240"/>
  <c r="V17" i="240"/>
  <c r="AQ17" i="240"/>
  <c r="O20" i="240"/>
  <c r="Z20" i="240"/>
  <c r="AJ20" i="240"/>
  <c r="S21" i="240"/>
  <c r="AD21" i="240"/>
  <c r="AN21" i="240"/>
  <c r="AS22" i="240"/>
  <c r="T23" i="240"/>
  <c r="AF23" i="240"/>
  <c r="AS23" i="240"/>
  <c r="AA25" i="240"/>
  <c r="AQ14" i="240"/>
  <c r="AP9" i="240"/>
  <c r="S10" i="240"/>
  <c r="AH10" i="240"/>
  <c r="AS10" i="240"/>
  <c r="AE13" i="240"/>
  <c r="S14" i="240"/>
  <c r="AA16" i="240"/>
  <c r="AQ16" i="240"/>
  <c r="AE21" i="240"/>
  <c r="AP21" i="240"/>
  <c r="U23" i="240"/>
  <c r="AI23" i="240"/>
  <c r="AA24" i="240"/>
  <c r="J25" i="240"/>
  <c r="AD25" i="240"/>
  <c r="W26" i="240"/>
  <c r="L26" i="239"/>
  <c r="AF7" i="240"/>
  <c r="AQ9" i="240"/>
  <c r="V10" i="240"/>
  <c r="AI10" i="240"/>
  <c r="AF13" i="240"/>
  <c r="V14" i="240"/>
  <c r="AD16" i="240"/>
  <c r="AA17" i="240"/>
  <c r="R20" i="240"/>
  <c r="AB20" i="240"/>
  <c r="AM20" i="240"/>
  <c r="V21" i="240"/>
  <c r="AF21" i="240"/>
  <c r="AQ21" i="240"/>
  <c r="U22" i="240"/>
  <c r="V23" i="240"/>
  <c r="AJ23" i="240"/>
  <c r="AE24" i="240"/>
  <c r="AH25" i="240"/>
  <c r="AA26" i="240"/>
  <c r="P7" i="240"/>
  <c r="AI7" i="240"/>
  <c r="AS9" i="240"/>
  <c r="X10" i="240"/>
  <c r="AK10" i="240"/>
  <c r="AG13" i="240"/>
  <c r="AD14" i="240"/>
  <c r="AE16" i="240"/>
  <c r="S7" i="240"/>
  <c r="AK7" i="240"/>
  <c r="P8" i="240"/>
  <c r="AA10" i="240"/>
  <c r="AL10" i="240"/>
  <c r="P13" i="240"/>
  <c r="AC22" i="240"/>
  <c r="M23" i="240"/>
  <c r="AA23" i="240"/>
  <c r="AL23" i="240"/>
  <c r="O24" i="240"/>
  <c r="AI24" i="240"/>
  <c r="R25" i="240"/>
  <c r="AL25" i="240"/>
  <c r="AH6" i="240"/>
  <c r="Q8" i="240"/>
  <c r="R8" i="240" s="1"/>
  <c r="Y8" i="240"/>
  <c r="AG8" i="240"/>
  <c r="AO8" i="240"/>
  <c r="AF11" i="240"/>
  <c r="AP11" i="240"/>
  <c r="AR18" i="240"/>
  <c r="AJ18" i="240"/>
  <c r="AB18" i="240"/>
  <c r="T18" i="240"/>
  <c r="L18" i="240"/>
  <c r="AQ18" i="240"/>
  <c r="AI18" i="240"/>
  <c r="AA18" i="240"/>
  <c r="S18" i="240"/>
  <c r="AP18" i="240"/>
  <c r="AH18" i="240"/>
  <c r="Z18" i="240"/>
  <c r="R18" i="240"/>
  <c r="J18" i="240"/>
  <c r="AN18" i="240"/>
  <c r="AF18" i="240"/>
  <c r="X18" i="240"/>
  <c r="P18" i="240"/>
  <c r="AM18" i="240"/>
  <c r="AE18" i="240"/>
  <c r="W18" i="240"/>
  <c r="O18" i="240"/>
  <c r="AC18" i="240"/>
  <c r="AB19" i="240"/>
  <c r="AL11" i="239"/>
  <c r="J19" i="239"/>
  <c r="T6" i="240"/>
  <c r="AR6" i="240"/>
  <c r="L6" i="240" s="1"/>
  <c r="O7" i="240"/>
  <c r="W7" i="240" s="1"/>
  <c r="AE7" i="240"/>
  <c r="AM7" i="240"/>
  <c r="AH8" i="240"/>
  <c r="AP8" i="240"/>
  <c r="AH9" i="240"/>
  <c r="AR9" i="240"/>
  <c r="L9" i="240" s="1"/>
  <c r="V11" i="240"/>
  <c r="AG11" i="240"/>
  <c r="AQ11" i="240"/>
  <c r="AN14" i="240"/>
  <c r="AF14" i="240"/>
  <c r="X14" i="240"/>
  <c r="P14" i="240"/>
  <c r="AM14" i="240"/>
  <c r="AE14" i="240"/>
  <c r="O14" i="240"/>
  <c r="W14" i="240" s="1"/>
  <c r="AS14" i="240"/>
  <c r="AK14" i="240"/>
  <c r="AC14" i="240"/>
  <c r="T14" i="240"/>
  <c r="AH14" i="240"/>
  <c r="AQ15" i="240"/>
  <c r="AI15" i="240"/>
  <c r="AA15" i="240"/>
  <c r="S15" i="240"/>
  <c r="AP15" i="240"/>
  <c r="AH15" i="240"/>
  <c r="AN15" i="240"/>
  <c r="AF15" i="240"/>
  <c r="X15" i="240"/>
  <c r="P15" i="240"/>
  <c r="AM15" i="240"/>
  <c r="AE15" i="240"/>
  <c r="AK15" i="240"/>
  <c r="AD18" i="240"/>
  <c r="L19" i="240"/>
  <c r="AF19" i="240"/>
  <c r="AD11" i="240"/>
  <c r="S6" i="240"/>
  <c r="AA6" i="240"/>
  <c r="AQ6" i="240"/>
  <c r="AC6" i="240"/>
  <c r="AK6" i="240"/>
  <c r="AS6" i="240"/>
  <c r="AG19" i="240"/>
  <c r="V6" i="240"/>
  <c r="AD6" i="240"/>
  <c r="AL6" i="240"/>
  <c r="Q7" i="240"/>
  <c r="R7" i="240" s="1"/>
  <c r="Y7" i="240"/>
  <c r="AG7" i="240"/>
  <c r="AO7" i="240"/>
  <c r="L8" i="240"/>
  <c r="U8" i="240" s="1"/>
  <c r="T8" i="240"/>
  <c r="AR8" i="240"/>
  <c r="O9" i="240"/>
  <c r="W9" i="240" s="1"/>
  <c r="Y11" i="240"/>
  <c r="AI11" i="240"/>
  <c r="AS13" i="240"/>
  <c r="AK13" i="240"/>
  <c r="AC13" i="240"/>
  <c r="AR13" i="240"/>
  <c r="L13" i="240" s="1"/>
  <c r="U13" i="240" s="1"/>
  <c r="T13" i="240"/>
  <c r="AP13" i="240"/>
  <c r="AH13" i="240"/>
  <c r="AI13" i="240"/>
  <c r="Y14" i="240"/>
  <c r="Y15" i="240"/>
  <c r="AO15" i="240"/>
  <c r="AK18" i="240"/>
  <c r="P19" i="240"/>
  <c r="AN26" i="240"/>
  <c r="AE26" i="240"/>
  <c r="V26" i="240"/>
  <c r="AM26" i="240"/>
  <c r="AD26" i="240"/>
  <c r="U26" i="240"/>
  <c r="M26" i="240"/>
  <c r="AK26" i="240"/>
  <c r="AC26" i="240"/>
  <c r="T26" i="240"/>
  <c r="L26" i="240"/>
  <c r="AS26" i="240"/>
  <c r="AJ26" i="240"/>
  <c r="AB26" i="240"/>
  <c r="S26" i="240"/>
  <c r="J26" i="240"/>
  <c r="AQ26" i="240"/>
  <c r="AH26" i="240"/>
  <c r="Z26" i="240"/>
  <c r="Q26" i="240"/>
  <c r="AP26" i="240"/>
  <c r="AG26" i="240"/>
  <c r="Y26" i="240"/>
  <c r="P26" i="240"/>
  <c r="AO26" i="240"/>
  <c r="AN19" i="240"/>
  <c r="AM19" i="240"/>
  <c r="AE19" i="240"/>
  <c r="W19" i="240"/>
  <c r="O19" i="240"/>
  <c r="AL19" i="240"/>
  <c r="AD19" i="240"/>
  <c r="V19" i="240"/>
  <c r="AS19" i="240"/>
  <c r="AK19" i="240"/>
  <c r="AC19" i="240"/>
  <c r="U19" i="240"/>
  <c r="M19" i="240"/>
  <c r="AQ19" i="240"/>
  <c r="AI19" i="240"/>
  <c r="AA19" i="240"/>
  <c r="S19" i="240"/>
  <c r="AP19" i="240"/>
  <c r="AH19" i="240"/>
  <c r="Z19" i="240"/>
  <c r="R19" i="240"/>
  <c r="J19" i="240"/>
  <c r="AI6" i="240"/>
  <c r="S8" i="240"/>
  <c r="X11" i="240"/>
  <c r="P19" i="239"/>
  <c r="O6" i="240"/>
  <c r="W6" i="240" s="1"/>
  <c r="AE6" i="240"/>
  <c r="AM6" i="240"/>
  <c r="J7" i="240"/>
  <c r="AH7" i="240"/>
  <c r="AP7" i="240"/>
  <c r="AC8" i="240"/>
  <c r="AK8" i="240"/>
  <c r="AS8" i="240"/>
  <c r="P9" i="240"/>
  <c r="AA9" i="240"/>
  <c r="P11" i="240"/>
  <c r="AK11" i="240"/>
  <c r="X13" i="240"/>
  <c r="AL13" i="240"/>
  <c r="L14" i="240"/>
  <c r="M14" i="240" s="1"/>
  <c r="AL14" i="240"/>
  <c r="AR15" i="240"/>
  <c r="L15" i="240" s="1"/>
  <c r="Q18" i="240"/>
  <c r="AL18" i="240"/>
  <c r="Q19" i="240"/>
  <c r="AO19" i="240"/>
  <c r="AR26" i="240"/>
  <c r="AP6" i="240"/>
  <c r="S11" i="240"/>
  <c r="Y19" i="240"/>
  <c r="AA8" i="240"/>
  <c r="AI8" i="240"/>
  <c r="AQ8" i="240"/>
  <c r="AH11" i="240"/>
  <c r="AS11" i="240"/>
  <c r="AD19" i="239"/>
  <c r="AE24" i="239"/>
  <c r="P6" i="240"/>
  <c r="X6" i="240"/>
  <c r="AF6" i="240"/>
  <c r="AN6" i="240"/>
  <c r="V8" i="240"/>
  <c r="AD8" i="240"/>
  <c r="AL8" i="240"/>
  <c r="AO9" i="240"/>
  <c r="AG9" i="240"/>
  <c r="Y9" i="240"/>
  <c r="Q9" i="240"/>
  <c r="R9" i="240" s="1"/>
  <c r="Z9" i="240" s="1"/>
  <c r="AL9" i="240"/>
  <c r="AD9" i="240"/>
  <c r="V9" i="240"/>
  <c r="AM9" i="240"/>
  <c r="Q11" i="240"/>
  <c r="R11" i="240" s="1"/>
  <c r="AJ11" i="240" s="1"/>
  <c r="AA11" i="240"/>
  <c r="Y13" i="240"/>
  <c r="AM13" i="240"/>
  <c r="AA14" i="240"/>
  <c r="AO14" i="240"/>
  <c r="AC15" i="240"/>
  <c r="AS15" i="240"/>
  <c r="U18" i="240"/>
  <c r="AO18" i="240"/>
  <c r="T19" i="240"/>
  <c r="AR19" i="240"/>
  <c r="O26" i="240"/>
  <c r="AM11" i="240"/>
  <c r="AE11" i="240"/>
  <c r="O11" i="240"/>
  <c r="W11" i="240" s="1"/>
  <c r="AR11" i="240"/>
  <c r="L11" i="240" s="1"/>
  <c r="M11" i="240" s="1"/>
  <c r="T11" i="240"/>
  <c r="AO11" i="240"/>
  <c r="Q6" i="240"/>
  <c r="R6" i="240" s="1"/>
  <c r="Y6" i="240"/>
  <c r="AG6" i="240"/>
  <c r="L7" i="240"/>
  <c r="T7" i="240"/>
  <c r="O8" i="240"/>
  <c r="W8" i="240" s="1"/>
  <c r="AE8" i="240"/>
  <c r="S9" i="240"/>
  <c r="AC9" i="240"/>
  <c r="AN9" i="240"/>
  <c r="AC11" i="240"/>
  <c r="AN11" i="240"/>
  <c r="O13" i="240"/>
  <c r="W13" i="240" s="1"/>
  <c r="AA13" i="240"/>
  <c r="AN13" i="240"/>
  <c r="Q14" i="240"/>
  <c r="R14" i="240" s="1"/>
  <c r="AJ14" i="240" s="1"/>
  <c r="AP14" i="240"/>
  <c r="O15" i="240"/>
  <c r="W15" i="240" s="1"/>
  <c r="AD15" i="240"/>
  <c r="V18" i="240"/>
  <c r="AS18" i="240"/>
  <c r="X19" i="240"/>
  <c r="R26" i="240"/>
  <c r="Q16" i="240"/>
  <c r="R16" i="240" s="1"/>
  <c r="Y16" i="240"/>
  <c r="AG16" i="240"/>
  <c r="AO16" i="240"/>
  <c r="L17" i="240"/>
  <c r="T17" i="240"/>
  <c r="AB17" i="240"/>
  <c r="AJ17" i="240"/>
  <c r="AR17" i="240"/>
  <c r="S22" i="240"/>
  <c r="AA22" i="240"/>
  <c r="AI22" i="240"/>
  <c r="AQ22" i="240"/>
  <c r="Q24" i="240"/>
  <c r="Y24" i="240"/>
  <c r="AG24" i="240"/>
  <c r="AO24" i="240"/>
  <c r="L25" i="240"/>
  <c r="T25" i="240"/>
  <c r="AB25" i="240"/>
  <c r="AJ25" i="240"/>
  <c r="AR25" i="240"/>
  <c r="Q10" i="240"/>
  <c r="R10" i="240" s="1"/>
  <c r="Z10" i="240" s="1"/>
  <c r="Y10" i="240"/>
  <c r="AG10" i="240"/>
  <c r="AO10" i="240"/>
  <c r="O12" i="240"/>
  <c r="W12" i="240" s="1"/>
  <c r="AE12" i="240"/>
  <c r="AM12" i="240"/>
  <c r="AH16" i="240"/>
  <c r="AP16" i="240"/>
  <c r="M17" i="240"/>
  <c r="U17" i="240"/>
  <c r="AC17" i="240"/>
  <c r="AK17" i="240"/>
  <c r="AS17" i="240"/>
  <c r="V20" i="240"/>
  <c r="AD20" i="240"/>
  <c r="AL20" i="240"/>
  <c r="Q21" i="240"/>
  <c r="Y21" i="240"/>
  <c r="AG21" i="240"/>
  <c r="AO21" i="240"/>
  <c r="L22" i="240"/>
  <c r="T22" i="240"/>
  <c r="AB22" i="240"/>
  <c r="AJ22" i="240"/>
  <c r="AR22" i="240"/>
  <c r="O23" i="240"/>
  <c r="W23" i="240"/>
  <c r="AE23" i="240"/>
  <c r="AM23" i="240"/>
  <c r="J24" i="240"/>
  <c r="R24" i="240"/>
  <c r="Z24" i="240"/>
  <c r="AH24" i="240"/>
  <c r="AP24" i="240"/>
  <c r="M25" i="240"/>
  <c r="U25" i="240"/>
  <c r="AC25" i="240"/>
  <c r="AK25" i="240"/>
  <c r="AS25" i="240"/>
  <c r="Q12" i="240"/>
  <c r="R12" i="240" s="1"/>
  <c r="Y12" i="240"/>
  <c r="AG12" i="240"/>
  <c r="AO12" i="240"/>
  <c r="L16" i="240"/>
  <c r="M16" i="240" s="1"/>
  <c r="T16" i="240"/>
  <c r="AR16" i="240"/>
  <c r="O17" i="240"/>
  <c r="W17" i="240"/>
  <c r="AE17" i="240"/>
  <c r="AM17" i="240"/>
  <c r="V22" i="240"/>
  <c r="AD22" i="240"/>
  <c r="AL22" i="240"/>
  <c r="Q23" i="240"/>
  <c r="Y23" i="240"/>
  <c r="AG23" i="240"/>
  <c r="AO23" i="240"/>
  <c r="L24" i="240"/>
  <c r="T24" i="240"/>
  <c r="AB24" i="240"/>
  <c r="AJ24" i="240"/>
  <c r="AR24" i="240"/>
  <c r="O25" i="240"/>
  <c r="W25" i="240"/>
  <c r="AE25" i="240"/>
  <c r="AM25" i="240"/>
  <c r="L10" i="240"/>
  <c r="T10" i="240"/>
  <c r="AH12" i="240"/>
  <c r="AC16" i="240"/>
  <c r="AK16" i="240"/>
  <c r="P17" i="240"/>
  <c r="X17" i="240"/>
  <c r="AF17" i="240"/>
  <c r="AN17" i="240"/>
  <c r="Q20" i="240"/>
  <c r="Y20" i="240"/>
  <c r="AG20" i="240"/>
  <c r="L21" i="240"/>
  <c r="T21" i="240"/>
  <c r="AB21" i="240"/>
  <c r="AJ21" i="240"/>
  <c r="O22" i="240"/>
  <c r="W22" i="240"/>
  <c r="AE22" i="240"/>
  <c r="AM22" i="240"/>
  <c r="J23" i="240"/>
  <c r="R23" i="240"/>
  <c r="Z23" i="240"/>
  <c r="AH23" i="240"/>
  <c r="M24" i="240"/>
  <c r="U24" i="240"/>
  <c r="AC24" i="240"/>
  <c r="AK24" i="240"/>
  <c r="AS24" i="240"/>
  <c r="P25" i="240"/>
  <c r="X25" i="240"/>
  <c r="AF25" i="240"/>
  <c r="AN25" i="240"/>
  <c r="Q17" i="240"/>
  <c r="Y17" i="240"/>
  <c r="AG17" i="240"/>
  <c r="P22" i="240"/>
  <c r="X22" i="240"/>
  <c r="AF22" i="240"/>
  <c r="AN22" i="240"/>
  <c r="V24" i="240"/>
  <c r="AD24" i="240"/>
  <c r="Q25" i="240"/>
  <c r="Y25" i="240"/>
  <c r="AG25" i="240"/>
  <c r="Q22" i="240"/>
  <c r="Y22" i="240"/>
  <c r="AG22" i="240"/>
  <c r="AH7" i="239"/>
  <c r="AM24" i="239"/>
  <c r="L17" i="239"/>
  <c r="AL23" i="239"/>
  <c r="T8" i="239"/>
  <c r="AD17" i="239"/>
  <c r="T11" i="239"/>
  <c r="Q24" i="239"/>
  <c r="AC7" i="239"/>
  <c r="AI18" i="239"/>
  <c r="S17" i="239"/>
  <c r="AD9" i="239"/>
  <c r="V11" i="239"/>
  <c r="AB17" i="239"/>
  <c r="U20" i="239"/>
  <c r="R25" i="239"/>
  <c r="S25" i="239"/>
  <c r="AI16" i="239"/>
  <c r="AP17" i="239"/>
  <c r="U24" i="239"/>
  <c r="V25" i="239"/>
  <c r="P8" i="239"/>
  <c r="P23" i="239"/>
  <c r="S21" i="239"/>
  <c r="AK23" i="239"/>
  <c r="AC9" i="239"/>
  <c r="AS9" i="239"/>
  <c r="AE18" i="239"/>
  <c r="O6" i="239"/>
  <c r="W6" i="239" s="1"/>
  <c r="AK7" i="239"/>
  <c r="AC8" i="239"/>
  <c r="AE9" i="239"/>
  <c r="AF11" i="239"/>
  <c r="O16" i="239"/>
  <c r="W16" i="239" s="1"/>
  <c r="AF17" i="239"/>
  <c r="AK18" i="239"/>
  <c r="AF19" i="239"/>
  <c r="Y20" i="239"/>
  <c r="AB21" i="239"/>
  <c r="AP23" i="239"/>
  <c r="AE6" i="239"/>
  <c r="AP7" i="239"/>
  <c r="AF8" i="239"/>
  <c r="O9" i="239"/>
  <c r="W9" i="239" s="1"/>
  <c r="AG9" i="239"/>
  <c r="AG11" i="239"/>
  <c r="P17" i="239"/>
  <c r="AL17" i="239"/>
  <c r="O18" i="239"/>
  <c r="AL18" i="239"/>
  <c r="AH19" i="239"/>
  <c r="AG20" i="239"/>
  <c r="R23" i="239"/>
  <c r="AO24" i="239"/>
  <c r="AD25" i="239"/>
  <c r="V26" i="239"/>
  <c r="AK8" i="239"/>
  <c r="P9" i="239"/>
  <c r="AI9" i="239"/>
  <c r="AH11" i="239"/>
  <c r="AC15" i="239"/>
  <c r="AA16" i="239"/>
  <c r="R17" i="239"/>
  <c r="AN17" i="239"/>
  <c r="S18" i="239"/>
  <c r="AL19" i="239"/>
  <c r="AS20" i="239"/>
  <c r="T23" i="239"/>
  <c r="AF25" i="239"/>
  <c r="W26" i="239"/>
  <c r="J7" i="239"/>
  <c r="J8" i="239" s="1"/>
  <c r="J9" i="239" s="1"/>
  <c r="J10" i="239" s="1"/>
  <c r="J11" i="239" s="1"/>
  <c r="J12" i="239" s="1"/>
  <c r="J13" i="239" s="1"/>
  <c r="J14" i="239" s="1"/>
  <c r="J15" i="239" s="1"/>
  <c r="J16" i="239" s="1"/>
  <c r="AN8" i="239"/>
  <c r="S9" i="239"/>
  <c r="AL9" i="239"/>
  <c r="AK15" i="239"/>
  <c r="U18" i="239"/>
  <c r="AA23" i="239"/>
  <c r="M24" i="239"/>
  <c r="J25" i="239"/>
  <c r="AI25" i="239"/>
  <c r="AC26" i="239"/>
  <c r="AR8" i="239"/>
  <c r="L8" i="239" s="1"/>
  <c r="T9" i="239"/>
  <c r="AQ9" i="239"/>
  <c r="AN11" i="239"/>
  <c r="AN16" i="239"/>
  <c r="Z17" i="239"/>
  <c r="AQ17" i="239"/>
  <c r="V18" i="239"/>
  <c r="J21" i="239"/>
  <c r="AB23" i="239"/>
  <c r="AQ25" i="239"/>
  <c r="AN26" i="239"/>
  <c r="AS8" i="239"/>
  <c r="Y9" i="239"/>
  <c r="AR9" i="239"/>
  <c r="L9" i="239" s="1"/>
  <c r="U9" i="239" s="1"/>
  <c r="Q11" i="239"/>
  <c r="R11" i="239" s="1"/>
  <c r="AB11" i="239" s="1"/>
  <c r="AP11" i="239"/>
  <c r="AA17" i="239"/>
  <c r="AR17" i="239"/>
  <c r="AD18" i="239"/>
  <c r="M20" i="239"/>
  <c r="J23" i="239"/>
  <c r="AD23" i="239"/>
  <c r="AR25" i="239"/>
  <c r="AO26" i="239"/>
  <c r="AA12" i="239"/>
  <c r="O13" i="239"/>
  <c r="W13" i="239" s="1"/>
  <c r="AF14" i="239"/>
  <c r="L21" i="239"/>
  <c r="U21" i="239"/>
  <c r="AD21" i="239"/>
  <c r="AM21" i="239"/>
  <c r="AM6" i="239"/>
  <c r="AC12" i="239"/>
  <c r="AP12" i="239"/>
  <c r="P14" i="239"/>
  <c r="AH14" i="239"/>
  <c r="T17" i="239"/>
  <c r="AH17" i="239"/>
  <c r="W18" i="239"/>
  <c r="AM18" i="239"/>
  <c r="R19" i="239"/>
  <c r="AN19" i="239"/>
  <c r="M21" i="239"/>
  <c r="V21" i="239"/>
  <c r="AE21" i="239"/>
  <c r="AN21" i="239"/>
  <c r="S22" i="239"/>
  <c r="U23" i="239"/>
  <c r="AF23" i="239"/>
  <c r="AQ23" i="239"/>
  <c r="X25" i="239"/>
  <c r="AJ25" i="239"/>
  <c r="AE26" i="239"/>
  <c r="AN12" i="239"/>
  <c r="AS7" i="239"/>
  <c r="V9" i="239"/>
  <c r="AM9" i="239"/>
  <c r="X11" i="239"/>
  <c r="P12" i="239"/>
  <c r="AD12" i="239"/>
  <c r="AQ12" i="239"/>
  <c r="AA13" i="239"/>
  <c r="S14" i="239"/>
  <c r="AI14" i="239"/>
  <c r="J17" i="239"/>
  <c r="V17" i="239"/>
  <c r="AI17" i="239"/>
  <c r="AA18" i="239"/>
  <c r="AQ18" i="239"/>
  <c r="V19" i="239"/>
  <c r="AP19" i="239"/>
  <c r="AI20" i="239"/>
  <c r="W21" i="239"/>
  <c r="AF21" i="239"/>
  <c r="AP21" i="239"/>
  <c r="W22" i="239"/>
  <c r="L23" i="239"/>
  <c r="V23" i="239"/>
  <c r="AH23" i="239"/>
  <c r="AR23" i="239"/>
  <c r="AC24" i="239"/>
  <c r="L25" i="239"/>
  <c r="Z25" i="239"/>
  <c r="AL25" i="239"/>
  <c r="O26" i="239"/>
  <c r="AF26" i="239"/>
  <c r="X8" i="239"/>
  <c r="AA11" i="239"/>
  <c r="AR11" i="239"/>
  <c r="L11" i="239" s="1"/>
  <c r="U11" i="239" s="1"/>
  <c r="S12" i="239"/>
  <c r="AF12" i="239"/>
  <c r="AR12" i="239"/>
  <c r="L12" i="239" s="1"/>
  <c r="AI13" i="239"/>
  <c r="T14" i="239"/>
  <c r="AL14" i="239"/>
  <c r="O15" i="239"/>
  <c r="W15" i="239" s="1"/>
  <c r="X17" i="239"/>
  <c r="AJ17" i="239"/>
  <c r="M18" i="239"/>
  <c r="AC18" i="239"/>
  <c r="AS18" i="239"/>
  <c r="X19" i="239"/>
  <c r="O21" i="239"/>
  <c r="X21" i="239"/>
  <c r="AH21" i="239"/>
  <c r="AQ21" i="239"/>
  <c r="AE22" i="239"/>
  <c r="M23" i="239"/>
  <c r="X23" i="239"/>
  <c r="AI23" i="239"/>
  <c r="AS23" i="239"/>
  <c r="AA25" i="239"/>
  <c r="AN25" i="239"/>
  <c r="P26" i="239"/>
  <c r="AG26" i="239"/>
  <c r="T12" i="239"/>
  <c r="AH12" i="239"/>
  <c r="AS12" i="239"/>
  <c r="AN13" i="239"/>
  <c r="V14" i="239"/>
  <c r="AN14" i="239"/>
  <c r="Z19" i="239"/>
  <c r="P21" i="239"/>
  <c r="Z21" i="239"/>
  <c r="AI21" i="239"/>
  <c r="AR21" i="239"/>
  <c r="AG22" i="239"/>
  <c r="Z23" i="239"/>
  <c r="AJ23" i="239"/>
  <c r="AG24" i="239"/>
  <c r="P25" i="239"/>
  <c r="AB25" i="239"/>
  <c r="AP25" i="239"/>
  <c r="T26" i="239"/>
  <c r="AK26" i="239"/>
  <c r="AI12" i="239"/>
  <c r="X14" i="239"/>
  <c r="AP14" i="239"/>
  <c r="R21" i="239"/>
  <c r="AA21" i="239"/>
  <c r="AJ21" i="239"/>
  <c r="AS21" i="239"/>
  <c r="AO22" i="239"/>
  <c r="AA14" i="239"/>
  <c r="AK21" i="239"/>
  <c r="AQ22" i="239"/>
  <c r="V12" i="239"/>
  <c r="AK12" i="239"/>
  <c r="AQ14" i="239"/>
  <c r="X12" i="239"/>
  <c r="AL12" i="239"/>
  <c r="L14" i="239"/>
  <c r="M14" i="239" s="1"/>
  <c r="AD14" i="239"/>
  <c r="AR14" i="239"/>
  <c r="AO15" i="239"/>
  <c r="T21" i="239"/>
  <c r="AC21" i="239"/>
  <c r="AL21" i="239"/>
  <c r="S23" i="239"/>
  <c r="AC23" i="239"/>
  <c r="AN23" i="239"/>
  <c r="T25" i="239"/>
  <c r="AH25" i="239"/>
  <c r="Y26" i="239"/>
  <c r="AP26" i="239"/>
  <c r="AS10" i="239"/>
  <c r="AK10" i="239"/>
  <c r="AC10" i="239"/>
  <c r="AQ10" i="239"/>
  <c r="AI10" i="239"/>
  <c r="AA10" i="239"/>
  <c r="S10" i="239"/>
  <c r="P6" i="239"/>
  <c r="X6" i="239"/>
  <c r="AF6" i="239"/>
  <c r="AN6" i="239"/>
  <c r="S7" i="239"/>
  <c r="AA7" i="239"/>
  <c r="AI7" i="239"/>
  <c r="AQ7" i="239"/>
  <c r="V8" i="239"/>
  <c r="AD8" i="239"/>
  <c r="AL8" i="239"/>
  <c r="AP9" i="239"/>
  <c r="AH9" i="239"/>
  <c r="AN9" i="239"/>
  <c r="AF9" i="239"/>
  <c r="X9" i="239"/>
  <c r="Q9" i="239"/>
  <c r="R9" i="239" s="1"/>
  <c r="Z9" i="239" s="1"/>
  <c r="AA9" i="239"/>
  <c r="AK9" i="239"/>
  <c r="T10" i="239"/>
  <c r="AE10" i="239"/>
  <c r="AO10" i="239"/>
  <c r="Y11" i="239"/>
  <c r="AI11" i="239"/>
  <c r="X13" i="239"/>
  <c r="AK13" i="239"/>
  <c r="Y15" i="239"/>
  <c r="AL15" i="239"/>
  <c r="X16" i="239"/>
  <c r="AK16" i="239"/>
  <c r="AP20" i="239"/>
  <c r="AH20" i="239"/>
  <c r="Z20" i="239"/>
  <c r="R20" i="239"/>
  <c r="J20" i="239"/>
  <c r="AN20" i="239"/>
  <c r="AF20" i="239"/>
  <c r="X20" i="239"/>
  <c r="P20" i="239"/>
  <c r="AM20" i="239"/>
  <c r="AE20" i="239"/>
  <c r="W20" i="239"/>
  <c r="O20" i="239"/>
  <c r="AL20" i="239"/>
  <c r="AD20" i="239"/>
  <c r="V20" i="239"/>
  <c r="AR20" i="239"/>
  <c r="AJ20" i="239"/>
  <c r="AB20" i="239"/>
  <c r="T20" i="239"/>
  <c r="L20" i="239"/>
  <c r="AA20" i="239"/>
  <c r="Q6" i="239"/>
  <c r="R6" i="239" s="1"/>
  <c r="Y6" i="239"/>
  <c r="AG6" i="239"/>
  <c r="AO6" i="239"/>
  <c r="T7" i="239"/>
  <c r="AR7" i="239"/>
  <c r="L7" i="239" s="1"/>
  <c r="O8" i="239"/>
  <c r="W8" i="239" s="1"/>
  <c r="AE8" i="239"/>
  <c r="AM8" i="239"/>
  <c r="V10" i="239"/>
  <c r="AF10" i="239"/>
  <c r="AP10" i="239"/>
  <c r="P11" i="239"/>
  <c r="Y13" i="239"/>
  <c r="AM13" i="239"/>
  <c r="AA15" i="239"/>
  <c r="AM15" i="239"/>
  <c r="Y16" i="239"/>
  <c r="AM16" i="239"/>
  <c r="AC20" i="239"/>
  <c r="AN22" i="239"/>
  <c r="AF22" i="239"/>
  <c r="X22" i="239"/>
  <c r="P22" i="239"/>
  <c r="AL22" i="239"/>
  <c r="AD22" i="239"/>
  <c r="V22" i="239"/>
  <c r="AS22" i="239"/>
  <c r="AK22" i="239"/>
  <c r="AC22" i="239"/>
  <c r="U22" i="239"/>
  <c r="M22" i="239"/>
  <c r="AR22" i="239"/>
  <c r="AJ22" i="239"/>
  <c r="AB22" i="239"/>
  <c r="T22" i="239"/>
  <c r="L22" i="239"/>
  <c r="AP22" i="239"/>
  <c r="AH22" i="239"/>
  <c r="Z22" i="239"/>
  <c r="R22" i="239"/>
  <c r="J22" i="239"/>
  <c r="AA22" i="239"/>
  <c r="O24" i="239"/>
  <c r="AK24" i="239"/>
  <c r="AD10" i="239"/>
  <c r="AG10" i="239"/>
  <c r="AR10" i="239"/>
  <c r="L10" i="239" s="1"/>
  <c r="S6" i="239"/>
  <c r="AA6" i="239"/>
  <c r="AI6" i="239"/>
  <c r="AQ6" i="239"/>
  <c r="V7" i="239"/>
  <c r="AD7" i="239"/>
  <c r="AL7" i="239"/>
  <c r="Q8" i="239"/>
  <c r="R8" i="239" s="1"/>
  <c r="Z8" i="239" s="1"/>
  <c r="Y8" i="239"/>
  <c r="AG8" i="239"/>
  <c r="AO8" i="239"/>
  <c r="X10" i="239"/>
  <c r="AH10" i="239"/>
  <c r="P13" i="239"/>
  <c r="AC13" i="239"/>
  <c r="AO13" i="239"/>
  <c r="Q15" i="239"/>
  <c r="R15" i="239" s="1"/>
  <c r="AD15" i="239"/>
  <c r="AQ15" i="239"/>
  <c r="P16" i="239"/>
  <c r="AC16" i="239"/>
  <c r="AO16" i="239"/>
  <c r="AN10" i="239"/>
  <c r="AP6" i="239"/>
  <c r="T6" i="239"/>
  <c r="AR6" i="239"/>
  <c r="L6" i="239" s="1"/>
  <c r="M6" i="239" s="1"/>
  <c r="O7" i="239"/>
  <c r="W7" i="239" s="1"/>
  <c r="AE7" i="239"/>
  <c r="AM7" i="239"/>
  <c r="AH8" i="239"/>
  <c r="AP8" i="239"/>
  <c r="O10" i="239"/>
  <c r="W10" i="239" s="1"/>
  <c r="Y10" i="239"/>
  <c r="AM11" i="239"/>
  <c r="AE11" i="239"/>
  <c r="O11" i="239"/>
  <c r="W11" i="239" s="1"/>
  <c r="AS11" i="239"/>
  <c r="AK11" i="239"/>
  <c r="AC11" i="239"/>
  <c r="S11" i="239"/>
  <c r="AD11" i="239"/>
  <c r="AO11" i="239"/>
  <c r="Q13" i="239"/>
  <c r="R13" i="239" s="1"/>
  <c r="AE13" i="239"/>
  <c r="AQ13" i="239"/>
  <c r="S15" i="239"/>
  <c r="AE15" i="239"/>
  <c r="AS15" i="239"/>
  <c r="Q16" i="239"/>
  <c r="R16" i="239" s="1"/>
  <c r="Z16" i="239" s="1"/>
  <c r="AE16" i="239"/>
  <c r="AQ16" i="239"/>
  <c r="Q20" i="239"/>
  <c r="AK20" i="239"/>
  <c r="O22" i="239"/>
  <c r="AI22" i="239"/>
  <c r="W24" i="239"/>
  <c r="AH6" i="239"/>
  <c r="AC6" i="239"/>
  <c r="AK6" i="239"/>
  <c r="AS6" i="239"/>
  <c r="P7" i="239"/>
  <c r="X7" i="239"/>
  <c r="AF7" i="239"/>
  <c r="AN7" i="239"/>
  <c r="S8" i="239"/>
  <c r="AA8" i="239"/>
  <c r="AI8" i="239"/>
  <c r="P10" i="239"/>
  <c r="AL10" i="239"/>
  <c r="S13" i="239"/>
  <c r="AF13" i="239"/>
  <c r="S16" i="239"/>
  <c r="AF16" i="239"/>
  <c r="S20" i="239"/>
  <c r="AO20" i="239"/>
  <c r="Q22" i="239"/>
  <c r="AM22" i="239"/>
  <c r="AL24" i="239"/>
  <c r="AD24" i="239"/>
  <c r="V24" i="239"/>
  <c r="AR24" i="239"/>
  <c r="AJ24" i="239"/>
  <c r="AB24" i="239"/>
  <c r="T24" i="239"/>
  <c r="L24" i="239"/>
  <c r="AQ24" i="239"/>
  <c r="AI24" i="239"/>
  <c r="AA24" i="239"/>
  <c r="S24" i="239"/>
  <c r="AP24" i="239"/>
  <c r="AH24" i="239"/>
  <c r="Z24" i="239"/>
  <c r="R24" i="239"/>
  <c r="J24" i="239"/>
  <c r="AN24" i="239"/>
  <c r="AF24" i="239"/>
  <c r="X24" i="239"/>
  <c r="P24" i="239"/>
  <c r="Y24" i="239"/>
  <c r="V6" i="239"/>
  <c r="AD6" i="239"/>
  <c r="Q7" i="239"/>
  <c r="R7" i="239" s="1"/>
  <c r="Z7" i="239" s="1"/>
  <c r="Y7" i="239"/>
  <c r="AG7" i="239"/>
  <c r="Q10" i="239"/>
  <c r="R10" i="239" s="1"/>
  <c r="AJ10" i="239" s="1"/>
  <c r="AM10" i="239"/>
  <c r="AL13" i="239"/>
  <c r="AD13" i="239"/>
  <c r="V13" i="239"/>
  <c r="AR13" i="239"/>
  <c r="T13" i="239"/>
  <c r="L13" i="239"/>
  <c r="U13" i="239" s="1"/>
  <c r="AP13" i="239"/>
  <c r="AH13" i="239"/>
  <c r="AG13" i="239"/>
  <c r="AR15" i="239"/>
  <c r="L15" i="239" s="1"/>
  <c r="U15" i="239" s="1"/>
  <c r="T15" i="239"/>
  <c r="AP15" i="239"/>
  <c r="AH15" i="239"/>
  <c r="AN15" i="239"/>
  <c r="AF15" i="239"/>
  <c r="X15" i="239"/>
  <c r="P15" i="239"/>
  <c r="V15" i="239"/>
  <c r="AI15" i="239"/>
  <c r="AL16" i="239"/>
  <c r="AD16" i="239"/>
  <c r="V16" i="239"/>
  <c r="AR16" i="239"/>
  <c r="T16" i="239"/>
  <c r="L16" i="239"/>
  <c r="M16" i="239" s="1"/>
  <c r="AP16" i="239"/>
  <c r="AH16" i="239"/>
  <c r="AG16" i="239"/>
  <c r="Q19" i="239"/>
  <c r="Y19" i="239"/>
  <c r="AG19" i="239"/>
  <c r="AO19" i="239"/>
  <c r="O12" i="239"/>
  <c r="W12" i="239" s="1"/>
  <c r="AE12" i="239"/>
  <c r="AM12" i="239"/>
  <c r="AC14" i="239"/>
  <c r="AK14" i="239"/>
  <c r="AS14" i="239"/>
  <c r="M17" i="239"/>
  <c r="U17" i="239"/>
  <c r="AC17" i="239"/>
  <c r="AK17" i="239"/>
  <c r="AS17" i="239"/>
  <c r="P18" i="239"/>
  <c r="X18" i="239"/>
  <c r="AF18" i="239"/>
  <c r="AN18" i="239"/>
  <c r="S19" i="239"/>
  <c r="AA19" i="239"/>
  <c r="AI19" i="239"/>
  <c r="AQ19" i="239"/>
  <c r="Q21" i="239"/>
  <c r="Y21" i="239"/>
  <c r="AG21" i="239"/>
  <c r="O23" i="239"/>
  <c r="W23" i="239"/>
  <c r="AE23" i="239"/>
  <c r="AM23" i="239"/>
  <c r="M25" i="239"/>
  <c r="U25" i="239"/>
  <c r="AC25" i="239"/>
  <c r="AK25" i="239"/>
  <c r="AS25" i="239"/>
  <c r="Q26" i="239"/>
  <c r="Z26" i="239"/>
  <c r="AH26" i="239"/>
  <c r="AQ26" i="239"/>
  <c r="Q18" i="239"/>
  <c r="Y18" i="239"/>
  <c r="AG18" i="239"/>
  <c r="AO18" i="239"/>
  <c r="L19" i="239"/>
  <c r="T19" i="239"/>
  <c r="AB19" i="239"/>
  <c r="AJ19" i="239"/>
  <c r="AR19" i="239"/>
  <c r="R26" i="239"/>
  <c r="AA26" i="239"/>
  <c r="AI26" i="239"/>
  <c r="AR26" i="239"/>
  <c r="Q12" i="239"/>
  <c r="R12" i="239" s="1"/>
  <c r="Y12" i="239"/>
  <c r="AG12" i="239"/>
  <c r="O14" i="239"/>
  <c r="W14" i="239" s="1"/>
  <c r="AE14" i="239"/>
  <c r="AM14" i="239"/>
  <c r="O17" i="239"/>
  <c r="W17" i="239"/>
  <c r="AE17" i="239"/>
  <c r="AM17" i="239"/>
  <c r="J18" i="239"/>
  <c r="R18" i="239"/>
  <c r="Z18" i="239"/>
  <c r="AH18" i="239"/>
  <c r="AP18" i="239"/>
  <c r="M19" i="239"/>
  <c r="U19" i="239"/>
  <c r="AC19" i="239"/>
  <c r="AK19" i="239"/>
  <c r="AS19" i="239"/>
  <c r="Q23" i="239"/>
  <c r="Y23" i="239"/>
  <c r="AG23" i="239"/>
  <c r="O25" i="239"/>
  <c r="W25" i="239"/>
  <c r="AE25" i="239"/>
  <c r="AM25" i="239"/>
  <c r="J26" i="239"/>
  <c r="S26" i="239"/>
  <c r="AB26" i="239"/>
  <c r="AJ26" i="239"/>
  <c r="AS26" i="239"/>
  <c r="Q14" i="239"/>
  <c r="R14" i="239" s="1"/>
  <c r="Y14" i="239"/>
  <c r="AG14" i="239"/>
  <c r="Q17" i="239"/>
  <c r="Y17" i="239"/>
  <c r="AG17" i="239"/>
  <c r="L18" i="239"/>
  <c r="T18" i="239"/>
  <c r="AB18" i="239"/>
  <c r="AJ18" i="239"/>
  <c r="O19" i="239"/>
  <c r="W19" i="239"/>
  <c r="AE19" i="239"/>
  <c r="Q25" i="239"/>
  <c r="Y25" i="239"/>
  <c r="AG25" i="239"/>
  <c r="M26" i="239"/>
  <c r="U26" i="239"/>
  <c r="AD26" i="239"/>
  <c r="AN26" i="238"/>
  <c r="V18" i="238"/>
  <c r="R25" i="238"/>
  <c r="L21" i="238"/>
  <c r="M21" i="238" s="1"/>
  <c r="AC26" i="238"/>
  <c r="V9" i="238"/>
  <c r="V25" i="238"/>
  <c r="AC21" i="238"/>
  <c r="AD25" i="238"/>
  <c r="AR25" i="238"/>
  <c r="AL10" i="238"/>
  <c r="J25" i="238"/>
  <c r="V26" i="238"/>
  <c r="P24" i="238"/>
  <c r="S22" i="238"/>
  <c r="O18" i="238"/>
  <c r="W18" i="238" s="1"/>
  <c r="T21" i="238"/>
  <c r="AN21" i="238"/>
  <c r="AS24" i="238"/>
  <c r="AI25" i="238"/>
  <c r="AO26" i="238"/>
  <c r="AF21" i="238"/>
  <c r="R22" i="238"/>
  <c r="AH21" i="238"/>
  <c r="Q24" i="238"/>
  <c r="O21" i="238"/>
  <c r="W21" i="238" s="1"/>
  <c r="AM21" i="238"/>
  <c r="U24" i="238"/>
  <c r="AP21" i="238"/>
  <c r="AQ25" i="238"/>
  <c r="AE18" i="238"/>
  <c r="X21" i="238"/>
  <c r="AL12" i="238"/>
  <c r="AR17" i="238"/>
  <c r="L17" i="238" s="1"/>
  <c r="AA7" i="238"/>
  <c r="Q11" i="238"/>
  <c r="R11" i="238" s="1"/>
  <c r="AB11" i="238" s="1"/>
  <c r="AN12" i="238"/>
  <c r="T14" i="238"/>
  <c r="P17" i="238"/>
  <c r="AI18" i="238"/>
  <c r="AD21" i="238"/>
  <c r="AQ21" i="238"/>
  <c r="X24" i="238"/>
  <c r="AC7" i="238"/>
  <c r="X8" i="238"/>
  <c r="AH11" i="238"/>
  <c r="P12" i="238"/>
  <c r="AP12" i="238"/>
  <c r="V14" i="238"/>
  <c r="S17" i="238"/>
  <c r="AK18" i="238"/>
  <c r="AA20" i="238"/>
  <c r="AE21" i="238"/>
  <c r="AC24" i="238"/>
  <c r="S25" i="238"/>
  <c r="L26" i="238"/>
  <c r="AS7" i="238"/>
  <c r="AE7" i="238"/>
  <c r="AF8" i="238"/>
  <c r="AL11" i="238"/>
  <c r="V12" i="238"/>
  <c r="AA14" i="238"/>
  <c r="AA17" i="238"/>
  <c r="AL18" i="238"/>
  <c r="AC20" i="238"/>
  <c r="AN24" i="238"/>
  <c r="AP17" i="238"/>
  <c r="AK12" i="238"/>
  <c r="AS9" i="238"/>
  <c r="J7" i="238"/>
  <c r="J8" i="238" s="1"/>
  <c r="J9" i="238" s="1"/>
  <c r="J10" i="238" s="1"/>
  <c r="AM7" i="238"/>
  <c r="AP11" i="238"/>
  <c r="X12" i="238"/>
  <c r="AL14" i="238"/>
  <c r="AI20" i="238"/>
  <c r="AP7" i="238"/>
  <c r="AA12" i="238"/>
  <c r="AN14" i="238"/>
  <c r="AF17" i="238"/>
  <c r="S18" i="238"/>
  <c r="V21" i="238"/>
  <c r="AL21" i="238"/>
  <c r="O22" i="238"/>
  <c r="AF25" i="238"/>
  <c r="W26" i="238"/>
  <c r="AC12" i="238"/>
  <c r="AQ14" i="238"/>
  <c r="AN17" i="238"/>
  <c r="S23" i="238"/>
  <c r="AM10" i="238"/>
  <c r="J23" i="238"/>
  <c r="T23" i="238"/>
  <c r="AD23" i="238"/>
  <c r="AP23" i="238"/>
  <c r="AD7" i="238"/>
  <c r="AQ7" i="238"/>
  <c r="AO8" i="238"/>
  <c r="Y9" i="238"/>
  <c r="T11" i="238"/>
  <c r="AN11" i="238"/>
  <c r="X14" i="238"/>
  <c r="AP14" i="238"/>
  <c r="AD17" i="238"/>
  <c r="AQ17" i="238"/>
  <c r="AG20" i="238"/>
  <c r="U23" i="238"/>
  <c r="AF23" i="238"/>
  <c r="AQ23" i="238"/>
  <c r="T25" i="238"/>
  <c r="AH25" i="238"/>
  <c r="Y26" i="238"/>
  <c r="AP26" i="238"/>
  <c r="AN23" i="238"/>
  <c r="AD9" i="238"/>
  <c r="AR23" i="238"/>
  <c r="X11" i="238"/>
  <c r="AQ11" i="238"/>
  <c r="AD12" i="238"/>
  <c r="AQ12" i="238"/>
  <c r="AD14" i="238"/>
  <c r="AR14" i="238"/>
  <c r="L14" i="238" s="1"/>
  <c r="T17" i="238"/>
  <c r="AH17" i="238"/>
  <c r="AM18" i="238"/>
  <c r="L20" i="238"/>
  <c r="U20" i="238" s="1"/>
  <c r="AQ20" i="238"/>
  <c r="M23" i="238"/>
  <c r="X23" i="238"/>
  <c r="AI23" i="238"/>
  <c r="AS23" i="238"/>
  <c r="X25" i="238"/>
  <c r="AJ25" i="238"/>
  <c r="AE26" i="238"/>
  <c r="V23" i="238"/>
  <c r="AG9" i="238"/>
  <c r="P10" i="238"/>
  <c r="O7" i="238"/>
  <c r="W7" i="238" s="1"/>
  <c r="AI7" i="238"/>
  <c r="AI9" i="238"/>
  <c r="Q10" i="238"/>
  <c r="R10" i="238" s="1"/>
  <c r="AJ10" i="238" s="1"/>
  <c r="AA11" i="238"/>
  <c r="AR11" i="238"/>
  <c r="L11" i="238" s="1"/>
  <c r="U11" i="238" s="1"/>
  <c r="S12" i="238"/>
  <c r="AF12" i="238"/>
  <c r="AR12" i="238"/>
  <c r="L12" i="238" s="1"/>
  <c r="M12" i="238" s="1"/>
  <c r="AF14" i="238"/>
  <c r="V17" i="238"/>
  <c r="AI17" i="238"/>
  <c r="AA18" i="238"/>
  <c r="AQ18" i="238"/>
  <c r="AS20" i="238"/>
  <c r="P21" i="238"/>
  <c r="AI21" i="238"/>
  <c r="AR21" i="238"/>
  <c r="AE22" i="238"/>
  <c r="Z23" i="238"/>
  <c r="AJ23" i="238"/>
  <c r="AF24" i="238"/>
  <c r="L25" i="238"/>
  <c r="Z25" i="238"/>
  <c r="AL25" i="238"/>
  <c r="O26" i="238"/>
  <c r="AF26" i="238"/>
  <c r="S7" i="238"/>
  <c r="AK7" i="238"/>
  <c r="O9" i="238"/>
  <c r="W9" i="238" s="1"/>
  <c r="AO9" i="238"/>
  <c r="X10" i="238"/>
  <c r="AF11" i="238"/>
  <c r="T12" i="238"/>
  <c r="AH12" i="238"/>
  <c r="AS12" i="238"/>
  <c r="P14" i="238"/>
  <c r="AH14" i="238"/>
  <c r="X17" i="238"/>
  <c r="AC18" i="238"/>
  <c r="AS18" i="238"/>
  <c r="Q20" i="238"/>
  <c r="R20" i="238" s="1"/>
  <c r="AJ20" i="238" s="1"/>
  <c r="AA21" i="238"/>
  <c r="AS21" i="238"/>
  <c r="AH22" i="238"/>
  <c r="P23" i="238"/>
  <c r="AA23" i="238"/>
  <c r="AK23" i="238"/>
  <c r="AG24" i="238"/>
  <c r="AA25" i="238"/>
  <c r="AN25" i="238"/>
  <c r="P26" i="238"/>
  <c r="AG26" i="238"/>
  <c r="V11" i="238"/>
  <c r="L23" i="238"/>
  <c r="AH23" i="238"/>
  <c r="AH7" i="238"/>
  <c r="V7" i="238"/>
  <c r="AL7" i="238"/>
  <c r="P8" i="238"/>
  <c r="T9" i="238"/>
  <c r="AR9" i="238"/>
  <c r="L9" i="238" s="1"/>
  <c r="M9" i="238" s="1"/>
  <c r="AH10" i="238"/>
  <c r="P11" i="238"/>
  <c r="AG11" i="238"/>
  <c r="AI12" i="238"/>
  <c r="S14" i="238"/>
  <c r="AI14" i="238"/>
  <c r="AL17" i="238"/>
  <c r="AD18" i="238"/>
  <c r="S20" i="238"/>
  <c r="S21" i="238"/>
  <c r="AK21" i="238"/>
  <c r="R23" i="238"/>
  <c r="AB23" i="238"/>
  <c r="AL23" i="238"/>
  <c r="P25" i="238"/>
  <c r="AB25" i="238"/>
  <c r="AP25" i="238"/>
  <c r="T26" i="238"/>
  <c r="AK26" i="238"/>
  <c r="AC23" i="238"/>
  <c r="AH6" i="238"/>
  <c r="AP6" i="238"/>
  <c r="Y8" i="238"/>
  <c r="AL13" i="238"/>
  <c r="AD13" i="238"/>
  <c r="V13" i="238"/>
  <c r="AR13" i="238"/>
  <c r="L13" i="238" s="1"/>
  <c r="M13" i="238" s="1"/>
  <c r="T13" i="238"/>
  <c r="AP13" i="238"/>
  <c r="AH13" i="238"/>
  <c r="AG13" i="238"/>
  <c r="AR15" i="238"/>
  <c r="L15" i="238" s="1"/>
  <c r="U15" i="238" s="1"/>
  <c r="T15" i="238"/>
  <c r="AP15" i="238"/>
  <c r="AH15" i="238"/>
  <c r="AN15" i="238"/>
  <c r="AF15" i="238"/>
  <c r="X15" i="238"/>
  <c r="P15" i="238"/>
  <c r="V15" i="238"/>
  <c r="AI15" i="238"/>
  <c r="AM19" i="238"/>
  <c r="AE19" i="238"/>
  <c r="O19" i="238"/>
  <c r="W19" i="238" s="1"/>
  <c r="AS19" i="238"/>
  <c r="AK19" i="238"/>
  <c r="AC19" i="238"/>
  <c r="AR19" i="238"/>
  <c r="T19" i="238"/>
  <c r="L19" i="238"/>
  <c r="U19" i="238" s="1"/>
  <c r="AQ19" i="238"/>
  <c r="AI19" i="238"/>
  <c r="AA19" i="238"/>
  <c r="S19" i="238"/>
  <c r="T6" i="238"/>
  <c r="AR6" i="238"/>
  <c r="L6" i="238" s="1"/>
  <c r="M6" i="238" s="1"/>
  <c r="AK15" i="238"/>
  <c r="AM16" i="238"/>
  <c r="Y19" i="238"/>
  <c r="AO19" i="238"/>
  <c r="AN22" i="238"/>
  <c r="AF22" i="238"/>
  <c r="X22" i="238"/>
  <c r="P22" i="238"/>
  <c r="AL22" i="238"/>
  <c r="AD22" i="238"/>
  <c r="V22" i="238"/>
  <c r="AS22" i="238"/>
  <c r="AK22" i="238"/>
  <c r="AC22" i="238"/>
  <c r="U22" i="238"/>
  <c r="M22" i="238"/>
  <c r="AR22" i="238"/>
  <c r="AJ22" i="238"/>
  <c r="AB22" i="238"/>
  <c r="T22" i="238"/>
  <c r="L22" i="238"/>
  <c r="W22" i="238"/>
  <c r="AM22" i="238"/>
  <c r="AC6" i="238"/>
  <c r="AK6" i="238"/>
  <c r="AS6" i="238"/>
  <c r="P7" i="238"/>
  <c r="X7" i="238"/>
  <c r="AF7" i="238"/>
  <c r="AN7" i="238"/>
  <c r="S8" i="238"/>
  <c r="AA8" i="238"/>
  <c r="AI8" i="238"/>
  <c r="AR8" i="238"/>
  <c r="L8" i="238" s="1"/>
  <c r="P9" i="238"/>
  <c r="AA9" i="238"/>
  <c r="AK9" i="238"/>
  <c r="T10" i="238"/>
  <c r="AE10" i="238"/>
  <c r="Y11" i="238"/>
  <c r="X13" i="238"/>
  <c r="AK13" i="238"/>
  <c r="Y15" i="238"/>
  <c r="AL15" i="238"/>
  <c r="X16" i="238"/>
  <c r="AP19" i="238"/>
  <c r="T20" i="238"/>
  <c r="J22" i="238"/>
  <c r="Y22" i="238"/>
  <c r="AO22" i="238"/>
  <c r="AL24" i="238"/>
  <c r="AD24" i="238"/>
  <c r="V24" i="238"/>
  <c r="AR24" i="238"/>
  <c r="AJ24" i="238"/>
  <c r="AB24" i="238"/>
  <c r="T24" i="238"/>
  <c r="L24" i="238"/>
  <c r="AQ24" i="238"/>
  <c r="AI24" i="238"/>
  <c r="AA24" i="238"/>
  <c r="S24" i="238"/>
  <c r="AP24" i="238"/>
  <c r="AH24" i="238"/>
  <c r="Z24" i="238"/>
  <c r="R24" i="238"/>
  <c r="J24" i="238"/>
  <c r="W24" i="238"/>
  <c r="AM24" i="238"/>
  <c r="Q8" i="238"/>
  <c r="R8" i="238" s="1"/>
  <c r="AG8" i="238"/>
  <c r="AP8" i="238"/>
  <c r="AL16" i="238"/>
  <c r="AD16" i="238"/>
  <c r="V16" i="238"/>
  <c r="AR16" i="238"/>
  <c r="L16" i="238" s="1"/>
  <c r="U16" i="238" s="1"/>
  <c r="T16" i="238"/>
  <c r="AQ16" i="238"/>
  <c r="AI16" i="238"/>
  <c r="AA16" i="238"/>
  <c r="AP16" i="238"/>
  <c r="AH16" i="238"/>
  <c r="AK16" i="238"/>
  <c r="X19" i="238"/>
  <c r="AN19" i="238"/>
  <c r="AH8" i="238"/>
  <c r="AQ8" i="238"/>
  <c r="AS10" i="238"/>
  <c r="AK10" i="238"/>
  <c r="AC10" i="238"/>
  <c r="AQ10" i="238"/>
  <c r="AI10" i="238"/>
  <c r="AA10" i="238"/>
  <c r="S10" i="238"/>
  <c r="AD10" i="238"/>
  <c r="AN10" i="238"/>
  <c r="AI13" i="238"/>
  <c r="V6" i="238"/>
  <c r="AD6" i="238"/>
  <c r="AL6" i="238"/>
  <c r="Q7" i="238"/>
  <c r="R7" i="238" s="1"/>
  <c r="Z7" i="238" s="1"/>
  <c r="Y7" i="238"/>
  <c r="AG7" i="238"/>
  <c r="AO7" i="238"/>
  <c r="T8" i="238"/>
  <c r="AS8" i="238"/>
  <c r="Q9" i="238"/>
  <c r="R9" i="238" s="1"/>
  <c r="V10" i="238"/>
  <c r="AF10" i="238"/>
  <c r="AP10" i="238"/>
  <c r="Y13" i="238"/>
  <c r="AM13" i="238"/>
  <c r="AA15" i="238"/>
  <c r="AM15" i="238"/>
  <c r="Y16" i="238"/>
  <c r="AO16" i="238"/>
  <c r="AD19" i="238"/>
  <c r="AP20" i="238"/>
  <c r="AH20" i="238"/>
  <c r="AN20" i="238"/>
  <c r="AF20" i="238"/>
  <c r="X20" i="238"/>
  <c r="P20" i="238"/>
  <c r="AM20" i="238"/>
  <c r="AE20" i="238"/>
  <c r="O20" i="238"/>
  <c r="W20" i="238" s="1"/>
  <c r="AL20" i="238"/>
  <c r="AD20" i="238"/>
  <c r="V20" i="238"/>
  <c r="AK20" i="238"/>
  <c r="Z22" i="238"/>
  <c r="AP22" i="238"/>
  <c r="O6" i="238"/>
  <c r="W6" i="238" s="1"/>
  <c r="AE6" i="238"/>
  <c r="AM6" i="238"/>
  <c r="AC8" i="238"/>
  <c r="AK8" i="238"/>
  <c r="AP9" i="238"/>
  <c r="AH9" i="238"/>
  <c r="AN9" i="238"/>
  <c r="AF9" i="238"/>
  <c r="X9" i="238"/>
  <c r="S9" i="238"/>
  <c r="AC9" i="238"/>
  <c r="AM9" i="238"/>
  <c r="AG10" i="238"/>
  <c r="AR10" i="238"/>
  <c r="L10" i="238" s="1"/>
  <c r="O13" i="238"/>
  <c r="W13" i="238" s="1"/>
  <c r="AA13" i="238"/>
  <c r="AN13" i="238"/>
  <c r="O15" i="238"/>
  <c r="W15" i="238" s="1"/>
  <c r="AC15" i="238"/>
  <c r="AO15" i="238"/>
  <c r="O16" i="238"/>
  <c r="W16" i="238" s="1"/>
  <c r="AC16" i="238"/>
  <c r="AS16" i="238"/>
  <c r="P19" i="238"/>
  <c r="AF19" i="238"/>
  <c r="Y20" i="238"/>
  <c r="AO20" i="238"/>
  <c r="AA22" i="238"/>
  <c r="AQ22" i="238"/>
  <c r="M24" i="238"/>
  <c r="Y24" i="238"/>
  <c r="AO24" i="238"/>
  <c r="S6" i="238"/>
  <c r="AA6" i="238"/>
  <c r="AI6" i="238"/>
  <c r="AQ6" i="238"/>
  <c r="P6" i="238"/>
  <c r="AF6" i="238"/>
  <c r="AD8" i="238"/>
  <c r="AL8" i="238"/>
  <c r="P13" i="238"/>
  <c r="AC13" i="238"/>
  <c r="AO13" i="238"/>
  <c r="Q15" i="238"/>
  <c r="R15" i="238" s="1"/>
  <c r="AD15" i="238"/>
  <c r="AQ15" i="238"/>
  <c r="P16" i="238"/>
  <c r="AE16" i="238"/>
  <c r="Q19" i="238"/>
  <c r="R19" i="238" s="1"/>
  <c r="Z19" i="238" s="1"/>
  <c r="AG19" i="238"/>
  <c r="X6" i="238"/>
  <c r="AN6" i="238"/>
  <c r="V8" i="238"/>
  <c r="Q6" i="238"/>
  <c r="R6" i="238" s="1"/>
  <c r="Y6" i="238"/>
  <c r="AG6" i="238"/>
  <c r="L7" i="238"/>
  <c r="T7" i="238"/>
  <c r="O8" i="238"/>
  <c r="W8" i="238" s="1"/>
  <c r="AE8" i="238"/>
  <c r="AN8" i="238"/>
  <c r="AE9" i="238"/>
  <c r="AQ9" i="238"/>
  <c r="O10" i="238"/>
  <c r="W10" i="238" s="1"/>
  <c r="Y10" i="238"/>
  <c r="AM11" i="238"/>
  <c r="AE11" i="238"/>
  <c r="O11" i="238"/>
  <c r="W11" i="238" s="1"/>
  <c r="AS11" i="238"/>
  <c r="AK11" i="238"/>
  <c r="AC11" i="238"/>
  <c r="S11" i="238"/>
  <c r="AD11" i="238"/>
  <c r="AO11" i="238"/>
  <c r="Q13" i="238"/>
  <c r="R13" i="238" s="1"/>
  <c r="AE13" i="238"/>
  <c r="AQ13" i="238"/>
  <c r="S15" i="238"/>
  <c r="AE15" i="238"/>
  <c r="AS15" i="238"/>
  <c r="Q16" i="238"/>
  <c r="R16" i="238" s="1"/>
  <c r="AJ16" i="238" s="1"/>
  <c r="AF16" i="238"/>
  <c r="AH19" i="238"/>
  <c r="AR20" i="238"/>
  <c r="Q22" i="238"/>
  <c r="AG22" i="238"/>
  <c r="O24" i="238"/>
  <c r="AE24" i="238"/>
  <c r="S13" i="238"/>
  <c r="AF13" i="238"/>
  <c r="AS13" i="238"/>
  <c r="AG15" i="238"/>
  <c r="S16" i="238"/>
  <c r="AG16" i="238"/>
  <c r="V19" i="238"/>
  <c r="AL19" i="238"/>
  <c r="O12" i="238"/>
  <c r="W12" i="238" s="1"/>
  <c r="AE12" i="238"/>
  <c r="AM12" i="238"/>
  <c r="AC14" i="238"/>
  <c r="AK14" i="238"/>
  <c r="AS14" i="238"/>
  <c r="AC17" i="238"/>
  <c r="AK17" i="238"/>
  <c r="AS17" i="238"/>
  <c r="P18" i="238"/>
  <c r="X18" i="238"/>
  <c r="AF18" i="238"/>
  <c r="AN18" i="238"/>
  <c r="Q21" i="238"/>
  <c r="R21" i="238" s="1"/>
  <c r="Y21" i="238"/>
  <c r="AG21" i="238"/>
  <c r="O23" i="238"/>
  <c r="W23" i="238"/>
  <c r="AE23" i="238"/>
  <c r="AM23" i="238"/>
  <c r="M25" i="238"/>
  <c r="U25" i="238"/>
  <c r="AC25" i="238"/>
  <c r="AK25" i="238"/>
  <c r="AS25" i="238"/>
  <c r="Q26" i="238"/>
  <c r="Z26" i="238"/>
  <c r="AH26" i="238"/>
  <c r="AQ26" i="238"/>
  <c r="Q18" i="238"/>
  <c r="R18" i="238" s="1"/>
  <c r="Z18" i="238" s="1"/>
  <c r="Y18" i="238"/>
  <c r="AG18" i="238"/>
  <c r="AO18" i="238"/>
  <c r="R26" i="238"/>
  <c r="AA26" i="238"/>
  <c r="AI26" i="238"/>
  <c r="AR26" i="238"/>
  <c r="Q12" i="238"/>
  <c r="R12" i="238" s="1"/>
  <c r="Y12" i="238"/>
  <c r="AG12" i="238"/>
  <c r="O14" i="238"/>
  <c r="W14" i="238" s="1"/>
  <c r="AE14" i="238"/>
  <c r="AM14" i="238"/>
  <c r="O17" i="238"/>
  <c r="W17" i="238" s="1"/>
  <c r="AE17" i="238"/>
  <c r="AM17" i="238"/>
  <c r="AH18" i="238"/>
  <c r="AP18" i="238"/>
  <c r="Q23" i="238"/>
  <c r="Y23" i="238"/>
  <c r="AG23" i="238"/>
  <c r="O25" i="238"/>
  <c r="W25" i="238"/>
  <c r="AE25" i="238"/>
  <c r="AM25" i="238"/>
  <c r="J26" i="238"/>
  <c r="S26" i="238"/>
  <c r="AB26" i="238"/>
  <c r="AJ26" i="238"/>
  <c r="AS26" i="238"/>
  <c r="Q14" i="238"/>
  <c r="R14" i="238" s="1"/>
  <c r="Y14" i="238"/>
  <c r="AG14" i="238"/>
  <c r="Q17" i="238"/>
  <c r="R17" i="238" s="1"/>
  <c r="Y17" i="238"/>
  <c r="AG17" i="238"/>
  <c r="L18" i="238"/>
  <c r="M18" i="238" s="1"/>
  <c r="T18" i="238"/>
  <c r="Q25" i="238"/>
  <c r="Y25" i="238"/>
  <c r="AG25" i="238"/>
  <c r="M26" i="238"/>
  <c r="U26" i="238"/>
  <c r="AD26" i="238"/>
  <c r="AB14" i="269" l="1"/>
  <c r="AB10" i="284"/>
  <c r="AJ15" i="289"/>
  <c r="M17" i="294"/>
  <c r="U14" i="296"/>
  <c r="U15" i="293"/>
  <c r="Z13" i="297"/>
  <c r="AB13" i="297"/>
  <c r="AJ13" i="297"/>
  <c r="M13" i="297"/>
  <c r="M10" i="297"/>
  <c r="Z14" i="297"/>
  <c r="AB14" i="297"/>
  <c r="AB19" i="296"/>
  <c r="Z19" i="296"/>
  <c r="M15" i="297"/>
  <c r="Z16" i="297"/>
  <c r="AB16" i="297"/>
  <c r="M17" i="296"/>
  <c r="M8" i="297"/>
  <c r="M16" i="297"/>
  <c r="AB12" i="297"/>
  <c r="Z12" i="297"/>
  <c r="AJ6" i="296"/>
  <c r="Z22" i="297"/>
  <c r="AJ22" i="297"/>
  <c r="AB22" i="297"/>
  <c r="Z15" i="297"/>
  <c r="AB15" i="297"/>
  <c r="AB18" i="297"/>
  <c r="AJ18" i="297"/>
  <c r="Z18" i="297"/>
  <c r="Z6" i="297"/>
  <c r="AB6" i="297"/>
  <c r="AJ6" i="297"/>
  <c r="AJ16" i="297"/>
  <c r="AB9" i="297"/>
  <c r="M13" i="296"/>
  <c r="U9" i="297"/>
  <c r="AJ9" i="297"/>
  <c r="M17" i="297"/>
  <c r="M22" i="297"/>
  <c r="AJ17" i="297"/>
  <c r="AB17" i="297"/>
  <c r="Z17" i="297"/>
  <c r="U7" i="297"/>
  <c r="M7" i="297"/>
  <c r="AB11" i="297"/>
  <c r="AJ11" i="297"/>
  <c r="Z11" i="297"/>
  <c r="AJ8" i="297"/>
  <c r="AB8" i="297"/>
  <c r="Z8" i="297"/>
  <c r="AJ19" i="297"/>
  <c r="AB19" i="297"/>
  <c r="Z19" i="297"/>
  <c r="AJ7" i="297"/>
  <c r="Z7" i="297"/>
  <c r="AB7" i="297"/>
  <c r="U6" i="297"/>
  <c r="M6" i="297"/>
  <c r="M11" i="297"/>
  <c r="U11" i="297"/>
  <c r="AJ20" i="297"/>
  <c r="AJ15" i="297"/>
  <c r="M12" i="297"/>
  <c r="Z21" i="297"/>
  <c r="AB21" i="297"/>
  <c r="AJ21" i="297"/>
  <c r="B4" i="297"/>
  <c r="U22" i="296"/>
  <c r="U18" i="297"/>
  <c r="M18" i="297"/>
  <c r="Z10" i="297"/>
  <c r="AJ10" i="297"/>
  <c r="AB10" i="297"/>
  <c r="Z20" i="297"/>
  <c r="M14" i="297"/>
  <c r="U12" i="296"/>
  <c r="M19" i="297"/>
  <c r="U8" i="296"/>
  <c r="M8" i="296"/>
  <c r="Z18" i="296"/>
  <c r="AB18" i="296"/>
  <c r="U19" i="296"/>
  <c r="Z22" i="296"/>
  <c r="AB22" i="296"/>
  <c r="AJ22" i="296"/>
  <c r="AB21" i="296"/>
  <c r="Z21" i="296"/>
  <c r="AJ21" i="296"/>
  <c r="AB17" i="296"/>
  <c r="AJ17" i="296"/>
  <c r="Z17" i="296"/>
  <c r="AJ20" i="296"/>
  <c r="Z20" i="296"/>
  <c r="AB20" i="296"/>
  <c r="M20" i="296"/>
  <c r="U20" i="296"/>
  <c r="M16" i="296"/>
  <c r="U18" i="296"/>
  <c r="M21" i="296"/>
  <c r="Z6" i="296"/>
  <c r="AJ8" i="295"/>
  <c r="Z15" i="296"/>
  <c r="Z13" i="296"/>
  <c r="M15" i="296"/>
  <c r="AB12" i="294"/>
  <c r="U11" i="296"/>
  <c r="AJ16" i="296"/>
  <c r="AJ10" i="296"/>
  <c r="AB10" i="296"/>
  <c r="M7" i="296"/>
  <c r="Z16" i="296"/>
  <c r="Z7" i="296"/>
  <c r="AB7" i="296"/>
  <c r="AJ7" i="296"/>
  <c r="AB11" i="296"/>
  <c r="Z11" i="296"/>
  <c r="AJ11" i="296"/>
  <c r="U6" i="295"/>
  <c r="M6" i="295"/>
  <c r="AJ14" i="296"/>
  <c r="AB14" i="296"/>
  <c r="Z14" i="296"/>
  <c r="AB15" i="296"/>
  <c r="AJ9" i="296"/>
  <c r="AB12" i="296"/>
  <c r="AJ12" i="296"/>
  <c r="AJ12" i="294"/>
  <c r="U9" i="296"/>
  <c r="U6" i="296"/>
  <c r="AB13" i="296"/>
  <c r="B4" i="296"/>
  <c r="U10" i="296"/>
  <c r="M10" i="296"/>
  <c r="AB9" i="296"/>
  <c r="AJ8" i="296"/>
  <c r="AB8" i="296"/>
  <c r="Z8" i="296"/>
  <c r="M18" i="294"/>
  <c r="Z9" i="295"/>
  <c r="U10" i="295"/>
  <c r="Z14" i="295"/>
  <c r="AJ14" i="295"/>
  <c r="Z16" i="295"/>
  <c r="M7" i="295"/>
  <c r="AB15" i="295"/>
  <c r="AB8" i="295"/>
  <c r="M14" i="295"/>
  <c r="U11" i="295"/>
  <c r="M8" i="295"/>
  <c r="U8" i="295"/>
  <c r="AJ17" i="295"/>
  <c r="M14" i="294"/>
  <c r="AB20" i="295"/>
  <c r="U19" i="295"/>
  <c r="U12" i="295"/>
  <c r="M12" i="295"/>
  <c r="Z20" i="295"/>
  <c r="Z11" i="295"/>
  <c r="AJ11" i="295"/>
  <c r="AB11" i="295"/>
  <c r="AB13" i="295"/>
  <c r="AJ13" i="295"/>
  <c r="Z13" i="295"/>
  <c r="U20" i="295"/>
  <c r="M20" i="295"/>
  <c r="AB18" i="295"/>
  <c r="AJ18" i="295"/>
  <c r="Z18" i="295"/>
  <c r="AJ19" i="295"/>
  <c r="AB19" i="295"/>
  <c r="Z19" i="295"/>
  <c r="M13" i="295"/>
  <c r="U13" i="295"/>
  <c r="U12" i="294"/>
  <c r="AJ16" i="295"/>
  <c r="M15" i="295"/>
  <c r="AB9" i="295"/>
  <c r="M19" i="294"/>
  <c r="M15" i="294"/>
  <c r="AB12" i="295"/>
  <c r="AJ12" i="295"/>
  <c r="Z12" i="295"/>
  <c r="Z10" i="295"/>
  <c r="AB10" i="295"/>
  <c r="AJ10" i="295"/>
  <c r="AJ6" i="295"/>
  <c r="AB6" i="295"/>
  <c r="M16" i="295"/>
  <c r="U16" i="295"/>
  <c r="AJ7" i="295"/>
  <c r="AB7" i="295"/>
  <c r="AB14" i="295"/>
  <c r="Z15" i="295"/>
  <c r="J8" i="295"/>
  <c r="J9" i="295" s="1"/>
  <c r="J10" i="295" s="1"/>
  <c r="J11" i="295" s="1"/>
  <c r="J12" i="295" s="1"/>
  <c r="J13" i="295" s="1"/>
  <c r="J14" i="295" s="1"/>
  <c r="J15" i="295" s="1"/>
  <c r="J16" i="295" s="1"/>
  <c r="J17" i="295" s="1"/>
  <c r="J18" i="295" s="1"/>
  <c r="J19" i="295" s="1"/>
  <c r="J20" i="295" s="1"/>
  <c r="J21" i="295" s="1"/>
  <c r="Z21" i="295"/>
  <c r="AB21" i="295"/>
  <c r="AJ21" i="295"/>
  <c r="U9" i="295"/>
  <c r="M9" i="295"/>
  <c r="U8" i="294"/>
  <c r="Z15" i="294"/>
  <c r="AB15" i="294"/>
  <c r="AB21" i="294"/>
  <c r="Z21" i="294"/>
  <c r="AJ21" i="294"/>
  <c r="M6" i="294"/>
  <c r="U6" i="294"/>
  <c r="Z20" i="294"/>
  <c r="AJ20" i="294"/>
  <c r="AB20" i="294"/>
  <c r="M20" i="294"/>
  <c r="U7" i="294"/>
  <c r="U21" i="294"/>
  <c r="M18" i="291"/>
  <c r="U16" i="294"/>
  <c r="U10" i="294"/>
  <c r="M8" i="293"/>
  <c r="AJ15" i="294"/>
  <c r="AJ9" i="294"/>
  <c r="AB16" i="294"/>
  <c r="AJ16" i="294"/>
  <c r="AJ13" i="294"/>
  <c r="AB13" i="294"/>
  <c r="Z13" i="294"/>
  <c r="AB9" i="294"/>
  <c r="J14" i="294"/>
  <c r="J15" i="294" s="1"/>
  <c r="J16" i="294" s="1"/>
  <c r="J17" i="294" s="1"/>
  <c r="J18" i="294" s="1"/>
  <c r="J19" i="294" s="1"/>
  <c r="J20" i="294" s="1"/>
  <c r="J21" i="294" s="1"/>
  <c r="AB17" i="292"/>
  <c r="Z14" i="294"/>
  <c r="M9" i="293"/>
  <c r="U11" i="294"/>
  <c r="AB11" i="294"/>
  <c r="AB17" i="294"/>
  <c r="AJ17" i="294"/>
  <c r="AB14" i="294"/>
  <c r="AJ11" i="294"/>
  <c r="AJ6" i="294"/>
  <c r="AB6" i="294"/>
  <c r="U13" i="294"/>
  <c r="AB19" i="294"/>
  <c r="Z19" i="294"/>
  <c r="AJ19" i="294"/>
  <c r="M9" i="294"/>
  <c r="U9" i="294"/>
  <c r="Z7" i="294"/>
  <c r="AJ7" i="294"/>
  <c r="AB7" i="294"/>
  <c r="AJ18" i="294"/>
  <c r="AB18" i="294"/>
  <c r="AB8" i="294"/>
  <c r="AJ8" i="294"/>
  <c r="Z8" i="294"/>
  <c r="AB10" i="294"/>
  <c r="AJ10" i="294"/>
  <c r="Z10" i="294"/>
  <c r="M6" i="293"/>
  <c r="M11" i="293"/>
  <c r="Z17" i="293"/>
  <c r="AB17" i="293"/>
  <c r="M18" i="293"/>
  <c r="U18" i="293"/>
  <c r="Z7" i="293"/>
  <c r="U16" i="293"/>
  <c r="U17" i="293"/>
  <c r="M13" i="293"/>
  <c r="M8" i="292"/>
  <c r="AJ14" i="293"/>
  <c r="M14" i="293"/>
  <c r="Z16" i="293"/>
  <c r="AB16" i="293"/>
  <c r="AJ16" i="293"/>
  <c r="AJ13" i="293"/>
  <c r="AB13" i="293"/>
  <c r="Z13" i="293"/>
  <c r="AJ11" i="293"/>
  <c r="AB11" i="293"/>
  <c r="Z11" i="293"/>
  <c r="AJ12" i="293"/>
  <c r="Z12" i="293"/>
  <c r="AB12" i="293"/>
  <c r="U7" i="293"/>
  <c r="M7" i="293"/>
  <c r="AB15" i="293"/>
  <c r="AJ15" i="293"/>
  <c r="Z15" i="293"/>
  <c r="AB20" i="293"/>
  <c r="M19" i="293"/>
  <c r="AJ7" i="293"/>
  <c r="AB18" i="293"/>
  <c r="AJ18" i="293"/>
  <c r="Z10" i="293"/>
  <c r="AJ10" i="293"/>
  <c r="AB10" i="293"/>
  <c r="AB8" i="293"/>
  <c r="AJ8" i="293"/>
  <c r="Z8" i="293"/>
  <c r="AJ6" i="293"/>
  <c r="AB6" i="293"/>
  <c r="AJ17" i="293"/>
  <c r="Z19" i="293"/>
  <c r="Z14" i="293"/>
  <c r="AJ9" i="293"/>
  <c r="AJ20" i="293"/>
  <c r="J8" i="293"/>
  <c r="J9" i="293" s="1"/>
  <c r="J10" i="293" s="1"/>
  <c r="J11" i="293" s="1"/>
  <c r="J12" i="293" s="1"/>
  <c r="J13" i="293" s="1"/>
  <c r="J14" i="293" s="1"/>
  <c r="J15" i="293" s="1"/>
  <c r="J16" i="293" s="1"/>
  <c r="J17" i="293" s="1"/>
  <c r="J18" i="293" s="1"/>
  <c r="J19" i="293" s="1"/>
  <c r="J20" i="293" s="1"/>
  <c r="AB19" i="293"/>
  <c r="Z9" i="293"/>
  <c r="U12" i="292"/>
  <c r="Z18" i="293"/>
  <c r="U12" i="293"/>
  <c r="Z13" i="292"/>
  <c r="AJ13" i="292"/>
  <c r="AB20" i="292"/>
  <c r="AJ20" i="292"/>
  <c r="AJ6" i="292"/>
  <c r="AJ17" i="292"/>
  <c r="M9" i="292"/>
  <c r="Z6" i="292"/>
  <c r="Z9" i="292"/>
  <c r="M10" i="292"/>
  <c r="U10" i="292"/>
  <c r="M20" i="292"/>
  <c r="Z20" i="292"/>
  <c r="U15" i="292"/>
  <c r="U7" i="292"/>
  <c r="M7" i="292"/>
  <c r="M6" i="291"/>
  <c r="AB13" i="292"/>
  <c r="Z15" i="292"/>
  <c r="AB14" i="292"/>
  <c r="AJ14" i="292"/>
  <c r="AJ15" i="292"/>
  <c r="AB10" i="291"/>
  <c r="M18" i="292"/>
  <c r="U19" i="292"/>
  <c r="M11" i="292"/>
  <c r="AJ18" i="292"/>
  <c r="Z18" i="292"/>
  <c r="AB18" i="292"/>
  <c r="AB16" i="292"/>
  <c r="AJ16" i="292"/>
  <c r="Z16" i="292"/>
  <c r="AJ19" i="292"/>
  <c r="AB19" i="292"/>
  <c r="Z19" i="292"/>
  <c r="AB8" i="292"/>
  <c r="AJ8" i="292"/>
  <c r="Z8" i="292"/>
  <c r="U6" i="292"/>
  <c r="M6" i="292"/>
  <c r="Z11" i="292"/>
  <c r="AJ11" i="292"/>
  <c r="AB11" i="292"/>
  <c r="M17" i="292"/>
  <c r="M16" i="292"/>
  <c r="U16" i="292"/>
  <c r="M13" i="291"/>
  <c r="AB9" i="292"/>
  <c r="AJ7" i="292"/>
  <c r="AB7" i="292"/>
  <c r="AB9" i="291"/>
  <c r="M13" i="292"/>
  <c r="U13" i="292"/>
  <c r="B4" i="292"/>
  <c r="M14" i="292"/>
  <c r="AB10" i="292"/>
  <c r="AJ10" i="292"/>
  <c r="Z10" i="292"/>
  <c r="AB12" i="292"/>
  <c r="AJ12" i="292"/>
  <c r="Z12" i="292"/>
  <c r="Z9" i="291"/>
  <c r="U8" i="291"/>
  <c r="M8" i="291"/>
  <c r="AB12" i="291"/>
  <c r="Z12" i="291"/>
  <c r="Z19" i="291"/>
  <c r="AB19" i="291"/>
  <c r="AJ19" i="291"/>
  <c r="AJ15" i="291"/>
  <c r="Z15" i="291"/>
  <c r="AB11" i="290"/>
  <c r="AJ11" i="290"/>
  <c r="M19" i="291"/>
  <c r="AB15" i="289"/>
  <c r="AJ10" i="290"/>
  <c r="Z13" i="291"/>
  <c r="AB13" i="291"/>
  <c r="AB10" i="290"/>
  <c r="M16" i="291"/>
  <c r="AJ12" i="291"/>
  <c r="AJ10" i="291"/>
  <c r="M14" i="291"/>
  <c r="M17" i="291"/>
  <c r="U17" i="291"/>
  <c r="U12" i="291"/>
  <c r="AB7" i="291"/>
  <c r="AJ7" i="291"/>
  <c r="Z7" i="291"/>
  <c r="J13" i="291"/>
  <c r="J14" i="291" s="1"/>
  <c r="J15" i="291" s="1"/>
  <c r="J16" i="291" s="1"/>
  <c r="J17" i="291" s="1"/>
  <c r="J18" i="291" s="1"/>
  <c r="J19" i="291" s="1"/>
  <c r="AB8" i="291"/>
  <c r="AJ8" i="291"/>
  <c r="AJ6" i="291"/>
  <c r="AB6" i="291"/>
  <c r="Z16" i="291"/>
  <c r="M18" i="290"/>
  <c r="AB16" i="291"/>
  <c r="AB15" i="291"/>
  <c r="U15" i="291"/>
  <c r="Z18" i="291"/>
  <c r="AJ14" i="291"/>
  <c r="Z14" i="291"/>
  <c r="AB14" i="291"/>
  <c r="AB17" i="291"/>
  <c r="AJ17" i="291"/>
  <c r="Z17" i="291"/>
  <c r="AJ13" i="291"/>
  <c r="U7" i="291"/>
  <c r="AB18" i="291"/>
  <c r="AB11" i="291"/>
  <c r="Z11" i="291"/>
  <c r="M10" i="291"/>
  <c r="U10" i="291"/>
  <c r="U9" i="291"/>
  <c r="M9" i="291"/>
  <c r="Z18" i="290"/>
  <c r="AB18" i="290"/>
  <c r="AJ18" i="290"/>
  <c r="U17" i="290"/>
  <c r="AJ7" i="290"/>
  <c r="Z17" i="290"/>
  <c r="AB17" i="290"/>
  <c r="AJ17" i="290"/>
  <c r="U13" i="290"/>
  <c r="M7" i="290"/>
  <c r="AJ16" i="290"/>
  <c r="Z16" i="290"/>
  <c r="AB16" i="290"/>
  <c r="U8" i="290"/>
  <c r="M8" i="290"/>
  <c r="U16" i="290"/>
  <c r="AB7" i="290"/>
  <c r="U6" i="290"/>
  <c r="AB13" i="290"/>
  <c r="M14" i="290"/>
  <c r="AJ13" i="290"/>
  <c r="M12" i="290"/>
  <c r="B4" i="290"/>
  <c r="AJ6" i="290"/>
  <c r="AB6" i="290"/>
  <c r="Z6" i="290"/>
  <c r="AJ12" i="290"/>
  <c r="AB12" i="290"/>
  <c r="Z12" i="290"/>
  <c r="AB8" i="290"/>
  <c r="AJ8" i="290"/>
  <c r="Z8" i="290"/>
  <c r="Z9" i="290"/>
  <c r="AJ9" i="290"/>
  <c r="AB9" i="290"/>
  <c r="U10" i="290"/>
  <c r="M10" i="290"/>
  <c r="AJ14" i="290"/>
  <c r="AJ15" i="290"/>
  <c r="AB15" i="290"/>
  <c r="M15" i="290"/>
  <c r="Z15" i="290"/>
  <c r="Z14" i="290"/>
  <c r="M11" i="290"/>
  <c r="U11" i="290"/>
  <c r="U17" i="288"/>
  <c r="M19" i="288"/>
  <c r="M8" i="289"/>
  <c r="U8" i="289"/>
  <c r="Z11" i="289"/>
  <c r="U13" i="288"/>
  <c r="U16" i="289"/>
  <c r="U13" i="289"/>
  <c r="AJ11" i="289"/>
  <c r="AB18" i="289"/>
  <c r="AJ16" i="288"/>
  <c r="Z16" i="288"/>
  <c r="AB6" i="289"/>
  <c r="AJ6" i="289"/>
  <c r="Z6" i="289"/>
  <c r="U17" i="289"/>
  <c r="M17" i="289"/>
  <c r="AJ7" i="289"/>
  <c r="AB7" i="289"/>
  <c r="Z7" i="289"/>
  <c r="M12" i="289"/>
  <c r="AJ9" i="289"/>
  <c r="U6" i="289"/>
  <c r="B4" i="289"/>
  <c r="U20" i="289"/>
  <c r="M20" i="289"/>
  <c r="AJ13" i="289"/>
  <c r="Z13" i="289"/>
  <c r="AB13" i="289"/>
  <c r="Z9" i="289"/>
  <c r="AB20" i="289"/>
  <c r="AB16" i="289"/>
  <c r="Z16" i="289"/>
  <c r="AJ16" i="289"/>
  <c r="Z12" i="289"/>
  <c r="AJ12" i="289"/>
  <c r="U18" i="289"/>
  <c r="M18" i="289"/>
  <c r="U11" i="289"/>
  <c r="Z19" i="289"/>
  <c r="AB19" i="289"/>
  <c r="AJ19" i="289"/>
  <c r="AJ14" i="289"/>
  <c r="AB14" i="289"/>
  <c r="U15" i="289"/>
  <c r="Z10" i="289"/>
  <c r="AJ10" i="289"/>
  <c r="AB10" i="289"/>
  <c r="U14" i="289"/>
  <c r="M14" i="289"/>
  <c r="U9" i="289"/>
  <c r="AB8" i="289"/>
  <c r="AJ8" i="289"/>
  <c r="AB12" i="289"/>
  <c r="AB16" i="288"/>
  <c r="M11" i="288"/>
  <c r="U11" i="288"/>
  <c r="AJ19" i="288"/>
  <c r="AB19" i="288"/>
  <c r="Z19" i="288"/>
  <c r="AB17" i="288"/>
  <c r="AJ17" i="288"/>
  <c r="Z17" i="288"/>
  <c r="AJ20" i="288"/>
  <c r="AB20" i="288"/>
  <c r="Z20" i="288"/>
  <c r="U18" i="288"/>
  <c r="M15" i="288"/>
  <c r="M16" i="288"/>
  <c r="M20" i="288"/>
  <c r="AJ18" i="288"/>
  <c r="AB18" i="288"/>
  <c r="Z15" i="288"/>
  <c r="AB15" i="287"/>
  <c r="AJ14" i="288"/>
  <c r="Z14" i="288"/>
  <c r="AB14" i="288"/>
  <c r="M10" i="288"/>
  <c r="U10" i="288"/>
  <c r="AB15" i="288"/>
  <c r="U12" i="287"/>
  <c r="AJ7" i="288"/>
  <c r="AB7" i="288"/>
  <c r="AB12" i="288"/>
  <c r="U7" i="288"/>
  <c r="AB8" i="288"/>
  <c r="U8" i="288"/>
  <c r="Z11" i="288"/>
  <c r="AB11" i="288"/>
  <c r="AJ11" i="288"/>
  <c r="AB6" i="288"/>
  <c r="AJ6" i="288"/>
  <c r="Z6" i="288"/>
  <c r="AJ12" i="288"/>
  <c r="J8" i="288"/>
  <c r="J9" i="288" s="1"/>
  <c r="J10" i="288" s="1"/>
  <c r="J11" i="288" s="1"/>
  <c r="J12" i="288" s="1"/>
  <c r="J13" i="288" s="1"/>
  <c r="J14" i="288" s="1"/>
  <c r="J15" i="288" s="1"/>
  <c r="J16" i="288" s="1"/>
  <c r="J17" i="288" s="1"/>
  <c r="J18" i="288" s="1"/>
  <c r="J19" i="288" s="1"/>
  <c r="J20" i="288" s="1"/>
  <c r="Z9" i="288"/>
  <c r="M12" i="288"/>
  <c r="AJ13" i="288"/>
  <c r="AB13" i="288"/>
  <c r="AB9" i="287"/>
  <c r="AJ10" i="288"/>
  <c r="AB10" i="288"/>
  <c r="AB9" i="288"/>
  <c r="U9" i="288"/>
  <c r="U14" i="288"/>
  <c r="U6" i="288"/>
  <c r="AJ8" i="288"/>
  <c r="U13" i="287"/>
  <c r="M13" i="287"/>
  <c r="U8" i="287"/>
  <c r="M8" i="287"/>
  <c r="U14" i="287"/>
  <c r="M15" i="287"/>
  <c r="AB12" i="287"/>
  <c r="M7" i="287"/>
  <c r="U7" i="287"/>
  <c r="AB10" i="287"/>
  <c r="Z10" i="287"/>
  <c r="AJ10" i="287"/>
  <c r="AJ7" i="287"/>
  <c r="M6" i="287"/>
  <c r="U6" i="287"/>
  <c r="M10" i="287"/>
  <c r="Z15" i="287"/>
  <c r="AB7" i="287"/>
  <c r="M16" i="287"/>
  <c r="U13" i="283"/>
  <c r="U21" i="286"/>
  <c r="AJ9" i="287"/>
  <c r="J8" i="287"/>
  <c r="J9" i="287" s="1"/>
  <c r="J10" i="287" s="1"/>
  <c r="J11" i="287" s="1"/>
  <c r="J12" i="287" s="1"/>
  <c r="J13" i="287" s="1"/>
  <c r="J14" i="287" s="1"/>
  <c r="J15" i="287" s="1"/>
  <c r="J16" i="287" s="1"/>
  <c r="J17" i="287" s="1"/>
  <c r="J18" i="287" s="1"/>
  <c r="M9" i="287"/>
  <c r="U9" i="287"/>
  <c r="AB18" i="287"/>
  <c r="Z14" i="287"/>
  <c r="AB14" i="287"/>
  <c r="AJ14" i="287"/>
  <c r="Z8" i="287"/>
  <c r="AB8" i="287"/>
  <c r="AJ8" i="287"/>
  <c r="Z11" i="287"/>
  <c r="M22" i="286"/>
  <c r="AJ6" i="287"/>
  <c r="AB6" i="287"/>
  <c r="U18" i="287"/>
  <c r="AJ12" i="287"/>
  <c r="AJ13" i="287"/>
  <c r="Z13" i="287"/>
  <c r="AB11" i="287"/>
  <c r="Z17" i="287"/>
  <c r="AB17" i="287"/>
  <c r="AJ17" i="287"/>
  <c r="Z14" i="286"/>
  <c r="AJ14" i="286"/>
  <c r="U19" i="286"/>
  <c r="M19" i="286"/>
  <c r="AJ15" i="286"/>
  <c r="Z15" i="286"/>
  <c r="AJ19" i="286"/>
  <c r="AB19" i="286"/>
  <c r="AB21" i="286"/>
  <c r="Z21" i="286"/>
  <c r="AJ21" i="286"/>
  <c r="AJ20" i="286"/>
  <c r="AB20" i="286"/>
  <c r="Z20" i="286"/>
  <c r="AB22" i="286"/>
  <c r="U10" i="286"/>
  <c r="AJ22" i="286"/>
  <c r="AB14" i="286"/>
  <c r="M20" i="286"/>
  <c r="U17" i="286"/>
  <c r="M9" i="286"/>
  <c r="AJ18" i="286"/>
  <c r="AB18" i="286"/>
  <c r="M10" i="285"/>
  <c r="U10" i="285"/>
  <c r="M8" i="286"/>
  <c r="U8" i="286"/>
  <c r="U11" i="286"/>
  <c r="M11" i="286"/>
  <c r="AB17" i="286"/>
  <c r="AJ16" i="286"/>
  <c r="AJ17" i="286"/>
  <c r="U12" i="286"/>
  <c r="AB16" i="286"/>
  <c r="U15" i="286"/>
  <c r="AB13" i="286"/>
  <c r="AJ13" i="286"/>
  <c r="Z13" i="286"/>
  <c r="M7" i="286"/>
  <c r="U7" i="286"/>
  <c r="AB9" i="286"/>
  <c r="Z9" i="286"/>
  <c r="AJ9" i="286"/>
  <c r="Z11" i="286"/>
  <c r="AB11" i="286"/>
  <c r="AJ11" i="286"/>
  <c r="U6" i="286"/>
  <c r="M6" i="286"/>
  <c r="J9" i="286"/>
  <c r="J10" i="286" s="1"/>
  <c r="J11" i="286" s="1"/>
  <c r="J12" i="286" s="1"/>
  <c r="J13" i="286" s="1"/>
  <c r="J14" i="286" s="1"/>
  <c r="J15" i="286" s="1"/>
  <c r="J16" i="286" s="1"/>
  <c r="J17" i="286" s="1"/>
  <c r="J18" i="286" s="1"/>
  <c r="J19" i="286" s="1"/>
  <c r="J20" i="286" s="1"/>
  <c r="J21" i="286" s="1"/>
  <c r="J22" i="286" s="1"/>
  <c r="AJ9" i="285"/>
  <c r="Z9" i="285"/>
  <c r="AB12" i="286"/>
  <c r="AJ12" i="286"/>
  <c r="Z12" i="286"/>
  <c r="AJ7" i="286"/>
  <c r="M18" i="286"/>
  <c r="AB13" i="285"/>
  <c r="M16" i="286"/>
  <c r="U16" i="286"/>
  <c r="AB7" i="286"/>
  <c r="AB6" i="286"/>
  <c r="AJ10" i="286"/>
  <c r="Z10" i="286"/>
  <c r="AB10" i="286"/>
  <c r="AJ8" i="286"/>
  <c r="M14" i="286"/>
  <c r="AB8" i="286"/>
  <c r="Z18" i="286"/>
  <c r="M9" i="285"/>
  <c r="M13" i="286"/>
  <c r="U13" i="286"/>
  <c r="Z6" i="286"/>
  <c r="M6" i="284"/>
  <c r="M18" i="285"/>
  <c r="M8" i="285"/>
  <c r="AB18" i="285"/>
  <c r="Z18" i="285"/>
  <c r="AJ18" i="285"/>
  <c r="AB17" i="285"/>
  <c r="Z17" i="285"/>
  <c r="AJ17" i="285"/>
  <c r="U17" i="285"/>
  <c r="M17" i="285"/>
  <c r="M6" i="285"/>
  <c r="U6" i="285"/>
  <c r="M11" i="285"/>
  <c r="U11" i="285"/>
  <c r="U12" i="285"/>
  <c r="Z13" i="285"/>
  <c r="Z14" i="285"/>
  <c r="M7" i="285"/>
  <c r="AJ11" i="285"/>
  <c r="AB11" i="285"/>
  <c r="Z11" i="285"/>
  <c r="AB8" i="285"/>
  <c r="AJ8" i="285"/>
  <c r="Z8" i="285"/>
  <c r="Z16" i="285"/>
  <c r="AB14" i="285"/>
  <c r="AJ10" i="285"/>
  <c r="Z10" i="285"/>
  <c r="Z12" i="285"/>
  <c r="Z15" i="285"/>
  <c r="AJ6" i="285"/>
  <c r="AB16" i="285"/>
  <c r="AB15" i="285"/>
  <c r="AB6" i="285"/>
  <c r="AB12" i="285"/>
  <c r="U15" i="285"/>
  <c r="M12" i="283"/>
  <c r="AB9" i="285"/>
  <c r="M13" i="285"/>
  <c r="AJ7" i="285"/>
  <c r="AB7" i="285"/>
  <c r="M14" i="285"/>
  <c r="J8" i="285"/>
  <c r="J9" i="285" s="1"/>
  <c r="J10" i="285" s="1"/>
  <c r="J11" i="285" s="1"/>
  <c r="J12" i="285" s="1"/>
  <c r="J13" i="285" s="1"/>
  <c r="J14" i="285" s="1"/>
  <c r="J15" i="285" s="1"/>
  <c r="J16" i="285" s="1"/>
  <c r="J17" i="285" s="1"/>
  <c r="J18" i="285" s="1"/>
  <c r="U16" i="285"/>
  <c r="AJ15" i="284"/>
  <c r="AB15" i="284"/>
  <c r="U7" i="284"/>
  <c r="M15" i="284"/>
  <c r="U15" i="284"/>
  <c r="Z16" i="284"/>
  <c r="AJ16" i="284"/>
  <c r="AB16" i="284"/>
  <c r="U14" i="284"/>
  <c r="M14" i="284"/>
  <c r="Z8" i="284"/>
  <c r="AJ8" i="284"/>
  <c r="AB8" i="284"/>
  <c r="Z15" i="284"/>
  <c r="AJ10" i="284"/>
  <c r="M16" i="284"/>
  <c r="U6" i="283"/>
  <c r="AB9" i="284"/>
  <c r="AJ9" i="284"/>
  <c r="Z9" i="284"/>
  <c r="U12" i="284"/>
  <c r="M12" i="284"/>
  <c r="U11" i="284"/>
  <c r="AB11" i="284"/>
  <c r="AJ11" i="284"/>
  <c r="Z7" i="284"/>
  <c r="AB7" i="284"/>
  <c r="AJ7" i="284"/>
  <c r="U9" i="284"/>
  <c r="J9" i="284"/>
  <c r="J10" i="284" s="1"/>
  <c r="J11" i="284" s="1"/>
  <c r="J12" i="284" s="1"/>
  <c r="J13" i="284" s="1"/>
  <c r="J14" i="284" s="1"/>
  <c r="J15" i="284" s="1"/>
  <c r="J16" i="284" s="1"/>
  <c r="AB14" i="276"/>
  <c r="AJ12" i="284"/>
  <c r="AB12" i="284"/>
  <c r="AB14" i="284"/>
  <c r="AJ14" i="284"/>
  <c r="AB13" i="284"/>
  <c r="AJ13" i="284"/>
  <c r="U8" i="284"/>
  <c r="M8" i="284"/>
  <c r="M13" i="284"/>
  <c r="M10" i="284"/>
  <c r="U10" i="284"/>
  <c r="AJ6" i="284"/>
  <c r="AB6" i="284"/>
  <c r="U15" i="283"/>
  <c r="M15" i="283"/>
  <c r="U10" i="283"/>
  <c r="M10" i="283"/>
  <c r="M8" i="283"/>
  <c r="AB14" i="283"/>
  <c r="M14" i="283"/>
  <c r="AB12" i="283"/>
  <c r="AJ11" i="283"/>
  <c r="AB11" i="283"/>
  <c r="Z11" i="283"/>
  <c r="M7" i="283"/>
  <c r="U7" i="283"/>
  <c r="AJ13" i="283"/>
  <c r="AB13" i="283"/>
  <c r="Z13" i="283"/>
  <c r="AB7" i="283"/>
  <c r="Z7" i="283"/>
  <c r="AJ7" i="283"/>
  <c r="Z8" i="283"/>
  <c r="AB8" i="283"/>
  <c r="AJ8" i="283"/>
  <c r="AJ15" i="283"/>
  <c r="M11" i="283"/>
  <c r="U17" i="283"/>
  <c r="AJ16" i="283"/>
  <c r="U9" i="283"/>
  <c r="M9" i="283"/>
  <c r="AJ6" i="283"/>
  <c r="AB6" i="283"/>
  <c r="AJ14" i="283"/>
  <c r="Z12" i="283"/>
  <c r="J8" i="283"/>
  <c r="J9" i="283" s="1"/>
  <c r="J10" i="283" s="1"/>
  <c r="J11" i="283" s="1"/>
  <c r="J12" i="283" s="1"/>
  <c r="J13" i="283" s="1"/>
  <c r="J14" i="283" s="1"/>
  <c r="J15" i="283" s="1"/>
  <c r="J16" i="283" s="1"/>
  <c r="J17" i="283" s="1"/>
  <c r="AJ17" i="283"/>
  <c r="Z15" i="283"/>
  <c r="AJ10" i="283"/>
  <c r="Z10" i="283"/>
  <c r="AB10" i="283"/>
  <c r="AB17" i="283"/>
  <c r="AB9" i="283"/>
  <c r="AJ9" i="283"/>
  <c r="Z9" i="282"/>
  <c r="AB9" i="282"/>
  <c r="U12" i="282"/>
  <c r="M8" i="282"/>
  <c r="AB17" i="281"/>
  <c r="AJ17" i="281"/>
  <c r="M20" i="281"/>
  <c r="Z18" i="281"/>
  <c r="M15" i="281"/>
  <c r="U15" i="281"/>
  <c r="Z13" i="282"/>
  <c r="AJ13" i="282"/>
  <c r="U6" i="282"/>
  <c r="M6" i="282"/>
  <c r="AJ19" i="281"/>
  <c r="AB19" i="281"/>
  <c r="Z7" i="282"/>
  <c r="AB7" i="282"/>
  <c r="U17" i="282"/>
  <c r="U14" i="281"/>
  <c r="U19" i="281"/>
  <c r="U14" i="282"/>
  <c r="M14" i="282"/>
  <c r="U18" i="282"/>
  <c r="M18" i="282"/>
  <c r="Z15" i="282"/>
  <c r="AJ15" i="282"/>
  <c r="AB15" i="282"/>
  <c r="Z10" i="282"/>
  <c r="AJ10" i="282"/>
  <c r="AB10" i="282"/>
  <c r="Z8" i="282"/>
  <c r="AB8" i="282"/>
  <c r="AJ8" i="282"/>
  <c r="U13" i="282"/>
  <c r="M13" i="282"/>
  <c r="AB20" i="282"/>
  <c r="Z20" i="282"/>
  <c r="AJ20" i="282"/>
  <c r="AB6" i="282"/>
  <c r="Z6" i="282"/>
  <c r="AJ6" i="282"/>
  <c r="AJ11" i="282"/>
  <c r="AB11" i="282"/>
  <c r="Z11" i="282"/>
  <c r="AJ9" i="282"/>
  <c r="U11" i="282"/>
  <c r="AB17" i="282"/>
  <c r="Z17" i="282"/>
  <c r="AJ17" i="282"/>
  <c r="AJ12" i="282"/>
  <c r="AB12" i="282"/>
  <c r="M16" i="282"/>
  <c r="U9" i="282"/>
  <c r="M9" i="282"/>
  <c r="U15" i="282"/>
  <c r="M20" i="282"/>
  <c r="U20" i="282"/>
  <c r="AJ7" i="282"/>
  <c r="AB18" i="282"/>
  <c r="AB14" i="282"/>
  <c r="AJ14" i="282"/>
  <c r="Z14" i="282"/>
  <c r="Z16" i="282"/>
  <c r="J8" i="282"/>
  <c r="J9" i="282" s="1"/>
  <c r="J10" i="282" s="1"/>
  <c r="J11" i="282" s="1"/>
  <c r="J12" i="282" s="1"/>
  <c r="J13" i="282" s="1"/>
  <c r="J14" i="282" s="1"/>
  <c r="J15" i="282" s="1"/>
  <c r="J16" i="282" s="1"/>
  <c r="J17" i="282" s="1"/>
  <c r="J18" i="282" s="1"/>
  <c r="J19" i="282" s="1"/>
  <c r="J20" i="282" s="1"/>
  <c r="AB16" i="282"/>
  <c r="M10" i="282"/>
  <c r="Z19" i="282"/>
  <c r="AJ19" i="282"/>
  <c r="AB19" i="282"/>
  <c r="U7" i="282"/>
  <c r="M7" i="282"/>
  <c r="AB13" i="282"/>
  <c r="Z19" i="281"/>
  <c r="Z20" i="281"/>
  <c r="AB20" i="281"/>
  <c r="AJ20" i="281"/>
  <c r="AB18" i="281"/>
  <c r="M18" i="281"/>
  <c r="AJ10" i="280"/>
  <c r="M11" i="280"/>
  <c r="AJ11" i="281"/>
  <c r="AB11" i="281"/>
  <c r="U8" i="281"/>
  <c r="M8" i="281"/>
  <c r="AJ6" i="281"/>
  <c r="U12" i="281"/>
  <c r="Z15" i="281"/>
  <c r="AB13" i="281"/>
  <c r="Z13" i="281"/>
  <c r="AJ13" i="281"/>
  <c r="AJ10" i="281"/>
  <c r="AB10" i="281"/>
  <c r="M12" i="280"/>
  <c r="AB6" i="281"/>
  <c r="M10" i="281"/>
  <c r="U16" i="281"/>
  <c r="M16" i="281"/>
  <c r="AJ12" i="281"/>
  <c r="Z12" i="281"/>
  <c r="AB12" i="281"/>
  <c r="AB7" i="281"/>
  <c r="AJ7" i="281"/>
  <c r="Z7" i="281"/>
  <c r="Z16" i="281"/>
  <c r="AB16" i="281"/>
  <c r="AJ16" i="281"/>
  <c r="AB9" i="281"/>
  <c r="AJ9" i="281"/>
  <c r="Z9" i="281"/>
  <c r="U17" i="281"/>
  <c r="U9" i="281"/>
  <c r="Z8" i="281"/>
  <c r="AJ8" i="281"/>
  <c r="AB8" i="281"/>
  <c r="U11" i="281"/>
  <c r="AB14" i="281"/>
  <c r="AJ14" i="281"/>
  <c r="Z14" i="281"/>
  <c r="U6" i="281"/>
  <c r="M6" i="281"/>
  <c r="Z10" i="281"/>
  <c r="U7" i="281"/>
  <c r="J8" i="281"/>
  <c r="J9" i="281" s="1"/>
  <c r="J10" i="281" s="1"/>
  <c r="J11" i="281" s="1"/>
  <c r="J12" i="281" s="1"/>
  <c r="J13" i="281" s="1"/>
  <c r="J14" i="281" s="1"/>
  <c r="J15" i="281" s="1"/>
  <c r="J16" i="281" s="1"/>
  <c r="J17" i="281" s="1"/>
  <c r="J18" i="281" s="1"/>
  <c r="J19" i="281" s="1"/>
  <c r="J20" i="281" s="1"/>
  <c r="AJ15" i="281"/>
  <c r="Z11" i="281"/>
  <c r="AJ11" i="280"/>
  <c r="U17" i="280"/>
  <c r="Z17" i="280"/>
  <c r="AB17" i="280"/>
  <c r="AJ17" i="280"/>
  <c r="AB16" i="280"/>
  <c r="AJ16" i="280"/>
  <c r="Z16" i="280"/>
  <c r="AB15" i="280"/>
  <c r="AJ15" i="280"/>
  <c r="U16" i="280"/>
  <c r="M7" i="280"/>
  <c r="M6" i="279"/>
  <c r="U6" i="280"/>
  <c r="M6" i="280"/>
  <c r="Z15" i="280"/>
  <c r="AB8" i="280"/>
  <c r="AJ8" i="280"/>
  <c r="Z8" i="280"/>
  <c r="AB6" i="280"/>
  <c r="AJ6" i="280"/>
  <c r="Z6" i="280"/>
  <c r="M14" i="280"/>
  <c r="U14" i="280"/>
  <c r="Z13" i="280"/>
  <c r="AB13" i="280"/>
  <c r="AJ13" i="280"/>
  <c r="U8" i="280"/>
  <c r="AB10" i="280"/>
  <c r="U13" i="280"/>
  <c r="Z9" i="280"/>
  <c r="Z14" i="280"/>
  <c r="M10" i="280"/>
  <c r="U10" i="280"/>
  <c r="AJ7" i="280"/>
  <c r="AB7" i="280"/>
  <c r="AB11" i="280"/>
  <c r="J8" i="280"/>
  <c r="J9" i="280" s="1"/>
  <c r="J10" i="280" s="1"/>
  <c r="J11" i="280" s="1"/>
  <c r="J12" i="280" s="1"/>
  <c r="J13" i="280" s="1"/>
  <c r="J14" i="280" s="1"/>
  <c r="J15" i="280" s="1"/>
  <c r="J16" i="280" s="1"/>
  <c r="J17" i="280" s="1"/>
  <c r="AB14" i="280"/>
  <c r="AB12" i="280"/>
  <c r="AJ12" i="280"/>
  <c r="M15" i="280"/>
  <c r="U15" i="280"/>
  <c r="AJ9" i="280"/>
  <c r="U10" i="279"/>
  <c r="M9" i="279"/>
  <c r="U9" i="279"/>
  <c r="U13" i="279"/>
  <c r="M13" i="279"/>
  <c r="M14" i="279"/>
  <c r="U13" i="278"/>
  <c r="U7" i="279"/>
  <c r="M19" i="279"/>
  <c r="U14" i="278"/>
  <c r="AJ20" i="279"/>
  <c r="M11" i="279"/>
  <c r="M8" i="275"/>
  <c r="AJ15" i="279"/>
  <c r="U12" i="279"/>
  <c r="M12" i="279"/>
  <c r="M18" i="279"/>
  <c r="U18" i="279"/>
  <c r="AJ6" i="279"/>
  <c r="AB6" i="279"/>
  <c r="Z6" i="279"/>
  <c r="AB7" i="279"/>
  <c r="AJ7" i="279"/>
  <c r="Z7" i="279"/>
  <c r="AJ19" i="279"/>
  <c r="AB19" i="279"/>
  <c r="Z19" i="279"/>
  <c r="Z8" i="279"/>
  <c r="AJ14" i="279"/>
  <c r="AB14" i="279"/>
  <c r="M8" i="279"/>
  <c r="M15" i="279"/>
  <c r="M16" i="279"/>
  <c r="Z12" i="279"/>
  <c r="M20" i="278"/>
  <c r="AB12" i="279"/>
  <c r="AB8" i="279"/>
  <c r="Z15" i="279"/>
  <c r="Z9" i="279"/>
  <c r="AB9" i="279"/>
  <c r="AJ9" i="279"/>
  <c r="Z13" i="279"/>
  <c r="Z17" i="278"/>
  <c r="AJ11" i="279"/>
  <c r="AB11" i="279"/>
  <c r="AB13" i="279"/>
  <c r="B4" i="279"/>
  <c r="M20" i="279"/>
  <c r="U20" i="279"/>
  <c r="Z10" i="279"/>
  <c r="AJ10" i="279"/>
  <c r="AB10" i="279"/>
  <c r="Z14" i="279"/>
  <c r="Z17" i="279"/>
  <c r="AJ17" i="279"/>
  <c r="AB17" i="279"/>
  <c r="AB19" i="278"/>
  <c r="Z19" i="278"/>
  <c r="AB15" i="278"/>
  <c r="Z15" i="278"/>
  <c r="AJ15" i="278"/>
  <c r="AJ18" i="278"/>
  <c r="Z16" i="278"/>
  <c r="M9" i="278"/>
  <c r="Z10" i="278"/>
  <c r="M7" i="278"/>
  <c r="U7" i="278"/>
  <c r="U18" i="278"/>
  <c r="M18" i="278"/>
  <c r="AB20" i="278"/>
  <c r="AJ20" i="278"/>
  <c r="Z20" i="278"/>
  <c r="M15" i="278"/>
  <c r="U15" i="278"/>
  <c r="U8" i="278"/>
  <c r="M8" i="278"/>
  <c r="U16" i="278"/>
  <c r="M16" i="278"/>
  <c r="U17" i="278"/>
  <c r="AJ6" i="278"/>
  <c r="AJ19" i="278"/>
  <c r="AB14" i="278"/>
  <c r="AB6" i="278"/>
  <c r="AJ14" i="278"/>
  <c r="AJ16" i="278"/>
  <c r="AJ17" i="278"/>
  <c r="M19" i="278"/>
  <c r="AB18" i="278"/>
  <c r="Z11" i="278"/>
  <c r="AB11" i="278"/>
  <c r="AB10" i="278"/>
  <c r="AJ13" i="278"/>
  <c r="AB13" i="278"/>
  <c r="Z13" i="278"/>
  <c r="J8" i="278"/>
  <c r="J9" i="278" s="1"/>
  <c r="J10" i="278" s="1"/>
  <c r="J11" i="278" s="1"/>
  <c r="J12" i="278" s="1"/>
  <c r="J13" i="278" s="1"/>
  <c r="J14" i="278" s="1"/>
  <c r="J15" i="278" s="1"/>
  <c r="J16" i="278" s="1"/>
  <c r="J17" i="278" s="1"/>
  <c r="J18" i="278" s="1"/>
  <c r="J19" i="278" s="1"/>
  <c r="J20" i="278" s="1"/>
  <c r="U10" i="278"/>
  <c r="AB9" i="278"/>
  <c r="Z9" i="278"/>
  <c r="M11" i="278"/>
  <c r="AJ12" i="278"/>
  <c r="AB12" i="278"/>
  <c r="AJ7" i="278"/>
  <c r="AB7" i="278"/>
  <c r="Z7" i="278"/>
  <c r="U6" i="278"/>
  <c r="M6" i="278"/>
  <c r="AJ8" i="278"/>
  <c r="AB8" i="278"/>
  <c r="Z8" i="278"/>
  <c r="AJ9" i="278"/>
  <c r="U9" i="277"/>
  <c r="M9" i="277"/>
  <c r="U12" i="277"/>
  <c r="M12" i="277"/>
  <c r="U10" i="277"/>
  <c r="M10" i="277"/>
  <c r="U15" i="277"/>
  <c r="M15" i="277"/>
  <c r="M11" i="277"/>
  <c r="U11" i="277"/>
  <c r="Z9" i="277"/>
  <c r="AB9" i="277"/>
  <c r="AJ9" i="277"/>
  <c r="AB11" i="277"/>
  <c r="AB14" i="277"/>
  <c r="M13" i="277"/>
  <c r="AJ14" i="277"/>
  <c r="M16" i="277"/>
  <c r="U8" i="277"/>
  <c r="AB15" i="277"/>
  <c r="AB12" i="277"/>
  <c r="Z12" i="277"/>
  <c r="AJ12" i="277"/>
  <c r="M6" i="277"/>
  <c r="U6" i="277"/>
  <c r="AJ16" i="277"/>
  <c r="AB16" i="277"/>
  <c r="Z16" i="277"/>
  <c r="AB6" i="277"/>
  <c r="Z6" i="277"/>
  <c r="AJ6" i="277"/>
  <c r="M7" i="277"/>
  <c r="U7" i="277"/>
  <c r="AB13" i="277"/>
  <c r="AJ13" i="277"/>
  <c r="AJ11" i="277"/>
  <c r="AJ7" i="277"/>
  <c r="U9" i="275"/>
  <c r="AJ8" i="277"/>
  <c r="AB8" i="277"/>
  <c r="AB7" i="277"/>
  <c r="U17" i="277"/>
  <c r="AB10" i="277"/>
  <c r="AJ10" i="277"/>
  <c r="Z10" i="277"/>
  <c r="AJ15" i="277"/>
  <c r="J9" i="277"/>
  <c r="J10" i="277" s="1"/>
  <c r="J11" i="277" s="1"/>
  <c r="J12" i="277" s="1"/>
  <c r="J13" i="277" s="1"/>
  <c r="J14" i="277" s="1"/>
  <c r="J15" i="277" s="1"/>
  <c r="J16" i="277" s="1"/>
  <c r="J17" i="277" s="1"/>
  <c r="AJ17" i="277"/>
  <c r="M14" i="277"/>
  <c r="AB17" i="277"/>
  <c r="U17" i="276"/>
  <c r="U13" i="276"/>
  <c r="M17" i="275"/>
  <c r="U11" i="276"/>
  <c r="M11" i="276"/>
  <c r="Z11" i="276"/>
  <c r="M12" i="276"/>
  <c r="AB16" i="274"/>
  <c r="U13" i="275"/>
  <c r="M6" i="276"/>
  <c r="U6" i="276"/>
  <c r="U15" i="276"/>
  <c r="M15" i="276"/>
  <c r="Z9" i="276"/>
  <c r="AJ9" i="276"/>
  <c r="AB9" i="276"/>
  <c r="M16" i="276"/>
  <c r="U16" i="276"/>
  <c r="AB15" i="276"/>
  <c r="AJ15" i="276"/>
  <c r="Z15" i="276"/>
  <c r="U7" i="276"/>
  <c r="M7" i="276"/>
  <c r="Z6" i="276"/>
  <c r="AB6" i="276"/>
  <c r="AJ6" i="276"/>
  <c r="AJ16" i="274"/>
  <c r="AJ17" i="276"/>
  <c r="AB17" i="276"/>
  <c r="AB13" i="276"/>
  <c r="AJ13" i="276"/>
  <c r="Z13" i="276"/>
  <c r="AJ12" i="276"/>
  <c r="Z12" i="276"/>
  <c r="M10" i="276"/>
  <c r="AJ7" i="276"/>
  <c r="M9" i="276"/>
  <c r="AJ8" i="276"/>
  <c r="AB8" i="276"/>
  <c r="AB7" i="276"/>
  <c r="AJ10" i="275"/>
  <c r="AJ14" i="276"/>
  <c r="AB16" i="276"/>
  <c r="J9" i="276"/>
  <c r="J10" i="276" s="1"/>
  <c r="J11" i="276" s="1"/>
  <c r="J12" i="276" s="1"/>
  <c r="J13" i="276" s="1"/>
  <c r="J14" i="276" s="1"/>
  <c r="J15" i="276" s="1"/>
  <c r="J16" i="276" s="1"/>
  <c r="J17" i="276" s="1"/>
  <c r="AJ10" i="276"/>
  <c r="Z10" i="276"/>
  <c r="AJ16" i="276"/>
  <c r="AB11" i="276"/>
  <c r="M14" i="276"/>
  <c r="U14" i="276"/>
  <c r="U8" i="276"/>
  <c r="M8" i="276"/>
  <c r="AB10" i="276"/>
  <c r="AB10" i="275"/>
  <c r="U7" i="275"/>
  <c r="M7" i="275"/>
  <c r="Z7" i="275"/>
  <c r="AJ7" i="275"/>
  <c r="AB11" i="275"/>
  <c r="U15" i="275"/>
  <c r="U12" i="275"/>
  <c r="M12" i="275"/>
  <c r="M18" i="275"/>
  <c r="U18" i="275"/>
  <c r="U10" i="275"/>
  <c r="U19" i="274"/>
  <c r="M19" i="275"/>
  <c r="U14" i="275"/>
  <c r="M14" i="275"/>
  <c r="U16" i="275"/>
  <c r="AJ18" i="275"/>
  <c r="Z19" i="275"/>
  <c r="AJ19" i="275"/>
  <c r="AB19" i="275"/>
  <c r="U11" i="275"/>
  <c r="M11" i="275"/>
  <c r="AB9" i="275"/>
  <c r="AJ9" i="275"/>
  <c r="Z9" i="275"/>
  <c r="Z17" i="275"/>
  <c r="AJ17" i="275"/>
  <c r="AB17" i="275"/>
  <c r="Z14" i="275"/>
  <c r="AB14" i="275"/>
  <c r="AJ14" i="275"/>
  <c r="AJ13" i="275"/>
  <c r="AB7" i="275"/>
  <c r="AJ15" i="275"/>
  <c r="Z13" i="275"/>
  <c r="AB18" i="275"/>
  <c r="AB15" i="275"/>
  <c r="Z12" i="275"/>
  <c r="AJ6" i="275"/>
  <c r="B4" i="275"/>
  <c r="AB12" i="275"/>
  <c r="AB6" i="275"/>
  <c r="Z11" i="275"/>
  <c r="AB8" i="275"/>
  <c r="AJ8" i="275"/>
  <c r="U14" i="274"/>
  <c r="U6" i="275"/>
  <c r="M6" i="275"/>
  <c r="Z19" i="274"/>
  <c r="U16" i="274"/>
  <c r="AB19" i="274"/>
  <c r="AJ17" i="274"/>
  <c r="AB17" i="274"/>
  <c r="Z17" i="274"/>
  <c r="M18" i="274"/>
  <c r="Z18" i="274"/>
  <c r="AB18" i="274"/>
  <c r="M17" i="274"/>
  <c r="AB10" i="274"/>
  <c r="Z10" i="274"/>
  <c r="U8" i="274"/>
  <c r="M8" i="274"/>
  <c r="M13" i="274"/>
  <c r="U13" i="274"/>
  <c r="Z7" i="274"/>
  <c r="AB7" i="274"/>
  <c r="AJ7" i="274"/>
  <c r="U9" i="274"/>
  <c r="AJ6" i="274"/>
  <c r="AB6" i="274"/>
  <c r="AB11" i="274"/>
  <c r="AB12" i="274"/>
  <c r="Z12" i="274"/>
  <c r="AJ12" i="274"/>
  <c r="Z15" i="274"/>
  <c r="AJ15" i="274"/>
  <c r="AB15" i="274"/>
  <c r="AJ8" i="274"/>
  <c r="AB8" i="274"/>
  <c r="Z8" i="274"/>
  <c r="AJ11" i="274"/>
  <c r="M7" i="273"/>
  <c r="AB14" i="274"/>
  <c r="AJ14" i="274"/>
  <c r="Z14" i="274"/>
  <c r="B4" i="274"/>
  <c r="AB13" i="274"/>
  <c r="AJ13" i="274"/>
  <c r="Z13" i="274"/>
  <c r="U11" i="274"/>
  <c r="M11" i="274"/>
  <c r="U6" i="274"/>
  <c r="M6" i="274"/>
  <c r="U7" i="274"/>
  <c r="AB9" i="274"/>
  <c r="Z9" i="274"/>
  <c r="M7" i="272"/>
  <c r="U15" i="274"/>
  <c r="AJ10" i="274"/>
  <c r="M14" i="273"/>
  <c r="Z12" i="273"/>
  <c r="AJ12" i="273"/>
  <c r="M10" i="273"/>
  <c r="AJ6" i="273"/>
  <c r="M12" i="273"/>
  <c r="U12" i="273"/>
  <c r="U16" i="273"/>
  <c r="AB6" i="273"/>
  <c r="AJ16" i="273"/>
  <c r="AB16" i="273"/>
  <c r="AB12" i="273"/>
  <c r="U15" i="273"/>
  <c r="AJ13" i="273"/>
  <c r="AB13" i="273"/>
  <c r="Z13" i="273"/>
  <c r="AJ9" i="273"/>
  <c r="Z9" i="273"/>
  <c r="AB9" i="273"/>
  <c r="Z17" i="273"/>
  <c r="AB17" i="273"/>
  <c r="AJ17" i="273"/>
  <c r="U11" i="273"/>
  <c r="M11" i="273"/>
  <c r="AJ7" i="273"/>
  <c r="AB7" i="273"/>
  <c r="Z14" i="273"/>
  <c r="U8" i="273"/>
  <c r="M8" i="273"/>
  <c r="AJ18" i="273"/>
  <c r="AB10" i="273"/>
  <c r="AJ10" i="273"/>
  <c r="Z10" i="273"/>
  <c r="Z11" i="273"/>
  <c r="AB18" i="273"/>
  <c r="AJ15" i="273"/>
  <c r="AJ11" i="273"/>
  <c r="AB15" i="273"/>
  <c r="M13" i="273"/>
  <c r="U6" i="273"/>
  <c r="AJ8" i="273"/>
  <c r="AB8" i="273"/>
  <c r="M9" i="273"/>
  <c r="U9" i="273"/>
  <c r="J8" i="273"/>
  <c r="J9" i="273" s="1"/>
  <c r="J10" i="273" s="1"/>
  <c r="J11" i="273" s="1"/>
  <c r="J12" i="273" s="1"/>
  <c r="J13" i="273" s="1"/>
  <c r="J14" i="273" s="1"/>
  <c r="J15" i="273" s="1"/>
  <c r="J16" i="273" s="1"/>
  <c r="J17" i="273" s="1"/>
  <c r="J18" i="273" s="1"/>
  <c r="B4" i="273" s="1"/>
  <c r="AJ14" i="273"/>
  <c r="M16" i="272"/>
  <c r="U16" i="272"/>
  <c r="AJ8" i="272"/>
  <c r="AB8" i="272"/>
  <c r="Z14" i="272"/>
  <c r="U10" i="271"/>
  <c r="U11" i="272"/>
  <c r="AB17" i="272"/>
  <c r="AJ17" i="272"/>
  <c r="Z17" i="272"/>
  <c r="Z15" i="272"/>
  <c r="AJ15" i="272"/>
  <c r="AB15" i="272"/>
  <c r="AB16" i="272"/>
  <c r="AJ16" i="272"/>
  <c r="Z16" i="272"/>
  <c r="M15" i="272"/>
  <c r="U15" i="272"/>
  <c r="Z18" i="272"/>
  <c r="M18" i="272"/>
  <c r="AB14" i="272"/>
  <c r="M17" i="272"/>
  <c r="U14" i="272"/>
  <c r="AB18" i="272"/>
  <c r="AB10" i="272"/>
  <c r="M6" i="271"/>
  <c r="U6" i="271"/>
  <c r="U8" i="272"/>
  <c r="M8" i="272"/>
  <c r="AJ13" i="272"/>
  <c r="M9" i="272"/>
  <c r="AJ12" i="272"/>
  <c r="AJ10" i="272"/>
  <c r="U8" i="271"/>
  <c r="M8" i="271"/>
  <c r="AJ9" i="272"/>
  <c r="Z9" i="272"/>
  <c r="AB9" i="272"/>
  <c r="U6" i="272"/>
  <c r="M6" i="272"/>
  <c r="AJ7" i="272"/>
  <c r="AB7" i="272"/>
  <c r="Z8" i="272"/>
  <c r="AB11" i="272"/>
  <c r="AJ11" i="272"/>
  <c r="Z11" i="272"/>
  <c r="AB13" i="272"/>
  <c r="J8" i="272"/>
  <c r="J9" i="272" s="1"/>
  <c r="J10" i="272" s="1"/>
  <c r="J11" i="272" s="1"/>
  <c r="J12" i="272" s="1"/>
  <c r="J13" i="272" s="1"/>
  <c r="J14" i="272" s="1"/>
  <c r="J15" i="272" s="1"/>
  <c r="J16" i="272" s="1"/>
  <c r="J17" i="272" s="1"/>
  <c r="J18" i="272" s="1"/>
  <c r="AB12" i="272"/>
  <c r="M13" i="272"/>
  <c r="U13" i="272"/>
  <c r="U10" i="272"/>
  <c r="AJ6" i="272"/>
  <c r="M12" i="272"/>
  <c r="U12" i="272"/>
  <c r="AB6" i="272"/>
  <c r="M7" i="271"/>
  <c r="U7" i="271"/>
  <c r="U10" i="270"/>
  <c r="U14" i="271"/>
  <c r="U12" i="271"/>
  <c r="AB7" i="271"/>
  <c r="Z7" i="271"/>
  <c r="AJ7" i="271"/>
  <c r="M12" i="270"/>
  <c r="U12" i="270"/>
  <c r="AB16" i="271"/>
  <c r="AJ16" i="271"/>
  <c r="Z16" i="271"/>
  <c r="AJ14" i="271"/>
  <c r="AB14" i="271"/>
  <c r="Z14" i="271"/>
  <c r="U11" i="270"/>
  <c r="M11" i="270"/>
  <c r="AJ13" i="271"/>
  <c r="Z10" i="271"/>
  <c r="AJ10" i="271"/>
  <c r="AB10" i="271"/>
  <c r="Z13" i="271"/>
  <c r="Z15" i="271"/>
  <c r="Z11" i="271"/>
  <c r="AB8" i="271"/>
  <c r="AJ8" i="271"/>
  <c r="AJ6" i="271"/>
  <c r="AB6" i="271"/>
  <c r="U11" i="271"/>
  <c r="M11" i="271"/>
  <c r="AJ9" i="271"/>
  <c r="Z9" i="271"/>
  <c r="U13" i="271"/>
  <c r="M13" i="271"/>
  <c r="M15" i="271"/>
  <c r="AB11" i="271"/>
  <c r="U9" i="271"/>
  <c r="B4" i="271"/>
  <c r="AJ12" i="271"/>
  <c r="Z12" i="271"/>
  <c r="AB12" i="271"/>
  <c r="AJ15" i="271"/>
  <c r="AJ7" i="270"/>
  <c r="AB7" i="270"/>
  <c r="M14" i="270"/>
  <c r="U6" i="269"/>
  <c r="M6" i="269"/>
  <c r="U18" i="270"/>
  <c r="M18" i="270"/>
  <c r="U8" i="270"/>
  <c r="Z11" i="270"/>
  <c r="AB9" i="270"/>
  <c r="AB11" i="270"/>
  <c r="M9" i="270"/>
  <c r="U9" i="270"/>
  <c r="AJ18" i="270"/>
  <c r="Z18" i="270"/>
  <c r="AB18" i="270"/>
  <c r="M10" i="269"/>
  <c r="U10" i="269"/>
  <c r="U6" i="270"/>
  <c r="M6" i="270"/>
  <c r="Z16" i="270"/>
  <c r="AB16" i="270"/>
  <c r="AJ16" i="270"/>
  <c r="AJ14" i="270"/>
  <c r="AB14" i="270"/>
  <c r="Z14" i="270"/>
  <c r="U16" i="270"/>
  <c r="M16" i="270"/>
  <c r="M20" i="270"/>
  <c r="U20" i="270"/>
  <c r="AB20" i="270"/>
  <c r="AJ20" i="270"/>
  <c r="Z20" i="270"/>
  <c r="Z8" i="270"/>
  <c r="AJ8" i="270"/>
  <c r="AB8" i="270"/>
  <c r="U7" i="270"/>
  <c r="M7" i="270"/>
  <c r="AJ15" i="270"/>
  <c r="AB15" i="270"/>
  <c r="Z6" i="270"/>
  <c r="AB10" i="270"/>
  <c r="Z10" i="270"/>
  <c r="AJ10" i="270"/>
  <c r="AJ9" i="270"/>
  <c r="U21" i="270"/>
  <c r="M21" i="270"/>
  <c r="AB13" i="270"/>
  <c r="AJ6" i="270"/>
  <c r="B4" i="270"/>
  <c r="AJ19" i="270"/>
  <c r="AJ13" i="270"/>
  <c r="Z12" i="270"/>
  <c r="AJ12" i="270"/>
  <c r="AB12" i="270"/>
  <c r="AJ14" i="269"/>
  <c r="M19" i="270"/>
  <c r="M13" i="270"/>
  <c r="U15" i="270"/>
  <c r="M13" i="269"/>
  <c r="AJ19" i="269"/>
  <c r="Z19" i="269"/>
  <c r="AB19" i="269"/>
  <c r="M20" i="269"/>
  <c r="U20" i="269"/>
  <c r="Z20" i="269"/>
  <c r="AJ20" i="269"/>
  <c r="AB20" i="269"/>
  <c r="AB18" i="269"/>
  <c r="Z18" i="269"/>
  <c r="AJ18" i="269"/>
  <c r="Z17" i="269"/>
  <c r="AJ17" i="269"/>
  <c r="AB17" i="269"/>
  <c r="AB21" i="269"/>
  <c r="AJ21" i="269"/>
  <c r="Z21" i="269"/>
  <c r="M17" i="269"/>
  <c r="M18" i="269"/>
  <c r="M19" i="269"/>
  <c r="M12" i="269"/>
  <c r="M21" i="269"/>
  <c r="U15" i="268"/>
  <c r="AB7" i="269"/>
  <c r="Z7" i="269"/>
  <c r="AJ7" i="269"/>
  <c r="Z12" i="269"/>
  <c r="U11" i="269"/>
  <c r="AB11" i="269"/>
  <c r="AJ11" i="269"/>
  <c r="Z11" i="269"/>
  <c r="M15" i="269"/>
  <c r="U15" i="269"/>
  <c r="Z15" i="269"/>
  <c r="AB15" i="269"/>
  <c r="AJ15" i="269"/>
  <c r="J11" i="269"/>
  <c r="J12" i="269" s="1"/>
  <c r="J13" i="269" s="1"/>
  <c r="J14" i="269" s="1"/>
  <c r="J15" i="269" s="1"/>
  <c r="J16" i="269" s="1"/>
  <c r="J17" i="269" s="1"/>
  <c r="J18" i="269" s="1"/>
  <c r="J19" i="269" s="1"/>
  <c r="J20" i="269" s="1"/>
  <c r="J21" i="269" s="1"/>
  <c r="Z8" i="269"/>
  <c r="AB8" i="269"/>
  <c r="AJ8" i="269"/>
  <c r="AB10" i="269"/>
  <c r="AJ10" i="269"/>
  <c r="Z10" i="269"/>
  <c r="M14" i="269"/>
  <c r="U14" i="269"/>
  <c r="AB6" i="269"/>
  <c r="AB9" i="269"/>
  <c r="M16" i="269"/>
  <c r="AJ9" i="269"/>
  <c r="U9" i="269"/>
  <c r="M9" i="269"/>
  <c r="M8" i="268"/>
  <c r="AB13" i="269"/>
  <c r="AJ13" i="269"/>
  <c r="U8" i="269"/>
  <c r="AJ16" i="269"/>
  <c r="Z6" i="269"/>
  <c r="AB12" i="269"/>
  <c r="AB16" i="269"/>
  <c r="M7" i="269"/>
  <c r="U7" i="269"/>
  <c r="AB9" i="268"/>
  <c r="AJ16" i="268"/>
  <c r="Z16" i="268"/>
  <c r="AB16" i="268"/>
  <c r="AJ9" i="268"/>
  <c r="M16" i="268"/>
  <c r="AJ6" i="268"/>
  <c r="Z12" i="268"/>
  <c r="AB12" i="268"/>
  <c r="M7" i="268"/>
  <c r="U7" i="268"/>
  <c r="AB6" i="268"/>
  <c r="U10" i="268"/>
  <c r="AB11" i="268"/>
  <c r="AJ11" i="268"/>
  <c r="Z11" i="268"/>
  <c r="U11" i="268"/>
  <c r="M11" i="268"/>
  <c r="U12" i="268"/>
  <c r="M12" i="268"/>
  <c r="U6" i="268"/>
  <c r="M6" i="268"/>
  <c r="M13" i="268"/>
  <c r="U13" i="268"/>
  <c r="AB13" i="268"/>
  <c r="AJ13" i="268"/>
  <c r="Z13" i="268"/>
  <c r="AJ14" i="268"/>
  <c r="AB14" i="268"/>
  <c r="Z14" i="268"/>
  <c r="AB10" i="268"/>
  <c r="AJ10" i="268"/>
  <c r="AB15" i="268"/>
  <c r="Z15" i="268"/>
  <c r="AJ15" i="268"/>
  <c r="U9" i="268"/>
  <c r="AJ7" i="268"/>
  <c r="AB7" i="268"/>
  <c r="AJ8" i="268"/>
  <c r="AB8" i="268"/>
  <c r="AJ12" i="268"/>
  <c r="AB7" i="266"/>
  <c r="J8" i="268"/>
  <c r="J9" i="268" s="1"/>
  <c r="J10" i="268" s="1"/>
  <c r="J11" i="268" s="1"/>
  <c r="J12" i="268" s="1"/>
  <c r="J13" i="268" s="1"/>
  <c r="J14" i="268" s="1"/>
  <c r="J15" i="268" s="1"/>
  <c r="J16" i="268" s="1"/>
  <c r="M14" i="268"/>
  <c r="U11" i="267"/>
  <c r="M11" i="267"/>
  <c r="M7" i="267"/>
  <c r="U7" i="267"/>
  <c r="M8" i="267"/>
  <c r="U8" i="267"/>
  <c r="AJ15" i="267"/>
  <c r="M19" i="266"/>
  <c r="U15" i="267"/>
  <c r="M15" i="267"/>
  <c r="AJ8" i="267"/>
  <c r="AB8" i="267"/>
  <c r="Z8" i="267"/>
  <c r="U8" i="266"/>
  <c r="M14" i="267"/>
  <c r="Z16" i="267"/>
  <c r="M12" i="267"/>
  <c r="AJ17" i="266"/>
  <c r="AB20" i="267"/>
  <c r="Z20" i="267"/>
  <c r="AJ20" i="267"/>
  <c r="M13" i="267"/>
  <c r="U13" i="267"/>
  <c r="AB6" i="267"/>
  <c r="AJ6" i="267"/>
  <c r="Z6" i="267"/>
  <c r="M18" i="266"/>
  <c r="U18" i="266"/>
  <c r="U6" i="267"/>
  <c r="M6" i="267"/>
  <c r="AJ13" i="267"/>
  <c r="Z13" i="267"/>
  <c r="AB13" i="267"/>
  <c r="U10" i="267"/>
  <c r="M10" i="267"/>
  <c r="AB17" i="267"/>
  <c r="AJ17" i="267"/>
  <c r="Z17" i="267"/>
  <c r="M18" i="267"/>
  <c r="U18" i="267"/>
  <c r="AB15" i="265"/>
  <c r="U20" i="267"/>
  <c r="M20" i="267"/>
  <c r="AB15" i="267"/>
  <c r="AB19" i="267"/>
  <c r="AB10" i="267"/>
  <c r="Z9" i="267"/>
  <c r="AJ10" i="267"/>
  <c r="AJ9" i="267"/>
  <c r="U19" i="267"/>
  <c r="Z12" i="267"/>
  <c r="AJ7" i="267"/>
  <c r="AB7" i="267"/>
  <c r="AB12" i="267"/>
  <c r="AB11" i="267"/>
  <c r="AJ11" i="267"/>
  <c r="J8" i="267"/>
  <c r="J9" i="267" s="1"/>
  <c r="J10" i="267" s="1"/>
  <c r="J11" i="267" s="1"/>
  <c r="J12" i="267" s="1"/>
  <c r="J13" i="267" s="1"/>
  <c r="J14" i="267" s="1"/>
  <c r="J15" i="267" s="1"/>
  <c r="J16" i="267" s="1"/>
  <c r="J17" i="267" s="1"/>
  <c r="J18" i="267" s="1"/>
  <c r="J19" i="267" s="1"/>
  <c r="J20" i="267" s="1"/>
  <c r="Z17" i="266"/>
  <c r="AJ7" i="266"/>
  <c r="M9" i="267"/>
  <c r="U9" i="267"/>
  <c r="Z14" i="267"/>
  <c r="AB14" i="267"/>
  <c r="AJ14" i="267"/>
  <c r="AJ19" i="266"/>
  <c r="AB19" i="266"/>
  <c r="AB18" i="266"/>
  <c r="Z10" i="266"/>
  <c r="AB10" i="266"/>
  <c r="U20" i="266"/>
  <c r="Z20" i="266"/>
  <c r="AJ15" i="265"/>
  <c r="AB20" i="266"/>
  <c r="Z19" i="266"/>
  <c r="Z18" i="266"/>
  <c r="M17" i="266"/>
  <c r="U14" i="266"/>
  <c r="M14" i="266"/>
  <c r="AB14" i="266"/>
  <c r="Z15" i="266"/>
  <c r="M15" i="266"/>
  <c r="AB16" i="266"/>
  <c r="AJ13" i="266"/>
  <c r="AJ15" i="266"/>
  <c r="U13" i="266"/>
  <c r="Z13" i="266"/>
  <c r="Z16" i="266"/>
  <c r="M6" i="266"/>
  <c r="U12" i="266"/>
  <c r="M7" i="266"/>
  <c r="U7" i="266"/>
  <c r="U10" i="266"/>
  <c r="M10" i="266"/>
  <c r="J10" i="266"/>
  <c r="J11" i="266" s="1"/>
  <c r="J12" i="266" s="1"/>
  <c r="J13" i="266" s="1"/>
  <c r="J14" i="266" s="1"/>
  <c r="J15" i="266" s="1"/>
  <c r="J16" i="266" s="1"/>
  <c r="J17" i="266" s="1"/>
  <c r="J18" i="266" s="1"/>
  <c r="J19" i="266" s="1"/>
  <c r="J20" i="266" s="1"/>
  <c r="AJ6" i="266"/>
  <c r="AB6" i="266"/>
  <c r="Z6" i="266"/>
  <c r="M16" i="266"/>
  <c r="U16" i="266"/>
  <c r="AB12" i="266"/>
  <c r="Z12" i="266"/>
  <c r="AJ12" i="266"/>
  <c r="M9" i="266"/>
  <c r="AJ10" i="266"/>
  <c r="AJ9" i="266"/>
  <c r="AB9" i="266"/>
  <c r="Z8" i="266"/>
  <c r="AJ8" i="266"/>
  <c r="AJ14" i="266"/>
  <c r="Z9" i="266"/>
  <c r="U11" i="266"/>
  <c r="Z11" i="266"/>
  <c r="AJ11" i="266"/>
  <c r="AB11" i="266"/>
  <c r="AJ12" i="265"/>
  <c r="Z12" i="265"/>
  <c r="Z9" i="265"/>
  <c r="AB9" i="265"/>
  <c r="U13" i="265"/>
  <c r="M13" i="265"/>
  <c r="U7" i="265"/>
  <c r="M7" i="265"/>
  <c r="AB13" i="265"/>
  <c r="Z13" i="265"/>
  <c r="M14" i="265"/>
  <c r="U11" i="265"/>
  <c r="M11" i="265"/>
  <c r="M8" i="265"/>
  <c r="AB17" i="264"/>
  <c r="AJ10" i="265"/>
  <c r="AB10" i="265"/>
  <c r="Z10" i="265"/>
  <c r="U6" i="265"/>
  <c r="M6" i="265"/>
  <c r="AJ17" i="265"/>
  <c r="Z17" i="265"/>
  <c r="AB17" i="265"/>
  <c r="U10" i="265"/>
  <c r="M10" i="265"/>
  <c r="B4" i="265"/>
  <c r="AB16" i="265"/>
  <c r="AJ16" i="265"/>
  <c r="Z16" i="265"/>
  <c r="Z18" i="265"/>
  <c r="AB18" i="265"/>
  <c r="AJ18" i="265"/>
  <c r="AB12" i="265"/>
  <c r="AJ9" i="265"/>
  <c r="AJ8" i="265"/>
  <c r="AB8" i="265"/>
  <c r="M16" i="265"/>
  <c r="M12" i="265"/>
  <c r="M18" i="265"/>
  <c r="U18" i="265"/>
  <c r="M15" i="265"/>
  <c r="Z14" i="265"/>
  <c r="AJ14" i="265"/>
  <c r="AB14" i="265"/>
  <c r="M9" i="265"/>
  <c r="U9" i="265"/>
  <c r="AJ6" i="265"/>
  <c r="AB18" i="263"/>
  <c r="AB11" i="265"/>
  <c r="AJ11" i="265"/>
  <c r="Z11" i="265"/>
  <c r="Z6" i="265"/>
  <c r="AJ7" i="265"/>
  <c r="AB7" i="265"/>
  <c r="Z7" i="265"/>
  <c r="Z14" i="264"/>
  <c r="U18" i="264"/>
  <c r="M18" i="264"/>
  <c r="M12" i="264"/>
  <c r="U12" i="264"/>
  <c r="Z8" i="264"/>
  <c r="AJ8" i="264"/>
  <c r="AB14" i="264"/>
  <c r="AJ10" i="264"/>
  <c r="M7" i="264"/>
  <c r="M6" i="264"/>
  <c r="U6" i="264"/>
  <c r="AB10" i="264"/>
  <c r="M15" i="264"/>
  <c r="M14" i="264"/>
  <c r="AB11" i="264"/>
  <c r="AJ11" i="264"/>
  <c r="AB18" i="264"/>
  <c r="AJ18" i="264"/>
  <c r="Z18" i="264"/>
  <c r="AB9" i="264"/>
  <c r="Z9" i="264"/>
  <c r="AJ9" i="264"/>
  <c r="Z15" i="263"/>
  <c r="AJ15" i="263"/>
  <c r="AB12" i="264"/>
  <c r="AJ12" i="264"/>
  <c r="Z12" i="264"/>
  <c r="U17" i="264"/>
  <c r="M17" i="264"/>
  <c r="M9" i="264"/>
  <c r="U9" i="264"/>
  <c r="U13" i="264"/>
  <c r="M13" i="264"/>
  <c r="M10" i="264"/>
  <c r="U10" i="264"/>
  <c r="AJ13" i="264"/>
  <c r="Z17" i="264"/>
  <c r="U11" i="264"/>
  <c r="AB8" i="264"/>
  <c r="AB13" i="264"/>
  <c r="Z16" i="264"/>
  <c r="U16" i="264"/>
  <c r="AJ16" i="264"/>
  <c r="U8" i="264"/>
  <c r="AJ6" i="264"/>
  <c r="AJ15" i="264"/>
  <c r="AB15" i="264"/>
  <c r="Z7" i="264"/>
  <c r="AJ7" i="264"/>
  <c r="AB7" i="264"/>
  <c r="AB6" i="264"/>
  <c r="J9" i="264"/>
  <c r="J10" i="264" s="1"/>
  <c r="J11" i="264" s="1"/>
  <c r="J12" i="264" s="1"/>
  <c r="J13" i="264" s="1"/>
  <c r="J14" i="264" s="1"/>
  <c r="J15" i="264" s="1"/>
  <c r="J16" i="264" s="1"/>
  <c r="J17" i="264" s="1"/>
  <c r="J18" i="264" s="1"/>
  <c r="M10" i="263"/>
  <c r="M16" i="263"/>
  <c r="U16" i="263"/>
  <c r="M6" i="263"/>
  <c r="U13" i="263"/>
  <c r="Z7" i="263"/>
  <c r="AB7" i="263"/>
  <c r="AB10" i="263"/>
  <c r="Z10" i="263"/>
  <c r="AJ10" i="263"/>
  <c r="AB11" i="263"/>
  <c r="Z11" i="263"/>
  <c r="AJ11" i="263"/>
  <c r="AJ8" i="263"/>
  <c r="AB8" i="263"/>
  <c r="Z8" i="263"/>
  <c r="M16" i="260"/>
  <c r="AJ17" i="263"/>
  <c r="AB14" i="263"/>
  <c r="AB17" i="263"/>
  <c r="M7" i="263"/>
  <c r="U7" i="263"/>
  <c r="M8" i="263"/>
  <c r="U8" i="263"/>
  <c r="AB12" i="263"/>
  <c r="Z12" i="263"/>
  <c r="AJ12" i="263"/>
  <c r="U11" i="263"/>
  <c r="M11" i="263"/>
  <c r="M17" i="263"/>
  <c r="U17" i="263"/>
  <c r="M14" i="263"/>
  <c r="U14" i="263"/>
  <c r="U18" i="263"/>
  <c r="M18" i="263"/>
  <c r="AJ14" i="263"/>
  <c r="J8" i="263"/>
  <c r="J9" i="263" s="1"/>
  <c r="J10" i="263" s="1"/>
  <c r="J11" i="263" s="1"/>
  <c r="J12" i="263" s="1"/>
  <c r="J13" i="263" s="1"/>
  <c r="J14" i="263" s="1"/>
  <c r="J15" i="263" s="1"/>
  <c r="J16" i="263" s="1"/>
  <c r="J17" i="263" s="1"/>
  <c r="J18" i="263" s="1"/>
  <c r="J19" i="263" s="1"/>
  <c r="AJ19" i="263"/>
  <c r="AB19" i="263"/>
  <c r="Z19" i="263"/>
  <c r="AB15" i="263"/>
  <c r="M12" i="263"/>
  <c r="AJ9" i="263"/>
  <c r="AB9" i="263"/>
  <c r="AJ18" i="263"/>
  <c r="AB16" i="263"/>
  <c r="AJ16" i="263"/>
  <c r="Z16" i="263"/>
  <c r="U15" i="263"/>
  <c r="M9" i="263"/>
  <c r="AB13" i="263"/>
  <c r="AJ13" i="263"/>
  <c r="Z13" i="263"/>
  <c r="AJ6" i="263"/>
  <c r="AB6" i="263"/>
  <c r="AJ7" i="263"/>
  <c r="U12" i="261"/>
  <c r="M12" i="261"/>
  <c r="M6" i="261"/>
  <c r="U6" i="261"/>
  <c r="M9" i="261"/>
  <c r="U9" i="261"/>
  <c r="AB13" i="261"/>
  <c r="U13" i="261"/>
  <c r="M13" i="261"/>
  <c r="AB11" i="261"/>
  <c r="AJ8" i="261"/>
  <c r="U7" i="261"/>
  <c r="M7" i="261"/>
  <c r="U11" i="261"/>
  <c r="M11" i="261"/>
  <c r="AJ11" i="261"/>
  <c r="U14" i="261"/>
  <c r="M15" i="261"/>
  <c r="AJ17" i="261"/>
  <c r="AJ7" i="261"/>
  <c r="AB7" i="261"/>
  <c r="Z7" i="261"/>
  <c r="AB12" i="261"/>
  <c r="AJ12" i="261"/>
  <c r="Z12" i="261"/>
  <c r="AJ14" i="261"/>
  <c r="AB14" i="261"/>
  <c r="Z14" i="261"/>
  <c r="U10" i="260"/>
  <c r="U16" i="261"/>
  <c r="AB8" i="261"/>
  <c r="AJ13" i="261"/>
  <c r="M10" i="261"/>
  <c r="AB10" i="261"/>
  <c r="J8" i="261"/>
  <c r="J9" i="261" s="1"/>
  <c r="J10" i="261" s="1"/>
  <c r="J11" i="261" s="1"/>
  <c r="J12" i="261" s="1"/>
  <c r="J13" i="261" s="1"/>
  <c r="J14" i="261" s="1"/>
  <c r="J15" i="261" s="1"/>
  <c r="J16" i="261" s="1"/>
  <c r="J17" i="261" s="1"/>
  <c r="AJ10" i="261"/>
  <c r="Z15" i="261"/>
  <c r="AJ6" i="261"/>
  <c r="AB6" i="261"/>
  <c r="AB15" i="261"/>
  <c r="AJ16" i="261"/>
  <c r="U8" i="261"/>
  <c r="M8" i="260"/>
  <c r="AB17" i="261"/>
  <c r="AB9" i="261"/>
  <c r="AJ9" i="261"/>
  <c r="Z9" i="261"/>
  <c r="AB16" i="261"/>
  <c r="U17" i="261"/>
  <c r="M17" i="261"/>
  <c r="Z12" i="260"/>
  <c r="M7" i="260"/>
  <c r="U7" i="260"/>
  <c r="Z17" i="260"/>
  <c r="AJ17" i="260"/>
  <c r="AB17" i="260"/>
  <c r="AB9" i="260"/>
  <c r="M12" i="260"/>
  <c r="M17" i="260"/>
  <c r="AJ11" i="259"/>
  <c r="M7" i="259"/>
  <c r="AJ12" i="260"/>
  <c r="M15" i="260"/>
  <c r="AJ16" i="260"/>
  <c r="AJ6" i="260"/>
  <c r="AB6" i="260"/>
  <c r="AB14" i="260"/>
  <c r="U13" i="260"/>
  <c r="M14" i="260"/>
  <c r="AJ8" i="260"/>
  <c r="AB8" i="260"/>
  <c r="Z8" i="260"/>
  <c r="AB7" i="260"/>
  <c r="Z7" i="260"/>
  <c r="AJ7" i="260"/>
  <c r="AB16" i="260"/>
  <c r="U9" i="260"/>
  <c r="AB15" i="260"/>
  <c r="AJ15" i="260"/>
  <c r="Z15" i="260"/>
  <c r="AB11" i="260"/>
  <c r="AJ14" i="260"/>
  <c r="AB13" i="260"/>
  <c r="AJ13" i="260"/>
  <c r="AJ11" i="260"/>
  <c r="Z9" i="260"/>
  <c r="AB10" i="260"/>
  <c r="AJ10" i="260"/>
  <c r="Z10" i="260"/>
  <c r="B4" i="260"/>
  <c r="U11" i="260"/>
  <c r="Z13" i="260"/>
  <c r="U13" i="259"/>
  <c r="U16" i="259"/>
  <c r="AJ14" i="259"/>
  <c r="Z14" i="259"/>
  <c r="U10" i="259"/>
  <c r="AB11" i="258"/>
  <c r="U6" i="259"/>
  <c r="M6" i="259"/>
  <c r="U14" i="259"/>
  <c r="M14" i="259"/>
  <c r="U8" i="259"/>
  <c r="M8" i="259"/>
  <c r="AB12" i="259"/>
  <c r="U12" i="259"/>
  <c r="AJ12" i="259"/>
  <c r="AB15" i="259"/>
  <c r="M17" i="259"/>
  <c r="AJ14" i="258"/>
  <c r="AB16" i="259"/>
  <c r="AJ16" i="259"/>
  <c r="Z16" i="259"/>
  <c r="M15" i="259"/>
  <c r="U15" i="259"/>
  <c r="AB11" i="259"/>
  <c r="AJ6" i="259"/>
  <c r="AB6" i="259"/>
  <c r="M11" i="259"/>
  <c r="U11" i="259"/>
  <c r="U9" i="259"/>
  <c r="M9" i="259"/>
  <c r="AB9" i="259"/>
  <c r="AJ15" i="259"/>
  <c r="AJ18" i="259"/>
  <c r="Z17" i="259"/>
  <c r="AJ17" i="259"/>
  <c r="U9" i="258"/>
  <c r="AB18" i="259"/>
  <c r="AJ7" i="259"/>
  <c r="AB7" i="259"/>
  <c r="AB14" i="259"/>
  <c r="AB13" i="259"/>
  <c r="AJ13" i="259"/>
  <c r="AB10" i="259"/>
  <c r="AJ10" i="259"/>
  <c r="Z10" i="259"/>
  <c r="AJ9" i="259"/>
  <c r="J8" i="259"/>
  <c r="J9" i="259" s="1"/>
  <c r="J10" i="259" s="1"/>
  <c r="J11" i="259" s="1"/>
  <c r="J12" i="259" s="1"/>
  <c r="J13" i="259" s="1"/>
  <c r="J14" i="259" s="1"/>
  <c r="J15" i="259" s="1"/>
  <c r="J16" i="259" s="1"/>
  <c r="J17" i="259" s="1"/>
  <c r="J18" i="259" s="1"/>
  <c r="AJ8" i="259"/>
  <c r="AB8" i="259"/>
  <c r="Z8" i="259"/>
  <c r="M18" i="259"/>
  <c r="U18" i="259"/>
  <c r="M8" i="258"/>
  <c r="Z12" i="258"/>
  <c r="M18" i="258"/>
  <c r="AJ15" i="258"/>
  <c r="Z15" i="258"/>
  <c r="AB15" i="258"/>
  <c r="AJ18" i="258"/>
  <c r="AB18" i="258"/>
  <c r="Z18" i="258"/>
  <c r="U10" i="258"/>
  <c r="M10" i="258"/>
  <c r="Z17" i="258"/>
  <c r="AJ17" i="258"/>
  <c r="AB17" i="258"/>
  <c r="AB14" i="258"/>
  <c r="M9" i="257"/>
  <c r="U17" i="258"/>
  <c r="AJ11" i="258"/>
  <c r="U6" i="258"/>
  <c r="M6" i="258"/>
  <c r="Z16" i="257"/>
  <c r="M13" i="258"/>
  <c r="AB12" i="258"/>
  <c r="AB16" i="258"/>
  <c r="Z7" i="258"/>
  <c r="AB7" i="258"/>
  <c r="AJ7" i="258"/>
  <c r="AJ6" i="258"/>
  <c r="AB6" i="258"/>
  <c r="Z6" i="258"/>
  <c r="M7" i="258"/>
  <c r="U7" i="258"/>
  <c r="M14" i="258"/>
  <c r="U14" i="258"/>
  <c r="M15" i="258"/>
  <c r="M11" i="258"/>
  <c r="U11" i="258"/>
  <c r="AB8" i="258"/>
  <c r="AJ8" i="258"/>
  <c r="U16" i="258"/>
  <c r="M16" i="258"/>
  <c r="U12" i="258"/>
  <c r="AJ13" i="258"/>
  <c r="AB13" i="258"/>
  <c r="AB10" i="258"/>
  <c r="Z10" i="258"/>
  <c r="AJ10" i="258"/>
  <c r="AB9" i="258"/>
  <c r="Z9" i="258"/>
  <c r="AJ16" i="258"/>
  <c r="Z8" i="258"/>
  <c r="J8" i="258"/>
  <c r="J9" i="258" s="1"/>
  <c r="J10" i="258" s="1"/>
  <c r="J11" i="258" s="1"/>
  <c r="J12" i="258" s="1"/>
  <c r="J13" i="258" s="1"/>
  <c r="J14" i="258" s="1"/>
  <c r="J15" i="258" s="1"/>
  <c r="J16" i="258" s="1"/>
  <c r="J17" i="258" s="1"/>
  <c r="J18" i="258" s="1"/>
  <c r="B4" i="258" s="1"/>
  <c r="AJ16" i="257"/>
  <c r="U12" i="257"/>
  <c r="M12" i="257"/>
  <c r="M16" i="257"/>
  <c r="M6" i="257"/>
  <c r="U6" i="257"/>
  <c r="AJ17" i="257"/>
  <c r="Z17" i="257"/>
  <c r="Z6" i="257"/>
  <c r="AB6" i="257"/>
  <c r="Z19" i="256"/>
  <c r="M11" i="257"/>
  <c r="U8" i="257"/>
  <c r="B4" i="257"/>
  <c r="M14" i="257"/>
  <c r="U14" i="257"/>
  <c r="M15" i="257"/>
  <c r="U15" i="257"/>
  <c r="AJ13" i="257"/>
  <c r="AB13" i="257"/>
  <c r="Z13" i="257"/>
  <c r="M7" i="257"/>
  <c r="U7" i="257"/>
  <c r="Z18" i="257"/>
  <c r="AB18" i="257"/>
  <c r="AJ18" i="257"/>
  <c r="AJ11" i="257"/>
  <c r="AB11" i="257"/>
  <c r="Z11" i="257"/>
  <c r="M13" i="257"/>
  <c r="U10" i="257"/>
  <c r="AJ6" i="257"/>
  <c r="Z9" i="257"/>
  <c r="AB14" i="257"/>
  <c r="Z14" i="257"/>
  <c r="AJ14" i="257"/>
  <c r="AJ8" i="257"/>
  <c r="AB8" i="257"/>
  <c r="AB12" i="257"/>
  <c r="AJ12" i="257"/>
  <c r="AB17" i="257"/>
  <c r="U18" i="257"/>
  <c r="M18" i="257"/>
  <c r="AB10" i="257"/>
  <c r="AJ10" i="257"/>
  <c r="Z10" i="257"/>
  <c r="AB9" i="257"/>
  <c r="AB15" i="257"/>
  <c r="Z12" i="257"/>
  <c r="AJ7" i="257"/>
  <c r="AB19" i="257"/>
  <c r="AJ15" i="257"/>
  <c r="AB7" i="257"/>
  <c r="U6" i="256"/>
  <c r="U19" i="256"/>
  <c r="U8" i="256"/>
  <c r="M8" i="256"/>
  <c r="U16" i="256"/>
  <c r="M16" i="256"/>
  <c r="Z17" i="256"/>
  <c r="AB17" i="256"/>
  <c r="AJ17" i="256"/>
  <c r="U18" i="256"/>
  <c r="M18" i="256"/>
  <c r="U15" i="256"/>
  <c r="M15" i="256"/>
  <c r="U17" i="256"/>
  <c r="M17" i="256"/>
  <c r="AJ18" i="256"/>
  <c r="AB18" i="256"/>
  <c r="Z18" i="256"/>
  <c r="M12" i="256"/>
  <c r="U12" i="256"/>
  <c r="AJ16" i="256"/>
  <c r="Z16" i="256"/>
  <c r="AB16" i="256"/>
  <c r="AJ19" i="256"/>
  <c r="AB14" i="253"/>
  <c r="AJ14" i="253"/>
  <c r="M12" i="254"/>
  <c r="M7" i="256"/>
  <c r="U7" i="256"/>
  <c r="M13" i="256"/>
  <c r="U13" i="256"/>
  <c r="Z7" i="256"/>
  <c r="AJ7" i="256"/>
  <c r="M14" i="256"/>
  <c r="U14" i="256"/>
  <c r="U11" i="256"/>
  <c r="M11" i="256"/>
  <c r="AJ9" i="256"/>
  <c r="AB9" i="256"/>
  <c r="Z9" i="256"/>
  <c r="M6" i="255"/>
  <c r="U9" i="256"/>
  <c r="AB11" i="256"/>
  <c r="Z11" i="256"/>
  <c r="M10" i="256"/>
  <c r="U10" i="256"/>
  <c r="AB14" i="256"/>
  <c r="AJ14" i="256"/>
  <c r="Z14" i="256"/>
  <c r="AB12" i="256"/>
  <c r="AJ12" i="256"/>
  <c r="AB10" i="256"/>
  <c r="AB15" i="256"/>
  <c r="Z12" i="256"/>
  <c r="AJ10" i="256"/>
  <c r="AJ15" i="256"/>
  <c r="M14" i="255"/>
  <c r="Z8" i="256"/>
  <c r="AJ8" i="256"/>
  <c r="AB8" i="256"/>
  <c r="J8" i="256"/>
  <c r="J9" i="256" s="1"/>
  <c r="J10" i="256" s="1"/>
  <c r="J11" i="256" s="1"/>
  <c r="J12" i="256" s="1"/>
  <c r="J13" i="256" s="1"/>
  <c r="J14" i="256" s="1"/>
  <c r="J15" i="256" s="1"/>
  <c r="J16" i="256" s="1"/>
  <c r="J17" i="256" s="1"/>
  <c r="J18" i="256" s="1"/>
  <c r="J19" i="256" s="1"/>
  <c r="AJ6" i="256"/>
  <c r="AB6" i="256"/>
  <c r="AJ13" i="256"/>
  <c r="Z13" i="256"/>
  <c r="AJ13" i="255"/>
  <c r="Z13" i="255"/>
  <c r="M11" i="255"/>
  <c r="U13" i="255"/>
  <c r="M13" i="255"/>
  <c r="U8" i="255"/>
  <c r="M8" i="255"/>
  <c r="U15" i="255"/>
  <c r="U12" i="255"/>
  <c r="U16" i="255"/>
  <c r="AJ16" i="255"/>
  <c r="AJ7" i="255"/>
  <c r="M9" i="255"/>
  <c r="M11" i="254"/>
  <c r="AB7" i="255"/>
  <c r="AB13" i="255"/>
  <c r="AJ8" i="255"/>
  <c r="Z8" i="255"/>
  <c r="AB8" i="255"/>
  <c r="Z6" i="254"/>
  <c r="AB6" i="254"/>
  <c r="AJ6" i="254"/>
  <c r="AJ6" i="255"/>
  <c r="AB6" i="255"/>
  <c r="Z6" i="255"/>
  <c r="U15" i="254"/>
  <c r="AJ11" i="255"/>
  <c r="AB11" i="255"/>
  <c r="AJ17" i="255"/>
  <c r="AB17" i="255"/>
  <c r="Z17" i="255"/>
  <c r="AJ14" i="255"/>
  <c r="Z14" i="255"/>
  <c r="AB9" i="255"/>
  <c r="Z9" i="255"/>
  <c r="J8" i="255"/>
  <c r="J9" i="255" s="1"/>
  <c r="J10" i="255" s="1"/>
  <c r="J11" i="255" s="1"/>
  <c r="J12" i="255" s="1"/>
  <c r="J13" i="255" s="1"/>
  <c r="J14" i="255" s="1"/>
  <c r="J15" i="255" s="1"/>
  <c r="J16" i="255" s="1"/>
  <c r="J17" i="255" s="1"/>
  <c r="U7" i="255"/>
  <c r="M7" i="255"/>
  <c r="AJ15" i="255"/>
  <c r="AB15" i="255"/>
  <c r="M17" i="254"/>
  <c r="Z16" i="255"/>
  <c r="AJ10" i="255"/>
  <c r="AB10" i="255"/>
  <c r="Z12" i="255"/>
  <c r="AJ12" i="255"/>
  <c r="AB12" i="255"/>
  <c r="U11" i="251"/>
  <c r="M8" i="254"/>
  <c r="Z15" i="254"/>
  <c r="M10" i="254"/>
  <c r="U10" i="254"/>
  <c r="AB11" i="254"/>
  <c r="AJ11" i="254"/>
  <c r="Z11" i="254"/>
  <c r="U6" i="254"/>
  <c r="M6" i="254"/>
  <c r="AJ14" i="254"/>
  <c r="Z14" i="254"/>
  <c r="AB14" i="254"/>
  <c r="Z16" i="254"/>
  <c r="AJ16" i="254"/>
  <c r="AB16" i="254"/>
  <c r="U13" i="254"/>
  <c r="M13" i="254"/>
  <c r="AJ10" i="254"/>
  <c r="AB10" i="254"/>
  <c r="Z10" i="254"/>
  <c r="U7" i="254"/>
  <c r="M7" i="254"/>
  <c r="Z7" i="254"/>
  <c r="AB7" i="254"/>
  <c r="AJ7" i="254"/>
  <c r="M9" i="254"/>
  <c r="U9" i="254"/>
  <c r="Z12" i="254"/>
  <c r="AJ12" i="254"/>
  <c r="AB12" i="254"/>
  <c r="AB8" i="254"/>
  <c r="AB9" i="254"/>
  <c r="Z9" i="254"/>
  <c r="AJ8" i="254"/>
  <c r="AB13" i="254"/>
  <c r="Z13" i="254"/>
  <c r="AB17" i="254"/>
  <c r="U14" i="254"/>
  <c r="Z17" i="254"/>
  <c r="AB15" i="254"/>
  <c r="M16" i="254"/>
  <c r="B4" i="254"/>
  <c r="AJ15" i="252"/>
  <c r="M10" i="253"/>
  <c r="U6" i="253"/>
  <c r="M13" i="250"/>
  <c r="AJ13" i="253"/>
  <c r="AJ10" i="253"/>
  <c r="Z10" i="253"/>
  <c r="U8" i="253"/>
  <c r="M8" i="253"/>
  <c r="U14" i="253"/>
  <c r="U7" i="253"/>
  <c r="U9" i="253"/>
  <c r="Z22" i="253"/>
  <c r="AB22" i="253"/>
  <c r="AJ22" i="253"/>
  <c r="U21" i="253"/>
  <c r="M15" i="252"/>
  <c r="U19" i="253"/>
  <c r="M12" i="253"/>
  <c r="U11" i="253"/>
  <c r="AB13" i="253"/>
  <c r="AJ19" i="253"/>
  <c r="AB19" i="253"/>
  <c r="Z19" i="253"/>
  <c r="U17" i="253"/>
  <c r="M17" i="253"/>
  <c r="AB11" i="253"/>
  <c r="AJ20" i="253"/>
  <c r="AB20" i="253"/>
  <c r="Z20" i="253"/>
  <c r="AB21" i="253"/>
  <c r="AJ21" i="253"/>
  <c r="AB18" i="253"/>
  <c r="AJ18" i="253"/>
  <c r="AB15" i="253"/>
  <c r="AJ15" i="253"/>
  <c r="AB12" i="253"/>
  <c r="AJ12" i="253"/>
  <c r="Z12" i="253"/>
  <c r="M17" i="252"/>
  <c r="Z11" i="253"/>
  <c r="AJ8" i="253"/>
  <c r="AB8" i="253"/>
  <c r="Z8" i="253"/>
  <c r="AB7" i="253"/>
  <c r="AJ7" i="253"/>
  <c r="U16" i="253"/>
  <c r="M16" i="253"/>
  <c r="U13" i="253"/>
  <c r="M13" i="253"/>
  <c r="AB9" i="253"/>
  <c r="AJ9" i="253"/>
  <c r="Z9" i="253"/>
  <c r="J8" i="253"/>
  <c r="J9" i="253" s="1"/>
  <c r="J10" i="253" s="1"/>
  <c r="J11" i="253" s="1"/>
  <c r="J12" i="253" s="1"/>
  <c r="J13" i="253" s="1"/>
  <c r="J14" i="253" s="1"/>
  <c r="J15" i="253" s="1"/>
  <c r="J16" i="253" s="1"/>
  <c r="J17" i="253" s="1"/>
  <c r="J18" i="253" s="1"/>
  <c r="J19" i="253" s="1"/>
  <c r="J20" i="253" s="1"/>
  <c r="J21" i="253" s="1"/>
  <c r="J22" i="253" s="1"/>
  <c r="AB6" i="253"/>
  <c r="AJ6" i="253"/>
  <c r="AJ17" i="252"/>
  <c r="AB17" i="252"/>
  <c r="Z17" i="252"/>
  <c r="U9" i="251"/>
  <c r="U10" i="252"/>
  <c r="U9" i="252"/>
  <c r="AB8" i="252"/>
  <c r="Z12" i="252"/>
  <c r="AJ12" i="252"/>
  <c r="AB12" i="252"/>
  <c r="M13" i="252"/>
  <c r="U13" i="252"/>
  <c r="AJ14" i="252"/>
  <c r="AB16" i="252"/>
  <c r="U16" i="252"/>
  <c r="AJ11" i="252"/>
  <c r="AJ8" i="252"/>
  <c r="AJ16" i="252"/>
  <c r="AJ9" i="251"/>
  <c r="M8" i="251"/>
  <c r="Z6" i="252"/>
  <c r="AB6" i="252"/>
  <c r="AJ6" i="252"/>
  <c r="Z15" i="252"/>
  <c r="AB11" i="252"/>
  <c r="Z7" i="252"/>
  <c r="M6" i="252"/>
  <c r="M12" i="252"/>
  <c r="U12" i="252"/>
  <c r="AB14" i="252"/>
  <c r="AB13" i="252"/>
  <c r="AJ13" i="252"/>
  <c r="AB10" i="252"/>
  <c r="AJ10" i="252"/>
  <c r="Z10" i="252"/>
  <c r="U7" i="252"/>
  <c r="M7" i="252"/>
  <c r="M14" i="252"/>
  <c r="J8" i="252"/>
  <c r="J9" i="252" s="1"/>
  <c r="J10" i="252" s="1"/>
  <c r="J11" i="252" s="1"/>
  <c r="J12" i="252" s="1"/>
  <c r="J13" i="252" s="1"/>
  <c r="J14" i="252" s="1"/>
  <c r="J15" i="252" s="1"/>
  <c r="J16" i="252" s="1"/>
  <c r="J17" i="252" s="1"/>
  <c r="Z9" i="252"/>
  <c r="AJ9" i="252"/>
  <c r="U8" i="252"/>
  <c r="AJ7" i="252"/>
  <c r="M11" i="252"/>
  <c r="U11" i="252"/>
  <c r="U8" i="250"/>
  <c r="U12" i="251"/>
  <c r="AB15" i="251"/>
  <c r="Z15" i="251"/>
  <c r="AJ15" i="251"/>
  <c r="U20" i="251"/>
  <c r="M15" i="251"/>
  <c r="AJ14" i="251"/>
  <c r="AJ20" i="251"/>
  <c r="AJ17" i="251"/>
  <c r="AB14" i="251"/>
  <c r="AB20" i="251"/>
  <c r="AB10" i="251"/>
  <c r="Z10" i="251"/>
  <c r="AJ10" i="251"/>
  <c r="AB7" i="251"/>
  <c r="AJ7" i="251"/>
  <c r="Z7" i="251"/>
  <c r="Z18" i="251"/>
  <c r="AJ18" i="251"/>
  <c r="AB18" i="251"/>
  <c r="M6" i="251"/>
  <c r="U6" i="251"/>
  <c r="M7" i="251"/>
  <c r="U7" i="251"/>
  <c r="Z6" i="251"/>
  <c r="AB6" i="251"/>
  <c r="AJ6" i="251"/>
  <c r="AB19" i="251"/>
  <c r="AJ19" i="251"/>
  <c r="U13" i="251"/>
  <c r="M13" i="251"/>
  <c r="AB8" i="251"/>
  <c r="AJ8" i="251"/>
  <c r="M17" i="250"/>
  <c r="B4" i="251"/>
  <c r="M18" i="251"/>
  <c r="U20" i="250"/>
  <c r="U14" i="251"/>
  <c r="M14" i="251"/>
  <c r="AJ16" i="251"/>
  <c r="AB12" i="251"/>
  <c r="AJ12" i="251"/>
  <c r="Z12" i="251"/>
  <c r="Z9" i="251"/>
  <c r="U16" i="251"/>
  <c r="M16" i="251"/>
  <c r="U17" i="251"/>
  <c r="M17" i="251"/>
  <c r="AB16" i="251"/>
  <c r="AJ13" i="251"/>
  <c r="AJ11" i="251"/>
  <c r="Z11" i="251"/>
  <c r="AB13" i="251"/>
  <c r="AB11" i="251"/>
  <c r="AJ15" i="250"/>
  <c r="Z15" i="250"/>
  <c r="AB15" i="250"/>
  <c r="M6" i="250"/>
  <c r="U6" i="250"/>
  <c r="AJ11" i="250"/>
  <c r="M16" i="249"/>
  <c r="M7" i="250"/>
  <c r="U7" i="250"/>
  <c r="AJ16" i="250"/>
  <c r="AB16" i="250"/>
  <c r="Z16" i="250"/>
  <c r="AJ20" i="250"/>
  <c r="U10" i="250"/>
  <c r="AJ23" i="250"/>
  <c r="Z12" i="250"/>
  <c r="AJ14" i="250"/>
  <c r="AB14" i="250"/>
  <c r="M23" i="250"/>
  <c r="Z20" i="250"/>
  <c r="AB11" i="250"/>
  <c r="AJ10" i="250"/>
  <c r="AB10" i="250"/>
  <c r="Z10" i="250"/>
  <c r="Z22" i="250"/>
  <c r="AB22" i="250"/>
  <c r="AJ22" i="250"/>
  <c r="AJ8" i="250"/>
  <c r="AB8" i="250"/>
  <c r="Z8" i="250"/>
  <c r="M14" i="250"/>
  <c r="U14" i="250"/>
  <c r="Z19" i="250"/>
  <c r="AB19" i="250"/>
  <c r="U22" i="250"/>
  <c r="M22" i="250"/>
  <c r="AJ7" i="250"/>
  <c r="AB7" i="250"/>
  <c r="M16" i="250"/>
  <c r="M15" i="250"/>
  <c r="M11" i="250"/>
  <c r="M9" i="250"/>
  <c r="AB9" i="250"/>
  <c r="U18" i="250"/>
  <c r="M18" i="250"/>
  <c r="AJ6" i="250"/>
  <c r="AB6" i="250"/>
  <c r="AJ18" i="250"/>
  <c r="AB13" i="250"/>
  <c r="AJ13" i="250"/>
  <c r="J8" i="250"/>
  <c r="J9" i="250" s="1"/>
  <c r="J10" i="250" s="1"/>
  <c r="J11" i="250" s="1"/>
  <c r="J12" i="250" s="1"/>
  <c r="J13" i="250" s="1"/>
  <c r="J14" i="250" s="1"/>
  <c r="J15" i="250" s="1"/>
  <c r="J16" i="250" s="1"/>
  <c r="J17" i="250" s="1"/>
  <c r="J18" i="250" s="1"/>
  <c r="J19" i="250" s="1"/>
  <c r="J20" i="250" s="1"/>
  <c r="J21" i="250" s="1"/>
  <c r="J22" i="250" s="1"/>
  <c r="J23" i="250" s="1"/>
  <c r="AJ9" i="250"/>
  <c r="AB18" i="250"/>
  <c r="Z17" i="250"/>
  <c r="AJ17" i="250"/>
  <c r="AB17" i="250"/>
  <c r="AB12" i="250"/>
  <c r="M19" i="250"/>
  <c r="M12" i="250"/>
  <c r="Z21" i="250"/>
  <c r="AJ21" i="250"/>
  <c r="AB21" i="250"/>
  <c r="Z6" i="250"/>
  <c r="U22" i="249"/>
  <c r="U8" i="249"/>
  <c r="M23" i="249"/>
  <c r="AJ17" i="249"/>
  <c r="AB23" i="249"/>
  <c r="Z23" i="249"/>
  <c r="U19" i="249"/>
  <c r="M19" i="249"/>
  <c r="AB19" i="249"/>
  <c r="Z19" i="249"/>
  <c r="U6" i="249"/>
  <c r="U20" i="249"/>
  <c r="Z20" i="249"/>
  <c r="AB20" i="249"/>
  <c r="AJ20" i="249"/>
  <c r="AB22" i="249"/>
  <c r="AJ22" i="249"/>
  <c r="Z22" i="249"/>
  <c r="AJ21" i="249"/>
  <c r="AB21" i="249"/>
  <c r="AJ23" i="249"/>
  <c r="M12" i="249"/>
  <c r="U21" i="249"/>
  <c r="AB17" i="249"/>
  <c r="AJ19" i="249"/>
  <c r="AJ12" i="248"/>
  <c r="AB12" i="248"/>
  <c r="M11" i="249"/>
  <c r="U11" i="249"/>
  <c r="Z18" i="249"/>
  <c r="AJ18" i="249"/>
  <c r="AB18" i="249"/>
  <c r="M7" i="249"/>
  <c r="U7" i="249"/>
  <c r="U18" i="249"/>
  <c r="M21" i="247"/>
  <c r="AB13" i="248"/>
  <c r="U10" i="249"/>
  <c r="M13" i="249"/>
  <c r="M14" i="249"/>
  <c r="U14" i="249"/>
  <c r="AJ7" i="249"/>
  <c r="AB7" i="249"/>
  <c r="Z10" i="249"/>
  <c r="U17" i="249"/>
  <c r="M17" i="249"/>
  <c r="AB9" i="249"/>
  <c r="Z9" i="249"/>
  <c r="AJ9" i="249"/>
  <c r="AB13" i="249"/>
  <c r="AJ13" i="249"/>
  <c r="AJ11" i="249"/>
  <c r="AB11" i="249"/>
  <c r="U9" i="249"/>
  <c r="M9" i="249"/>
  <c r="AB10" i="249"/>
  <c r="AB16" i="249"/>
  <c r="AJ16" i="249"/>
  <c r="Z16" i="249"/>
  <c r="AJ6" i="249"/>
  <c r="AB6" i="249"/>
  <c r="AJ14" i="249"/>
  <c r="AJ12" i="249"/>
  <c r="Z12" i="249"/>
  <c r="AB15" i="249"/>
  <c r="AJ8" i="249"/>
  <c r="AB8" i="249"/>
  <c r="Z8" i="249"/>
  <c r="Z15" i="249"/>
  <c r="AB14" i="249"/>
  <c r="U15" i="249"/>
  <c r="B4" i="249"/>
  <c r="M11" i="248"/>
  <c r="Z15" i="248"/>
  <c r="AJ13" i="248"/>
  <c r="Z6" i="248"/>
  <c r="U16" i="248"/>
  <c r="AB8" i="248"/>
  <c r="AJ8" i="248"/>
  <c r="Z8" i="248"/>
  <c r="U6" i="248"/>
  <c r="M6" i="248"/>
  <c r="Z18" i="248"/>
  <c r="AJ18" i="248"/>
  <c r="AB18" i="248"/>
  <c r="Z16" i="248"/>
  <c r="AJ16" i="248"/>
  <c r="AB16" i="248"/>
  <c r="U14" i="248"/>
  <c r="M14" i="248"/>
  <c r="AB15" i="248"/>
  <c r="M15" i="248"/>
  <c r="M10" i="248"/>
  <c r="M8" i="248"/>
  <c r="U8" i="248"/>
  <c r="M17" i="248"/>
  <c r="U17" i="248"/>
  <c r="U9" i="248"/>
  <c r="M18" i="248"/>
  <c r="U21" i="248"/>
  <c r="Z20" i="248"/>
  <c r="AB20" i="248"/>
  <c r="AJ20" i="248"/>
  <c r="AB9" i="248"/>
  <c r="AJ9" i="248"/>
  <c r="Z9" i="248"/>
  <c r="AB7" i="248"/>
  <c r="Z7" i="248"/>
  <c r="AJ7" i="248"/>
  <c r="U7" i="248"/>
  <c r="M7" i="248"/>
  <c r="AJ21" i="248"/>
  <c r="AB21" i="248"/>
  <c r="Z21" i="248"/>
  <c r="Z19" i="248"/>
  <c r="AB19" i="248"/>
  <c r="AJ19" i="248"/>
  <c r="AJ14" i="248"/>
  <c r="AB14" i="248"/>
  <c r="AB11" i="248"/>
  <c r="AJ11" i="248"/>
  <c r="Z11" i="248"/>
  <c r="Z10" i="248"/>
  <c r="AJ10" i="248"/>
  <c r="U13" i="248"/>
  <c r="AJ6" i="248"/>
  <c r="AJ17" i="248"/>
  <c r="AB17" i="248"/>
  <c r="B4" i="248"/>
  <c r="M12" i="248"/>
  <c r="U12" i="248"/>
  <c r="AB10" i="248"/>
  <c r="AJ8" i="247"/>
  <c r="U20" i="247"/>
  <c r="AB8" i="247"/>
  <c r="M12" i="247"/>
  <c r="AJ20" i="247"/>
  <c r="AJ21" i="247"/>
  <c r="AB21" i="247"/>
  <c r="Z21" i="247"/>
  <c r="M19" i="247"/>
  <c r="U19" i="247"/>
  <c r="Z22" i="247"/>
  <c r="AB22" i="247"/>
  <c r="AJ22" i="247"/>
  <c r="U10" i="247"/>
  <c r="Z20" i="247"/>
  <c r="M22" i="247"/>
  <c r="AB15" i="247"/>
  <c r="U17" i="247"/>
  <c r="M17" i="247"/>
  <c r="U7" i="247"/>
  <c r="M7" i="247"/>
  <c r="M14" i="247"/>
  <c r="U14" i="247"/>
  <c r="Z13" i="247"/>
  <c r="U11" i="247"/>
  <c r="Z11" i="247"/>
  <c r="AB18" i="247"/>
  <c r="Z18" i="247"/>
  <c r="AJ18" i="247"/>
  <c r="M16" i="247"/>
  <c r="U16" i="247"/>
  <c r="M6" i="247"/>
  <c r="U6" i="247"/>
  <c r="AB6" i="247"/>
  <c r="Z6" i="247"/>
  <c r="AJ6" i="247"/>
  <c r="Z16" i="247"/>
  <c r="AB16" i="247"/>
  <c r="AJ16" i="247"/>
  <c r="M13" i="247"/>
  <c r="Z19" i="247"/>
  <c r="J8" i="247"/>
  <c r="J9" i="247" s="1"/>
  <c r="J10" i="247" s="1"/>
  <c r="J11" i="247" s="1"/>
  <c r="J12" i="247" s="1"/>
  <c r="J13" i="247" s="1"/>
  <c r="J14" i="247" s="1"/>
  <c r="J15" i="247" s="1"/>
  <c r="J16" i="247" s="1"/>
  <c r="J17" i="247" s="1"/>
  <c r="J18" i="247" s="1"/>
  <c r="J19" i="247" s="1"/>
  <c r="J20" i="247" s="1"/>
  <c r="J21" i="247" s="1"/>
  <c r="J22" i="247" s="1"/>
  <c r="AJ7" i="247"/>
  <c r="AB7" i="247"/>
  <c r="AB14" i="247"/>
  <c r="AJ14" i="247"/>
  <c r="Z14" i="247"/>
  <c r="AJ15" i="247"/>
  <c r="U8" i="247"/>
  <c r="U9" i="247"/>
  <c r="AB19" i="247"/>
  <c r="AB18" i="246"/>
  <c r="U18" i="247"/>
  <c r="M18" i="247"/>
  <c r="Z10" i="247"/>
  <c r="AJ10" i="247"/>
  <c r="AB10" i="247"/>
  <c r="AB13" i="247"/>
  <c r="AB11" i="247"/>
  <c r="AJ9" i="247"/>
  <c r="AB9" i="247"/>
  <c r="U15" i="247"/>
  <c r="AJ17" i="247"/>
  <c r="AB17" i="247"/>
  <c r="Z17" i="247"/>
  <c r="AB12" i="247"/>
  <c r="AJ12" i="247"/>
  <c r="Z12" i="247"/>
  <c r="Z7" i="247"/>
  <c r="AJ18" i="246"/>
  <c r="Z17" i="246"/>
  <c r="AB17" i="246"/>
  <c r="AJ17" i="246"/>
  <c r="AJ19" i="246"/>
  <c r="AB19" i="246"/>
  <c r="Z19" i="246"/>
  <c r="Z13" i="246"/>
  <c r="AJ13" i="246"/>
  <c r="AJ16" i="246"/>
  <c r="AB16" i="246"/>
  <c r="Z16" i="246"/>
  <c r="M8" i="246"/>
  <c r="M16" i="246"/>
  <c r="M18" i="246"/>
  <c r="U17" i="246"/>
  <c r="M12" i="246"/>
  <c r="M19" i="246"/>
  <c r="M6" i="246"/>
  <c r="U6" i="246"/>
  <c r="AB13" i="246"/>
  <c r="AB10" i="246"/>
  <c r="J9" i="246"/>
  <c r="J10" i="246" s="1"/>
  <c r="J11" i="246" s="1"/>
  <c r="J12" i="246" s="1"/>
  <c r="J13" i="246" s="1"/>
  <c r="J14" i="246" s="1"/>
  <c r="J15" i="246" s="1"/>
  <c r="J16" i="246" s="1"/>
  <c r="J17" i="246" s="1"/>
  <c r="J18" i="246" s="1"/>
  <c r="J19" i="246" s="1"/>
  <c r="M14" i="246"/>
  <c r="M7" i="246"/>
  <c r="U7" i="246"/>
  <c r="AB15" i="246"/>
  <c r="AJ15" i="246"/>
  <c r="Z15" i="246"/>
  <c r="AB8" i="246"/>
  <c r="Z8" i="246"/>
  <c r="AJ8" i="246"/>
  <c r="U13" i="246"/>
  <c r="M13" i="246"/>
  <c r="U10" i="246"/>
  <c r="M10" i="246"/>
  <c r="U9" i="246"/>
  <c r="M9" i="246"/>
  <c r="M15" i="246"/>
  <c r="U15" i="246"/>
  <c r="AJ10" i="246"/>
  <c r="Z11" i="246"/>
  <c r="AJ11" i="246"/>
  <c r="AB14" i="246"/>
  <c r="Z14" i="246"/>
  <c r="AJ14" i="246"/>
  <c r="AJ7" i="246"/>
  <c r="AB7" i="246"/>
  <c r="AB12" i="246"/>
  <c r="AJ12" i="246"/>
  <c r="AJ9" i="246"/>
  <c r="AB9" i="246"/>
  <c r="U11" i="246"/>
  <c r="AJ6" i="246"/>
  <c r="Z6" i="246"/>
  <c r="Z11" i="245"/>
  <c r="AJ11" i="245"/>
  <c r="AB8" i="245"/>
  <c r="U14" i="244"/>
  <c r="M7" i="245"/>
  <c r="U7" i="245"/>
  <c r="Z12" i="245"/>
  <c r="AB16" i="245"/>
  <c r="AJ16" i="245"/>
  <c r="AB9" i="245"/>
  <c r="Z9" i="245"/>
  <c r="Z13" i="245"/>
  <c r="AJ20" i="245"/>
  <c r="AJ12" i="245"/>
  <c r="Z15" i="245"/>
  <c r="AJ13" i="245"/>
  <c r="M14" i="245"/>
  <c r="AJ8" i="245"/>
  <c r="AJ6" i="245"/>
  <c r="Z6" i="245"/>
  <c r="AB6" i="245"/>
  <c r="Z10" i="245"/>
  <c r="AJ10" i="245"/>
  <c r="AB10" i="245"/>
  <c r="U13" i="245"/>
  <c r="M13" i="245"/>
  <c r="M6" i="245"/>
  <c r="U6" i="245"/>
  <c r="M15" i="245"/>
  <c r="U15" i="245"/>
  <c r="AJ9" i="245"/>
  <c r="AJ7" i="245"/>
  <c r="AB7" i="245"/>
  <c r="M9" i="245"/>
  <c r="U11" i="245"/>
  <c r="AJ19" i="245"/>
  <c r="AB19" i="245"/>
  <c r="Z19" i="245"/>
  <c r="J8" i="245"/>
  <c r="J9" i="245" s="1"/>
  <c r="J10" i="245" s="1"/>
  <c r="J11" i="245" s="1"/>
  <c r="J12" i="245" s="1"/>
  <c r="J13" i="245" s="1"/>
  <c r="J14" i="245" s="1"/>
  <c r="J15" i="245" s="1"/>
  <c r="J16" i="245" s="1"/>
  <c r="J17" i="245" s="1"/>
  <c r="J18" i="245" s="1"/>
  <c r="J19" i="245" s="1"/>
  <c r="J20" i="245" s="1"/>
  <c r="AB15" i="245"/>
  <c r="M12" i="245"/>
  <c r="AB17" i="245"/>
  <c r="Z17" i="245"/>
  <c r="AJ17" i="245"/>
  <c r="Z16" i="245"/>
  <c r="M10" i="245"/>
  <c r="U20" i="245"/>
  <c r="M20" i="245"/>
  <c r="Z14" i="245"/>
  <c r="AJ14" i="245"/>
  <c r="AB14" i="245"/>
  <c r="Z6" i="244"/>
  <c r="AJ6" i="244"/>
  <c r="AB6" i="244"/>
  <c r="M20" i="244"/>
  <c r="AJ10" i="244"/>
  <c r="AJ20" i="244"/>
  <c r="AB20" i="244"/>
  <c r="Z20" i="244"/>
  <c r="M9" i="244"/>
  <c r="U9" i="244"/>
  <c r="M8" i="244"/>
  <c r="U8" i="244"/>
  <c r="U18" i="244"/>
  <c r="AB18" i="244"/>
  <c r="M12" i="244"/>
  <c r="M7" i="244"/>
  <c r="U7" i="244"/>
  <c r="AB11" i="244"/>
  <c r="Z10" i="244"/>
  <c r="U17" i="244"/>
  <c r="U15" i="244"/>
  <c r="AJ19" i="244"/>
  <c r="U18" i="243"/>
  <c r="AJ18" i="244"/>
  <c r="Z7" i="244"/>
  <c r="AB7" i="244"/>
  <c r="AJ7" i="244"/>
  <c r="AB16" i="244"/>
  <c r="AJ16" i="244"/>
  <c r="Z16" i="244"/>
  <c r="Z9" i="244"/>
  <c r="AB9" i="244"/>
  <c r="AJ9" i="244"/>
  <c r="B4" i="244"/>
  <c r="Z13" i="244"/>
  <c r="AB13" i="244"/>
  <c r="AJ13" i="244"/>
  <c r="U11" i="244"/>
  <c r="M11" i="244"/>
  <c r="M19" i="244"/>
  <c r="AJ14" i="244"/>
  <c r="Z14" i="244"/>
  <c r="AB14" i="244"/>
  <c r="AJ17" i="244"/>
  <c r="M16" i="244"/>
  <c r="U16" i="244"/>
  <c r="AB17" i="244"/>
  <c r="Z11" i="244"/>
  <c r="AB12" i="244"/>
  <c r="AJ12" i="244"/>
  <c r="Z12" i="244"/>
  <c r="AB8" i="244"/>
  <c r="AJ8" i="244"/>
  <c r="U13" i="244"/>
  <c r="M13" i="244"/>
  <c r="Z19" i="244"/>
  <c r="U9" i="243"/>
  <c r="Z15" i="244"/>
  <c r="AJ15" i="244"/>
  <c r="AB15" i="244"/>
  <c r="U6" i="244"/>
  <c r="M6" i="244"/>
  <c r="AJ13" i="242"/>
  <c r="M19" i="243"/>
  <c r="AJ14" i="243"/>
  <c r="AB14" i="243"/>
  <c r="Z14" i="243"/>
  <c r="U12" i="243"/>
  <c r="M12" i="243"/>
  <c r="Z17" i="243"/>
  <c r="AJ17" i="243"/>
  <c r="AB17" i="243"/>
  <c r="M10" i="243"/>
  <c r="U10" i="243"/>
  <c r="U6" i="243"/>
  <c r="M6" i="243"/>
  <c r="Z16" i="243"/>
  <c r="AB16" i="243"/>
  <c r="AJ16" i="243"/>
  <c r="Z19" i="243"/>
  <c r="M15" i="243"/>
  <c r="M13" i="243"/>
  <c r="U21" i="243"/>
  <c r="AJ7" i="243"/>
  <c r="Z15" i="242"/>
  <c r="AB13" i="242"/>
  <c r="Z18" i="243"/>
  <c r="AB7" i="243"/>
  <c r="U17" i="243"/>
  <c r="M17" i="243"/>
  <c r="M8" i="243"/>
  <c r="U8" i="243"/>
  <c r="U11" i="243"/>
  <c r="M11" i="243"/>
  <c r="AB15" i="243"/>
  <c r="AJ15" i="243"/>
  <c r="Z15" i="243"/>
  <c r="AB13" i="243"/>
  <c r="Z13" i="243"/>
  <c r="AJ13" i="243"/>
  <c r="AB9" i="243"/>
  <c r="AJ6" i="243"/>
  <c r="AB6" i="243"/>
  <c r="Z11" i="243"/>
  <c r="AB18" i="243"/>
  <c r="U16" i="243"/>
  <c r="M16" i="243"/>
  <c r="AB21" i="243"/>
  <c r="AJ21" i="243"/>
  <c r="Z21" i="243"/>
  <c r="Z20" i="242"/>
  <c r="Z9" i="243"/>
  <c r="AJ8" i="243"/>
  <c r="M14" i="243"/>
  <c r="AB8" i="243"/>
  <c r="AB15" i="242"/>
  <c r="AB12" i="243"/>
  <c r="AJ12" i="243"/>
  <c r="Z12" i="243"/>
  <c r="AB11" i="243"/>
  <c r="AB10" i="243"/>
  <c r="AJ10" i="243"/>
  <c r="Z10" i="243"/>
  <c r="AB19" i="243"/>
  <c r="U7" i="243"/>
  <c r="M7" i="243"/>
  <c r="B4" i="243"/>
  <c r="U21" i="242"/>
  <c r="AJ17" i="242"/>
  <c r="AB20" i="242"/>
  <c r="U16" i="242"/>
  <c r="M7" i="242"/>
  <c r="U19" i="242"/>
  <c r="Z21" i="242"/>
  <c r="AB21" i="242"/>
  <c r="AJ21" i="242"/>
  <c r="AJ19" i="242"/>
  <c r="Z19" i="242"/>
  <c r="AB19" i="242"/>
  <c r="U6" i="242"/>
  <c r="M6" i="242"/>
  <c r="U17" i="242"/>
  <c r="M17" i="242"/>
  <c r="M11" i="242"/>
  <c r="U11" i="242"/>
  <c r="AJ18" i="242"/>
  <c r="Z18" i="242"/>
  <c r="Z16" i="242"/>
  <c r="Z17" i="242"/>
  <c r="AJ8" i="242"/>
  <c r="U20" i="242"/>
  <c r="U18" i="242"/>
  <c r="U13" i="242"/>
  <c r="AB8" i="242"/>
  <c r="AB16" i="242"/>
  <c r="M15" i="242"/>
  <c r="U14" i="242"/>
  <c r="M8" i="241"/>
  <c r="U10" i="242"/>
  <c r="Z9" i="242"/>
  <c r="AJ9" i="242"/>
  <c r="AB9" i="242"/>
  <c r="AJ13" i="241"/>
  <c r="M12" i="242"/>
  <c r="U9" i="242"/>
  <c r="AB11" i="242"/>
  <c r="Z11" i="242"/>
  <c r="AJ11" i="242"/>
  <c r="M8" i="242"/>
  <c r="U8" i="242"/>
  <c r="AJ12" i="242"/>
  <c r="Z12" i="242"/>
  <c r="AJ6" i="242"/>
  <c r="AB6" i="242"/>
  <c r="AB10" i="242"/>
  <c r="AJ10" i="242"/>
  <c r="Z10" i="242"/>
  <c r="Z7" i="242"/>
  <c r="AJ7" i="242"/>
  <c r="AB7" i="242"/>
  <c r="AB14" i="242"/>
  <c r="AJ14" i="242"/>
  <c r="Z14" i="242"/>
  <c r="AB12" i="242"/>
  <c r="B4" i="242"/>
  <c r="U12" i="241"/>
  <c r="AB13" i="241"/>
  <c r="Z11" i="239"/>
  <c r="U7" i="241"/>
  <c r="M7" i="241"/>
  <c r="U10" i="241"/>
  <c r="M10" i="241"/>
  <c r="M9" i="241"/>
  <c r="AB15" i="241"/>
  <c r="AB12" i="241"/>
  <c r="AJ12" i="241"/>
  <c r="Z12" i="241"/>
  <c r="AB9" i="241"/>
  <c r="Z9" i="241"/>
  <c r="AJ9" i="241"/>
  <c r="M13" i="241"/>
  <c r="U13" i="241"/>
  <c r="AB8" i="241"/>
  <c r="AJ8" i="241"/>
  <c r="Z8" i="241"/>
  <c r="AJ7" i="241"/>
  <c r="Z7" i="241"/>
  <c r="AB7" i="241"/>
  <c r="Z8" i="240"/>
  <c r="AB8" i="240"/>
  <c r="AJ11" i="241"/>
  <c r="Z11" i="241"/>
  <c r="AB11" i="241"/>
  <c r="M11" i="241"/>
  <c r="U11" i="241"/>
  <c r="U14" i="241"/>
  <c r="M14" i="241"/>
  <c r="Z10" i="241"/>
  <c r="AJ11" i="238"/>
  <c r="Z6" i="241"/>
  <c r="AB10" i="241"/>
  <c r="AJ6" i="241"/>
  <c r="U6" i="241"/>
  <c r="M6" i="241"/>
  <c r="AJ14" i="241"/>
  <c r="AB14" i="241"/>
  <c r="B4" i="241"/>
  <c r="AJ8" i="240"/>
  <c r="U9" i="240"/>
  <c r="M9" i="240"/>
  <c r="Z7" i="240"/>
  <c r="AB7" i="240"/>
  <c r="M12" i="240"/>
  <c r="U12" i="240"/>
  <c r="M8" i="240"/>
  <c r="AB15" i="240"/>
  <c r="M20" i="238"/>
  <c r="U14" i="239"/>
  <c r="M11" i="239"/>
  <c r="U16" i="239"/>
  <c r="U6" i="240"/>
  <c r="M6" i="240"/>
  <c r="AB10" i="240"/>
  <c r="AJ7" i="240"/>
  <c r="AB14" i="240"/>
  <c r="M13" i="240"/>
  <c r="U14" i="240"/>
  <c r="AB9" i="240"/>
  <c r="Z16" i="240"/>
  <c r="AB16" i="240"/>
  <c r="AJ16" i="240"/>
  <c r="AB12" i="240"/>
  <c r="AJ12" i="240"/>
  <c r="Z12" i="240"/>
  <c r="U15" i="240"/>
  <c r="M15" i="240"/>
  <c r="AB6" i="240"/>
  <c r="Z6" i="240"/>
  <c r="AJ6" i="240"/>
  <c r="U11" i="240"/>
  <c r="U16" i="240"/>
  <c r="AB13" i="240"/>
  <c r="Z15" i="240"/>
  <c r="M10" i="240"/>
  <c r="U10" i="240"/>
  <c r="AB11" i="240"/>
  <c r="AJ13" i="240"/>
  <c r="J8" i="240"/>
  <c r="J9" i="240" s="1"/>
  <c r="J10" i="240" s="1"/>
  <c r="J11" i="240" s="1"/>
  <c r="J12" i="240" s="1"/>
  <c r="J13" i="240" s="1"/>
  <c r="J14" i="240" s="1"/>
  <c r="J15" i="240" s="1"/>
  <c r="J16" i="240" s="1"/>
  <c r="Z11" i="240"/>
  <c r="AJ9" i="240"/>
  <c r="U7" i="240"/>
  <c r="M7" i="240"/>
  <c r="Z14" i="240"/>
  <c r="AJ10" i="240"/>
  <c r="M9" i="239"/>
  <c r="M8" i="239"/>
  <c r="U8" i="239"/>
  <c r="Z13" i="239"/>
  <c r="AJ13" i="239"/>
  <c r="M12" i="239"/>
  <c r="U12" i="239"/>
  <c r="M13" i="239"/>
  <c r="AJ16" i="239"/>
  <c r="AJ11" i="239"/>
  <c r="AJ7" i="239"/>
  <c r="M10" i="239"/>
  <c r="U10" i="239"/>
  <c r="Z11" i="238"/>
  <c r="AB16" i="239"/>
  <c r="Z6" i="239"/>
  <c r="AJ6" i="239"/>
  <c r="AB6" i="239"/>
  <c r="M7" i="239"/>
  <c r="U7" i="239"/>
  <c r="AJ15" i="239"/>
  <c r="AB15" i="239"/>
  <c r="Z15" i="239"/>
  <c r="M15" i="239"/>
  <c r="AB14" i="239"/>
  <c r="Z14" i="239"/>
  <c r="AJ14" i="239"/>
  <c r="AB10" i="239"/>
  <c r="Z10" i="239"/>
  <c r="AJ8" i="239"/>
  <c r="AB8" i="239"/>
  <c r="AJ12" i="239"/>
  <c r="Z12" i="239"/>
  <c r="AB12" i="239"/>
  <c r="AB13" i="239"/>
  <c r="U6" i="239"/>
  <c r="AB7" i="239"/>
  <c r="AJ9" i="239"/>
  <c r="AB9" i="239"/>
  <c r="B4" i="239"/>
  <c r="M14" i="238"/>
  <c r="U14" i="238"/>
  <c r="U21" i="238"/>
  <c r="AB19" i="238"/>
  <c r="AB18" i="238"/>
  <c r="AJ17" i="238"/>
  <c r="Z17" i="238"/>
  <c r="AB17" i="238"/>
  <c r="U8" i="238"/>
  <c r="M8" i="238"/>
  <c r="U17" i="238"/>
  <c r="M17" i="238"/>
  <c r="AJ21" i="238"/>
  <c r="Z21" i="238"/>
  <c r="AB21" i="238"/>
  <c r="Z20" i="238"/>
  <c r="AJ19" i="238"/>
  <c r="U18" i="238"/>
  <c r="AJ18" i="238"/>
  <c r="AJ7" i="238"/>
  <c r="M19" i="238"/>
  <c r="AB20" i="238"/>
  <c r="U12" i="238"/>
  <c r="AB8" i="238"/>
  <c r="AJ8" i="238"/>
  <c r="Z8" i="238"/>
  <c r="M11" i="238"/>
  <c r="U6" i="238"/>
  <c r="M16" i="238"/>
  <c r="M15" i="238"/>
  <c r="J11" i="238"/>
  <c r="J12" i="238" s="1"/>
  <c r="J13" i="238" s="1"/>
  <c r="J14" i="238" s="1"/>
  <c r="J15" i="238" s="1"/>
  <c r="J16" i="238" s="1"/>
  <c r="J17" i="238" s="1"/>
  <c r="J18" i="238" s="1"/>
  <c r="J19" i="238" s="1"/>
  <c r="J20" i="238" s="1"/>
  <c r="J21" i="238" s="1"/>
  <c r="U10" i="238"/>
  <c r="M10" i="238"/>
  <c r="Z15" i="238"/>
  <c r="AJ15" i="238"/>
  <c r="AB15" i="238"/>
  <c r="AJ13" i="238"/>
  <c r="AB13" i="238"/>
  <c r="Z13" i="238"/>
  <c r="AJ6" i="238"/>
  <c r="AB6" i="238"/>
  <c r="Z6" i="238"/>
  <c r="AJ9" i="238"/>
  <c r="AB9" i="238"/>
  <c r="Z9" i="238"/>
  <c r="AB7" i="238"/>
  <c r="U9" i="238"/>
  <c r="U13" i="238"/>
  <c r="AB14" i="238"/>
  <c r="Z14" i="238"/>
  <c r="AJ14" i="238"/>
  <c r="AJ12" i="238"/>
  <c r="Z12" i="238"/>
  <c r="AB12" i="238"/>
  <c r="Z16" i="238"/>
  <c r="AB16" i="238"/>
  <c r="M7" i="238"/>
  <c r="U7" i="238"/>
  <c r="Z10" i="238"/>
  <c r="AB10" i="238"/>
  <c r="BH11" i="237"/>
  <c r="BH10" i="237"/>
  <c r="BH11" i="233"/>
  <c r="BH10" i="233"/>
  <c r="A1" i="237"/>
  <c r="B5" i="237" s="1"/>
  <c r="I6" i="237"/>
  <c r="J6" i="237"/>
  <c r="N6" i="237"/>
  <c r="I7" i="237"/>
  <c r="O7" i="237" s="1"/>
  <c r="K7" i="237"/>
  <c r="N7" i="237"/>
  <c r="I8" i="237"/>
  <c r="V8" i="237" s="1"/>
  <c r="K8" i="237"/>
  <c r="N8" i="237"/>
  <c r="I9" i="237"/>
  <c r="S9" i="237" s="1"/>
  <c r="K9" i="237"/>
  <c r="N9" i="237"/>
  <c r="I10" i="237"/>
  <c r="S10" i="237" s="1"/>
  <c r="K10" i="237"/>
  <c r="N10" i="237"/>
  <c r="I11" i="237"/>
  <c r="S11" i="237" s="1"/>
  <c r="K11" i="237"/>
  <c r="N11" i="237"/>
  <c r="I12" i="237"/>
  <c r="AO12" i="237" s="1"/>
  <c r="K12" i="237"/>
  <c r="N12" i="237"/>
  <c r="I13" i="237"/>
  <c r="S13" i="237" s="1"/>
  <c r="K13" i="237"/>
  <c r="N13" i="237"/>
  <c r="I14" i="237"/>
  <c r="P14" i="237" s="1"/>
  <c r="K14" i="237"/>
  <c r="N14" i="237"/>
  <c r="I15" i="237"/>
  <c r="Q15" i="237" s="1"/>
  <c r="K15" i="237"/>
  <c r="N15" i="237"/>
  <c r="G16" i="237"/>
  <c r="I16" i="237"/>
  <c r="AC16" i="237" s="1"/>
  <c r="K16" i="237"/>
  <c r="N16" i="237"/>
  <c r="I17" i="237"/>
  <c r="V17" i="237" s="1"/>
  <c r="K17" i="237"/>
  <c r="N17" i="237"/>
  <c r="I18" i="237"/>
  <c r="S18" i="237" s="1"/>
  <c r="K18" i="237"/>
  <c r="N18" i="237"/>
  <c r="I19" i="237"/>
  <c r="L19" i="237" s="1"/>
  <c r="K19" i="237"/>
  <c r="N19" i="237"/>
  <c r="I20" i="237"/>
  <c r="S20" i="237" s="1"/>
  <c r="K20" i="237"/>
  <c r="N20" i="237"/>
  <c r="I21" i="237"/>
  <c r="J21" i="237" s="1"/>
  <c r="K21" i="237"/>
  <c r="N21" i="237"/>
  <c r="I22" i="237"/>
  <c r="O22" i="237" s="1"/>
  <c r="K22" i="237"/>
  <c r="N22" i="237"/>
  <c r="I23" i="237"/>
  <c r="P23" i="237" s="1"/>
  <c r="K23" i="237"/>
  <c r="N23" i="237"/>
  <c r="I24" i="237"/>
  <c r="J24" i="237" s="1"/>
  <c r="K24" i="237"/>
  <c r="N24" i="237"/>
  <c r="I25" i="237"/>
  <c r="V25" i="237" s="1"/>
  <c r="K25" i="237"/>
  <c r="N25" i="237"/>
  <c r="I26" i="237"/>
  <c r="L26" i="237" s="1"/>
  <c r="N26" i="237"/>
  <c r="Q27" i="237"/>
  <c r="AJ27" i="237"/>
  <c r="AK27" i="237"/>
  <c r="AN27" i="237"/>
  <c r="AO27" i="237"/>
  <c r="AQ27" i="237"/>
  <c r="AR27" i="237"/>
  <c r="AQ28" i="237"/>
  <c r="AF40" i="237"/>
  <c r="AF41" i="237" s="1"/>
  <c r="AF42" i="237" s="1"/>
  <c r="AF43" i="237" s="1"/>
  <c r="AF44" i="237" s="1"/>
  <c r="AF45" i="237" s="1"/>
  <c r="AF46" i="237" s="1"/>
  <c r="AG40" i="237"/>
  <c r="AG41" i="237" s="1"/>
  <c r="AG42" i="237" s="1"/>
  <c r="AG43" i="237" s="1"/>
  <c r="AG44" i="237" s="1"/>
  <c r="AG45" i="237" s="1"/>
  <c r="AG46" i="237" s="1"/>
  <c r="AG47" i="237" s="1"/>
  <c r="AG48" i="237" s="1"/>
  <c r="AH40" i="237"/>
  <c r="AH41" i="237"/>
  <c r="AH42" i="237" s="1"/>
  <c r="AH43" i="237" s="1"/>
  <c r="AH44" i="237" s="1"/>
  <c r="AH45" i="237" s="1"/>
  <c r="AH46" i="237" s="1"/>
  <c r="AH47" i="237" s="1"/>
  <c r="AH48" i="237" s="1"/>
  <c r="AG50" i="237"/>
  <c r="AG51" i="237" s="1"/>
  <c r="AG52" i="237" s="1"/>
  <c r="AG53" i="237" s="1"/>
  <c r="AG54" i="237" s="1"/>
  <c r="AG55" i="237" s="1"/>
  <c r="AG56" i="237" s="1"/>
  <c r="AG57" i="237" s="1"/>
  <c r="AG58" i="237" s="1"/>
  <c r="AG59" i="237" s="1"/>
  <c r="A1" i="233"/>
  <c r="B5" i="233" s="1"/>
  <c r="I6" i="233"/>
  <c r="P6" i="233" s="1"/>
  <c r="J6" i="233"/>
  <c r="N6" i="233"/>
  <c r="I7" i="233"/>
  <c r="Y7" i="233" s="1"/>
  <c r="K7" i="233"/>
  <c r="N7" i="233"/>
  <c r="I8" i="233"/>
  <c r="P8" i="233" s="1"/>
  <c r="K8" i="233"/>
  <c r="N8" i="233"/>
  <c r="I9" i="233"/>
  <c r="AF9" i="233" s="1"/>
  <c r="K9" i="233"/>
  <c r="N9" i="233"/>
  <c r="I10" i="233"/>
  <c r="T10" i="233" s="1"/>
  <c r="K10" i="233"/>
  <c r="N10" i="233"/>
  <c r="I11" i="233"/>
  <c r="K11" i="233"/>
  <c r="N11" i="233"/>
  <c r="I12" i="233"/>
  <c r="AN12" i="233" s="1"/>
  <c r="K12" i="233"/>
  <c r="N12" i="233"/>
  <c r="I13" i="233"/>
  <c r="V13" i="233" s="1"/>
  <c r="K13" i="233"/>
  <c r="N13" i="233"/>
  <c r="I14" i="233"/>
  <c r="Q14" i="233" s="1"/>
  <c r="K14" i="233"/>
  <c r="N14" i="233"/>
  <c r="I15" i="233"/>
  <c r="AG15" i="233" s="1"/>
  <c r="K15" i="233"/>
  <c r="N15" i="233"/>
  <c r="G16" i="233"/>
  <c r="I16" i="233"/>
  <c r="S16" i="233" s="1"/>
  <c r="K16" i="233"/>
  <c r="N16" i="233"/>
  <c r="I17" i="233"/>
  <c r="O17" i="233" s="1"/>
  <c r="K17" i="233"/>
  <c r="N17" i="233"/>
  <c r="I18" i="233"/>
  <c r="Q18" i="233" s="1"/>
  <c r="K18" i="233"/>
  <c r="N18" i="233"/>
  <c r="I19" i="233"/>
  <c r="P19" i="233" s="1"/>
  <c r="K19" i="233"/>
  <c r="N19" i="233"/>
  <c r="I20" i="233"/>
  <c r="J20" i="233" s="1"/>
  <c r="K20" i="233"/>
  <c r="N20" i="233"/>
  <c r="I21" i="233"/>
  <c r="X21" i="233" s="1"/>
  <c r="K21" i="233"/>
  <c r="N21" i="233"/>
  <c r="I22" i="233"/>
  <c r="Y22" i="233" s="1"/>
  <c r="K22" i="233"/>
  <c r="N22" i="233"/>
  <c r="I23" i="233"/>
  <c r="J23" i="233" s="1"/>
  <c r="K23" i="233"/>
  <c r="N23" i="233"/>
  <c r="I24" i="233"/>
  <c r="P24" i="233" s="1"/>
  <c r="K24" i="233"/>
  <c r="N24" i="233"/>
  <c r="I25" i="233"/>
  <c r="L25" i="233" s="1"/>
  <c r="K25" i="233"/>
  <c r="N25" i="233"/>
  <c r="I26" i="233"/>
  <c r="Q26" i="233" s="1"/>
  <c r="N26" i="233"/>
  <c r="Q27" i="233"/>
  <c r="AJ27" i="233"/>
  <c r="AK27" i="233"/>
  <c r="AN27" i="233"/>
  <c r="AO27" i="233"/>
  <c r="AQ27" i="233"/>
  <c r="AR27" i="233"/>
  <c r="AQ28" i="233"/>
  <c r="AF40" i="233"/>
  <c r="AF41" i="233" s="1"/>
  <c r="AF42" i="233" s="1"/>
  <c r="AF43" i="233" s="1"/>
  <c r="AF44" i="233" s="1"/>
  <c r="AF45" i="233" s="1"/>
  <c r="AF46" i="233" s="1"/>
  <c r="AF47" i="233" s="1"/>
  <c r="AG40" i="233"/>
  <c r="AG41" i="233" s="1"/>
  <c r="AG42" i="233" s="1"/>
  <c r="AG43" i="233" s="1"/>
  <c r="AG44" i="233" s="1"/>
  <c r="AG45" i="233" s="1"/>
  <c r="AG46" i="233" s="1"/>
  <c r="AG47" i="233" s="1"/>
  <c r="AH40" i="233"/>
  <c r="AH41" i="233"/>
  <c r="AH42" i="233" s="1"/>
  <c r="AH43" i="233" s="1"/>
  <c r="AH44" i="233" s="1"/>
  <c r="AH45" i="233" s="1"/>
  <c r="AH46" i="233" s="1"/>
  <c r="AH47" i="233" s="1"/>
  <c r="AG50" i="233"/>
  <c r="AG51" i="233" s="1"/>
  <c r="AG52" i="233" s="1"/>
  <c r="AG53" i="233" s="1"/>
  <c r="AG54" i="233" s="1"/>
  <c r="AG55" i="233" s="1"/>
  <c r="AG56" i="233" s="1"/>
  <c r="AG57" i="233" s="1"/>
  <c r="AG58" i="233" s="1"/>
  <c r="AG59" i="233" s="1"/>
  <c r="S6" i="233" l="1"/>
  <c r="O6" i="233"/>
  <c r="P6" i="237"/>
  <c r="Y6" i="237"/>
  <c r="O6" i="237"/>
  <c r="W6" i="237" s="1"/>
  <c r="B4" i="295"/>
  <c r="B4" i="294"/>
  <c r="B4" i="293"/>
  <c r="B4" i="291"/>
  <c r="B4" i="288"/>
  <c r="B4" i="287"/>
  <c r="B4" i="285"/>
  <c r="B4" i="286"/>
  <c r="B4" i="284"/>
  <c r="B4" i="283"/>
  <c r="B4" i="282"/>
  <c r="B4" i="281"/>
  <c r="B4" i="280"/>
  <c r="B4" i="278"/>
  <c r="B4" i="277"/>
  <c r="B4" i="276"/>
  <c r="B4" i="272"/>
  <c r="B4" i="269"/>
  <c r="B4" i="268"/>
  <c r="B4" i="267"/>
  <c r="B4" i="266"/>
  <c r="B4" i="264"/>
  <c r="B4" i="263"/>
  <c r="B4" i="261"/>
  <c r="B4" i="259"/>
  <c r="B4" i="256"/>
  <c r="B4" i="255"/>
  <c r="B4" i="253"/>
  <c r="B4" i="252"/>
  <c r="B4" i="250"/>
  <c r="B4" i="247"/>
  <c r="B4" i="246"/>
  <c r="B4" i="245"/>
  <c r="B4" i="240"/>
  <c r="B4" i="238"/>
  <c r="Y11" i="233"/>
  <c r="AS11" i="233"/>
  <c r="Y18" i="237"/>
  <c r="AP18" i="237"/>
  <c r="AO18" i="237"/>
  <c r="AL16" i="237"/>
  <c r="AM12" i="237"/>
  <c r="AS6" i="237"/>
  <c r="AO8" i="237"/>
  <c r="AO26" i="237"/>
  <c r="AG8" i="237"/>
  <c r="AO22" i="237"/>
  <c r="AP22" i="237"/>
  <c r="AE22" i="237"/>
  <c r="Y22" i="237"/>
  <c r="AI25" i="237"/>
  <c r="X22" i="237"/>
  <c r="AD20" i="237"/>
  <c r="AG11" i="237"/>
  <c r="AC25" i="237"/>
  <c r="AB20" i="237"/>
  <c r="AA25" i="237"/>
  <c r="M22" i="237"/>
  <c r="AO15" i="237"/>
  <c r="AF11" i="237"/>
  <c r="L20" i="237"/>
  <c r="AF18" i="237"/>
  <c r="AM16" i="237"/>
  <c r="AQ8" i="237"/>
  <c r="AO24" i="237"/>
  <c r="AM23" i="237"/>
  <c r="AR22" i="237"/>
  <c r="AB22" i="237"/>
  <c r="L22" i="237"/>
  <c r="AS14" i="237"/>
  <c r="AQ24" i="237"/>
  <c r="AI24" i="237"/>
  <c r="AO17" i="237"/>
  <c r="AI17" i="237"/>
  <c r="W22" i="237"/>
  <c r="AA24" i="237"/>
  <c r="AC23" i="237"/>
  <c r="AJ26" i="237"/>
  <c r="Q24" i="237"/>
  <c r="S23" i="237"/>
  <c r="AK22" i="237"/>
  <c r="R22" i="237"/>
  <c r="X18" i="237"/>
  <c r="AC17" i="237"/>
  <c r="AA16" i="237"/>
  <c r="AO9" i="237"/>
  <c r="AI23" i="237"/>
  <c r="Y24" i="237"/>
  <c r="AN22" i="237"/>
  <c r="AG17" i="237"/>
  <c r="S26" i="237"/>
  <c r="AG22" i="237"/>
  <c r="P22" i="237"/>
  <c r="P18" i="237"/>
  <c r="AA17" i="237"/>
  <c r="Y16" i="237"/>
  <c r="T11" i="237"/>
  <c r="AL9" i="237"/>
  <c r="Q8" i="237"/>
  <c r="R8" i="237" s="1"/>
  <c r="AJ8" i="237" s="1"/>
  <c r="X6" i="237"/>
  <c r="W23" i="237"/>
  <c r="R26" i="237"/>
  <c r="AF22" i="237"/>
  <c r="AQ20" i="237"/>
  <c r="Q17" i="237"/>
  <c r="R17" i="237" s="1"/>
  <c r="AJ17" i="237" s="1"/>
  <c r="AH9" i="237"/>
  <c r="AK13" i="237"/>
  <c r="AE13" i="237"/>
  <c r="AO7" i="237"/>
  <c r="AI26" i="237"/>
  <c r="U25" i="237"/>
  <c r="O23" i="237"/>
  <c r="AO20" i="237"/>
  <c r="Z20" i="237"/>
  <c r="AK16" i="237"/>
  <c r="V16" i="237"/>
  <c r="AC14" i="237"/>
  <c r="AC13" i="237"/>
  <c r="X9" i="237"/>
  <c r="AA8" i="237"/>
  <c r="AG7" i="237"/>
  <c r="AI6" i="237"/>
  <c r="AH26" i="237"/>
  <c r="J26" i="237"/>
  <c r="S25" i="237"/>
  <c r="AG24" i="237"/>
  <c r="AS23" i="237"/>
  <c r="AH22" i="237"/>
  <c r="V22" i="237"/>
  <c r="AO21" i="237"/>
  <c r="AN20" i="237"/>
  <c r="W20" i="237"/>
  <c r="J20" i="237"/>
  <c r="AI16" i="237"/>
  <c r="T16" i="237"/>
  <c r="T13" i="237"/>
  <c r="T9" i="237"/>
  <c r="S8" i="237"/>
  <c r="AF7" i="237"/>
  <c r="AH6" i="237"/>
  <c r="AM20" i="237"/>
  <c r="AF16" i="237"/>
  <c r="S16" i="237"/>
  <c r="T7" i="237"/>
  <c r="AP7" i="237"/>
  <c r="AG21" i="237"/>
  <c r="T20" i="237"/>
  <c r="Q13" i="237"/>
  <c r="R13" i="237" s="1"/>
  <c r="AA26" i="237"/>
  <c r="AS25" i="237"/>
  <c r="M25" i="237"/>
  <c r="Y21" i="237"/>
  <c r="AL20" i="237"/>
  <c r="R20" i="237"/>
  <c r="AQ19" i="237"/>
  <c r="AR16" i="237"/>
  <c r="L16" i="237" s="1"/>
  <c r="U16" i="237" s="1"/>
  <c r="AE16" i="237"/>
  <c r="Q16" i="237"/>
  <c r="R16" i="237" s="1"/>
  <c r="Z16" i="237" s="1"/>
  <c r="P13" i="237"/>
  <c r="AR11" i="237"/>
  <c r="L11" i="237" s="1"/>
  <c r="U11" i="237" s="1"/>
  <c r="S7" i="237"/>
  <c r="AF26" i="237"/>
  <c r="AS16" i="237"/>
  <c r="W26" i="237"/>
  <c r="AQ25" i="237"/>
  <c r="S24" i="237"/>
  <c r="AE23" i="237"/>
  <c r="AG20" i="237"/>
  <c r="Q20" i="237"/>
  <c r="AI19" i="237"/>
  <c r="AO16" i="237"/>
  <c r="AD16" i="237"/>
  <c r="P16" i="237"/>
  <c r="AN13" i="237"/>
  <c r="AS26" i="237"/>
  <c r="U26" i="237"/>
  <c r="AE20" i="237"/>
  <c r="P20" i="237"/>
  <c r="AN16" i="237"/>
  <c r="AL13" i="237"/>
  <c r="AN24" i="237"/>
  <c r="AF24" i="237"/>
  <c r="P24" i="237"/>
  <c r="AR26" i="237"/>
  <c r="AD26" i="237"/>
  <c r="Q26" i="237"/>
  <c r="AK25" i="237"/>
  <c r="AM24" i="237"/>
  <c r="AE24" i="237"/>
  <c r="W24" i="237"/>
  <c r="O24" i="237"/>
  <c r="AQ23" i="237"/>
  <c r="AA23" i="237"/>
  <c r="M23" i="237"/>
  <c r="AM22" i="237"/>
  <c r="AD22" i="237"/>
  <c r="U22" i="237"/>
  <c r="AJ20" i="237"/>
  <c r="Y20" i="237"/>
  <c r="O20" i="237"/>
  <c r="AA19" i="237"/>
  <c r="AN18" i="237"/>
  <c r="V18" i="237"/>
  <c r="AS17" i="237"/>
  <c r="Y17" i="237"/>
  <c r="AQ16" i="237"/>
  <c r="AH16" i="237"/>
  <c r="X16" i="237"/>
  <c r="O16" i="237"/>
  <c r="W16" i="237" s="1"/>
  <c r="Y15" i="237"/>
  <c r="AO14" i="237"/>
  <c r="Y14" i="237"/>
  <c r="AS13" i="237"/>
  <c r="Y13" i="237"/>
  <c r="O13" i="237"/>
  <c r="W13" i="237" s="1"/>
  <c r="AE12" i="237"/>
  <c r="AP11" i="237"/>
  <c r="AE11" i="237"/>
  <c r="Q11" i="237"/>
  <c r="R11" i="237" s="1"/>
  <c r="AB11" i="237" s="1"/>
  <c r="AG9" i="237"/>
  <c r="Q9" i="237"/>
  <c r="R9" i="237" s="1"/>
  <c r="AB9" i="237" s="1"/>
  <c r="AK8" i="237"/>
  <c r="AN7" i="237"/>
  <c r="AD7" i="237"/>
  <c r="AQ6" i="237"/>
  <c r="AG6" i="237"/>
  <c r="S6" i="237"/>
  <c r="X24" i="237"/>
  <c r="AG15" i="237"/>
  <c r="AQ14" i="237"/>
  <c r="AA14" i="237"/>
  <c r="AG12" i="237"/>
  <c r="AQ26" i="237"/>
  <c r="AB26" i="237"/>
  <c r="O26" i="237"/>
  <c r="AL24" i="237"/>
  <c r="AD24" i="237"/>
  <c r="V24" i="237"/>
  <c r="AO23" i="237"/>
  <c r="Y23" i="237"/>
  <c r="AL22" i="237"/>
  <c r="AC22" i="237"/>
  <c r="T22" i="237"/>
  <c r="J22" i="237"/>
  <c r="AR20" i="237"/>
  <c r="AH20" i="237"/>
  <c r="X20" i="237"/>
  <c r="S19" i="237"/>
  <c r="AL18" i="237"/>
  <c r="T18" i="237"/>
  <c r="AQ17" i="237"/>
  <c r="S17" i="237"/>
  <c r="AP16" i="237"/>
  <c r="AG16" i="237"/>
  <c r="AM14" i="237"/>
  <c r="AR13" i="237"/>
  <c r="AH13" i="237"/>
  <c r="X13" i="237"/>
  <c r="Y12" i="237"/>
  <c r="AO11" i="237"/>
  <c r="AD11" i="237"/>
  <c r="P11" i="237"/>
  <c r="AF9" i="237"/>
  <c r="P9" i="237"/>
  <c r="AI8" i="237"/>
  <c r="AM7" i="237"/>
  <c r="AC7" i="237"/>
  <c r="Q7" i="237"/>
  <c r="R7" i="237" s="1"/>
  <c r="AP6" i="237"/>
  <c r="AF6" i="237"/>
  <c r="Q6" i="237"/>
  <c r="R6" i="237" s="1"/>
  <c r="AS24" i="237"/>
  <c r="AK24" i="237"/>
  <c r="AC24" i="237"/>
  <c r="U24" i="237"/>
  <c r="M24" i="237"/>
  <c r="AH18" i="237"/>
  <c r="AK14" i="237"/>
  <c r="S14" i="237"/>
  <c r="AP13" i="237"/>
  <c r="AG13" i="237"/>
  <c r="L13" i="237"/>
  <c r="M13" i="237" s="1"/>
  <c r="Q12" i="237"/>
  <c r="R12" i="237" s="1"/>
  <c r="AB12" i="237" s="1"/>
  <c r="AN11" i="237"/>
  <c r="Y11" i="237"/>
  <c r="O11" i="237"/>
  <c r="W11" i="237" s="1"/>
  <c r="AR9" i="237"/>
  <c r="L9" i="237" s="1"/>
  <c r="U9" i="237" s="1"/>
  <c r="AD9" i="237"/>
  <c r="AL7" i="237"/>
  <c r="AA7" i="237"/>
  <c r="P7" i="237"/>
  <c r="AO6" i="237"/>
  <c r="AE6" i="237"/>
  <c r="AM26" i="237"/>
  <c r="Z26" i="237"/>
  <c r="M26" i="237"/>
  <c r="AR24" i="237"/>
  <c r="AJ24" i="237"/>
  <c r="AB24" i="237"/>
  <c r="T24" i="237"/>
  <c r="L24" i="237"/>
  <c r="AK23" i="237"/>
  <c r="U23" i="237"/>
  <c r="AS22" i="237"/>
  <c r="AJ22" i="237"/>
  <c r="Z22" i="237"/>
  <c r="Q22" i="237"/>
  <c r="AP20" i="237"/>
  <c r="AF20" i="237"/>
  <c r="V20" i="237"/>
  <c r="AG18" i="237"/>
  <c r="Q18" i="237"/>
  <c r="R18" i="237" s="1"/>
  <c r="AK17" i="237"/>
  <c r="AI14" i="237"/>
  <c r="Q14" i="237"/>
  <c r="R14" i="237" s="1"/>
  <c r="AB14" i="237" s="1"/>
  <c r="AO13" i="237"/>
  <c r="AF13" i="237"/>
  <c r="V13" i="237"/>
  <c r="O12" i="237"/>
  <c r="W12" i="237" s="1"/>
  <c r="AM11" i="237"/>
  <c r="X11" i="237"/>
  <c r="AP9" i="237"/>
  <c r="Y9" i="237"/>
  <c r="AC8" i="237"/>
  <c r="AS7" i="237"/>
  <c r="AK7" i="237"/>
  <c r="Y7" i="237"/>
  <c r="AN6" i="237"/>
  <c r="AC6" i="237"/>
  <c r="AG14" i="237"/>
  <c r="O14" i="237"/>
  <c r="W14" i="237" s="1"/>
  <c r="AL11" i="237"/>
  <c r="AR7" i="237"/>
  <c r="L7" i="237" s="1"/>
  <c r="U7" i="237" s="1"/>
  <c r="AI7" i="237"/>
  <c r="X7" i="237"/>
  <c r="AM6" i="237"/>
  <c r="AA6" i="237"/>
  <c r="AP24" i="237"/>
  <c r="AH24" i="237"/>
  <c r="Z24" i="237"/>
  <c r="R24" i="237"/>
  <c r="AG23" i="237"/>
  <c r="Q23" i="237"/>
  <c r="AR18" i="237"/>
  <c r="L18" i="237" s="1"/>
  <c r="M18" i="237" s="1"/>
  <c r="AD18" i="237"/>
  <c r="AE14" i="237"/>
  <c r="AM13" i="237"/>
  <c r="AD13" i="237"/>
  <c r="AH11" i="237"/>
  <c r="V11" i="237"/>
  <c r="AN9" i="237"/>
  <c r="V9" i="237"/>
  <c r="AS8" i="237"/>
  <c r="Y8" i="237"/>
  <c r="AQ7" i="237"/>
  <c r="AH7" i="237"/>
  <c r="V7" i="237"/>
  <c r="J7" i="237"/>
  <c r="J8" i="237" s="1"/>
  <c r="J9" i="237" s="1"/>
  <c r="J10" i="237" s="1"/>
  <c r="AK6" i="237"/>
  <c r="AH49" i="237"/>
  <c r="AH50" i="237" s="1"/>
  <c r="AH51" i="237" s="1"/>
  <c r="AH52" i="237" s="1"/>
  <c r="AH53" i="237" s="1"/>
  <c r="AH54" i="237" s="1"/>
  <c r="AH55" i="237" s="1"/>
  <c r="AH56" i="237" s="1"/>
  <c r="AH57" i="237" s="1"/>
  <c r="AH58" i="237" s="1"/>
  <c r="AH59" i="237" s="1"/>
  <c r="AF47" i="237"/>
  <c r="AF48" i="237" s="1"/>
  <c r="AP26" i="237"/>
  <c r="AG26" i="237"/>
  <c r="Y26" i="237"/>
  <c r="P26" i="237"/>
  <c r="AR25" i="237"/>
  <c r="AJ25" i="237"/>
  <c r="AB25" i="237"/>
  <c r="T25" i="237"/>
  <c r="L25" i="237"/>
  <c r="AL23" i="237"/>
  <c r="AD23" i="237"/>
  <c r="V23" i="237"/>
  <c r="AQ22" i="237"/>
  <c r="AI22" i="237"/>
  <c r="AA22" i="237"/>
  <c r="S22" i="237"/>
  <c r="AN21" i="237"/>
  <c r="AF21" i="237"/>
  <c r="X21" i="237"/>
  <c r="P21" i="237"/>
  <c r="AS20" i="237"/>
  <c r="AK20" i="237"/>
  <c r="AC20" i="237"/>
  <c r="U20" i="237"/>
  <c r="M20" i="237"/>
  <c r="AP19" i="237"/>
  <c r="AH19" i="237"/>
  <c r="AM18" i="237"/>
  <c r="AE18" i="237"/>
  <c r="O18" i="237"/>
  <c r="W18" i="237" s="1"/>
  <c r="AR17" i="237"/>
  <c r="L17" i="237" s="1"/>
  <c r="T17" i="237"/>
  <c r="AN15" i="237"/>
  <c r="AF15" i="237"/>
  <c r="X15" i="237"/>
  <c r="P15" i="237"/>
  <c r="AL14" i="237"/>
  <c r="AD14" i="237"/>
  <c r="V14" i="237"/>
  <c r="AQ13" i="237"/>
  <c r="AI13" i="237"/>
  <c r="AA13" i="237"/>
  <c r="AN12" i="237"/>
  <c r="AF12" i="237"/>
  <c r="X12" i="237"/>
  <c r="P12" i="237"/>
  <c r="AS11" i="237"/>
  <c r="AK11" i="237"/>
  <c r="AC11" i="237"/>
  <c r="AP10" i="237"/>
  <c r="AH10" i="237"/>
  <c r="AM9" i="237"/>
  <c r="AE9" i="237"/>
  <c r="O9" i="237"/>
  <c r="W9" i="237" s="1"/>
  <c r="AR8" i="237"/>
  <c r="L8" i="237" s="1"/>
  <c r="T8" i="237"/>
  <c r="AL6" i="237"/>
  <c r="AD6" i="237"/>
  <c r="V6" i="237"/>
  <c r="Y10" i="237"/>
  <c r="AN26" i="237"/>
  <c r="AE26" i="237"/>
  <c r="V26" i="237"/>
  <c r="AP25" i="237"/>
  <c r="AH25" i="237"/>
  <c r="Z25" i="237"/>
  <c r="R25" i="237"/>
  <c r="J25" i="237"/>
  <c r="AR23" i="237"/>
  <c r="AJ23" i="237"/>
  <c r="AB23" i="237"/>
  <c r="T23" i="237"/>
  <c r="L23" i="237"/>
  <c r="AL21" i="237"/>
  <c r="AD21" i="237"/>
  <c r="V21" i="237"/>
  <c r="AI20" i="237"/>
  <c r="AA20" i="237"/>
  <c r="AN19" i="237"/>
  <c r="AF19" i="237"/>
  <c r="X19" i="237"/>
  <c r="P19" i="237"/>
  <c r="AS18" i="237"/>
  <c r="AK18" i="237"/>
  <c r="AC18" i="237"/>
  <c r="AP17" i="237"/>
  <c r="AH17" i="237"/>
  <c r="AL15" i="237"/>
  <c r="AD15" i="237"/>
  <c r="V15" i="237"/>
  <c r="AR14" i="237"/>
  <c r="L14" i="237" s="1"/>
  <c r="T14" i="237"/>
  <c r="AL12" i="237"/>
  <c r="AD12" i="237"/>
  <c r="V12" i="237"/>
  <c r="AQ11" i="237"/>
  <c r="AI11" i="237"/>
  <c r="AA11" i="237"/>
  <c r="AN10" i="237"/>
  <c r="AF10" i="237"/>
  <c r="X10" i="237"/>
  <c r="P10" i="237"/>
  <c r="AS9" i="237"/>
  <c r="AK9" i="237"/>
  <c r="AC9" i="237"/>
  <c r="AP8" i="237"/>
  <c r="AH8" i="237"/>
  <c r="AE7" i="237"/>
  <c r="W7" i="237"/>
  <c r="AR6" i="237"/>
  <c r="L6" i="237" s="1"/>
  <c r="T6" i="237"/>
  <c r="Q21" i="237"/>
  <c r="W21" i="237"/>
  <c r="AO19" i="237"/>
  <c r="AE15" i="237"/>
  <c r="Q10" i="237"/>
  <c r="R10" i="237" s="1"/>
  <c r="AJ10" i="237" s="1"/>
  <c r="AG25" i="237"/>
  <c r="AS21" i="237"/>
  <c r="U21" i="237"/>
  <c r="AM19" i="237"/>
  <c r="AE19" i="237"/>
  <c r="AS15" i="237"/>
  <c r="AK15" i="237"/>
  <c r="AC15" i="237"/>
  <c r="AS12" i="237"/>
  <c r="AK12" i="237"/>
  <c r="AC12" i="237"/>
  <c r="AM10" i="237"/>
  <c r="AE10" i="237"/>
  <c r="O10" i="237"/>
  <c r="W10" i="237" s="1"/>
  <c r="O21" i="237"/>
  <c r="AO25" i="237"/>
  <c r="Q25" i="237"/>
  <c r="AK21" i="237"/>
  <c r="AC21" i="237"/>
  <c r="M21" i="237"/>
  <c r="O19" i="237"/>
  <c r="W19" i="237" s="1"/>
  <c r="AK26" i="237"/>
  <c r="AC26" i="237"/>
  <c r="T26" i="237"/>
  <c r="AN25" i="237"/>
  <c r="AF25" i="237"/>
  <c r="X25" i="237"/>
  <c r="P25" i="237"/>
  <c r="AP23" i="237"/>
  <c r="AH23" i="237"/>
  <c r="Z23" i="237"/>
  <c r="R23" i="237"/>
  <c r="J23" i="237"/>
  <c r="AR21" i="237"/>
  <c r="AJ21" i="237"/>
  <c r="AB21" i="237"/>
  <c r="T21" i="237"/>
  <c r="L21" i="237"/>
  <c r="AL19" i="237"/>
  <c r="AD19" i="237"/>
  <c r="V19" i="237"/>
  <c r="AQ18" i="237"/>
  <c r="AI18" i="237"/>
  <c r="AA18" i="237"/>
  <c r="AN17" i="237"/>
  <c r="AF17" i="237"/>
  <c r="X17" i="237"/>
  <c r="P17" i="237"/>
  <c r="AR15" i="237"/>
  <c r="L15" i="237" s="1"/>
  <c r="M15" i="237" s="1"/>
  <c r="T15" i="237"/>
  <c r="AP14" i="237"/>
  <c r="AH14" i="237"/>
  <c r="AR12" i="237"/>
  <c r="L12" i="237" s="1"/>
  <c r="U12" i="237" s="1"/>
  <c r="T12" i="237"/>
  <c r="AL10" i="237"/>
  <c r="AD10" i="237"/>
  <c r="V10" i="237"/>
  <c r="AQ9" i="237"/>
  <c r="AI9" i="237"/>
  <c r="AA9" i="237"/>
  <c r="AN8" i="237"/>
  <c r="AF8" i="237"/>
  <c r="X8" i="237"/>
  <c r="P8" i="237"/>
  <c r="AE21" i="237"/>
  <c r="AM15" i="237"/>
  <c r="O15" i="237"/>
  <c r="W15" i="237" s="1"/>
  <c r="AG10" i="237"/>
  <c r="AM25" i="237"/>
  <c r="AE25" i="237"/>
  <c r="W25" i="237"/>
  <c r="O25" i="237"/>
  <c r="AQ21" i="237"/>
  <c r="AI21" i="237"/>
  <c r="AA21" i="237"/>
  <c r="S21" i="237"/>
  <c r="AS19" i="237"/>
  <c r="AK19" i="237"/>
  <c r="AC19" i="237"/>
  <c r="U19" i="237"/>
  <c r="M19" i="237"/>
  <c r="AM17" i="237"/>
  <c r="AE17" i="237"/>
  <c r="O17" i="237"/>
  <c r="W17" i="237" s="1"/>
  <c r="AQ15" i="237"/>
  <c r="AI15" i="237"/>
  <c r="AA15" i="237"/>
  <c r="S15" i="237"/>
  <c r="AQ12" i="237"/>
  <c r="AI12" i="237"/>
  <c r="AA12" i="237"/>
  <c r="S12" i="237"/>
  <c r="AS10" i="237"/>
  <c r="AK10" i="237"/>
  <c r="AC10" i="237"/>
  <c r="AM8" i="237"/>
  <c r="AE8" i="237"/>
  <c r="O8" i="237"/>
  <c r="W8" i="237" s="1"/>
  <c r="AM21" i="237"/>
  <c r="AG19" i="237"/>
  <c r="Y19" i="237"/>
  <c r="Q19" i="237"/>
  <c r="R19" i="237" s="1"/>
  <c r="AO10" i="237"/>
  <c r="Y25" i="237"/>
  <c r="AL25" i="237"/>
  <c r="AD25" i="237"/>
  <c r="AN23" i="237"/>
  <c r="AF23" i="237"/>
  <c r="X23" i="237"/>
  <c r="AP21" i="237"/>
  <c r="AH21" i="237"/>
  <c r="Z21" i="237"/>
  <c r="R21" i="237"/>
  <c r="AR19" i="237"/>
  <c r="T19" i="237"/>
  <c r="AL17" i="237"/>
  <c r="AD17" i="237"/>
  <c r="AP15" i="237"/>
  <c r="AH15" i="237"/>
  <c r="R15" i="237"/>
  <c r="AJ15" i="237" s="1"/>
  <c r="AN14" i="237"/>
  <c r="AF14" i="237"/>
  <c r="X14" i="237"/>
  <c r="AP12" i="237"/>
  <c r="AH12" i="237"/>
  <c r="AR10" i="237"/>
  <c r="L10" i="237" s="1"/>
  <c r="U10" i="237" s="1"/>
  <c r="T10" i="237"/>
  <c r="AL8" i="237"/>
  <c r="AD8" i="237"/>
  <c r="AQ10" i="237"/>
  <c r="AI10" i="237"/>
  <c r="AA10" i="237"/>
  <c r="AD14" i="233"/>
  <c r="J21" i="233"/>
  <c r="AR17" i="233"/>
  <c r="AA17" i="233"/>
  <c r="AI19" i="233"/>
  <c r="Y19" i="233"/>
  <c r="AO17" i="233"/>
  <c r="L19" i="233"/>
  <c r="W19" i="233" s="1"/>
  <c r="AH15" i="233"/>
  <c r="AI13" i="233"/>
  <c r="S13" i="233"/>
  <c r="L11" i="233"/>
  <c r="U11" i="233" s="1"/>
  <c r="U22" i="233"/>
  <c r="Q17" i="233"/>
  <c r="R17" i="233" s="1"/>
  <c r="AB17" i="233" s="1"/>
  <c r="AR14" i="233"/>
  <c r="Y14" i="233"/>
  <c r="T13" i="233"/>
  <c r="AR11" i="233"/>
  <c r="AH6" i="233"/>
  <c r="AG6" i="233"/>
  <c r="AF23" i="233"/>
  <c r="AF15" i="233"/>
  <c r="AN14" i="233"/>
  <c r="O14" i="233"/>
  <c r="AM11" i="233"/>
  <c r="AE6" i="233"/>
  <c r="AS14" i="233"/>
  <c r="AA14" i="233"/>
  <c r="AO14" i="233"/>
  <c r="AO11" i="233"/>
  <c r="U23" i="233"/>
  <c r="P21" i="233"/>
  <c r="AL14" i="233"/>
  <c r="AC11" i="233"/>
  <c r="V6" i="233"/>
  <c r="X14" i="233"/>
  <c r="AG14" i="233"/>
  <c r="L14" i="233"/>
  <c r="M14" i="233" s="1"/>
  <c r="AA11" i="233"/>
  <c r="Q7" i="233"/>
  <c r="R7" i="233" s="1"/>
  <c r="AQ17" i="233"/>
  <c r="AE14" i="233"/>
  <c r="AE9" i="233"/>
  <c r="AD23" i="233"/>
  <c r="AN23" i="233"/>
  <c r="P23" i="233"/>
  <c r="AL11" i="233"/>
  <c r="V11" i="233"/>
  <c r="AM10" i="233"/>
  <c r="T6" i="233"/>
  <c r="X24" i="233"/>
  <c r="AM23" i="233"/>
  <c r="AB23" i="233"/>
  <c r="Y20" i="233"/>
  <c r="AI17" i="233"/>
  <c r="AK14" i="233"/>
  <c r="T14" i="233"/>
  <c r="AQ13" i="233"/>
  <c r="AK11" i="233"/>
  <c r="T11" i="233"/>
  <c r="X10" i="233"/>
  <c r="AR6" i="233"/>
  <c r="AC23" i="233"/>
  <c r="W24" i="233"/>
  <c r="Y23" i="233"/>
  <c r="M23" i="233"/>
  <c r="AO21" i="233"/>
  <c r="AG17" i="233"/>
  <c r="AI14" i="233"/>
  <c r="S14" i="233"/>
  <c r="AO13" i="233"/>
  <c r="AI11" i="233"/>
  <c r="S11" i="233"/>
  <c r="AQ6" i="233"/>
  <c r="AR23" i="233"/>
  <c r="AE23" i="233"/>
  <c r="T23" i="233"/>
  <c r="AO23" i="233"/>
  <c r="S23" i="233"/>
  <c r="AH24" i="233"/>
  <c r="AL23" i="233"/>
  <c r="AK23" i="233"/>
  <c r="W23" i="233"/>
  <c r="L23" i="233"/>
  <c r="AD21" i="233"/>
  <c r="AD17" i="233"/>
  <c r="P14" i="233"/>
  <c r="AF11" i="233"/>
  <c r="Q11" i="233"/>
  <c r="R11" i="233" s="1"/>
  <c r="AB11" i="233" s="1"/>
  <c r="L10" i="233"/>
  <c r="W10" i="233" s="1"/>
  <c r="AO6" i="233"/>
  <c r="AI23" i="233"/>
  <c r="V23" i="233"/>
  <c r="AD11" i="233"/>
  <c r="AK8" i="233"/>
  <c r="V8" i="233"/>
  <c r="AQ26" i="233"/>
  <c r="AN20" i="233"/>
  <c r="AF20" i="233"/>
  <c r="X20" i="233"/>
  <c r="P20" i="233"/>
  <c r="AR19" i="233"/>
  <c r="AH19" i="233"/>
  <c r="X19" i="233"/>
  <c r="AP17" i="233"/>
  <c r="AC17" i="233"/>
  <c r="Y15" i="233"/>
  <c r="AK13" i="233"/>
  <c r="Q13" i="233"/>
  <c r="R13" i="233" s="1"/>
  <c r="Z13" i="233" s="1"/>
  <c r="AF12" i="233"/>
  <c r="AI10" i="233"/>
  <c r="Y9" i="233"/>
  <c r="AS8" i="233"/>
  <c r="AI8" i="233"/>
  <c r="T8" i="233"/>
  <c r="AP6" i="233"/>
  <c r="AF6" i="233"/>
  <c r="Q6" i="233"/>
  <c r="R6" i="233" s="1"/>
  <c r="AR26" i="233"/>
  <c r="AO20" i="233"/>
  <c r="AG20" i="233"/>
  <c r="Q20" i="233"/>
  <c r="X15" i="233"/>
  <c r="X9" i="233"/>
  <c r="AH8" i="233"/>
  <c r="AG26" i="233"/>
  <c r="AL20" i="233"/>
  <c r="AD20" i="233"/>
  <c r="V20" i="233"/>
  <c r="AP19" i="233"/>
  <c r="AF19" i="233"/>
  <c r="S19" i="233"/>
  <c r="AL17" i="233"/>
  <c r="Y17" i="233"/>
  <c r="L17" i="233"/>
  <c r="W17" i="233" s="1"/>
  <c r="Q15" i="233"/>
  <c r="R15" i="233" s="1"/>
  <c r="AQ14" i="233"/>
  <c r="AF14" i="233"/>
  <c r="V14" i="233"/>
  <c r="AG13" i="233"/>
  <c r="L13" i="233"/>
  <c r="U13" i="233" s="1"/>
  <c r="X12" i="233"/>
  <c r="AQ11" i="233"/>
  <c r="AH11" i="233"/>
  <c r="X11" i="233"/>
  <c r="P11" i="233"/>
  <c r="AR10" i="233"/>
  <c r="AG10" i="233"/>
  <c r="AO9" i="233"/>
  <c r="Q9" i="233"/>
  <c r="R9" i="233" s="1"/>
  <c r="AJ9" i="233" s="1"/>
  <c r="AQ8" i="233"/>
  <c r="AG8" i="233"/>
  <c r="Q8" i="233"/>
  <c r="R8" i="233" s="1"/>
  <c r="AB8" i="233" s="1"/>
  <c r="AN6" i="233"/>
  <c r="AD6" i="233"/>
  <c r="Y12" i="233"/>
  <c r="AS10" i="233"/>
  <c r="AH10" i="233"/>
  <c r="S10" i="233"/>
  <c r="AR8" i="233"/>
  <c r="Y26" i="233"/>
  <c r="AQ24" i="233"/>
  <c r="AS23" i="233"/>
  <c r="AJ23" i="233"/>
  <c r="AA23" i="233"/>
  <c r="Q23" i="233"/>
  <c r="AO22" i="233"/>
  <c r="AF21" i="233"/>
  <c r="AS20" i="233"/>
  <c r="AK20" i="233"/>
  <c r="AC20" i="233"/>
  <c r="U20" i="233"/>
  <c r="M20" i="233"/>
  <c r="AO19" i="233"/>
  <c r="AE19" i="233"/>
  <c r="AK17" i="233"/>
  <c r="V17" i="233"/>
  <c r="AP15" i="233"/>
  <c r="P15" i="233"/>
  <c r="AC13" i="233"/>
  <c r="Q12" i="233"/>
  <c r="R12" i="233" s="1"/>
  <c r="Z12" i="233" s="1"/>
  <c r="AP11" i="233"/>
  <c r="AG11" i="233"/>
  <c r="O11" i="233"/>
  <c r="AQ10" i="233"/>
  <c r="AF10" i="233"/>
  <c r="Q10" i="233"/>
  <c r="R10" i="233" s="1"/>
  <c r="AN9" i="233"/>
  <c r="P9" i="233"/>
  <c r="AP8" i="233"/>
  <c r="AE8" i="233"/>
  <c r="O8" i="233"/>
  <c r="AM6" i="233"/>
  <c r="Y6" i="233"/>
  <c r="AG12" i="233"/>
  <c r="AE20" i="233"/>
  <c r="O20" i="233"/>
  <c r="AG19" i="233"/>
  <c r="W26" i="233"/>
  <c r="AK22" i="233"/>
  <c r="T17" i="233"/>
  <c r="P12" i="233"/>
  <c r="AP10" i="233"/>
  <c r="AE10" i="233"/>
  <c r="AM9" i="233"/>
  <c r="O9" i="233"/>
  <c r="AO8" i="233"/>
  <c r="AD8" i="233"/>
  <c r="AL6" i="233"/>
  <c r="X6" i="233"/>
  <c r="L6" i="233"/>
  <c r="W6" i="233" s="1"/>
  <c r="AH26" i="233"/>
  <c r="AM20" i="233"/>
  <c r="W20" i="233"/>
  <c r="AQ19" i="233"/>
  <c r="T19" i="233"/>
  <c r="AR20" i="233"/>
  <c r="AJ20" i="233"/>
  <c r="AB20" i="233"/>
  <c r="T20" i="233"/>
  <c r="L20" i="233"/>
  <c r="AN19" i="233"/>
  <c r="Q19" i="233"/>
  <c r="R19" i="233" s="1"/>
  <c r="AB19" i="233" s="1"/>
  <c r="AO15" i="233"/>
  <c r="AS13" i="233"/>
  <c r="AA13" i="233"/>
  <c r="P10" i="233"/>
  <c r="O26" i="233"/>
  <c r="AG24" i="233"/>
  <c r="AQ23" i="233"/>
  <c r="AG23" i="233"/>
  <c r="X23" i="233"/>
  <c r="O23" i="233"/>
  <c r="Y21" i="233"/>
  <c r="AQ20" i="233"/>
  <c r="AI20" i="233"/>
  <c r="AA20" i="233"/>
  <c r="S20" i="233"/>
  <c r="AM19" i="233"/>
  <c r="AA19" i="233"/>
  <c r="AS17" i="233"/>
  <c r="AH17" i="233"/>
  <c r="S17" i="233"/>
  <c r="AH16" i="233"/>
  <c r="AN15" i="233"/>
  <c r="AM14" i="233"/>
  <c r="AC14" i="233"/>
  <c r="AR13" i="233"/>
  <c r="Y13" i="233"/>
  <c r="AO12" i="233"/>
  <c r="AN11" i="233"/>
  <c r="AE11" i="233"/>
  <c r="AO10" i="233"/>
  <c r="AA10" i="233"/>
  <c r="O10" i="233"/>
  <c r="AG9" i="233"/>
  <c r="AM8" i="233"/>
  <c r="AC8" i="233"/>
  <c r="L8" i="233"/>
  <c r="U8" i="233" s="1"/>
  <c r="AS6" i="233"/>
  <c r="AI6" i="233"/>
  <c r="AP20" i="233"/>
  <c r="AH20" i="233"/>
  <c r="Z20" i="233"/>
  <c r="R20" i="233"/>
  <c r="AN10" i="233"/>
  <c r="Y10" i="233"/>
  <c r="AL8" i="233"/>
  <c r="Y8" i="233"/>
  <c r="AF48" i="233"/>
  <c r="AF49" i="233" s="1"/>
  <c r="AF50" i="233" s="1"/>
  <c r="AF51" i="233" s="1"/>
  <c r="AF52" i="233" s="1"/>
  <c r="AF53" i="233" s="1"/>
  <c r="AF54" i="233" s="1"/>
  <c r="AF55" i="233" s="1"/>
  <c r="AF56" i="233" s="1"/>
  <c r="AF57" i="233" s="1"/>
  <c r="AF58" i="233" s="1"/>
  <c r="AF59" i="233" s="1"/>
  <c r="AH48" i="233"/>
  <c r="AH49" i="233" s="1"/>
  <c r="AH50" i="233" s="1"/>
  <c r="AH51" i="233" s="1"/>
  <c r="AH52" i="233" s="1"/>
  <c r="AH53" i="233" s="1"/>
  <c r="AH54" i="233" s="1"/>
  <c r="AH55" i="233" s="1"/>
  <c r="AH56" i="233" s="1"/>
  <c r="AH57" i="233" s="1"/>
  <c r="AH58" i="233" s="1"/>
  <c r="AH59" i="233" s="1"/>
  <c r="AG48" i="233"/>
  <c r="AO25" i="233"/>
  <c r="AL25" i="233"/>
  <c r="AB25" i="233"/>
  <c r="V22" i="233"/>
  <c r="AD22" i="233"/>
  <c r="AL22" i="233"/>
  <c r="O22" i="233"/>
  <c r="W22" i="233"/>
  <c r="AE22" i="233"/>
  <c r="AM22" i="233"/>
  <c r="P22" i="233"/>
  <c r="X22" i="233"/>
  <c r="AF22" i="233"/>
  <c r="AN22" i="233"/>
  <c r="J22" i="233"/>
  <c r="R22" i="233"/>
  <c r="Z22" i="233"/>
  <c r="AH22" i="233"/>
  <c r="AK18" i="233"/>
  <c r="AG16" i="233"/>
  <c r="AP26" i="233"/>
  <c r="AF26" i="233"/>
  <c r="V26" i="233"/>
  <c r="M26" i="233"/>
  <c r="AK25" i="233"/>
  <c r="AA25" i="233"/>
  <c r="Q25" i="233"/>
  <c r="AP24" i="233"/>
  <c r="AF24" i="233"/>
  <c r="V24" i="233"/>
  <c r="J24" i="233"/>
  <c r="AJ22" i="233"/>
  <c r="T22" i="233"/>
  <c r="AP21" i="233"/>
  <c r="Z21" i="233"/>
  <c r="AG18" i="233"/>
  <c r="AA16" i="233"/>
  <c r="R18" i="233"/>
  <c r="Z18" i="233" s="1"/>
  <c r="AH18" i="233"/>
  <c r="AP18" i="233"/>
  <c r="S18" i="233"/>
  <c r="AA18" i="233"/>
  <c r="AI18" i="233"/>
  <c r="AQ18" i="233"/>
  <c r="L18" i="233"/>
  <c r="U18" i="233" s="1"/>
  <c r="T18" i="233"/>
  <c r="AR18" i="233"/>
  <c r="V18" i="233"/>
  <c r="AD18" i="233"/>
  <c r="AL18" i="233"/>
  <c r="S24" i="233"/>
  <c r="AD26" i="233"/>
  <c r="M25" i="233"/>
  <c r="AS22" i="233"/>
  <c r="AG22" i="233"/>
  <c r="AN21" i="233"/>
  <c r="AE18" i="233"/>
  <c r="AQ16" i="233"/>
  <c r="Y16" i="233"/>
  <c r="J7" i="233"/>
  <c r="AH7" i="233"/>
  <c r="AP7" i="233"/>
  <c r="S7" i="233"/>
  <c r="AA7" i="233"/>
  <c r="AI7" i="233"/>
  <c r="AQ7" i="233"/>
  <c r="L7" i="233"/>
  <c r="U7" i="233" s="1"/>
  <c r="T7" i="233"/>
  <c r="AR7" i="233"/>
  <c r="AC7" i="233"/>
  <c r="AK7" i="233"/>
  <c r="AS7" i="233"/>
  <c r="V7" i="233"/>
  <c r="AD7" i="233"/>
  <c r="AL7" i="233"/>
  <c r="O7" i="233"/>
  <c r="AE7" i="233"/>
  <c r="AM7" i="233"/>
  <c r="P7" i="233"/>
  <c r="X7" i="233"/>
  <c r="AF7" i="233"/>
  <c r="AN7" i="233"/>
  <c r="AC25" i="233"/>
  <c r="S25" i="233"/>
  <c r="AM18" i="233"/>
  <c r="R25" i="233"/>
  <c r="AO26" i="233"/>
  <c r="U26" i="233"/>
  <c r="AJ25" i="233"/>
  <c r="AO24" i="233"/>
  <c r="AI22" i="233"/>
  <c r="P18" i="233"/>
  <c r="S26" i="233"/>
  <c r="Y25" i="233"/>
  <c r="AN24" i="233"/>
  <c r="S21" i="233"/>
  <c r="AA21" i="233"/>
  <c r="AI21" i="233"/>
  <c r="AQ21" i="233"/>
  <c r="L21" i="233"/>
  <c r="T21" i="233"/>
  <c r="AB21" i="233"/>
  <c r="AJ21" i="233"/>
  <c r="AR21" i="233"/>
  <c r="M21" i="233"/>
  <c r="U21" i="233"/>
  <c r="AC21" i="233"/>
  <c r="AK21" i="233"/>
  <c r="AS21" i="233"/>
  <c r="O21" i="233"/>
  <c r="W21" i="233"/>
  <c r="AE21" i="233"/>
  <c r="AM21" i="233"/>
  <c r="O18" i="233"/>
  <c r="AM26" i="233"/>
  <c r="AB26" i="233"/>
  <c r="R26" i="233"/>
  <c r="AR25" i="233"/>
  <c r="AH25" i="233"/>
  <c r="V25" i="233"/>
  <c r="AM24" i="233"/>
  <c r="AA24" i="233"/>
  <c r="Q24" i="233"/>
  <c r="AR22" i="233"/>
  <c r="AC22" i="233"/>
  <c r="AL21" i="233"/>
  <c r="V21" i="233"/>
  <c r="AS18" i="233"/>
  <c r="AC18" i="233"/>
  <c r="AP16" i="233"/>
  <c r="S15" i="233"/>
  <c r="AA15" i="233"/>
  <c r="AI15" i="233"/>
  <c r="AQ15" i="233"/>
  <c r="L15" i="233"/>
  <c r="M15" i="233" s="1"/>
  <c r="T15" i="233"/>
  <c r="AR15" i="233"/>
  <c r="AC15" i="233"/>
  <c r="AK15" i="233"/>
  <c r="AS15" i="233"/>
  <c r="V15" i="233"/>
  <c r="AD15" i="233"/>
  <c r="AL15" i="233"/>
  <c r="O15" i="233"/>
  <c r="AE15" i="233"/>
  <c r="AM15" i="233"/>
  <c r="O25" i="233"/>
  <c r="W25" i="233"/>
  <c r="AE25" i="233"/>
  <c r="AM25" i="233"/>
  <c r="P25" i="233"/>
  <c r="X25" i="233"/>
  <c r="AF25" i="233"/>
  <c r="AN25" i="233"/>
  <c r="AE26" i="233"/>
  <c r="Z25" i="233"/>
  <c r="AE24" i="233"/>
  <c r="L16" i="233"/>
  <c r="M16" i="233" s="1"/>
  <c r="T16" i="233"/>
  <c r="AR16" i="233"/>
  <c r="AC16" i="233"/>
  <c r="AK16" i="233"/>
  <c r="AS16" i="233"/>
  <c r="V16" i="233"/>
  <c r="AD16" i="233"/>
  <c r="AL16" i="233"/>
  <c r="O16" i="233"/>
  <c r="AE16" i="233"/>
  <c r="AM16" i="233"/>
  <c r="P16" i="233"/>
  <c r="X16" i="233"/>
  <c r="AF16" i="233"/>
  <c r="AN16" i="233"/>
  <c r="AN26" i="233"/>
  <c r="AI25" i="233"/>
  <c r="AD24" i="233"/>
  <c r="Q22" i="233"/>
  <c r="AJ26" i="233"/>
  <c r="AA26" i="233"/>
  <c r="AQ25" i="233"/>
  <c r="AG25" i="233"/>
  <c r="U25" i="233"/>
  <c r="AL24" i="233"/>
  <c r="Z24" i="233"/>
  <c r="AQ22" i="233"/>
  <c r="AB22" i="233"/>
  <c r="M22" i="233"/>
  <c r="AH21" i="233"/>
  <c r="R21" i="233"/>
  <c r="AO18" i="233"/>
  <c r="Y18" i="233"/>
  <c r="AO16" i="233"/>
  <c r="AO7" i="233"/>
  <c r="J26" i="233"/>
  <c r="L26" i="233"/>
  <c r="T26" i="233"/>
  <c r="AC26" i="233"/>
  <c r="AK26" i="233"/>
  <c r="L24" i="233"/>
  <c r="T24" i="233"/>
  <c r="AB24" i="233"/>
  <c r="AJ24" i="233"/>
  <c r="AR24" i="233"/>
  <c r="M24" i="233"/>
  <c r="U24" i="233"/>
  <c r="AC24" i="233"/>
  <c r="AK24" i="233"/>
  <c r="AS24" i="233"/>
  <c r="S22" i="233"/>
  <c r="AF18" i="233"/>
  <c r="AS25" i="233"/>
  <c r="R24" i="233"/>
  <c r="AS26" i="233"/>
  <c r="AI26" i="233"/>
  <c r="Z26" i="233"/>
  <c r="P26" i="233"/>
  <c r="AP25" i="233"/>
  <c r="AD25" i="233"/>
  <c r="T25" i="233"/>
  <c r="J25" i="233"/>
  <c r="AI24" i="233"/>
  <c r="Y24" i="233"/>
  <c r="O24" i="233"/>
  <c r="AP22" i="233"/>
  <c r="AA22" i="233"/>
  <c r="L22" i="233"/>
  <c r="AG21" i="233"/>
  <c r="Q21" i="233"/>
  <c r="AN18" i="233"/>
  <c r="X18" i="233"/>
  <c r="AI16" i="233"/>
  <c r="Q16" i="233"/>
  <c r="R16" i="233" s="1"/>
  <c r="AG7" i="233"/>
  <c r="AP13" i="233"/>
  <c r="AH13" i="233"/>
  <c r="AM12" i="233"/>
  <c r="AE12" i="233"/>
  <c r="O12" i="233"/>
  <c r="AL9" i="233"/>
  <c r="AD9" i="233"/>
  <c r="V9" i="233"/>
  <c r="AA8" i="233"/>
  <c r="S8" i="233"/>
  <c r="AK6" i="233"/>
  <c r="AC6" i="233"/>
  <c r="AL12" i="233"/>
  <c r="AD12" i="233"/>
  <c r="V12" i="233"/>
  <c r="AS9" i="233"/>
  <c r="AK9" i="233"/>
  <c r="AC9" i="233"/>
  <c r="O19" i="233"/>
  <c r="AN13" i="233"/>
  <c r="AF13" i="233"/>
  <c r="X13" i="233"/>
  <c r="P13" i="233"/>
  <c r="AS12" i="233"/>
  <c r="AK12" i="233"/>
  <c r="AC12" i="233"/>
  <c r="AR9" i="233"/>
  <c r="T9" i="233"/>
  <c r="L9" i="233"/>
  <c r="W9" i="233" s="1"/>
  <c r="AA6" i="233"/>
  <c r="AP23" i="233"/>
  <c r="AH23" i="233"/>
  <c r="Z23" i="233"/>
  <c r="R23" i="233"/>
  <c r="AL19" i="233"/>
  <c r="AD19" i="233"/>
  <c r="V19" i="233"/>
  <c r="AN17" i="233"/>
  <c r="AF17" i="233"/>
  <c r="X17" i="233"/>
  <c r="P17" i="233"/>
  <c r="AP14" i="233"/>
  <c r="AH14" i="233"/>
  <c r="R14" i="233"/>
  <c r="Z14" i="233" s="1"/>
  <c r="AM13" i="233"/>
  <c r="AE13" i="233"/>
  <c r="O13" i="233"/>
  <c r="AR12" i="233"/>
  <c r="T12" i="233"/>
  <c r="L12" i="233"/>
  <c r="U12" i="233" s="1"/>
  <c r="AL10" i="233"/>
  <c r="AD10" i="233"/>
  <c r="V10" i="233"/>
  <c r="AQ9" i="233"/>
  <c r="AI9" i="233"/>
  <c r="AA9" i="233"/>
  <c r="S9" i="233"/>
  <c r="AN8" i="233"/>
  <c r="AF8" i="233"/>
  <c r="X8" i="233"/>
  <c r="AS19" i="233"/>
  <c r="AK19" i="233"/>
  <c r="AC19" i="233"/>
  <c r="AM17" i="233"/>
  <c r="AE17" i="233"/>
  <c r="AL13" i="233"/>
  <c r="AD13" i="233"/>
  <c r="AQ12" i="233"/>
  <c r="AI12" i="233"/>
  <c r="AA12" i="233"/>
  <c r="S12" i="233"/>
  <c r="AK10" i="233"/>
  <c r="AC10" i="233"/>
  <c r="AP9" i="233"/>
  <c r="AH9" i="233"/>
  <c r="AP12" i="233"/>
  <c r="AH12" i="233"/>
  <c r="L15" i="232"/>
  <c r="L11" i="232"/>
  <c r="L10" i="232"/>
  <c r="L9" i="232"/>
  <c r="L8" i="232"/>
  <c r="L7" i="232"/>
  <c r="L6" i="232"/>
  <c r="AG50" i="232"/>
  <c r="AG51" i="232" s="1"/>
  <c r="AG52" i="232" s="1"/>
  <c r="AG53" i="232" s="1"/>
  <c r="AG54" i="232" s="1"/>
  <c r="AG55" i="232" s="1"/>
  <c r="AG56" i="232" s="1"/>
  <c r="AH40" i="232"/>
  <c r="AH41" i="232" s="1"/>
  <c r="AH42" i="232" s="1"/>
  <c r="AH43" i="232" s="1"/>
  <c r="AH44" i="232" s="1"/>
  <c r="AH45" i="232" s="1"/>
  <c r="AH46" i="232" s="1"/>
  <c r="AH47" i="232" s="1"/>
  <c r="AH48" i="232" s="1"/>
  <c r="AH49" i="232" s="1"/>
  <c r="AH50" i="232" s="1"/>
  <c r="AH51" i="232" s="1"/>
  <c r="AH52" i="232" s="1"/>
  <c r="AH53" i="232" s="1"/>
  <c r="AH54" i="232" s="1"/>
  <c r="AH55" i="232" s="1"/>
  <c r="AH56" i="232" s="1"/>
  <c r="AH57" i="232" s="1"/>
  <c r="AH58" i="232" s="1"/>
  <c r="AH59" i="232" s="1"/>
  <c r="AG40" i="232"/>
  <c r="AG41" i="232" s="1"/>
  <c r="AG42" i="232" s="1"/>
  <c r="AG43" i="232" s="1"/>
  <c r="AG44" i="232" s="1"/>
  <c r="AG45" i="232" s="1"/>
  <c r="AG46" i="232" s="1"/>
  <c r="AG47" i="232" s="1"/>
  <c r="AF40" i="232"/>
  <c r="AF41" i="232" s="1"/>
  <c r="AF42" i="232" s="1"/>
  <c r="AF43" i="232" s="1"/>
  <c r="AF44" i="232" s="1"/>
  <c r="AF45" i="232" s="1"/>
  <c r="AF46" i="232" s="1"/>
  <c r="AF47" i="232" s="1"/>
  <c r="R17" i="232"/>
  <c r="AJ17" i="232" s="1"/>
  <c r="R16" i="232"/>
  <c r="AB16" i="232" s="1"/>
  <c r="G16" i="232"/>
  <c r="R15" i="232"/>
  <c r="R14" i="232"/>
  <c r="AJ14" i="232" s="1"/>
  <c r="AB13" i="232"/>
  <c r="Z13" i="232"/>
  <c r="R13" i="232"/>
  <c r="AJ13" i="232" s="1"/>
  <c r="R12" i="232"/>
  <c r="AJ12" i="232" s="1"/>
  <c r="R11" i="232"/>
  <c r="R10" i="232"/>
  <c r="R9" i="232"/>
  <c r="R8" i="232"/>
  <c r="R7" i="232"/>
  <c r="R6" i="232"/>
  <c r="B4" i="232"/>
  <c r="A1" i="232"/>
  <c r="B5" i="232" s="1"/>
  <c r="R17" i="231"/>
  <c r="AB17" i="231" s="1"/>
  <c r="R16" i="231"/>
  <c r="AJ16" i="231" s="1"/>
  <c r="R15" i="231"/>
  <c r="R14" i="231"/>
  <c r="AJ14" i="231" s="1"/>
  <c r="R13" i="231"/>
  <c r="AJ13" i="231" s="1"/>
  <c r="R12" i="231"/>
  <c r="AB12" i="231" s="1"/>
  <c r="R11" i="231"/>
  <c r="R10" i="231"/>
  <c r="R9" i="231"/>
  <c r="R8" i="231"/>
  <c r="R7" i="231"/>
  <c r="AG51" i="231"/>
  <c r="AG52" i="231" s="1"/>
  <c r="AG53" i="231" s="1"/>
  <c r="AG54" i="231" s="1"/>
  <c r="AG55" i="231" s="1"/>
  <c r="AG56" i="231" s="1"/>
  <c r="AG57" i="231" s="1"/>
  <c r="AG58" i="231" s="1"/>
  <c r="AG59" i="231" s="1"/>
  <c r="AG50" i="231"/>
  <c r="AH40" i="231"/>
  <c r="AH41" i="231" s="1"/>
  <c r="AH42" i="231" s="1"/>
  <c r="AH43" i="231" s="1"/>
  <c r="AH44" i="231" s="1"/>
  <c r="AH45" i="231" s="1"/>
  <c r="AH46" i="231" s="1"/>
  <c r="AH47" i="231" s="1"/>
  <c r="AG40" i="231"/>
  <c r="AG41" i="231" s="1"/>
  <c r="AG42" i="231" s="1"/>
  <c r="AG43" i="231" s="1"/>
  <c r="AG44" i="231" s="1"/>
  <c r="AG45" i="231" s="1"/>
  <c r="AG46" i="231" s="1"/>
  <c r="AG47" i="231" s="1"/>
  <c r="AF40" i="231"/>
  <c r="AF41" i="231" s="1"/>
  <c r="AF42" i="231" s="1"/>
  <c r="AF43" i="231" s="1"/>
  <c r="AF44" i="231" s="1"/>
  <c r="AF45" i="231" s="1"/>
  <c r="AF46" i="231" s="1"/>
  <c r="G16" i="231"/>
  <c r="R6" i="231"/>
  <c r="B4" i="231"/>
  <c r="A1" i="231"/>
  <c r="B5" i="231" s="1"/>
  <c r="AJ9" i="232" l="1"/>
  <c r="Z14" i="232"/>
  <c r="AJ10" i="232"/>
  <c r="AJ15" i="232"/>
  <c r="Z15" i="233"/>
  <c r="Z7" i="233"/>
  <c r="AJ11" i="232"/>
  <c r="Z6" i="233"/>
  <c r="AJ6" i="237"/>
  <c r="AB10" i="231"/>
  <c r="AB11" i="231"/>
  <c r="AJ6" i="232"/>
  <c r="AJ8" i="232"/>
  <c r="AJ7" i="232"/>
  <c r="AJ16" i="237"/>
  <c r="AB6" i="237"/>
  <c r="U18" i="237"/>
  <c r="M16" i="237"/>
  <c r="AB16" i="237"/>
  <c r="Z17" i="237"/>
  <c r="U13" i="237"/>
  <c r="M9" i="237"/>
  <c r="M11" i="237"/>
  <c r="AB8" i="237"/>
  <c r="M10" i="237"/>
  <c r="AB18" i="237"/>
  <c r="AJ18" i="237"/>
  <c r="AB7" i="237"/>
  <c r="AJ7" i="237"/>
  <c r="M7" i="237"/>
  <c r="Z13" i="237"/>
  <c r="AB13" i="237"/>
  <c r="AJ14" i="237"/>
  <c r="AJ13" i="237"/>
  <c r="Z14" i="237"/>
  <c r="J11" i="237"/>
  <c r="J12" i="237" s="1"/>
  <c r="J13" i="237" s="1"/>
  <c r="J14" i="237" s="1"/>
  <c r="J15" i="237" s="1"/>
  <c r="J16" i="237" s="1"/>
  <c r="J17" i="237" s="1"/>
  <c r="J18" i="237" s="1"/>
  <c r="J19" i="237" s="1"/>
  <c r="Z19" i="237"/>
  <c r="AJ19" i="237"/>
  <c r="AB19" i="237"/>
  <c r="M6" i="237"/>
  <c r="U6" i="237"/>
  <c r="U14" i="237"/>
  <c r="M14" i="237"/>
  <c r="AB10" i="237"/>
  <c r="M17" i="237"/>
  <c r="U17" i="237"/>
  <c r="AJ11" i="237"/>
  <c r="AJ9" i="237"/>
  <c r="AJ12" i="237"/>
  <c r="U15" i="237"/>
  <c r="AB17" i="237"/>
  <c r="AB15" i="237"/>
  <c r="AF49" i="237"/>
  <c r="AF50" i="237" s="1"/>
  <c r="AF51" i="237" s="1"/>
  <c r="AF52" i="237" s="1"/>
  <c r="AF53" i="237" s="1"/>
  <c r="AF54" i="237" s="1"/>
  <c r="AF55" i="237" s="1"/>
  <c r="AF56" i="237" s="1"/>
  <c r="AF57" i="237" s="1"/>
  <c r="Z18" i="237"/>
  <c r="Z15" i="237"/>
  <c r="M12" i="237"/>
  <c r="M8" i="237"/>
  <c r="U8" i="237"/>
  <c r="W11" i="233"/>
  <c r="U10" i="233"/>
  <c r="M11" i="233"/>
  <c r="M19" i="233"/>
  <c r="U19" i="233"/>
  <c r="AJ17" i="233"/>
  <c r="U14" i="233"/>
  <c r="Z17" i="233"/>
  <c r="M13" i="233"/>
  <c r="W14" i="233"/>
  <c r="AJ6" i="233"/>
  <c r="AJ18" i="233"/>
  <c r="M10" i="233"/>
  <c r="M6" i="233"/>
  <c r="W13" i="233"/>
  <c r="W8" i="233"/>
  <c r="M8" i="233"/>
  <c r="AJ15" i="233"/>
  <c r="AB15" i="233"/>
  <c r="U6" i="233"/>
  <c r="AB6" i="233"/>
  <c r="AJ10" i="233"/>
  <c r="Z10" i="233"/>
  <c r="AB10" i="233"/>
  <c r="M18" i="233"/>
  <c r="W15" i="233"/>
  <c r="U15" i="233"/>
  <c r="M7" i="233"/>
  <c r="AB18" i="233"/>
  <c r="Z19" i="233"/>
  <c r="AJ19" i="233"/>
  <c r="AJ7" i="233"/>
  <c r="AB7" i="233"/>
  <c r="U17" i="233"/>
  <c r="M17" i="233"/>
  <c r="W18" i="233"/>
  <c r="W7" i="233"/>
  <c r="AJ16" i="233"/>
  <c r="Z16" i="233"/>
  <c r="AB16" i="233"/>
  <c r="AB12" i="233"/>
  <c r="U9" i="233"/>
  <c r="J8" i="233"/>
  <c r="J9" i="233" s="1"/>
  <c r="J10" i="233" s="1"/>
  <c r="J11" i="233" s="1"/>
  <c r="J12" i="233" s="1"/>
  <c r="J13" i="233" s="1"/>
  <c r="J14" i="233" s="1"/>
  <c r="J15" i="233" s="1"/>
  <c r="J16" i="233" s="1"/>
  <c r="J17" i="233" s="1"/>
  <c r="J18" i="233" s="1"/>
  <c r="J19" i="233" s="1"/>
  <c r="Z9" i="233"/>
  <c r="AJ12" i="233"/>
  <c r="AB9" i="233"/>
  <c r="W12" i="233"/>
  <c r="AB14" i="233"/>
  <c r="AJ14" i="233"/>
  <c r="M9" i="233"/>
  <c r="W16" i="233"/>
  <c r="U16" i="233"/>
  <c r="AJ11" i="233"/>
  <c r="AJ8" i="233"/>
  <c r="M12" i="233"/>
  <c r="Z11" i="233"/>
  <c r="Z8" i="233"/>
  <c r="AJ13" i="233"/>
  <c r="AB13" i="233"/>
  <c r="AF48" i="232"/>
  <c r="Z11" i="232"/>
  <c r="AG48" i="232"/>
  <c r="AB15" i="232" s="1"/>
  <c r="AB11" i="232"/>
  <c r="AG57" i="232"/>
  <c r="AB7" i="232"/>
  <c r="AJ16" i="232"/>
  <c r="Z17" i="232"/>
  <c r="AB17" i="232"/>
  <c r="AB6" i="232"/>
  <c r="AB8" i="232"/>
  <c r="AB12" i="232"/>
  <c r="AB14" i="232"/>
  <c r="Z16" i="232"/>
  <c r="Z12" i="232"/>
  <c r="AJ17" i="231"/>
  <c r="Z17" i="231"/>
  <c r="AB16" i="231"/>
  <c r="Z16" i="231"/>
  <c r="Z14" i="231"/>
  <c r="AB14" i="231"/>
  <c r="Z13" i="231"/>
  <c r="AB13" i="231"/>
  <c r="AJ12" i="231"/>
  <c r="Z12" i="231"/>
  <c r="AJ11" i="231"/>
  <c r="Z11" i="231"/>
  <c r="AJ10" i="231"/>
  <c r="AB9" i="231"/>
  <c r="AB8" i="231"/>
  <c r="AB7" i="231"/>
  <c r="AF47" i="231"/>
  <c r="AH48" i="231"/>
  <c r="AH49" i="231" s="1"/>
  <c r="AH50" i="231" s="1"/>
  <c r="AH51" i="231" s="1"/>
  <c r="AH52" i="231" s="1"/>
  <c r="AH53" i="231" s="1"/>
  <c r="AH54" i="231" s="1"/>
  <c r="AH55" i="231" s="1"/>
  <c r="AH56" i="231" s="1"/>
  <c r="AH57" i="231" s="1"/>
  <c r="AH58" i="231" s="1"/>
  <c r="AH59" i="231" s="1"/>
  <c r="AG48" i="231"/>
  <c r="AB15" i="231" s="1"/>
  <c r="AB6" i="231"/>
  <c r="AJ7" i="231" l="1"/>
  <c r="AJ15" i="231"/>
  <c r="AJ8" i="231"/>
  <c r="AJ6" i="231"/>
  <c r="AJ9" i="231"/>
  <c r="AF58" i="237"/>
  <c r="Z6" i="237"/>
  <c r="B4" i="237"/>
  <c r="B4" i="233"/>
  <c r="AB9" i="232"/>
  <c r="AG58" i="232"/>
  <c r="AG59" i="232" s="1"/>
  <c r="AB10" i="232" s="1"/>
  <c r="Z15" i="232"/>
  <c r="AF49" i="232"/>
  <c r="AF50" i="232" s="1"/>
  <c r="AF51" i="232" s="1"/>
  <c r="AF48" i="231"/>
  <c r="Z15" i="231" s="1"/>
  <c r="AF59" i="237" l="1"/>
  <c r="Z10" i="237"/>
  <c r="AF52" i="232"/>
  <c r="AF53" i="232" s="1"/>
  <c r="AF54" i="232" s="1"/>
  <c r="AF55" i="232" s="1"/>
  <c r="AF56" i="232" s="1"/>
  <c r="Z6" i="232"/>
  <c r="AF49" i="231"/>
  <c r="AF50" i="231" s="1"/>
  <c r="AF51" i="231" s="1"/>
  <c r="AF52" i="231" s="1"/>
  <c r="AF53" i="231" s="1"/>
  <c r="AF54" i="231" s="1"/>
  <c r="AF55" i="231" s="1"/>
  <c r="AF56" i="231" s="1"/>
  <c r="AF57" i="231" l="1"/>
  <c r="Z9" i="231" s="1"/>
  <c r="Z7" i="231"/>
  <c r="Z8" i="231"/>
  <c r="Z7" i="237"/>
  <c r="Z9" i="237"/>
  <c r="Z11" i="237"/>
  <c r="Z8" i="237"/>
  <c r="Z12" i="237"/>
  <c r="AF57" i="232"/>
  <c r="Z7" i="232"/>
  <c r="Z8" i="232"/>
  <c r="AF58" i="231"/>
  <c r="Z6" i="231"/>
  <c r="Z9" i="232" l="1"/>
  <c r="AF58" i="232"/>
  <c r="AF59" i="232" s="1"/>
  <c r="Z10" i="232" s="1"/>
  <c r="AF59" i="231"/>
  <c r="Z10" i="231" s="1"/>
  <c r="L14" i="230"/>
  <c r="L13" i="230"/>
  <c r="L12" i="230"/>
  <c r="L10" i="230"/>
  <c r="L9" i="230"/>
  <c r="L7" i="230"/>
  <c r="L6" i="230"/>
  <c r="AG50" i="230"/>
  <c r="AG51" i="230" s="1"/>
  <c r="AG52" i="230" s="1"/>
  <c r="AG53" i="230" s="1"/>
  <c r="AG54" i="230" s="1"/>
  <c r="AG55" i="230" s="1"/>
  <c r="AG56" i="230" s="1"/>
  <c r="AG57" i="230" s="1"/>
  <c r="AG58" i="230" s="1"/>
  <c r="AG59" i="230" s="1"/>
  <c r="AH40" i="230"/>
  <c r="AH41" i="230" s="1"/>
  <c r="AH42" i="230" s="1"/>
  <c r="AH43" i="230" s="1"/>
  <c r="AH44" i="230" s="1"/>
  <c r="AH45" i="230" s="1"/>
  <c r="AH46" i="230" s="1"/>
  <c r="AH47" i="230" s="1"/>
  <c r="AH48" i="230" s="1"/>
  <c r="AG40" i="230"/>
  <c r="AG41" i="230" s="1"/>
  <c r="AG42" i="230" s="1"/>
  <c r="AG43" i="230" s="1"/>
  <c r="AG44" i="230" s="1"/>
  <c r="AG45" i="230" s="1"/>
  <c r="AG46" i="230" s="1"/>
  <c r="AG47" i="230" s="1"/>
  <c r="AG48" i="230" s="1"/>
  <c r="AF40" i="230"/>
  <c r="AF41" i="230" s="1"/>
  <c r="AF42" i="230" s="1"/>
  <c r="AF43" i="230" s="1"/>
  <c r="AF44" i="230" s="1"/>
  <c r="AF45" i="230" s="1"/>
  <c r="AF46" i="230" s="1"/>
  <c r="AF47" i="230" s="1"/>
  <c r="AF48" i="230" s="1"/>
  <c r="AF49" i="230" s="1"/>
  <c r="AF50" i="230" s="1"/>
  <c r="AF51" i="230" s="1"/>
  <c r="AF52" i="230" s="1"/>
  <c r="AF53" i="230" s="1"/>
  <c r="AF54" i="230" s="1"/>
  <c r="AF55" i="230" s="1"/>
  <c r="AF56" i="230" s="1"/>
  <c r="AF57" i="230" s="1"/>
  <c r="AF58" i="230" s="1"/>
  <c r="AF59" i="230" s="1"/>
  <c r="AJ20" i="230"/>
  <c r="R20" i="230"/>
  <c r="AB20" i="230" s="1"/>
  <c r="AJ19" i="230"/>
  <c r="AB19" i="230"/>
  <c r="R19" i="230"/>
  <c r="Z19" i="230" s="1"/>
  <c r="R18" i="230"/>
  <c r="AB18" i="230" s="1"/>
  <c r="AJ17" i="230"/>
  <c r="AB17" i="230"/>
  <c r="R17" i="230"/>
  <c r="Z17" i="230" s="1"/>
  <c r="R16" i="230"/>
  <c r="AB16" i="230" s="1"/>
  <c r="G16" i="230"/>
  <c r="R15" i="230"/>
  <c r="AB15" i="230" s="1"/>
  <c r="R14" i="230"/>
  <c r="R13" i="230"/>
  <c r="R12" i="230"/>
  <c r="R11" i="230"/>
  <c r="AB11" i="230" s="1"/>
  <c r="R10" i="230"/>
  <c r="R9" i="230"/>
  <c r="R8" i="230"/>
  <c r="AJ8" i="230" s="1"/>
  <c r="R7" i="230"/>
  <c r="R6" i="230"/>
  <c r="B4" i="230"/>
  <c r="A1" i="230"/>
  <c r="B5" i="230" s="1"/>
  <c r="R20" i="229"/>
  <c r="AB20" i="229" s="1"/>
  <c r="R19" i="229"/>
  <c r="AJ19" i="229" s="1"/>
  <c r="AJ18" i="229"/>
  <c r="Z18" i="229"/>
  <c r="R18" i="229"/>
  <c r="AB18" i="229" s="1"/>
  <c r="R17" i="229"/>
  <c r="AJ17" i="229" s="1"/>
  <c r="R16" i="229"/>
  <c r="AJ16" i="229" s="1"/>
  <c r="AJ15" i="229"/>
  <c r="R15" i="229"/>
  <c r="AB15" i="229" s="1"/>
  <c r="R14" i="229"/>
  <c r="R13" i="229"/>
  <c r="R12" i="229"/>
  <c r="R11" i="229"/>
  <c r="AB11" i="229" s="1"/>
  <c r="R10" i="229"/>
  <c r="R9" i="229"/>
  <c r="R8" i="229"/>
  <c r="AB8" i="229" s="1"/>
  <c r="R7" i="229"/>
  <c r="AG50" i="229"/>
  <c r="AG51" i="229" s="1"/>
  <c r="AG52" i="229" s="1"/>
  <c r="AG53" i="229" s="1"/>
  <c r="AG54" i="229" s="1"/>
  <c r="AG55" i="229" s="1"/>
  <c r="AH41" i="229"/>
  <c r="AH42" i="229" s="1"/>
  <c r="AH43" i="229" s="1"/>
  <c r="AH44" i="229" s="1"/>
  <c r="AH45" i="229" s="1"/>
  <c r="AH46" i="229" s="1"/>
  <c r="AH47" i="229" s="1"/>
  <c r="AH48" i="229" s="1"/>
  <c r="AH49" i="229" s="1"/>
  <c r="AH50" i="229" s="1"/>
  <c r="AH51" i="229" s="1"/>
  <c r="AH52" i="229" s="1"/>
  <c r="AH53" i="229" s="1"/>
  <c r="AH54" i="229" s="1"/>
  <c r="AH55" i="229" s="1"/>
  <c r="AH56" i="229" s="1"/>
  <c r="AH57" i="229" s="1"/>
  <c r="AH58" i="229" s="1"/>
  <c r="AH59" i="229" s="1"/>
  <c r="AH40" i="229"/>
  <c r="AG40" i="229"/>
  <c r="AG41" i="229" s="1"/>
  <c r="AG42" i="229" s="1"/>
  <c r="AG43" i="229" s="1"/>
  <c r="AG44" i="229" s="1"/>
  <c r="AG45" i="229" s="1"/>
  <c r="AG46" i="229" s="1"/>
  <c r="AF40" i="229"/>
  <c r="AF41" i="229" s="1"/>
  <c r="AF42" i="229" s="1"/>
  <c r="AF43" i="229" s="1"/>
  <c r="AF44" i="229" s="1"/>
  <c r="AF45" i="229" s="1"/>
  <c r="AF46" i="229" s="1"/>
  <c r="G16" i="229"/>
  <c r="R6" i="229"/>
  <c r="B4" i="229"/>
  <c r="A1" i="229"/>
  <c r="B5" i="229" s="1"/>
  <c r="L12" i="228"/>
  <c r="L8" i="228"/>
  <c r="L7" i="228"/>
  <c r="L6" i="228"/>
  <c r="AG50" i="228"/>
  <c r="AG51" i="228" s="1"/>
  <c r="AG52" i="228" s="1"/>
  <c r="AG53" i="228" s="1"/>
  <c r="AG54" i="228" s="1"/>
  <c r="AG55" i="228" s="1"/>
  <c r="AG56" i="228" s="1"/>
  <c r="AG57" i="228" s="1"/>
  <c r="AG58" i="228" s="1"/>
  <c r="AG59" i="228" s="1"/>
  <c r="AF41" i="228"/>
  <c r="AF42" i="228" s="1"/>
  <c r="AF43" i="228" s="1"/>
  <c r="AF44" i="228" s="1"/>
  <c r="AF45" i="228" s="1"/>
  <c r="AF46" i="228" s="1"/>
  <c r="AF47" i="228" s="1"/>
  <c r="AF48" i="228" s="1"/>
  <c r="AF49" i="228" s="1"/>
  <c r="AF50" i="228" s="1"/>
  <c r="AF51" i="228" s="1"/>
  <c r="AF52" i="228" s="1"/>
  <c r="AF53" i="228" s="1"/>
  <c r="AF54" i="228" s="1"/>
  <c r="AF55" i="228" s="1"/>
  <c r="AF56" i="228" s="1"/>
  <c r="AF57" i="228" s="1"/>
  <c r="AF58" i="228" s="1"/>
  <c r="AF59" i="228" s="1"/>
  <c r="AH40" i="228"/>
  <c r="AH41" i="228" s="1"/>
  <c r="AH42" i="228" s="1"/>
  <c r="AH43" i="228" s="1"/>
  <c r="AH44" i="228" s="1"/>
  <c r="AH45" i="228" s="1"/>
  <c r="AH46" i="228" s="1"/>
  <c r="AH47" i="228" s="1"/>
  <c r="AH48" i="228" s="1"/>
  <c r="AH49" i="228" s="1"/>
  <c r="AH50" i="228" s="1"/>
  <c r="AH51" i="228" s="1"/>
  <c r="AH52" i="228" s="1"/>
  <c r="AH53" i="228" s="1"/>
  <c r="AH54" i="228" s="1"/>
  <c r="AH55" i="228" s="1"/>
  <c r="AH56" i="228" s="1"/>
  <c r="AH57" i="228" s="1"/>
  <c r="AH58" i="228" s="1"/>
  <c r="AH59" i="228" s="1"/>
  <c r="AG40" i="228"/>
  <c r="AG41" i="228" s="1"/>
  <c r="AG42" i="228" s="1"/>
  <c r="AG43" i="228" s="1"/>
  <c r="AG44" i="228" s="1"/>
  <c r="AG45" i="228" s="1"/>
  <c r="AG46" i="228" s="1"/>
  <c r="AG47" i="228" s="1"/>
  <c r="AG48" i="228" s="1"/>
  <c r="AF40" i="228"/>
  <c r="R16" i="228"/>
  <c r="AJ16" i="228" s="1"/>
  <c r="G16" i="228"/>
  <c r="R15" i="228"/>
  <c r="AJ15" i="228" s="1"/>
  <c r="R14" i="228"/>
  <c r="AJ14" i="228" s="1"/>
  <c r="AB13" i="228"/>
  <c r="R13" i="228"/>
  <c r="AJ13" i="228" s="1"/>
  <c r="R12" i="228"/>
  <c r="AB11" i="228"/>
  <c r="R11" i="228"/>
  <c r="AJ11" i="228" s="1"/>
  <c r="R10" i="228"/>
  <c r="AJ10" i="228" s="1"/>
  <c r="R9" i="228"/>
  <c r="AJ9" i="228" s="1"/>
  <c r="R8" i="228"/>
  <c r="R7" i="228"/>
  <c r="R6" i="228"/>
  <c r="B4" i="228"/>
  <c r="A1" i="228"/>
  <c r="B5" i="228" s="1"/>
  <c r="R16" i="227"/>
  <c r="AB16" i="227" s="1"/>
  <c r="R15" i="227"/>
  <c r="AJ15" i="227" s="1"/>
  <c r="R14" i="227"/>
  <c r="AJ14" i="227" s="1"/>
  <c r="R13" i="227"/>
  <c r="Z13" i="227" s="1"/>
  <c r="R12" i="227"/>
  <c r="R11" i="227"/>
  <c r="AJ11" i="227" s="1"/>
  <c r="R10" i="227"/>
  <c r="AJ10" i="227" s="1"/>
  <c r="R9" i="227"/>
  <c r="AB9" i="227" s="1"/>
  <c r="R8" i="227"/>
  <c r="AJ8" i="227" s="1"/>
  <c r="R7" i="227"/>
  <c r="AJ7" i="227" s="1"/>
  <c r="AF40" i="227"/>
  <c r="AF41" i="227" s="1"/>
  <c r="AF42" i="227" s="1"/>
  <c r="AF43" i="227" s="1"/>
  <c r="AF44" i="227" s="1"/>
  <c r="AF45" i="227" s="1"/>
  <c r="AF46" i="227" s="1"/>
  <c r="AG40" i="227"/>
  <c r="AG41" i="227" s="1"/>
  <c r="AG42" i="227" s="1"/>
  <c r="AG43" i="227" s="1"/>
  <c r="AG44" i="227" s="1"/>
  <c r="AG45" i="227" s="1"/>
  <c r="AG46" i="227" s="1"/>
  <c r="AG47" i="227" s="1"/>
  <c r="AG48" i="227" s="1"/>
  <c r="AH40" i="227"/>
  <c r="AH41" i="227"/>
  <c r="AH42" i="227" s="1"/>
  <c r="AH43" i="227" s="1"/>
  <c r="AH44" i="227" s="1"/>
  <c r="AH45" i="227" s="1"/>
  <c r="AH46" i="227" s="1"/>
  <c r="AH47" i="227" s="1"/>
  <c r="AH48" i="227" s="1"/>
  <c r="AH49" i="227" s="1"/>
  <c r="AH50" i="227" s="1"/>
  <c r="AH51" i="227" s="1"/>
  <c r="AH52" i="227" s="1"/>
  <c r="AH53" i="227" s="1"/>
  <c r="AH54" i="227" s="1"/>
  <c r="AH55" i="227" s="1"/>
  <c r="AH56" i="227" s="1"/>
  <c r="AH57" i="227" s="1"/>
  <c r="AH58" i="227" s="1"/>
  <c r="AH59" i="227" s="1"/>
  <c r="AG50" i="227"/>
  <c r="AG51" i="227" s="1"/>
  <c r="AG52" i="227" s="1"/>
  <c r="AG53" i="227" s="1"/>
  <c r="AG54" i="227" s="1"/>
  <c r="AG55" i="227" s="1"/>
  <c r="AG56" i="227" s="1"/>
  <c r="AG57" i="227" s="1"/>
  <c r="AG58" i="227" s="1"/>
  <c r="AG59" i="227" s="1"/>
  <c r="G16" i="227"/>
  <c r="R6" i="227"/>
  <c r="B4" i="227"/>
  <c r="A1" i="227"/>
  <c r="B5" i="227" s="1"/>
  <c r="AJ6" i="229" l="1"/>
  <c r="AB9" i="230"/>
  <c r="AJ15" i="230"/>
  <c r="AJ18" i="230"/>
  <c r="AB15" i="228"/>
  <c r="AJ14" i="229"/>
  <c r="AJ10" i="230"/>
  <c r="AB9" i="228"/>
  <c r="AJ11" i="230"/>
  <c r="AJ16" i="230"/>
  <c r="Z12" i="227"/>
  <c r="AJ7" i="228"/>
  <c r="AJ12" i="228"/>
  <c r="AJ9" i="229"/>
  <c r="AJ12" i="230"/>
  <c r="AJ6" i="228"/>
  <c r="AB7" i="228"/>
  <c r="AJ10" i="229"/>
  <c r="AB13" i="230"/>
  <c r="AJ14" i="230"/>
  <c r="AB7" i="230"/>
  <c r="AJ13" i="230"/>
  <c r="AJ9" i="230"/>
  <c r="AH49" i="230"/>
  <c r="AH50" i="230" s="1"/>
  <c r="AH51" i="230" s="1"/>
  <c r="AH52" i="230" s="1"/>
  <c r="AH53" i="230" s="1"/>
  <c r="AH54" i="230" s="1"/>
  <c r="AH55" i="230" s="1"/>
  <c r="AH56" i="230" s="1"/>
  <c r="AH57" i="230" s="1"/>
  <c r="Z6" i="230"/>
  <c r="Z8" i="230"/>
  <c r="Z10" i="230"/>
  <c r="Z12" i="230"/>
  <c r="Z14" i="230"/>
  <c r="AB6" i="230"/>
  <c r="AB8" i="230"/>
  <c r="AB10" i="230"/>
  <c r="AB12" i="230"/>
  <c r="AB14" i="230"/>
  <c r="Z16" i="230"/>
  <c r="Z18" i="230"/>
  <c r="Z20" i="230"/>
  <c r="Z7" i="230"/>
  <c r="Z9" i="230"/>
  <c r="Z11" i="230"/>
  <c r="Z13" i="230"/>
  <c r="Z15" i="230"/>
  <c r="Z20" i="229"/>
  <c r="AJ20" i="229"/>
  <c r="Z19" i="229"/>
  <c r="AB19" i="229"/>
  <c r="AB17" i="229"/>
  <c r="Z17" i="229"/>
  <c r="Z16" i="229"/>
  <c r="AB16" i="229"/>
  <c r="Z15" i="229"/>
  <c r="AJ13" i="229"/>
  <c r="AJ12" i="229"/>
  <c r="AJ11" i="229"/>
  <c r="Z11" i="229"/>
  <c r="AB10" i="229"/>
  <c r="Z10" i="229"/>
  <c r="Z8" i="229"/>
  <c r="AJ8" i="229"/>
  <c r="AB7" i="229"/>
  <c r="AJ7" i="229"/>
  <c r="AB6" i="229"/>
  <c r="AG56" i="229"/>
  <c r="AG57" i="229" s="1"/>
  <c r="AG58" i="229" s="1"/>
  <c r="AG59" i="229" s="1"/>
  <c r="AF47" i="229"/>
  <c r="Z12" i="229" s="1"/>
  <c r="AG47" i="229"/>
  <c r="AB12" i="229" s="1"/>
  <c r="AJ8" i="228"/>
  <c r="AB6" i="228"/>
  <c r="AB8" i="228"/>
  <c r="AB10" i="228"/>
  <c r="AB12" i="228"/>
  <c r="AB14" i="228"/>
  <c r="Z16" i="228"/>
  <c r="Z6" i="228"/>
  <c r="Z8" i="228"/>
  <c r="Z10" i="228"/>
  <c r="Z12" i="228"/>
  <c r="Z14" i="228"/>
  <c r="AB16" i="228"/>
  <c r="Z7" i="228"/>
  <c r="Z9" i="228"/>
  <c r="Z11" i="228"/>
  <c r="Z13" i="228"/>
  <c r="Z15" i="228"/>
  <c r="AJ16" i="227"/>
  <c r="Z16" i="227"/>
  <c r="AB15" i="227"/>
  <c r="Z15" i="227"/>
  <c r="Z14" i="227"/>
  <c r="AB14" i="227"/>
  <c r="AB13" i="227"/>
  <c r="AJ13" i="227"/>
  <c r="AB12" i="227"/>
  <c r="AJ12" i="227"/>
  <c r="AB11" i="227"/>
  <c r="Z11" i="227"/>
  <c r="Z10" i="227"/>
  <c r="AB10" i="227"/>
  <c r="AJ9" i="227"/>
  <c r="Z9" i="227"/>
  <c r="AB8" i="227"/>
  <c r="AB7" i="227"/>
  <c r="AJ6" i="227"/>
  <c r="AF47" i="227"/>
  <c r="AB6" i="227"/>
  <c r="L15" i="226"/>
  <c r="L14" i="226"/>
  <c r="L13" i="226"/>
  <c r="L9" i="226"/>
  <c r="L8" i="226"/>
  <c r="L7" i="226"/>
  <c r="L6" i="226"/>
  <c r="AG50" i="226"/>
  <c r="AG51" i="226" s="1"/>
  <c r="AG52" i="226" s="1"/>
  <c r="AG53" i="226" s="1"/>
  <c r="AG54" i="226" s="1"/>
  <c r="AG55" i="226" s="1"/>
  <c r="AG56" i="226" s="1"/>
  <c r="AG57" i="226" s="1"/>
  <c r="AG58" i="226" s="1"/>
  <c r="AG59" i="226" s="1"/>
  <c r="AF41" i="226"/>
  <c r="AF42" i="226" s="1"/>
  <c r="AF43" i="226" s="1"/>
  <c r="AF44" i="226" s="1"/>
  <c r="AF45" i="226" s="1"/>
  <c r="AF46" i="226" s="1"/>
  <c r="AF47" i="226" s="1"/>
  <c r="AH40" i="226"/>
  <c r="AH41" i="226" s="1"/>
  <c r="AH42" i="226" s="1"/>
  <c r="AH43" i="226" s="1"/>
  <c r="AH44" i="226" s="1"/>
  <c r="AH45" i="226" s="1"/>
  <c r="AH46" i="226" s="1"/>
  <c r="AH47" i="226" s="1"/>
  <c r="AH48" i="226" s="1"/>
  <c r="AH49" i="226" s="1"/>
  <c r="AH50" i="226" s="1"/>
  <c r="AH51" i="226" s="1"/>
  <c r="AH52" i="226" s="1"/>
  <c r="AH53" i="226" s="1"/>
  <c r="AH54" i="226" s="1"/>
  <c r="AH55" i="226" s="1"/>
  <c r="AH56" i="226" s="1"/>
  <c r="AH57" i="226" s="1"/>
  <c r="AH58" i="226" s="1"/>
  <c r="AH59" i="226" s="1"/>
  <c r="AG40" i="226"/>
  <c r="AG41" i="226" s="1"/>
  <c r="AG42" i="226" s="1"/>
  <c r="AG43" i="226" s="1"/>
  <c r="AG44" i="226" s="1"/>
  <c r="AG45" i="226" s="1"/>
  <c r="AG46" i="226" s="1"/>
  <c r="AG47" i="226" s="1"/>
  <c r="AG48" i="226" s="1"/>
  <c r="AF40" i="226"/>
  <c r="R17" i="226"/>
  <c r="AJ17" i="226" s="1"/>
  <c r="R16" i="226"/>
  <c r="AB16" i="226" s="1"/>
  <c r="G16" i="226"/>
  <c r="R15" i="226"/>
  <c r="R14" i="226"/>
  <c r="R13" i="226"/>
  <c r="R12" i="226"/>
  <c r="AJ12" i="226" s="1"/>
  <c r="R11" i="226"/>
  <c r="AJ11" i="226" s="1"/>
  <c r="Z10" i="226"/>
  <c r="R10" i="226"/>
  <c r="AJ10" i="226" s="1"/>
  <c r="R9" i="226"/>
  <c r="R8" i="226"/>
  <c r="R7" i="226"/>
  <c r="R6" i="226"/>
  <c r="B4" i="226"/>
  <c r="A1" i="226"/>
  <c r="B5" i="226" s="1"/>
  <c r="R17" i="225"/>
  <c r="AJ17" i="225" s="1"/>
  <c r="R16" i="225"/>
  <c r="AJ16" i="225" s="1"/>
  <c r="R15" i="225"/>
  <c r="R14" i="225"/>
  <c r="R13" i="225"/>
  <c r="AB13" i="225" s="1"/>
  <c r="R12" i="225"/>
  <c r="AB12" i="225" s="1"/>
  <c r="R11" i="225"/>
  <c r="AJ11" i="225" s="1"/>
  <c r="AJ9" i="222"/>
  <c r="AJ12" i="222"/>
  <c r="AJ13" i="222"/>
  <c r="AJ14" i="222"/>
  <c r="AJ15" i="222"/>
  <c r="AJ16" i="222"/>
  <c r="AJ17" i="222"/>
  <c r="AJ18" i="222"/>
  <c r="AJ19" i="222"/>
  <c r="AJ9" i="223"/>
  <c r="AJ12" i="223"/>
  <c r="AJ13" i="223"/>
  <c r="AJ14" i="223"/>
  <c r="AJ15" i="223"/>
  <c r="AJ16" i="223"/>
  <c r="AJ17" i="223"/>
  <c r="AJ18" i="223"/>
  <c r="AJ19" i="223"/>
  <c r="AB9" i="223"/>
  <c r="AB12" i="223"/>
  <c r="AB13" i="223"/>
  <c r="AB14" i="223"/>
  <c r="AB15" i="223"/>
  <c r="AB16" i="223"/>
  <c r="AB17" i="223"/>
  <c r="AB18" i="223"/>
  <c r="AB19" i="223"/>
  <c r="AB9" i="222"/>
  <c r="AB12" i="222"/>
  <c r="AB13" i="222"/>
  <c r="AB14" i="222"/>
  <c r="AB15" i="222"/>
  <c r="AB16" i="222"/>
  <c r="AB17" i="222"/>
  <c r="AB18" i="222"/>
  <c r="AB19" i="222"/>
  <c r="Z19" i="222"/>
  <c r="Z9" i="222"/>
  <c r="Z12" i="222"/>
  <c r="Z13" i="222"/>
  <c r="Z14" i="222"/>
  <c r="Z15" i="222"/>
  <c r="Z16" i="222"/>
  <c r="Z17" i="222"/>
  <c r="Z18" i="222"/>
  <c r="Z9" i="223"/>
  <c r="Z12" i="223"/>
  <c r="Z13" i="223"/>
  <c r="Z14" i="223"/>
  <c r="Z15" i="223"/>
  <c r="Z16" i="223"/>
  <c r="Z17" i="223"/>
  <c r="Z18" i="223"/>
  <c r="Z19" i="223"/>
  <c r="AG50" i="217"/>
  <c r="AG51" i="217" s="1"/>
  <c r="AG52" i="217" s="1"/>
  <c r="AG53" i="217" s="1"/>
  <c r="AG54" i="217" s="1"/>
  <c r="AG55" i="217" s="1"/>
  <c r="AG56" i="217" s="1"/>
  <c r="AG57" i="217" s="1"/>
  <c r="AG58" i="217" s="1"/>
  <c r="AG59" i="217" s="1"/>
  <c r="AF41" i="217"/>
  <c r="AF42" i="217" s="1"/>
  <c r="AF43" i="217" s="1"/>
  <c r="AF44" i="217" s="1"/>
  <c r="AF45" i="217" s="1"/>
  <c r="AF46" i="217" s="1"/>
  <c r="AF47" i="217" s="1"/>
  <c r="AF48" i="217" s="1"/>
  <c r="AF49" i="217" s="1"/>
  <c r="AF50" i="217" s="1"/>
  <c r="AF51" i="217" s="1"/>
  <c r="AF52" i="217" s="1"/>
  <c r="AF53" i="217" s="1"/>
  <c r="AF54" i="217" s="1"/>
  <c r="AF55" i="217" s="1"/>
  <c r="AF56" i="217" s="1"/>
  <c r="AF57" i="217" s="1"/>
  <c r="AF58" i="217" s="1"/>
  <c r="AF59" i="217" s="1"/>
  <c r="AH40" i="217"/>
  <c r="AH41" i="217" s="1"/>
  <c r="AH42" i="217" s="1"/>
  <c r="AH43" i="217" s="1"/>
  <c r="AH44" i="217" s="1"/>
  <c r="AH45" i="217" s="1"/>
  <c r="AH46" i="217" s="1"/>
  <c r="AH47" i="217" s="1"/>
  <c r="AH48" i="217" s="1"/>
  <c r="AH49" i="217" s="1"/>
  <c r="AH50" i="217" s="1"/>
  <c r="AH51" i="217" s="1"/>
  <c r="AH52" i="217" s="1"/>
  <c r="AH53" i="217" s="1"/>
  <c r="AH54" i="217" s="1"/>
  <c r="AH55" i="217" s="1"/>
  <c r="AH56" i="217" s="1"/>
  <c r="AH57" i="217" s="1"/>
  <c r="AH58" i="217" s="1"/>
  <c r="AH59" i="217" s="1"/>
  <c r="AG40" i="217"/>
  <c r="AG41" i="217" s="1"/>
  <c r="AG42" i="217" s="1"/>
  <c r="AG43" i="217" s="1"/>
  <c r="AG44" i="217" s="1"/>
  <c r="AG45" i="217" s="1"/>
  <c r="AG46" i="217" s="1"/>
  <c r="AG47" i="217" s="1"/>
  <c r="AG48" i="217" s="1"/>
  <c r="AF40" i="217"/>
  <c r="AG50" i="221"/>
  <c r="AG51" i="221" s="1"/>
  <c r="AG52" i="221" s="1"/>
  <c r="AG53" i="221" s="1"/>
  <c r="AG54" i="221" s="1"/>
  <c r="AG55" i="221" s="1"/>
  <c r="AG56" i="221" s="1"/>
  <c r="AG57" i="221" s="1"/>
  <c r="AG58" i="221" s="1"/>
  <c r="AG59" i="221" s="1"/>
  <c r="AH41" i="221"/>
  <c r="AH42" i="221" s="1"/>
  <c r="AH43" i="221" s="1"/>
  <c r="AH44" i="221" s="1"/>
  <c r="AH45" i="221" s="1"/>
  <c r="AH46" i="221" s="1"/>
  <c r="AH47" i="221" s="1"/>
  <c r="AH48" i="221" s="1"/>
  <c r="AH49" i="221" s="1"/>
  <c r="AH50" i="221" s="1"/>
  <c r="AH51" i="221" s="1"/>
  <c r="AH52" i="221" s="1"/>
  <c r="AH53" i="221" s="1"/>
  <c r="AH54" i="221" s="1"/>
  <c r="AH55" i="221" s="1"/>
  <c r="AH56" i="221" s="1"/>
  <c r="AH57" i="221" s="1"/>
  <c r="AH58" i="221" s="1"/>
  <c r="AH59" i="221" s="1"/>
  <c r="AF41" i="221"/>
  <c r="AF42" i="221" s="1"/>
  <c r="AF43" i="221" s="1"/>
  <c r="AF44" i="221" s="1"/>
  <c r="AF45" i="221" s="1"/>
  <c r="AF46" i="221" s="1"/>
  <c r="AF47" i="221" s="1"/>
  <c r="AF48" i="221" s="1"/>
  <c r="AF49" i="221" s="1"/>
  <c r="AF50" i="221" s="1"/>
  <c r="AF51" i="221" s="1"/>
  <c r="AF52" i="221" s="1"/>
  <c r="AF53" i="221" s="1"/>
  <c r="AF54" i="221" s="1"/>
  <c r="AF55" i="221" s="1"/>
  <c r="AF56" i="221" s="1"/>
  <c r="AF57" i="221" s="1"/>
  <c r="AF58" i="221" s="1"/>
  <c r="AF59" i="221" s="1"/>
  <c r="AH40" i="221"/>
  <c r="AG40" i="221"/>
  <c r="AG41" i="221" s="1"/>
  <c r="AG42" i="221" s="1"/>
  <c r="AG43" i="221" s="1"/>
  <c r="AG44" i="221" s="1"/>
  <c r="AG45" i="221" s="1"/>
  <c r="AG46" i="221" s="1"/>
  <c r="AG47" i="221" s="1"/>
  <c r="AG48" i="221" s="1"/>
  <c r="AF40" i="221"/>
  <c r="R8" i="225"/>
  <c r="AG50" i="225"/>
  <c r="AG51" i="225" s="1"/>
  <c r="AG52" i="225" s="1"/>
  <c r="AG53" i="225" s="1"/>
  <c r="AG54" i="225" s="1"/>
  <c r="AG55" i="225" s="1"/>
  <c r="AG56" i="225" s="1"/>
  <c r="AG57" i="225" s="1"/>
  <c r="AG58" i="225" s="1"/>
  <c r="AG59" i="225" s="1"/>
  <c r="AH40" i="225"/>
  <c r="AH41" i="225" s="1"/>
  <c r="AH42" i="225" s="1"/>
  <c r="AH43" i="225" s="1"/>
  <c r="AH44" i="225" s="1"/>
  <c r="AH45" i="225" s="1"/>
  <c r="AH46" i="225" s="1"/>
  <c r="AH47" i="225" s="1"/>
  <c r="AH48" i="225" s="1"/>
  <c r="AH49" i="225" s="1"/>
  <c r="AH50" i="225" s="1"/>
  <c r="AH51" i="225" s="1"/>
  <c r="AH52" i="225" s="1"/>
  <c r="AH53" i="225" s="1"/>
  <c r="AH54" i="225" s="1"/>
  <c r="AH55" i="225" s="1"/>
  <c r="AH56" i="225" s="1"/>
  <c r="AH57" i="225" s="1"/>
  <c r="AH58" i="225" s="1"/>
  <c r="AH59" i="225" s="1"/>
  <c r="AG40" i="225"/>
  <c r="AG41" i="225" s="1"/>
  <c r="AG42" i="225" s="1"/>
  <c r="AG43" i="225" s="1"/>
  <c r="AG44" i="225" s="1"/>
  <c r="AG45" i="225" s="1"/>
  <c r="AG46" i="225" s="1"/>
  <c r="AG47" i="225" s="1"/>
  <c r="AG48" i="225" s="1"/>
  <c r="AF40" i="225"/>
  <c r="AF41" i="225" s="1"/>
  <c r="AF42" i="225" s="1"/>
  <c r="AF43" i="225" s="1"/>
  <c r="AF44" i="225" s="1"/>
  <c r="AF45" i="225" s="1"/>
  <c r="AF46" i="225" s="1"/>
  <c r="AF47" i="225" s="1"/>
  <c r="AF48" i="225" s="1"/>
  <c r="AF49" i="225" s="1"/>
  <c r="AF50" i="225" s="1"/>
  <c r="AF51" i="225" s="1"/>
  <c r="AF52" i="225" s="1"/>
  <c r="AF53" i="225" s="1"/>
  <c r="AF54" i="225" s="1"/>
  <c r="AF55" i="225" s="1"/>
  <c r="AF56" i="225" s="1"/>
  <c r="AF57" i="225" s="1"/>
  <c r="AF58" i="225" s="1"/>
  <c r="AF59" i="225" s="1"/>
  <c r="G16" i="225"/>
  <c r="R10" i="225"/>
  <c r="AJ10" i="225" s="1"/>
  <c r="R9" i="225"/>
  <c r="R7" i="225"/>
  <c r="AJ7" i="225" s="1"/>
  <c r="R6" i="225"/>
  <c r="B4" i="225"/>
  <c r="A1" i="225"/>
  <c r="B5" i="225" s="1"/>
  <c r="Z8" i="225" l="1"/>
  <c r="AJ14" i="225"/>
  <c r="AJ8" i="225"/>
  <c r="AJ15" i="225"/>
  <c r="AB14" i="229"/>
  <c r="Z6" i="225"/>
  <c r="AB8" i="225"/>
  <c r="Z14" i="229"/>
  <c r="AJ16" i="226"/>
  <c r="Z7" i="225"/>
  <c r="AJ9" i="225"/>
  <c r="Z12" i="226"/>
  <c r="AJ6" i="230"/>
  <c r="AJ7" i="230"/>
  <c r="AH58" i="230"/>
  <c r="AH59" i="230" s="1"/>
  <c r="AG48" i="229"/>
  <c r="AF48" i="229"/>
  <c r="AF48" i="227"/>
  <c r="AF49" i="227" s="1"/>
  <c r="AF50" i="227" s="1"/>
  <c r="Z7" i="227" s="1"/>
  <c r="AJ8" i="226"/>
  <c r="AJ6" i="226"/>
  <c r="AJ7" i="226"/>
  <c r="AJ13" i="226"/>
  <c r="AJ14" i="226"/>
  <c r="AF48" i="226"/>
  <c r="AF49" i="226" s="1"/>
  <c r="AF50" i="226" s="1"/>
  <c r="AF51" i="226" s="1"/>
  <c r="AF52" i="226" s="1"/>
  <c r="Z14" i="226"/>
  <c r="AJ9" i="226"/>
  <c r="AJ15" i="226"/>
  <c r="Z11" i="226"/>
  <c r="Z13" i="226"/>
  <c r="Z15" i="226"/>
  <c r="AB7" i="226"/>
  <c r="AB9" i="226"/>
  <c r="AB11" i="226"/>
  <c r="AB13" i="226"/>
  <c r="AB15" i="226"/>
  <c r="Z17" i="226"/>
  <c r="AB17" i="226"/>
  <c r="AB6" i="226"/>
  <c r="AB8" i="226"/>
  <c r="AB10" i="226"/>
  <c r="AB12" i="226"/>
  <c r="AB14" i="226"/>
  <c r="Z16" i="226"/>
  <c r="Z17" i="225"/>
  <c r="AB17" i="225"/>
  <c r="Z16" i="225"/>
  <c r="AB16" i="225"/>
  <c r="AJ13" i="225"/>
  <c r="Z15" i="225"/>
  <c r="AB15" i="225"/>
  <c r="Z14" i="225"/>
  <c r="AB14" i="225"/>
  <c r="Z13" i="225"/>
  <c r="AJ12" i="225"/>
  <c r="Z12" i="225"/>
  <c r="Z11" i="225"/>
  <c r="AB11" i="225"/>
  <c r="AJ6" i="225"/>
  <c r="AB7" i="225"/>
  <c r="AB6" i="225"/>
  <c r="Z9" i="225"/>
  <c r="AB9" i="225"/>
  <c r="Z10" i="225"/>
  <c r="AB10" i="225"/>
  <c r="AB13" i="229" l="1"/>
  <c r="AB9" i="229"/>
  <c r="AF49" i="229"/>
  <c r="AF50" i="229" s="1"/>
  <c r="Z9" i="229"/>
  <c r="Z13" i="229"/>
  <c r="AF51" i="229"/>
  <c r="AF52" i="229" s="1"/>
  <c r="AF53" i="229" s="1"/>
  <c r="Z6" i="227"/>
  <c r="AF51" i="227"/>
  <c r="Z6" i="226"/>
  <c r="AF53" i="226"/>
  <c r="AF54" i="226" s="1"/>
  <c r="AF55" i="226" s="1"/>
  <c r="AF56" i="226" s="1"/>
  <c r="AF57" i="226" s="1"/>
  <c r="AG50" i="224"/>
  <c r="AG51" i="224" s="1"/>
  <c r="AG52" i="224" s="1"/>
  <c r="AG53" i="224" s="1"/>
  <c r="AG54" i="224" s="1"/>
  <c r="AG55" i="224" s="1"/>
  <c r="AG56" i="224" s="1"/>
  <c r="AG41" i="224"/>
  <c r="AG42" i="224" s="1"/>
  <c r="AG43" i="224" s="1"/>
  <c r="AG44" i="224" s="1"/>
  <c r="AG45" i="224" s="1"/>
  <c r="AG46" i="224" s="1"/>
  <c r="AG47" i="224" s="1"/>
  <c r="AF41" i="224"/>
  <c r="AF42" i="224" s="1"/>
  <c r="AF43" i="224" s="1"/>
  <c r="AF44" i="224" s="1"/>
  <c r="AF45" i="224" s="1"/>
  <c r="AF46" i="224" s="1"/>
  <c r="AF47" i="224" s="1"/>
  <c r="AH40" i="224"/>
  <c r="AH41" i="224" s="1"/>
  <c r="AH42" i="224" s="1"/>
  <c r="AH43" i="224" s="1"/>
  <c r="AH44" i="224" s="1"/>
  <c r="AH45" i="224" s="1"/>
  <c r="AH46" i="224" s="1"/>
  <c r="AH47" i="224" s="1"/>
  <c r="AH48" i="224" s="1"/>
  <c r="AH49" i="224" s="1"/>
  <c r="AH50" i="224" s="1"/>
  <c r="AH51" i="224" s="1"/>
  <c r="AH52" i="224" s="1"/>
  <c r="AH53" i="224" s="1"/>
  <c r="AH54" i="224" s="1"/>
  <c r="AH55" i="224" s="1"/>
  <c r="AH56" i="224" s="1"/>
  <c r="AH57" i="224" s="1"/>
  <c r="AH58" i="224" s="1"/>
  <c r="AH59" i="224" s="1"/>
  <c r="AG40" i="224"/>
  <c r="AF40" i="224"/>
  <c r="R16" i="224"/>
  <c r="G16" i="224"/>
  <c r="R15" i="224"/>
  <c r="R14" i="224"/>
  <c r="R13" i="224"/>
  <c r="R12" i="224"/>
  <c r="R11" i="224"/>
  <c r="R10" i="224"/>
  <c r="R9" i="224"/>
  <c r="R8" i="224"/>
  <c r="R7" i="224"/>
  <c r="R6" i="224"/>
  <c r="B4" i="224"/>
  <c r="A1" i="224"/>
  <c r="B5" i="224" s="1"/>
  <c r="AJ13" i="224" l="1"/>
  <c r="AJ14" i="224"/>
  <c r="AJ7" i="224"/>
  <c r="AJ9" i="224"/>
  <c r="AJ15" i="224"/>
  <c r="AJ11" i="224"/>
  <c r="AF52" i="227"/>
  <c r="AF53" i="227" s="1"/>
  <c r="AF54" i="227" s="1"/>
  <c r="AF55" i="227" s="1"/>
  <c r="Z8" i="227"/>
  <c r="AF54" i="229"/>
  <c r="AF55" i="229" s="1"/>
  <c r="AF58" i="226"/>
  <c r="Z7" i="226"/>
  <c r="AB8" i="224"/>
  <c r="AG57" i="224"/>
  <c r="AG58" i="224" s="1"/>
  <c r="AG59" i="224" s="1"/>
  <c r="AB10" i="224" s="1"/>
  <c r="AG48" i="224"/>
  <c r="AB15" i="224"/>
  <c r="AB13" i="224"/>
  <c r="Z15" i="224"/>
  <c r="AF48" i="224"/>
  <c r="AF49" i="224" s="1"/>
  <c r="AF50" i="224" s="1"/>
  <c r="AF51" i="224" s="1"/>
  <c r="AF52" i="224" s="1"/>
  <c r="AF53" i="224" s="1"/>
  <c r="AF54" i="224" s="1"/>
  <c r="AF55" i="224" s="1"/>
  <c r="AF56" i="224" s="1"/>
  <c r="AF57" i="224" s="1"/>
  <c r="AF58" i="224" s="1"/>
  <c r="AF59" i="224" s="1"/>
  <c r="Z10" i="224" s="1"/>
  <c r="Z13" i="224"/>
  <c r="AJ8" i="224"/>
  <c r="AJ10" i="224"/>
  <c r="Z9" i="224"/>
  <c r="Z11" i="224"/>
  <c r="AB11" i="224"/>
  <c r="Z14" i="224"/>
  <c r="AB14" i="224"/>
  <c r="AF56" i="229" l="1"/>
  <c r="AF56" i="227"/>
  <c r="AF57" i="227" s="1"/>
  <c r="AF58" i="227" s="1"/>
  <c r="AF59" i="227" s="1"/>
  <c r="Z8" i="226"/>
  <c r="AF59" i="226"/>
  <c r="Z9" i="226"/>
  <c r="AB7" i="224"/>
  <c r="Z7" i="224"/>
  <c r="Z8" i="224"/>
  <c r="AB9" i="224"/>
  <c r="AF57" i="229" l="1"/>
  <c r="Z6" i="229"/>
  <c r="R7" i="202"/>
  <c r="R8" i="202"/>
  <c r="R9" i="202"/>
  <c r="R10" i="202"/>
  <c r="R11" i="202"/>
  <c r="R12" i="202"/>
  <c r="R13" i="202"/>
  <c r="R14" i="202"/>
  <c r="R15" i="202"/>
  <c r="R16" i="202"/>
  <c r="R17" i="202"/>
  <c r="R18" i="202"/>
  <c r="R19" i="202"/>
  <c r="R20" i="202"/>
  <c r="R21" i="202"/>
  <c r="R22" i="202"/>
  <c r="R6" i="202"/>
  <c r="AF58" i="229" l="1"/>
  <c r="AF59" i="229" s="1"/>
  <c r="Z7" i="229"/>
  <c r="L11" i="223"/>
  <c r="L10" i="223"/>
  <c r="L8" i="223"/>
  <c r="L7" i="223"/>
  <c r="L6" i="223"/>
  <c r="AG50" i="223"/>
  <c r="AG51" i="223" s="1"/>
  <c r="AG52" i="223" s="1"/>
  <c r="AG53" i="223" s="1"/>
  <c r="AG54" i="223" s="1"/>
  <c r="AG55" i="223" s="1"/>
  <c r="AG56" i="223" s="1"/>
  <c r="AG57" i="223" s="1"/>
  <c r="AG58" i="223" s="1"/>
  <c r="AG59" i="223" s="1"/>
  <c r="AG41" i="223"/>
  <c r="AG42" i="223" s="1"/>
  <c r="AG43" i="223" s="1"/>
  <c r="AG44" i="223" s="1"/>
  <c r="AG45" i="223" s="1"/>
  <c r="AG46" i="223" s="1"/>
  <c r="AG47" i="223" s="1"/>
  <c r="AG48" i="223" s="1"/>
  <c r="AH40" i="223"/>
  <c r="AH41" i="223" s="1"/>
  <c r="AH42" i="223" s="1"/>
  <c r="AH43" i="223" s="1"/>
  <c r="AH44" i="223" s="1"/>
  <c r="AH45" i="223" s="1"/>
  <c r="AH46" i="223" s="1"/>
  <c r="AH47" i="223" s="1"/>
  <c r="AH48" i="223" s="1"/>
  <c r="AH49" i="223" s="1"/>
  <c r="AH50" i="223" s="1"/>
  <c r="AH51" i="223" s="1"/>
  <c r="AH52" i="223" s="1"/>
  <c r="AH53" i="223" s="1"/>
  <c r="AH54" i="223" s="1"/>
  <c r="AH55" i="223" s="1"/>
  <c r="AH56" i="223" s="1"/>
  <c r="AH57" i="223" s="1"/>
  <c r="AH58" i="223" s="1"/>
  <c r="AH59" i="223" s="1"/>
  <c r="AG40" i="223"/>
  <c r="AF40" i="223"/>
  <c r="AF41" i="223" s="1"/>
  <c r="AF42" i="223" s="1"/>
  <c r="AF43" i="223" s="1"/>
  <c r="AF44" i="223" s="1"/>
  <c r="AF45" i="223" s="1"/>
  <c r="AF46" i="223" s="1"/>
  <c r="AF47" i="223" s="1"/>
  <c r="AF48" i="223" s="1"/>
  <c r="AF49" i="223" s="1"/>
  <c r="AF50" i="223" s="1"/>
  <c r="AF51" i="223" s="1"/>
  <c r="AF52" i="223" s="1"/>
  <c r="AF53" i="223" s="1"/>
  <c r="AF54" i="223" s="1"/>
  <c r="AF55" i="223" s="1"/>
  <c r="AF56" i="223" s="1"/>
  <c r="AF57" i="223" s="1"/>
  <c r="AF58" i="223" s="1"/>
  <c r="AF59" i="223" s="1"/>
  <c r="G16" i="223"/>
  <c r="R11" i="223"/>
  <c r="R10" i="223"/>
  <c r="R8" i="223"/>
  <c r="R7" i="223"/>
  <c r="R6" i="223"/>
  <c r="B4" i="223"/>
  <c r="A1" i="223"/>
  <c r="B5" i="223" s="1"/>
  <c r="R11" i="222"/>
  <c r="R10" i="222"/>
  <c r="R8" i="222"/>
  <c r="R7" i="222"/>
  <c r="AG50" i="222"/>
  <c r="AG51" i="222" s="1"/>
  <c r="AG52" i="222" s="1"/>
  <c r="AG53" i="222" s="1"/>
  <c r="AG54" i="222" s="1"/>
  <c r="AG55" i="222" s="1"/>
  <c r="AG56" i="222" s="1"/>
  <c r="AG57" i="222" s="1"/>
  <c r="AG58" i="222" s="1"/>
  <c r="AG59" i="222" s="1"/>
  <c r="AH41" i="222"/>
  <c r="AH42" i="222" s="1"/>
  <c r="AH43" i="222" s="1"/>
  <c r="AH44" i="222" s="1"/>
  <c r="AH45" i="222" s="1"/>
  <c r="AH46" i="222" s="1"/>
  <c r="AH47" i="222" s="1"/>
  <c r="AH48" i="222" s="1"/>
  <c r="AH49" i="222" s="1"/>
  <c r="AH50" i="222" s="1"/>
  <c r="AH51" i="222" s="1"/>
  <c r="AH52" i="222" s="1"/>
  <c r="AH53" i="222" s="1"/>
  <c r="AH54" i="222" s="1"/>
  <c r="AH55" i="222" s="1"/>
  <c r="AH56" i="222" s="1"/>
  <c r="AH57" i="222" s="1"/>
  <c r="AH58" i="222" s="1"/>
  <c r="AH59" i="222" s="1"/>
  <c r="AH40" i="222"/>
  <c r="AG40" i="222"/>
  <c r="AG41" i="222" s="1"/>
  <c r="AG42" i="222" s="1"/>
  <c r="AG43" i="222" s="1"/>
  <c r="AG44" i="222" s="1"/>
  <c r="AG45" i="222" s="1"/>
  <c r="AG46" i="222" s="1"/>
  <c r="AG47" i="222" s="1"/>
  <c r="AG48" i="222" s="1"/>
  <c r="AF40" i="222"/>
  <c r="AF41" i="222" s="1"/>
  <c r="AF42" i="222" s="1"/>
  <c r="AF43" i="222" s="1"/>
  <c r="AF44" i="222" s="1"/>
  <c r="AF45" i="222" s="1"/>
  <c r="AF46" i="222" s="1"/>
  <c r="G16" i="222"/>
  <c r="R6" i="222"/>
  <c r="B4" i="222"/>
  <c r="A1" i="222"/>
  <c r="B5" i="222" s="1"/>
  <c r="L22" i="221"/>
  <c r="L21" i="221"/>
  <c r="L20" i="221"/>
  <c r="L19" i="221"/>
  <c r="L14" i="221"/>
  <c r="L13" i="221"/>
  <c r="L12" i="221"/>
  <c r="L10" i="221"/>
  <c r="L11" i="221"/>
  <c r="L8" i="221"/>
  <c r="L9" i="221"/>
  <c r="L7" i="221"/>
  <c r="L6" i="221"/>
  <c r="L24" i="220"/>
  <c r="L23" i="220"/>
  <c r="L20" i="220"/>
  <c r="L19" i="220"/>
  <c r="L18" i="220"/>
  <c r="L17" i="220"/>
  <c r="L16" i="220"/>
  <c r="L15" i="220"/>
  <c r="L13" i="220"/>
  <c r="L14" i="220"/>
  <c r="L12" i="220"/>
  <c r="L10" i="220"/>
  <c r="L11" i="220"/>
  <c r="L9" i="220"/>
  <c r="L8" i="220"/>
  <c r="L7" i="220"/>
  <c r="L6" i="220"/>
  <c r="L22" i="219"/>
  <c r="L21" i="219"/>
  <c r="L20" i="219"/>
  <c r="L19" i="219"/>
  <c r="L18" i="219"/>
  <c r="L14" i="219"/>
  <c r="L15" i="219"/>
  <c r="L13" i="219"/>
  <c r="L12" i="219"/>
  <c r="L11" i="219"/>
  <c r="L10" i="219"/>
  <c r="L9" i="219"/>
  <c r="L8" i="219"/>
  <c r="L7" i="219"/>
  <c r="L6" i="219"/>
  <c r="L24" i="218"/>
  <c r="L23" i="218"/>
  <c r="L22" i="218"/>
  <c r="L21" i="218"/>
  <c r="L20" i="218"/>
  <c r="L19" i="218"/>
  <c r="L18" i="218"/>
  <c r="L14" i="218"/>
  <c r="L13" i="218"/>
  <c r="L12" i="218"/>
  <c r="L11" i="218"/>
  <c r="L9" i="218"/>
  <c r="L10" i="218"/>
  <c r="L8" i="218"/>
  <c r="L7" i="218"/>
  <c r="L6" i="218"/>
  <c r="R22" i="221"/>
  <c r="R21" i="221"/>
  <c r="R20" i="221"/>
  <c r="R19" i="221"/>
  <c r="R18" i="221"/>
  <c r="R17" i="221"/>
  <c r="R16" i="221"/>
  <c r="G16" i="221"/>
  <c r="R15" i="221"/>
  <c r="R14" i="221"/>
  <c r="R13" i="221"/>
  <c r="R12" i="221"/>
  <c r="R11" i="221"/>
  <c r="R10" i="221"/>
  <c r="R9" i="221"/>
  <c r="R8" i="221"/>
  <c r="R7" i="221"/>
  <c r="R6" i="221"/>
  <c r="B4" i="221"/>
  <c r="A1" i="221"/>
  <c r="B5" i="221" s="1"/>
  <c r="AG50" i="220"/>
  <c r="AG51" i="220" s="1"/>
  <c r="AG52" i="220" s="1"/>
  <c r="AG53" i="220" s="1"/>
  <c r="AG54" i="220" s="1"/>
  <c r="AG55" i="220" s="1"/>
  <c r="AG56" i="220" s="1"/>
  <c r="AG41" i="220"/>
  <c r="AG42" i="220" s="1"/>
  <c r="AG43" i="220" s="1"/>
  <c r="AG44" i="220" s="1"/>
  <c r="AG45" i="220" s="1"/>
  <c r="AG46" i="220" s="1"/>
  <c r="AG47" i="220" s="1"/>
  <c r="AG48" i="220" s="1"/>
  <c r="AH40" i="220"/>
  <c r="AH41" i="220" s="1"/>
  <c r="AH42" i="220" s="1"/>
  <c r="AH43" i="220" s="1"/>
  <c r="AH44" i="220" s="1"/>
  <c r="AH45" i="220" s="1"/>
  <c r="AH46" i="220" s="1"/>
  <c r="AH47" i="220" s="1"/>
  <c r="AH48" i="220" s="1"/>
  <c r="AH49" i="220" s="1"/>
  <c r="AH50" i="220" s="1"/>
  <c r="AH51" i="220" s="1"/>
  <c r="AH52" i="220" s="1"/>
  <c r="AH53" i="220" s="1"/>
  <c r="AH54" i="220" s="1"/>
  <c r="AH55" i="220" s="1"/>
  <c r="AH56" i="220" s="1"/>
  <c r="AG40" i="220"/>
  <c r="AF40" i="220"/>
  <c r="AF41" i="220" s="1"/>
  <c r="AF42" i="220" s="1"/>
  <c r="AF43" i="220" s="1"/>
  <c r="AF44" i="220" s="1"/>
  <c r="AF45" i="220" s="1"/>
  <c r="AF46" i="220" s="1"/>
  <c r="AF47" i="220" s="1"/>
  <c r="AF48" i="220" s="1"/>
  <c r="AF49" i="220" s="1"/>
  <c r="AF50" i="220" s="1"/>
  <c r="AF51" i="220" s="1"/>
  <c r="AF52" i="220" s="1"/>
  <c r="AF53" i="220" s="1"/>
  <c r="AF54" i="220" s="1"/>
  <c r="AF55" i="220" s="1"/>
  <c r="AF56" i="220" s="1"/>
  <c r="AF57" i="220" s="1"/>
  <c r="AF58" i="220" s="1"/>
  <c r="AF59" i="220" s="1"/>
  <c r="R24" i="220"/>
  <c r="R23" i="220"/>
  <c r="R22" i="220"/>
  <c r="AB22" i="220" s="1"/>
  <c r="R21" i="220"/>
  <c r="Z21" i="220" s="1"/>
  <c r="R20" i="220"/>
  <c r="AB20" i="220" s="1"/>
  <c r="R19" i="220"/>
  <c r="R18" i="220"/>
  <c r="AB18" i="220" s="1"/>
  <c r="R17" i="220"/>
  <c r="R16" i="220"/>
  <c r="G16" i="220"/>
  <c r="R15" i="220"/>
  <c r="R14" i="220"/>
  <c r="R13" i="220"/>
  <c r="R12" i="220"/>
  <c r="R11" i="220"/>
  <c r="R10" i="220"/>
  <c r="R9" i="220"/>
  <c r="R8" i="220"/>
  <c r="R7" i="220"/>
  <c r="R6" i="220"/>
  <c r="B4" i="220"/>
  <c r="A1" i="220"/>
  <c r="B5" i="220" s="1"/>
  <c r="AG50" i="219"/>
  <c r="AG51" i="219" s="1"/>
  <c r="AG52" i="219" s="1"/>
  <c r="AG53" i="219" s="1"/>
  <c r="AG41" i="219"/>
  <c r="AG42" i="219" s="1"/>
  <c r="AG43" i="219" s="1"/>
  <c r="AG44" i="219" s="1"/>
  <c r="AG45" i="219" s="1"/>
  <c r="AG46" i="219" s="1"/>
  <c r="AG47" i="219" s="1"/>
  <c r="AG48" i="219" s="1"/>
  <c r="AH40" i="219"/>
  <c r="AH41" i="219" s="1"/>
  <c r="AH42" i="219" s="1"/>
  <c r="AH43" i="219" s="1"/>
  <c r="AH44" i="219" s="1"/>
  <c r="AH45" i="219" s="1"/>
  <c r="AH46" i="219" s="1"/>
  <c r="AH47" i="219" s="1"/>
  <c r="AH48" i="219" s="1"/>
  <c r="AH49" i="219" s="1"/>
  <c r="AH50" i="219" s="1"/>
  <c r="AH51" i="219" s="1"/>
  <c r="AH52" i="219" s="1"/>
  <c r="AH53" i="219" s="1"/>
  <c r="AH54" i="219" s="1"/>
  <c r="AH55" i="219" s="1"/>
  <c r="AH56" i="219" s="1"/>
  <c r="AH57" i="219" s="1"/>
  <c r="AH58" i="219" s="1"/>
  <c r="AH59" i="219" s="1"/>
  <c r="AG40" i="219"/>
  <c r="AF40" i="219"/>
  <c r="AF41" i="219" s="1"/>
  <c r="AF42" i="219" s="1"/>
  <c r="AF43" i="219" s="1"/>
  <c r="AF44" i="219" s="1"/>
  <c r="AF45" i="219" s="1"/>
  <c r="AF46" i="219" s="1"/>
  <c r="AF47" i="219" s="1"/>
  <c r="AF48" i="219" s="1"/>
  <c r="AF49" i="219" s="1"/>
  <c r="AF50" i="219" s="1"/>
  <c r="AF51" i="219" s="1"/>
  <c r="AF52" i="219" s="1"/>
  <c r="AF53" i="219" s="1"/>
  <c r="AF54" i="219" s="1"/>
  <c r="AF55" i="219" s="1"/>
  <c r="AF56" i="219" s="1"/>
  <c r="AF57" i="219" s="1"/>
  <c r="AF58" i="219" s="1"/>
  <c r="AF59" i="219" s="1"/>
  <c r="R22" i="219"/>
  <c r="R21" i="219"/>
  <c r="Z21" i="219" s="1"/>
  <c r="R20" i="219"/>
  <c r="R19" i="219"/>
  <c r="R18" i="219"/>
  <c r="AB17" i="219"/>
  <c r="R17" i="219"/>
  <c r="Z17" i="219" s="1"/>
  <c r="R16" i="219"/>
  <c r="AJ16" i="219" s="1"/>
  <c r="G16" i="219"/>
  <c r="R15" i="219"/>
  <c r="R14" i="219"/>
  <c r="R13" i="219"/>
  <c r="R12" i="219"/>
  <c r="R11" i="219"/>
  <c r="R10" i="219"/>
  <c r="R9" i="219"/>
  <c r="R8" i="219"/>
  <c r="R7" i="219"/>
  <c r="R6" i="219"/>
  <c r="B4" i="219"/>
  <c r="A1" i="219"/>
  <c r="B5" i="219" s="1"/>
  <c r="AG50" i="218"/>
  <c r="AG51" i="218" s="1"/>
  <c r="AG52" i="218" s="1"/>
  <c r="AG53" i="218" s="1"/>
  <c r="AG54" i="218" s="1"/>
  <c r="AG55" i="218" s="1"/>
  <c r="AG56" i="218" s="1"/>
  <c r="AG57" i="218" s="1"/>
  <c r="AG58" i="218" s="1"/>
  <c r="AG59" i="218" s="1"/>
  <c r="AH40" i="218"/>
  <c r="AH41" i="218" s="1"/>
  <c r="AH42" i="218" s="1"/>
  <c r="AH43" i="218" s="1"/>
  <c r="AH44" i="218" s="1"/>
  <c r="AH45" i="218" s="1"/>
  <c r="AH46" i="218" s="1"/>
  <c r="AH47" i="218" s="1"/>
  <c r="AH48" i="218" s="1"/>
  <c r="AH49" i="218" s="1"/>
  <c r="AH50" i="218" s="1"/>
  <c r="AH51" i="218" s="1"/>
  <c r="AH52" i="218" s="1"/>
  <c r="AH53" i="218" s="1"/>
  <c r="AH54" i="218" s="1"/>
  <c r="AH55" i="218" s="1"/>
  <c r="AH56" i="218" s="1"/>
  <c r="AH57" i="218" s="1"/>
  <c r="AH58" i="218" s="1"/>
  <c r="AH59" i="218" s="1"/>
  <c r="AG40" i="218"/>
  <c r="AG41" i="218" s="1"/>
  <c r="AG42" i="218" s="1"/>
  <c r="AG43" i="218" s="1"/>
  <c r="AG44" i="218" s="1"/>
  <c r="AG45" i="218" s="1"/>
  <c r="AG46" i="218" s="1"/>
  <c r="AG47" i="218" s="1"/>
  <c r="AG48" i="218" s="1"/>
  <c r="AF40" i="218"/>
  <c r="AF41" i="218" s="1"/>
  <c r="AF42" i="218" s="1"/>
  <c r="AF43" i="218" s="1"/>
  <c r="AF44" i="218" s="1"/>
  <c r="AF45" i="218" s="1"/>
  <c r="AF46" i="218" s="1"/>
  <c r="AF47" i="218" s="1"/>
  <c r="AF48" i="218" s="1"/>
  <c r="AF49" i="218" s="1"/>
  <c r="AF50" i="218" s="1"/>
  <c r="AF51" i="218" s="1"/>
  <c r="AF52" i="218" s="1"/>
  <c r="AF53" i="218" s="1"/>
  <c r="AF54" i="218" s="1"/>
  <c r="AF55" i="218" s="1"/>
  <c r="AF56" i="218" s="1"/>
  <c r="AF57" i="218" s="1"/>
  <c r="AF58" i="218" s="1"/>
  <c r="AF59" i="218" s="1"/>
  <c r="R24" i="218"/>
  <c r="R23" i="218"/>
  <c r="R22" i="218"/>
  <c r="Z22" i="218" s="1"/>
  <c r="R21" i="218"/>
  <c r="R20" i="218"/>
  <c r="R19" i="218"/>
  <c r="R18" i="218"/>
  <c r="Z18" i="218" s="1"/>
  <c r="R17" i="218"/>
  <c r="AB17" i="218" s="1"/>
  <c r="R16" i="218"/>
  <c r="Z16" i="218" s="1"/>
  <c r="G16" i="218"/>
  <c r="R15" i="218"/>
  <c r="AJ15" i="218" s="1"/>
  <c r="R14" i="218"/>
  <c r="R13" i="218"/>
  <c r="R12" i="218"/>
  <c r="R11" i="218"/>
  <c r="R10" i="218"/>
  <c r="R9" i="218"/>
  <c r="R8" i="218"/>
  <c r="R7" i="218"/>
  <c r="R6" i="218"/>
  <c r="B4" i="218"/>
  <c r="A1" i="218"/>
  <c r="B5" i="218" s="1"/>
  <c r="L18" i="216"/>
  <c r="L17" i="216"/>
  <c r="L16" i="216"/>
  <c r="L15" i="216"/>
  <c r="L14" i="216"/>
  <c r="L12" i="216"/>
  <c r="L11" i="216"/>
  <c r="L10" i="216"/>
  <c r="L9" i="216"/>
  <c r="L8" i="216"/>
  <c r="L7" i="216"/>
  <c r="L6" i="216"/>
  <c r="AJ20" i="216"/>
  <c r="R20" i="216"/>
  <c r="AB20" i="216" s="1"/>
  <c r="Z19" i="216"/>
  <c r="R19" i="216"/>
  <c r="AJ19" i="216" s="1"/>
  <c r="R18" i="216"/>
  <c r="R17" i="216"/>
  <c r="R16" i="216"/>
  <c r="R15" i="216"/>
  <c r="R14" i="216"/>
  <c r="R13" i="216"/>
  <c r="AJ13" i="216" s="1"/>
  <c r="R12" i="216"/>
  <c r="R11" i="216"/>
  <c r="R10" i="216"/>
  <c r="R9" i="216"/>
  <c r="R8" i="216"/>
  <c r="R7" i="216"/>
  <c r="R6" i="216"/>
  <c r="L14" i="215"/>
  <c r="L13" i="215"/>
  <c r="L12" i="215"/>
  <c r="L11" i="215"/>
  <c r="L10" i="215"/>
  <c r="L8" i="215"/>
  <c r="L7" i="215"/>
  <c r="L6" i="215"/>
  <c r="R16" i="215"/>
  <c r="AJ16" i="215" s="1"/>
  <c r="AJ15" i="215"/>
  <c r="R15" i="215"/>
  <c r="AB15" i="215" s="1"/>
  <c r="R14" i="215"/>
  <c r="R13" i="215"/>
  <c r="R12" i="215"/>
  <c r="R11" i="215"/>
  <c r="R10" i="215"/>
  <c r="R9" i="215"/>
  <c r="AJ9" i="215" s="1"/>
  <c r="R8" i="215"/>
  <c r="R7" i="215"/>
  <c r="R6" i="215"/>
  <c r="L18" i="214"/>
  <c r="L9" i="214"/>
  <c r="L7" i="214"/>
  <c r="L6" i="214"/>
  <c r="R22" i="214"/>
  <c r="AJ22" i="214" s="1"/>
  <c r="R21" i="214"/>
  <c r="AJ21" i="214" s="1"/>
  <c r="R20" i="214"/>
  <c r="AJ20" i="214" s="1"/>
  <c r="R19" i="214"/>
  <c r="AJ19" i="214" s="1"/>
  <c r="R18" i="214"/>
  <c r="R17" i="214"/>
  <c r="AJ17" i="214" s="1"/>
  <c r="R16" i="214"/>
  <c r="AJ16" i="214" s="1"/>
  <c r="R15" i="214"/>
  <c r="AJ15" i="214" s="1"/>
  <c r="R14" i="214"/>
  <c r="AJ14" i="214" s="1"/>
  <c r="R13" i="214"/>
  <c r="AJ13" i="214" s="1"/>
  <c r="R12" i="214"/>
  <c r="AJ12" i="214" s="1"/>
  <c r="R11" i="214"/>
  <c r="AJ11" i="214" s="1"/>
  <c r="R10" i="214"/>
  <c r="AJ10" i="214" s="1"/>
  <c r="R9" i="214"/>
  <c r="R8" i="214"/>
  <c r="AJ8" i="214" s="1"/>
  <c r="R7" i="214"/>
  <c r="R6" i="214"/>
  <c r="AB9" i="220" l="1"/>
  <c r="Z9" i="220"/>
  <c r="AB8" i="222"/>
  <c r="AJ8" i="222"/>
  <c r="Z10" i="223"/>
  <c r="AB10" i="223"/>
  <c r="AJ10" i="223"/>
  <c r="Z9" i="215"/>
  <c r="Z13" i="216"/>
  <c r="AB9" i="218"/>
  <c r="AJ9" i="218"/>
  <c r="Z9" i="218"/>
  <c r="Z24" i="218"/>
  <c r="Z19" i="219"/>
  <c r="Z23" i="220"/>
  <c r="AB10" i="221"/>
  <c r="Z10" i="221"/>
  <c r="AJ10" i="221"/>
  <c r="AB17" i="221"/>
  <c r="Z17" i="221"/>
  <c r="AJ17" i="221"/>
  <c r="AJ10" i="222"/>
  <c r="AB10" i="222"/>
  <c r="AJ11" i="223"/>
  <c r="Z11" i="223"/>
  <c r="AB11" i="223"/>
  <c r="AB8" i="221"/>
  <c r="Z8" i="221"/>
  <c r="AJ8" i="221"/>
  <c r="AJ8" i="218"/>
  <c r="Z8" i="218"/>
  <c r="AB8" i="218"/>
  <c r="Z10" i="220"/>
  <c r="AB9" i="215"/>
  <c r="AB13" i="216"/>
  <c r="AJ6" i="219"/>
  <c r="Z6" i="219"/>
  <c r="AJ14" i="219"/>
  <c r="AJ20" i="219"/>
  <c r="Z19" i="220"/>
  <c r="AJ11" i="221"/>
  <c r="AB11" i="221"/>
  <c r="Z11" i="221"/>
  <c r="AB18" i="221"/>
  <c r="Z18" i="221"/>
  <c r="AJ18" i="221"/>
  <c r="AJ11" i="222"/>
  <c r="AB11" i="222"/>
  <c r="AB7" i="222"/>
  <c r="AJ7" i="222"/>
  <c r="AJ18" i="219"/>
  <c r="AJ11" i="218"/>
  <c r="AJ7" i="219"/>
  <c r="Z7" i="219"/>
  <c r="AJ12" i="221"/>
  <c r="Z12" i="221"/>
  <c r="AB12" i="221"/>
  <c r="AB19" i="221"/>
  <c r="AJ19" i="221"/>
  <c r="Z19" i="221"/>
  <c r="AJ7" i="218"/>
  <c r="Z7" i="218"/>
  <c r="AB7" i="218"/>
  <c r="AB8" i="223"/>
  <c r="AJ8" i="223"/>
  <c r="Z8" i="223"/>
  <c r="AJ12" i="219"/>
  <c r="AB9" i="221"/>
  <c r="Z9" i="221"/>
  <c r="AJ9" i="221"/>
  <c r="AB8" i="219"/>
  <c r="AJ8" i="219"/>
  <c r="Z8" i="219"/>
  <c r="AJ22" i="219"/>
  <c r="Z6" i="220"/>
  <c r="Z13" i="221"/>
  <c r="AJ13" i="221"/>
  <c r="AB13" i="221"/>
  <c r="AJ20" i="221"/>
  <c r="Z20" i="221"/>
  <c r="AB20" i="221"/>
  <c r="Z17" i="220"/>
  <c r="AB19" i="216"/>
  <c r="AJ13" i="218"/>
  <c r="Z7" i="220"/>
  <c r="AB21" i="220"/>
  <c r="AB6" i="221"/>
  <c r="Z6" i="221"/>
  <c r="AJ6" i="221"/>
  <c r="Z14" i="221"/>
  <c r="AJ14" i="221"/>
  <c r="AB14" i="221"/>
  <c r="Z21" i="221"/>
  <c r="AJ21" i="221"/>
  <c r="AB21" i="221"/>
  <c r="AJ6" i="223"/>
  <c r="Z6" i="223"/>
  <c r="AB6" i="223"/>
  <c r="AJ22" i="220"/>
  <c r="AB16" i="221"/>
  <c r="Z16" i="221"/>
  <c r="AJ16" i="221"/>
  <c r="Z15" i="215"/>
  <c r="Z20" i="218"/>
  <c r="Z9" i="219"/>
  <c r="AJ9" i="219"/>
  <c r="Z20" i="216"/>
  <c r="AJ6" i="218"/>
  <c r="Z6" i="218"/>
  <c r="AB6" i="218"/>
  <c r="AB21" i="218"/>
  <c r="AJ10" i="219"/>
  <c r="Z10" i="219"/>
  <c r="Z8" i="220"/>
  <c r="AJ21" i="220"/>
  <c r="AB7" i="221"/>
  <c r="Z7" i="221"/>
  <c r="AJ7" i="221"/>
  <c r="AB15" i="221"/>
  <c r="Z15" i="221"/>
  <c r="AJ15" i="221"/>
  <c r="Z22" i="221"/>
  <c r="AJ22" i="221"/>
  <c r="AB22" i="221"/>
  <c r="AJ6" i="222"/>
  <c r="AB6" i="222"/>
  <c r="AB7" i="223"/>
  <c r="AJ7" i="223"/>
  <c r="Z7" i="223"/>
  <c r="AF47" i="222"/>
  <c r="Z11" i="222" s="1"/>
  <c r="AJ20" i="220"/>
  <c r="AJ18" i="220"/>
  <c r="AH57" i="220"/>
  <c r="AH58" i="220" s="1"/>
  <c r="AH59" i="220" s="1"/>
  <c r="AJ10" i="220" s="1"/>
  <c r="AJ19" i="220"/>
  <c r="AB15" i="220"/>
  <c r="AB13" i="220"/>
  <c r="AB19" i="220"/>
  <c r="AG57" i="220"/>
  <c r="AG58" i="220" s="1"/>
  <c r="AG59" i="220" s="1"/>
  <c r="AB16" i="220" s="1"/>
  <c r="AB12" i="220"/>
  <c r="AB14" i="220"/>
  <c r="Z16" i="220"/>
  <c r="Z18" i="220"/>
  <c r="Z20" i="220"/>
  <c r="Z22" i="220"/>
  <c r="Z24" i="220"/>
  <c r="Z12" i="220"/>
  <c r="Z14" i="220"/>
  <c r="Z11" i="220"/>
  <c r="Z13" i="220"/>
  <c r="Z15" i="220"/>
  <c r="AG54" i="219"/>
  <c r="AG55" i="219" s="1"/>
  <c r="AG56" i="219" s="1"/>
  <c r="AG57" i="219" s="1"/>
  <c r="AG58" i="219" s="1"/>
  <c r="AG59" i="219" s="1"/>
  <c r="AB15" i="219" s="1"/>
  <c r="AB21" i="219"/>
  <c r="Z15" i="219"/>
  <c r="Z11" i="219"/>
  <c r="Z13" i="219"/>
  <c r="Z14" i="219"/>
  <c r="Z12" i="219"/>
  <c r="AJ15" i="219"/>
  <c r="AJ13" i="219"/>
  <c r="AJ11" i="219"/>
  <c r="AJ17" i="219"/>
  <c r="AJ19" i="219"/>
  <c r="AJ21" i="219"/>
  <c r="Z16" i="219"/>
  <c r="Z18" i="219"/>
  <c r="Z20" i="219"/>
  <c r="Z22" i="219"/>
  <c r="AB16" i="219"/>
  <c r="AB20" i="219"/>
  <c r="AB22" i="219"/>
  <c r="AJ10" i="218"/>
  <c r="AJ14" i="218"/>
  <c r="AJ12" i="218"/>
  <c r="AB14" i="218"/>
  <c r="AB12" i="218"/>
  <c r="AB10" i="218"/>
  <c r="AB23" i="218"/>
  <c r="Z12" i="218"/>
  <c r="Z14" i="218"/>
  <c r="Z10" i="218"/>
  <c r="AB19" i="218"/>
  <c r="AJ17" i="218"/>
  <c r="AJ19" i="218"/>
  <c r="AJ21" i="218"/>
  <c r="AJ23" i="218"/>
  <c r="AB16" i="218"/>
  <c r="AB18" i="218"/>
  <c r="AB20" i="218"/>
  <c r="AB22" i="218"/>
  <c r="AB24" i="218"/>
  <c r="AJ16" i="218"/>
  <c r="AJ18" i="218"/>
  <c r="AJ20" i="218"/>
  <c r="AJ22" i="218"/>
  <c r="AJ24" i="218"/>
  <c r="Z11" i="218"/>
  <c r="Z13" i="218"/>
  <c r="Z15" i="218"/>
  <c r="AB11" i="218"/>
  <c r="AB13" i="218"/>
  <c r="AB15" i="218"/>
  <c r="Z17" i="218"/>
  <c r="Z19" i="218"/>
  <c r="Z21" i="218"/>
  <c r="Z23" i="218"/>
  <c r="Z16" i="215"/>
  <c r="AB16" i="215"/>
  <c r="Z11" i="214"/>
  <c r="Z13" i="214"/>
  <c r="Z15" i="214"/>
  <c r="Z17" i="214"/>
  <c r="Z19" i="214"/>
  <c r="Z21" i="214"/>
  <c r="AB11" i="214"/>
  <c r="AB13" i="214"/>
  <c r="AB15" i="214"/>
  <c r="AB17" i="214"/>
  <c r="AB19" i="214"/>
  <c r="AB21" i="214"/>
  <c r="Z8" i="214"/>
  <c r="Z10" i="214"/>
  <c r="Z12" i="214"/>
  <c r="Z14" i="214"/>
  <c r="Z16" i="214"/>
  <c r="Z20" i="214"/>
  <c r="Z22" i="214"/>
  <c r="AB8" i="214"/>
  <c r="AB10" i="214"/>
  <c r="AB12" i="214"/>
  <c r="AB14" i="214"/>
  <c r="AB16" i="214"/>
  <c r="AB20" i="214"/>
  <c r="AB22" i="214"/>
  <c r="Z10" i="222" l="1"/>
  <c r="AJ8" i="220"/>
  <c r="AJ9" i="220"/>
  <c r="AB8" i="220"/>
  <c r="AB6" i="220"/>
  <c r="AB7" i="219"/>
  <c r="AJ7" i="220"/>
  <c r="AJ6" i="220"/>
  <c r="AB6" i="219"/>
  <c r="AB24" i="220"/>
  <c r="AB7" i="220"/>
  <c r="AJ12" i="220"/>
  <c r="AB11" i="220"/>
  <c r="AB10" i="219"/>
  <c r="AB9" i="219"/>
  <c r="AB10" i="220"/>
  <c r="AJ14" i="220"/>
  <c r="AF48" i="222"/>
  <c r="AF49" i="222" s="1"/>
  <c r="AF50" i="222" s="1"/>
  <c r="AF51" i="222" s="1"/>
  <c r="AF52" i="222" s="1"/>
  <c r="AF53" i="222" s="1"/>
  <c r="AB23" i="220"/>
  <c r="AB17" i="220"/>
  <c r="AJ24" i="220"/>
  <c r="AJ16" i="220"/>
  <c r="AJ15" i="220"/>
  <c r="AJ11" i="220"/>
  <c r="AJ23" i="220"/>
  <c r="AJ17" i="220"/>
  <c r="AJ13" i="220"/>
  <c r="AB11" i="219"/>
  <c r="AB14" i="219"/>
  <c r="AB12" i="219"/>
  <c r="AB19" i="219"/>
  <c r="AB18" i="219"/>
  <c r="AB13" i="219"/>
  <c r="AF54" i="222" l="1"/>
  <c r="AF55" i="222" s="1"/>
  <c r="Z8" i="222" s="1"/>
  <c r="AF56" i="222" l="1"/>
  <c r="AF57" i="222" s="1"/>
  <c r="R22" i="217"/>
  <c r="R21" i="217"/>
  <c r="R20" i="217"/>
  <c r="R19" i="217"/>
  <c r="R18" i="217"/>
  <c r="R17" i="217"/>
  <c r="R16" i="217"/>
  <c r="R15" i="217"/>
  <c r="AB17" i="217" l="1"/>
  <c r="Z17" i="217"/>
  <c r="AJ17" i="217"/>
  <c r="AJ20" i="217"/>
  <c r="AB20" i="217"/>
  <c r="Z20" i="217"/>
  <c r="AJ21" i="217"/>
  <c r="AB21" i="217"/>
  <c r="Z21" i="217"/>
  <c r="AB18" i="217"/>
  <c r="Z18" i="217"/>
  <c r="AJ18" i="217"/>
  <c r="AB19" i="217"/>
  <c r="Z19" i="217"/>
  <c r="AJ19" i="217"/>
  <c r="Z22" i="217"/>
  <c r="AJ22" i="217"/>
  <c r="AB22" i="217"/>
  <c r="AB16" i="217"/>
  <c r="Z16" i="217"/>
  <c r="AJ16" i="217"/>
  <c r="Z15" i="217"/>
  <c r="AJ15" i="217"/>
  <c r="AB15" i="217"/>
  <c r="AF58" i="222"/>
  <c r="Z6" i="222"/>
  <c r="R14" i="217"/>
  <c r="R13" i="217"/>
  <c r="R12" i="217"/>
  <c r="R11" i="217"/>
  <c r="G16" i="217"/>
  <c r="R10" i="217"/>
  <c r="R9" i="217"/>
  <c r="R8" i="217"/>
  <c r="R7" i="217"/>
  <c r="R6" i="217"/>
  <c r="B4" i="217"/>
  <c r="A1" i="217"/>
  <c r="B5" i="217" s="1"/>
  <c r="AJ12" i="217" l="1"/>
  <c r="AB12" i="217"/>
  <c r="Z12" i="217"/>
  <c r="AB11" i="217"/>
  <c r="Z11" i="217"/>
  <c r="AJ11" i="217"/>
  <c r="AJ13" i="217"/>
  <c r="Z13" i="217"/>
  <c r="AB13" i="217"/>
  <c r="Z7" i="217"/>
  <c r="AJ7" i="217"/>
  <c r="AB7" i="217"/>
  <c r="Z14" i="217"/>
  <c r="AJ14" i="217"/>
  <c r="AB14" i="217"/>
  <c r="AB10" i="217"/>
  <c r="Z10" i="217"/>
  <c r="AJ10" i="217"/>
  <c r="Z6" i="217"/>
  <c r="AB6" i="217"/>
  <c r="AJ6" i="217"/>
  <c r="AB8" i="217"/>
  <c r="Z8" i="217"/>
  <c r="AJ8" i="217"/>
  <c r="AB9" i="217"/>
  <c r="Z9" i="217"/>
  <c r="AJ9" i="217"/>
  <c r="AF59" i="222"/>
  <c r="Z7" i="222"/>
  <c r="L15" i="213"/>
  <c r="L14" i="213"/>
  <c r="L13" i="213"/>
  <c r="L11" i="213"/>
  <c r="L10" i="213"/>
  <c r="L9" i="213"/>
  <c r="L7" i="213"/>
  <c r="L6" i="213"/>
  <c r="R19" i="213"/>
  <c r="AJ19" i="213" s="1"/>
  <c r="R18" i="213"/>
  <c r="AJ18" i="213" s="1"/>
  <c r="R17" i="213"/>
  <c r="AJ17" i="213" s="1"/>
  <c r="R16" i="213"/>
  <c r="AJ16" i="213" s="1"/>
  <c r="R15" i="213"/>
  <c r="R14" i="213"/>
  <c r="R13" i="213"/>
  <c r="R12" i="213"/>
  <c r="AJ12" i="213" s="1"/>
  <c r="R11" i="213"/>
  <c r="R10" i="213"/>
  <c r="R9" i="213"/>
  <c r="R8" i="213"/>
  <c r="R7" i="213"/>
  <c r="R6" i="213"/>
  <c r="Z8" i="213" l="1"/>
  <c r="AJ8" i="213"/>
  <c r="AB8" i="213"/>
  <c r="Z12" i="213"/>
  <c r="Z16" i="213"/>
  <c r="Z18" i="213"/>
  <c r="AB12" i="213"/>
  <c r="AB14" i="213"/>
  <c r="AB16" i="213"/>
  <c r="AB18" i="213"/>
  <c r="Z17" i="213"/>
  <c r="Z19" i="213"/>
  <c r="AB17" i="213"/>
  <c r="AB19" i="213"/>
  <c r="L19" i="212"/>
  <c r="L18" i="212"/>
  <c r="L16" i="212"/>
  <c r="L17" i="212"/>
  <c r="L15" i="212"/>
  <c r="L14" i="212"/>
  <c r="L13" i="212"/>
  <c r="L12" i="212"/>
  <c r="L11" i="212"/>
  <c r="L10" i="212"/>
  <c r="L9" i="212"/>
  <c r="L8" i="212"/>
  <c r="L6" i="212"/>
  <c r="R22" i="212"/>
  <c r="AB22" i="212" s="1"/>
  <c r="R21" i="212"/>
  <c r="AB21" i="212" s="1"/>
  <c r="R20" i="212"/>
  <c r="AB20" i="212" s="1"/>
  <c r="R19" i="212"/>
  <c r="R18" i="212"/>
  <c r="R17" i="212"/>
  <c r="R16" i="212"/>
  <c r="R15" i="212"/>
  <c r="R14" i="212"/>
  <c r="R13" i="212"/>
  <c r="R12" i="212"/>
  <c r="R11" i="212"/>
  <c r="R10" i="212"/>
  <c r="R9" i="212"/>
  <c r="R8" i="212"/>
  <c r="R7" i="212"/>
  <c r="AB7" i="212" s="1"/>
  <c r="R6" i="212"/>
  <c r="L15" i="211"/>
  <c r="L14" i="211"/>
  <c r="L13" i="211"/>
  <c r="L12" i="211"/>
  <c r="L11" i="211"/>
  <c r="L7" i="211"/>
  <c r="L8" i="211"/>
  <c r="L6" i="211"/>
  <c r="R19" i="211"/>
  <c r="AJ19" i="211" s="1"/>
  <c r="R18" i="211"/>
  <c r="AJ18" i="211" s="1"/>
  <c r="R17" i="211"/>
  <c r="AJ17" i="211" s="1"/>
  <c r="R16" i="211"/>
  <c r="AJ16" i="211" s="1"/>
  <c r="R15" i="211"/>
  <c r="R14" i="211"/>
  <c r="R13" i="211"/>
  <c r="R12" i="211"/>
  <c r="R11" i="211"/>
  <c r="R10" i="211"/>
  <c r="AJ10" i="211" s="1"/>
  <c r="R9" i="211"/>
  <c r="AJ9" i="211" s="1"/>
  <c r="R8" i="211"/>
  <c r="R7" i="211"/>
  <c r="R6" i="211"/>
  <c r="AJ20" i="212" l="1"/>
  <c r="AJ21" i="212"/>
  <c r="AJ22" i="212"/>
  <c r="AJ7" i="212"/>
  <c r="Z7" i="212"/>
  <c r="Z21" i="212"/>
  <c r="Z20" i="212"/>
  <c r="Z22" i="212"/>
  <c r="Z10" i="211"/>
  <c r="Z16" i="211"/>
  <c r="Z18" i="211"/>
  <c r="AB10" i="211"/>
  <c r="AB16" i="211"/>
  <c r="AB18" i="211"/>
  <c r="Z19" i="211"/>
  <c r="AB9" i="211"/>
  <c r="AB17" i="211"/>
  <c r="AB19" i="211"/>
  <c r="Z9" i="211"/>
  <c r="Z17" i="211"/>
  <c r="L14" i="200" l="1"/>
  <c r="L15" i="200"/>
  <c r="L13" i="200"/>
  <c r="L8" i="200"/>
  <c r="L9" i="200"/>
  <c r="L10" i="200"/>
  <c r="L11" i="200"/>
  <c r="L7" i="200"/>
  <c r="R20" i="210" l="1"/>
  <c r="AJ20" i="210" s="1"/>
  <c r="R15" i="210"/>
  <c r="R12" i="210"/>
  <c r="R8" i="210"/>
  <c r="R7" i="210"/>
  <c r="R16" i="209"/>
  <c r="AJ16" i="209" s="1"/>
  <c r="R14" i="209"/>
  <c r="R7" i="209"/>
  <c r="R22" i="208"/>
  <c r="AJ22" i="208" s="1"/>
  <c r="R16" i="208"/>
  <c r="Z16" i="208" s="1"/>
  <c r="R14" i="208"/>
  <c r="Z14" i="208" s="1"/>
  <c r="R13" i="208"/>
  <c r="AJ13" i="208" s="1"/>
  <c r="R12" i="208"/>
  <c r="AB12" i="208" s="1"/>
  <c r="R19" i="207"/>
  <c r="Z19" i="207" s="1"/>
  <c r="R11" i="207"/>
  <c r="R7" i="207"/>
  <c r="R22" i="206"/>
  <c r="AJ22" i="206" s="1"/>
  <c r="R21" i="206"/>
  <c r="Z21" i="206" s="1"/>
  <c r="R19" i="206"/>
  <c r="R18" i="206"/>
  <c r="R17" i="206"/>
  <c r="R16" i="206"/>
  <c r="R14" i="206"/>
  <c r="R13" i="206"/>
  <c r="R12" i="206"/>
  <c r="R10" i="206"/>
  <c r="R19" i="205"/>
  <c r="AJ19" i="205" s="1"/>
  <c r="R15" i="205"/>
  <c r="R14" i="205"/>
  <c r="R13" i="205"/>
  <c r="R12" i="205"/>
  <c r="R10" i="205"/>
  <c r="Z10" i="205" s="1"/>
  <c r="R24" i="203"/>
  <c r="R21" i="203"/>
  <c r="R20" i="203"/>
  <c r="R19" i="203"/>
  <c r="R17" i="203"/>
  <c r="R16" i="203"/>
  <c r="R15" i="203"/>
  <c r="R14" i="203"/>
  <c r="R13" i="203"/>
  <c r="R11" i="203"/>
  <c r="R10" i="203"/>
  <c r="R9" i="203"/>
  <c r="R8" i="203"/>
  <c r="R7" i="203"/>
  <c r="AJ17" i="202"/>
  <c r="AB16" i="202"/>
  <c r="R24" i="201"/>
  <c r="R23" i="201"/>
  <c r="R17" i="201"/>
  <c r="AJ17" i="201" s="1"/>
  <c r="R15" i="201"/>
  <c r="AJ15" i="201" s="1"/>
  <c r="R22" i="201"/>
  <c r="R21" i="201"/>
  <c r="R20" i="201"/>
  <c r="R19" i="201"/>
  <c r="R16" i="201"/>
  <c r="AJ16" i="201" s="1"/>
  <c r="R14" i="201"/>
  <c r="R13" i="201"/>
  <c r="R12" i="201"/>
  <c r="R11" i="201"/>
  <c r="R10" i="201"/>
  <c r="R9" i="201"/>
  <c r="R8" i="201"/>
  <c r="R7" i="201"/>
  <c r="R18" i="201"/>
  <c r="Z21" i="203" l="1"/>
  <c r="AJ21" i="203"/>
  <c r="Z22" i="208"/>
  <c r="AB19" i="207"/>
  <c r="AB22" i="208"/>
  <c r="AJ19" i="207"/>
  <c r="Z20" i="210"/>
  <c r="AB20" i="210"/>
  <c r="Z16" i="209"/>
  <c r="AB16" i="209"/>
  <c r="AJ16" i="208"/>
  <c r="AB16" i="208"/>
  <c r="Z13" i="208"/>
  <c r="AB14" i="208"/>
  <c r="AJ14" i="208"/>
  <c r="AB13" i="208"/>
  <c r="AJ12" i="208"/>
  <c r="Z12" i="208"/>
  <c r="Z22" i="206"/>
  <c r="AB22" i="206"/>
  <c r="AJ21" i="206"/>
  <c r="AB21" i="206"/>
  <c r="Z19" i="205"/>
  <c r="AB19" i="205"/>
  <c r="AB10" i="205"/>
  <c r="AJ10" i="205"/>
  <c r="AB21" i="203"/>
  <c r="Z17" i="202"/>
  <c r="AB17" i="202"/>
  <c r="Z16" i="202"/>
  <c r="AJ16" i="202"/>
  <c r="Z17" i="201"/>
  <c r="AB17" i="201"/>
  <c r="Z15" i="201"/>
  <c r="AB15" i="201"/>
  <c r="Z16" i="201"/>
  <c r="AB16" i="201"/>
  <c r="AG50" i="216" l="1"/>
  <c r="AG51" i="216" s="1"/>
  <c r="AG52" i="216" s="1"/>
  <c r="AG53" i="216" s="1"/>
  <c r="AG54" i="216" s="1"/>
  <c r="AG55" i="216" s="1"/>
  <c r="AG56" i="216" s="1"/>
  <c r="AG57" i="216" s="1"/>
  <c r="AH41" i="216"/>
  <c r="AH42" i="216" s="1"/>
  <c r="AH43" i="216" s="1"/>
  <c r="AH44" i="216" s="1"/>
  <c r="AH45" i="216" s="1"/>
  <c r="AH46" i="216" s="1"/>
  <c r="AF41" i="216"/>
  <c r="AF42" i="216" s="1"/>
  <c r="AF43" i="216" s="1"/>
  <c r="AF44" i="216" s="1"/>
  <c r="AF45" i="216" s="1"/>
  <c r="AF46" i="216" s="1"/>
  <c r="AH40" i="216"/>
  <c r="AG40" i="216"/>
  <c r="AG41" i="216" s="1"/>
  <c r="AG42" i="216" s="1"/>
  <c r="AG43" i="216" s="1"/>
  <c r="AG44" i="216" s="1"/>
  <c r="AG45" i="216" s="1"/>
  <c r="AG46" i="216" s="1"/>
  <c r="AF40" i="216"/>
  <c r="G16" i="216"/>
  <c r="B4" i="216"/>
  <c r="A1" i="216"/>
  <c r="B5" i="216" s="1"/>
  <c r="AG50" i="215"/>
  <c r="AG51" i="215" s="1"/>
  <c r="AG52" i="215" s="1"/>
  <c r="AG53" i="215" s="1"/>
  <c r="AG54" i="215" s="1"/>
  <c r="AG55" i="215" s="1"/>
  <c r="AG56" i="215" s="1"/>
  <c r="AF41" i="215"/>
  <c r="AF42" i="215" s="1"/>
  <c r="AF43" i="215" s="1"/>
  <c r="AF44" i="215" s="1"/>
  <c r="AF45" i="215" s="1"/>
  <c r="AH40" i="215"/>
  <c r="AH41" i="215" s="1"/>
  <c r="AH42" i="215" s="1"/>
  <c r="AH43" i="215" s="1"/>
  <c r="AH44" i="215" s="1"/>
  <c r="AH45" i="215" s="1"/>
  <c r="AG40" i="215"/>
  <c r="AG41" i="215" s="1"/>
  <c r="AG42" i="215" s="1"/>
  <c r="AG43" i="215" s="1"/>
  <c r="AG44" i="215" s="1"/>
  <c r="AG45" i="215" s="1"/>
  <c r="AF40" i="215"/>
  <c r="G16" i="215"/>
  <c r="B4" i="215"/>
  <c r="A1" i="215"/>
  <c r="B5" i="215" s="1"/>
  <c r="AG50" i="214"/>
  <c r="AG51" i="214" s="1"/>
  <c r="AG52" i="214" s="1"/>
  <c r="AG53" i="214" s="1"/>
  <c r="AG54" i="214" s="1"/>
  <c r="AG55" i="214" s="1"/>
  <c r="AF41" i="214"/>
  <c r="AF42" i="214" s="1"/>
  <c r="AF43" i="214" s="1"/>
  <c r="AF44" i="214" s="1"/>
  <c r="AF45" i="214" s="1"/>
  <c r="AF46" i="214" s="1"/>
  <c r="AH40" i="214"/>
  <c r="AH41" i="214" s="1"/>
  <c r="AH42" i="214" s="1"/>
  <c r="AH43" i="214" s="1"/>
  <c r="AH44" i="214" s="1"/>
  <c r="AH45" i="214" s="1"/>
  <c r="AH46" i="214" s="1"/>
  <c r="AG40" i="214"/>
  <c r="AG41" i="214" s="1"/>
  <c r="AG42" i="214" s="1"/>
  <c r="AG43" i="214" s="1"/>
  <c r="AG44" i="214" s="1"/>
  <c r="AG45" i="214" s="1"/>
  <c r="AG46" i="214" s="1"/>
  <c r="AF40" i="214"/>
  <c r="G16" i="214"/>
  <c r="B4" i="214"/>
  <c r="A1" i="214"/>
  <c r="B5" i="214" s="1"/>
  <c r="AG50" i="213"/>
  <c r="AG51" i="213" s="1"/>
  <c r="AG52" i="213" s="1"/>
  <c r="AH40" i="213"/>
  <c r="AH41" i="213" s="1"/>
  <c r="AH42" i="213" s="1"/>
  <c r="AH43" i="213" s="1"/>
  <c r="AH44" i="213" s="1"/>
  <c r="AH45" i="213" s="1"/>
  <c r="AH46" i="213" s="1"/>
  <c r="AG40" i="213"/>
  <c r="AG41" i="213" s="1"/>
  <c r="AG42" i="213" s="1"/>
  <c r="AG43" i="213" s="1"/>
  <c r="AG44" i="213" s="1"/>
  <c r="AG45" i="213" s="1"/>
  <c r="AG46" i="213" s="1"/>
  <c r="AF40" i="213"/>
  <c r="AF41" i="213" s="1"/>
  <c r="AF42" i="213" s="1"/>
  <c r="AF43" i="213" s="1"/>
  <c r="AF44" i="213" s="1"/>
  <c r="AF45" i="213" s="1"/>
  <c r="AF46" i="213" s="1"/>
  <c r="G16" i="213"/>
  <c r="B4" i="213"/>
  <c r="A1" i="213"/>
  <c r="B5" i="213" s="1"/>
  <c r="AG50" i="212"/>
  <c r="AG51" i="212" s="1"/>
  <c r="AG52" i="212" s="1"/>
  <c r="AG53" i="212" s="1"/>
  <c r="AG54" i="212" s="1"/>
  <c r="AG55" i="212" s="1"/>
  <c r="AG56" i="212" s="1"/>
  <c r="AG41" i="212"/>
  <c r="AG42" i="212" s="1"/>
  <c r="AG43" i="212" s="1"/>
  <c r="AG44" i="212" s="1"/>
  <c r="AG45" i="212" s="1"/>
  <c r="AH40" i="212"/>
  <c r="AH41" i="212" s="1"/>
  <c r="AH42" i="212" s="1"/>
  <c r="AH43" i="212" s="1"/>
  <c r="AH44" i="212" s="1"/>
  <c r="AH45" i="212" s="1"/>
  <c r="AG40" i="212"/>
  <c r="AF40" i="212"/>
  <c r="AF41" i="212" s="1"/>
  <c r="AF42" i="212" s="1"/>
  <c r="AF43" i="212" s="1"/>
  <c r="AF44" i="212" s="1"/>
  <c r="AF45" i="212" s="1"/>
  <c r="G16" i="212"/>
  <c r="B4" i="212"/>
  <c r="A1" i="212"/>
  <c r="B5" i="212" s="1"/>
  <c r="AG51" i="211"/>
  <c r="AG52" i="211" s="1"/>
  <c r="AG53" i="211" s="1"/>
  <c r="AG50" i="211"/>
  <c r="AB6" i="211" s="1"/>
  <c r="AH40" i="211"/>
  <c r="AH41" i="211" s="1"/>
  <c r="AH42" i="211" s="1"/>
  <c r="AH43" i="211" s="1"/>
  <c r="AH44" i="211" s="1"/>
  <c r="AH45" i="211" s="1"/>
  <c r="AG40" i="211"/>
  <c r="AG41" i="211" s="1"/>
  <c r="AG42" i="211" s="1"/>
  <c r="AG43" i="211" s="1"/>
  <c r="AG44" i="211" s="1"/>
  <c r="AG45" i="211" s="1"/>
  <c r="AF40" i="211"/>
  <c r="AF41" i="211" s="1"/>
  <c r="AF42" i="211" s="1"/>
  <c r="AF43" i="211" s="1"/>
  <c r="AF44" i="211" s="1"/>
  <c r="AF45" i="211" s="1"/>
  <c r="G16" i="211"/>
  <c r="B4" i="211"/>
  <c r="A1" i="211"/>
  <c r="B5" i="211" s="1"/>
  <c r="AG47" i="216" l="1"/>
  <c r="AB14" i="216"/>
  <c r="AB16" i="216"/>
  <c r="AH47" i="214"/>
  <c r="AH48" i="214" s="1"/>
  <c r="AH49" i="214" s="1"/>
  <c r="AH50" i="214" s="1"/>
  <c r="AH51" i="214" s="1"/>
  <c r="AH52" i="214" s="1"/>
  <c r="AH53" i="214" s="1"/>
  <c r="AH54" i="214" s="1"/>
  <c r="AH55" i="214" s="1"/>
  <c r="AJ18" i="214"/>
  <c r="AH46" i="215"/>
  <c r="AJ12" i="215"/>
  <c r="AF47" i="216"/>
  <c r="Z16" i="216"/>
  <c r="Z14" i="216"/>
  <c r="AF46" i="212"/>
  <c r="Z19" i="212"/>
  <c r="AF47" i="214"/>
  <c r="AF48" i="214" s="1"/>
  <c r="AF49" i="214" s="1"/>
  <c r="AF50" i="214" s="1"/>
  <c r="AF51" i="214" s="1"/>
  <c r="AF52" i="214" s="1"/>
  <c r="AF53" i="214" s="1"/>
  <c r="AF54" i="214" s="1"/>
  <c r="AF55" i="214" s="1"/>
  <c r="Z18" i="214"/>
  <c r="AG57" i="215"/>
  <c r="AB10" i="215"/>
  <c r="AF46" i="211"/>
  <c r="Z15" i="211"/>
  <c r="AH46" i="211"/>
  <c r="AJ15" i="211"/>
  <c r="AG53" i="213"/>
  <c r="AG54" i="213" s="1"/>
  <c r="AB6" i="213"/>
  <c r="AG56" i="214"/>
  <c r="AB9" i="214"/>
  <c r="AF46" i="215"/>
  <c r="Z12" i="215"/>
  <c r="AF47" i="213"/>
  <c r="AF48" i="213" s="1"/>
  <c r="Z15" i="213"/>
  <c r="AH47" i="213"/>
  <c r="AH48" i="213" s="1"/>
  <c r="AH49" i="213" s="1"/>
  <c r="AJ15" i="213"/>
  <c r="AH47" i="216"/>
  <c r="AJ16" i="216"/>
  <c r="AJ14" i="216"/>
  <c r="AH46" i="212"/>
  <c r="AJ19" i="212"/>
  <c r="AG47" i="214"/>
  <c r="AG48" i="214" s="1"/>
  <c r="AB18" i="214"/>
  <c r="AG54" i="211"/>
  <c r="AG55" i="211" s="1"/>
  <c r="AB7" i="211"/>
  <c r="AG46" i="212"/>
  <c r="AB19" i="212"/>
  <c r="AG46" i="211"/>
  <c r="AB15" i="211"/>
  <c r="AG57" i="212"/>
  <c r="AB6" i="212"/>
  <c r="AG46" i="215"/>
  <c r="AB12" i="215"/>
  <c r="AG47" i="213"/>
  <c r="AG48" i="213" s="1"/>
  <c r="AB15" i="213"/>
  <c r="AG58" i="216"/>
  <c r="AB6" i="216"/>
  <c r="AF49" i="213"/>
  <c r="R8" i="209"/>
  <c r="AG50" i="210"/>
  <c r="AG51" i="210" s="1"/>
  <c r="AG52" i="210" s="1"/>
  <c r="AG53" i="210" s="1"/>
  <c r="AG54" i="210" s="1"/>
  <c r="AG55" i="210" s="1"/>
  <c r="AG56" i="210" s="1"/>
  <c r="AG57" i="210" s="1"/>
  <c r="AG58" i="210" s="1"/>
  <c r="AG59" i="210" s="1"/>
  <c r="AG41" i="210"/>
  <c r="AG42" i="210" s="1"/>
  <c r="AG43" i="210" s="1"/>
  <c r="AG44" i="210" s="1"/>
  <c r="AG45" i="210" s="1"/>
  <c r="AG46" i="210" s="1"/>
  <c r="AG47" i="210" s="1"/>
  <c r="AH40" i="210"/>
  <c r="AH41" i="210" s="1"/>
  <c r="AH42" i="210" s="1"/>
  <c r="AH43" i="210" s="1"/>
  <c r="AH44" i="210" s="1"/>
  <c r="AH45" i="210" s="1"/>
  <c r="AH46" i="210" s="1"/>
  <c r="AH47" i="210" s="1"/>
  <c r="AG40" i="210"/>
  <c r="AF40" i="210"/>
  <c r="AF41" i="210" s="1"/>
  <c r="AF42" i="210" s="1"/>
  <c r="AF43" i="210" s="1"/>
  <c r="AF44" i="210" s="1"/>
  <c r="AF45" i="210" s="1"/>
  <c r="AF46" i="210" s="1"/>
  <c r="AF47" i="210" s="1"/>
  <c r="G16" i="210"/>
  <c r="R19" i="210"/>
  <c r="AB19" i="210" s="1"/>
  <c r="R18" i="210"/>
  <c r="R17" i="210"/>
  <c r="AB17" i="210" s="1"/>
  <c r="R16" i="210"/>
  <c r="R14" i="210"/>
  <c r="R13" i="210"/>
  <c r="AB13" i="210" s="1"/>
  <c r="R11" i="210"/>
  <c r="R10" i="210"/>
  <c r="R9" i="210"/>
  <c r="R6" i="210"/>
  <c r="B4" i="210"/>
  <c r="A1" i="210"/>
  <c r="B5" i="210" s="1"/>
  <c r="AG50" i="209"/>
  <c r="AG51" i="209" s="1"/>
  <c r="AG52" i="209" s="1"/>
  <c r="AG53" i="209" s="1"/>
  <c r="AG54" i="209" s="1"/>
  <c r="AG55" i="209" s="1"/>
  <c r="AG56" i="209" s="1"/>
  <c r="AG57" i="209" s="1"/>
  <c r="AG58" i="209" s="1"/>
  <c r="AG59" i="209" s="1"/>
  <c r="AB7" i="209" s="1"/>
  <c r="AH40" i="209"/>
  <c r="AH41" i="209" s="1"/>
  <c r="AH42" i="209" s="1"/>
  <c r="AH43" i="209" s="1"/>
  <c r="AH44" i="209" s="1"/>
  <c r="AH45" i="209" s="1"/>
  <c r="AH46" i="209" s="1"/>
  <c r="AH47" i="209" s="1"/>
  <c r="AG40" i="209"/>
  <c r="AG41" i="209" s="1"/>
  <c r="AG42" i="209" s="1"/>
  <c r="AG43" i="209" s="1"/>
  <c r="AG44" i="209" s="1"/>
  <c r="AG45" i="209" s="1"/>
  <c r="AG46" i="209" s="1"/>
  <c r="AG47" i="209" s="1"/>
  <c r="AF40" i="209"/>
  <c r="AF41" i="209" s="1"/>
  <c r="AF42" i="209" s="1"/>
  <c r="AF43" i="209" s="1"/>
  <c r="AF44" i="209" s="1"/>
  <c r="AF45" i="209" s="1"/>
  <c r="AF46" i="209" s="1"/>
  <c r="AF47" i="209" s="1"/>
  <c r="G16" i="209"/>
  <c r="R15" i="209"/>
  <c r="AJ15" i="209" s="1"/>
  <c r="R13" i="209"/>
  <c r="AJ13" i="209" s="1"/>
  <c r="R12" i="209"/>
  <c r="R11" i="209"/>
  <c r="R10" i="209"/>
  <c r="R9" i="209"/>
  <c r="AJ9" i="209" s="1"/>
  <c r="R6" i="209"/>
  <c r="B4" i="209"/>
  <c r="A1" i="209"/>
  <c r="B5" i="209" s="1"/>
  <c r="R21" i="208"/>
  <c r="Z21" i="208" s="1"/>
  <c r="AG50" i="208"/>
  <c r="AG51" i="208" s="1"/>
  <c r="AG52" i="208" s="1"/>
  <c r="AG53" i="208" s="1"/>
  <c r="AG54" i="208" s="1"/>
  <c r="AG55" i="208" s="1"/>
  <c r="AG56" i="208" s="1"/>
  <c r="AG57" i="208" s="1"/>
  <c r="AG58" i="208" s="1"/>
  <c r="AG59" i="208" s="1"/>
  <c r="AH40" i="208"/>
  <c r="AH41" i="208" s="1"/>
  <c r="AH42" i="208" s="1"/>
  <c r="AH43" i="208" s="1"/>
  <c r="AH44" i="208" s="1"/>
  <c r="AH45" i="208" s="1"/>
  <c r="AH46" i="208" s="1"/>
  <c r="AH47" i="208" s="1"/>
  <c r="AH48" i="208" s="1"/>
  <c r="AH49" i="208" s="1"/>
  <c r="AH50" i="208" s="1"/>
  <c r="AH51" i="208" s="1"/>
  <c r="AH52" i="208" s="1"/>
  <c r="AH53" i="208" s="1"/>
  <c r="AH54" i="208" s="1"/>
  <c r="AH55" i="208" s="1"/>
  <c r="AH56" i="208" s="1"/>
  <c r="AH57" i="208" s="1"/>
  <c r="AH58" i="208" s="1"/>
  <c r="AH59" i="208" s="1"/>
  <c r="AG40" i="208"/>
  <c r="AG41" i="208" s="1"/>
  <c r="AG42" i="208" s="1"/>
  <c r="AG43" i="208" s="1"/>
  <c r="AG44" i="208" s="1"/>
  <c r="AG45" i="208" s="1"/>
  <c r="AG46" i="208" s="1"/>
  <c r="AG47" i="208" s="1"/>
  <c r="AG48" i="208" s="1"/>
  <c r="AF40" i="208"/>
  <c r="AF41" i="208" s="1"/>
  <c r="AF42" i="208" s="1"/>
  <c r="AF43" i="208" s="1"/>
  <c r="AF44" i="208" s="1"/>
  <c r="AF45" i="208" s="1"/>
  <c r="AF46" i="208" s="1"/>
  <c r="AF47" i="208" s="1"/>
  <c r="AF48" i="208" s="1"/>
  <c r="AF49" i="208" s="1"/>
  <c r="AF50" i="208" s="1"/>
  <c r="AF51" i="208" s="1"/>
  <c r="AF52" i="208" s="1"/>
  <c r="AF53" i="208" s="1"/>
  <c r="AF54" i="208" s="1"/>
  <c r="AF55" i="208" s="1"/>
  <c r="AF56" i="208" s="1"/>
  <c r="AF57" i="208" s="1"/>
  <c r="AF58" i="208" s="1"/>
  <c r="AF59" i="208" s="1"/>
  <c r="R20" i="208"/>
  <c r="AJ20" i="208" s="1"/>
  <c r="G16" i="208"/>
  <c r="R19" i="208"/>
  <c r="AJ19" i="208" s="1"/>
  <c r="R18" i="208"/>
  <c r="AJ18" i="208" s="1"/>
  <c r="R17" i="208"/>
  <c r="AJ17" i="208" s="1"/>
  <c r="R15" i="208"/>
  <c r="AJ15" i="208" s="1"/>
  <c r="R11" i="208"/>
  <c r="AJ11" i="208" s="1"/>
  <c r="R10" i="208"/>
  <c r="AJ10" i="208" s="1"/>
  <c r="R9" i="208"/>
  <c r="R8" i="208"/>
  <c r="AJ8" i="208" s="1"/>
  <c r="R7" i="208"/>
  <c r="R6" i="208"/>
  <c r="B4" i="208"/>
  <c r="A1" i="208"/>
  <c r="B5" i="208" s="1"/>
  <c r="R16" i="207"/>
  <c r="AB16" i="207" s="1"/>
  <c r="Z16" i="207"/>
  <c r="R17" i="207"/>
  <c r="AB17" i="207" s="1"/>
  <c r="R18" i="207"/>
  <c r="AB18" i="207" s="1"/>
  <c r="AG50" i="207"/>
  <c r="AG51" i="207" s="1"/>
  <c r="AG52" i="207" s="1"/>
  <c r="AG53" i="207" s="1"/>
  <c r="AG54" i="207" s="1"/>
  <c r="AG55" i="207" s="1"/>
  <c r="AH40" i="207"/>
  <c r="AH41" i="207" s="1"/>
  <c r="AH42" i="207" s="1"/>
  <c r="AH43" i="207" s="1"/>
  <c r="AH44" i="207" s="1"/>
  <c r="AH45" i="207" s="1"/>
  <c r="AH46" i="207" s="1"/>
  <c r="AH47" i="207" s="1"/>
  <c r="AH48" i="207" s="1"/>
  <c r="AG40" i="207"/>
  <c r="AG41" i="207" s="1"/>
  <c r="AG42" i="207" s="1"/>
  <c r="AG43" i="207" s="1"/>
  <c r="AG44" i="207" s="1"/>
  <c r="AG45" i="207" s="1"/>
  <c r="AG46" i="207" s="1"/>
  <c r="AG47" i="207" s="1"/>
  <c r="AG48" i="207" s="1"/>
  <c r="AF40" i="207"/>
  <c r="AF41" i="207" s="1"/>
  <c r="AF42" i="207" s="1"/>
  <c r="AF43" i="207" s="1"/>
  <c r="AF44" i="207" s="1"/>
  <c r="AF45" i="207" s="1"/>
  <c r="AF46" i="207" s="1"/>
  <c r="AF47" i="207" s="1"/>
  <c r="AF48" i="207" s="1"/>
  <c r="AF49" i="207" s="1"/>
  <c r="AF50" i="207" s="1"/>
  <c r="AF51" i="207" s="1"/>
  <c r="AF52" i="207" s="1"/>
  <c r="AF53" i="207" s="1"/>
  <c r="AF54" i="207" s="1"/>
  <c r="AF55" i="207" s="1"/>
  <c r="G16" i="207"/>
  <c r="R15" i="207"/>
  <c r="R14" i="207"/>
  <c r="R13" i="207"/>
  <c r="R12" i="207"/>
  <c r="Z12" i="207" s="1"/>
  <c r="R10" i="207"/>
  <c r="R9" i="207"/>
  <c r="R8" i="207"/>
  <c r="AJ8" i="207" s="1"/>
  <c r="R6" i="207"/>
  <c r="B4" i="207"/>
  <c r="A1" i="207"/>
  <c r="B5" i="207" s="1"/>
  <c r="AG51" i="206"/>
  <c r="AG52" i="206" s="1"/>
  <c r="AG53" i="206" s="1"/>
  <c r="AG54" i="206" s="1"/>
  <c r="AG55" i="206" s="1"/>
  <c r="AG56" i="206" s="1"/>
  <c r="AG50" i="206"/>
  <c r="AH40" i="206"/>
  <c r="AH41" i="206" s="1"/>
  <c r="AH42" i="206" s="1"/>
  <c r="AH43" i="206" s="1"/>
  <c r="AH44" i="206" s="1"/>
  <c r="AH45" i="206" s="1"/>
  <c r="AG40" i="206"/>
  <c r="AG41" i="206" s="1"/>
  <c r="AG42" i="206" s="1"/>
  <c r="AG43" i="206" s="1"/>
  <c r="AG44" i="206" s="1"/>
  <c r="AG45" i="206" s="1"/>
  <c r="AF40" i="206"/>
  <c r="AF41" i="206" s="1"/>
  <c r="AF42" i="206" s="1"/>
  <c r="AF43" i="206" s="1"/>
  <c r="AF44" i="206" s="1"/>
  <c r="AF45" i="206" s="1"/>
  <c r="G16" i="206"/>
  <c r="R20" i="206"/>
  <c r="Z20" i="206" s="1"/>
  <c r="R15" i="206"/>
  <c r="R11" i="206"/>
  <c r="R9" i="206"/>
  <c r="R8" i="206"/>
  <c r="R7" i="206"/>
  <c r="Z7" i="206" s="1"/>
  <c r="R6" i="206"/>
  <c r="B4" i="206"/>
  <c r="A1" i="206"/>
  <c r="B5" i="206" s="1"/>
  <c r="R17" i="205"/>
  <c r="AJ17" i="205" s="1"/>
  <c r="R18" i="205"/>
  <c r="Z18" i="205" s="1"/>
  <c r="AG50" i="205"/>
  <c r="AG51" i="205" s="1"/>
  <c r="AG52" i="205" s="1"/>
  <c r="AG53" i="205" s="1"/>
  <c r="AG54" i="205" s="1"/>
  <c r="AG55" i="205" s="1"/>
  <c r="AG56" i="205" s="1"/>
  <c r="AG57" i="205" s="1"/>
  <c r="AG58" i="205" s="1"/>
  <c r="AG59" i="205" s="1"/>
  <c r="AH41" i="205"/>
  <c r="AH42" i="205" s="1"/>
  <c r="AH43" i="205" s="1"/>
  <c r="AH44" i="205" s="1"/>
  <c r="AH45" i="205" s="1"/>
  <c r="AG41" i="205"/>
  <c r="AG42" i="205" s="1"/>
  <c r="AG43" i="205" s="1"/>
  <c r="AG44" i="205" s="1"/>
  <c r="AG45" i="205" s="1"/>
  <c r="AF41" i="205"/>
  <c r="AF42" i="205" s="1"/>
  <c r="AF43" i="205" s="1"/>
  <c r="AF44" i="205" s="1"/>
  <c r="AF45" i="205" s="1"/>
  <c r="AH40" i="205"/>
  <c r="AG40" i="205"/>
  <c r="AF40" i="205"/>
  <c r="G16" i="205"/>
  <c r="R16" i="205"/>
  <c r="R11" i="205"/>
  <c r="R9" i="205"/>
  <c r="AJ9" i="205" s="1"/>
  <c r="R8" i="205"/>
  <c r="R7" i="205"/>
  <c r="R6" i="205"/>
  <c r="B4" i="205"/>
  <c r="A1" i="205"/>
  <c r="B5" i="205" s="1"/>
  <c r="AF56" i="207" l="1"/>
  <c r="AF57" i="207" s="1"/>
  <c r="AF58" i="207" s="1"/>
  <c r="AF59" i="207" s="1"/>
  <c r="Z7" i="207" s="1"/>
  <c r="Z11" i="207"/>
  <c r="AF46" i="206"/>
  <c r="Z19" i="206"/>
  <c r="AH46" i="206"/>
  <c r="AJ19" i="206"/>
  <c r="AH50" i="213"/>
  <c r="AH51" i="213" s="1"/>
  <c r="AJ14" i="213"/>
  <c r="AF48" i="209"/>
  <c r="AF49" i="209" s="1"/>
  <c r="AF50" i="209" s="1"/>
  <c r="AF51" i="209" s="1"/>
  <c r="AF52" i="209" s="1"/>
  <c r="AF53" i="209" s="1"/>
  <c r="AF54" i="209" s="1"/>
  <c r="AF55" i="209" s="1"/>
  <c r="AF56" i="209" s="1"/>
  <c r="AF57" i="209" s="1"/>
  <c r="AF58" i="209" s="1"/>
  <c r="AF59" i="209" s="1"/>
  <c r="Z7" i="209" s="1"/>
  <c r="Z14" i="209"/>
  <c r="AG46" i="205"/>
  <c r="AB15" i="205"/>
  <c r="AG48" i="209"/>
  <c r="AB14" i="209"/>
  <c r="AF48" i="210"/>
  <c r="AF49" i="210" s="1"/>
  <c r="AF50" i="210" s="1"/>
  <c r="AF51" i="210" s="1"/>
  <c r="AF52" i="210" s="1"/>
  <c r="AF53" i="210" s="1"/>
  <c r="AF54" i="210" s="1"/>
  <c r="AF55" i="210" s="1"/>
  <c r="AF56" i="210" s="1"/>
  <c r="AF57" i="210" s="1"/>
  <c r="AF58" i="210" s="1"/>
  <c r="Z15" i="210"/>
  <c r="AG48" i="210"/>
  <c r="AB15" i="210"/>
  <c r="AF50" i="213"/>
  <c r="AF51" i="213" s="1"/>
  <c r="AF52" i="213" s="1"/>
  <c r="Z14" i="213"/>
  <c r="AG47" i="212"/>
  <c r="AB18" i="212"/>
  <c r="AB16" i="212"/>
  <c r="AB17" i="212"/>
  <c r="AB15" i="212"/>
  <c r="AF48" i="216"/>
  <c r="Z15" i="216"/>
  <c r="Z17" i="216"/>
  <c r="AB6" i="209"/>
  <c r="Z6" i="209"/>
  <c r="AB6" i="210"/>
  <c r="AB18" i="210"/>
  <c r="AH48" i="216"/>
  <c r="AJ17" i="216"/>
  <c r="AJ15" i="216"/>
  <c r="AG57" i="214"/>
  <c r="AB6" i="214"/>
  <c r="AG58" i="215"/>
  <c r="AB11" i="215"/>
  <c r="AB8" i="215"/>
  <c r="AH46" i="205"/>
  <c r="AJ15" i="205"/>
  <c r="AB12" i="210"/>
  <c r="AB8" i="210"/>
  <c r="AB7" i="210"/>
  <c r="AG56" i="211"/>
  <c r="AG57" i="211" s="1"/>
  <c r="AG58" i="211" s="1"/>
  <c r="AB8" i="211"/>
  <c r="AH47" i="215"/>
  <c r="AJ13" i="215"/>
  <c r="AH48" i="209"/>
  <c r="AH49" i="209" s="1"/>
  <c r="AH50" i="209" s="1"/>
  <c r="AH51" i="209" s="1"/>
  <c r="AH52" i="209" s="1"/>
  <c r="AH53" i="209" s="1"/>
  <c r="AH54" i="209" s="1"/>
  <c r="AH55" i="209" s="1"/>
  <c r="AH56" i="209" s="1"/>
  <c r="AH57" i="209" s="1"/>
  <c r="AH58" i="209" s="1"/>
  <c r="AH59" i="209" s="1"/>
  <c r="AJ7" i="209" s="1"/>
  <c r="AJ14" i="209"/>
  <c r="AB10" i="210"/>
  <c r="AG55" i="213"/>
  <c r="AB9" i="213"/>
  <c r="AF56" i="214"/>
  <c r="Z9" i="214"/>
  <c r="Z6" i="207"/>
  <c r="AB6" i="207"/>
  <c r="AB9" i="210"/>
  <c r="Z15" i="206"/>
  <c r="AB11" i="210"/>
  <c r="AG58" i="212"/>
  <c r="AG59" i="212" s="1"/>
  <c r="AB9" i="212"/>
  <c r="AH56" i="214"/>
  <c r="AJ9" i="214"/>
  <c r="AJ12" i="209"/>
  <c r="AH47" i="211"/>
  <c r="AJ13" i="211"/>
  <c r="AJ14" i="211"/>
  <c r="AF47" i="212"/>
  <c r="Z17" i="212"/>
  <c r="Z18" i="212"/>
  <c r="Z15" i="212"/>
  <c r="Z16" i="212"/>
  <c r="AG46" i="206"/>
  <c r="AB15" i="206" s="1"/>
  <c r="AB19" i="206"/>
  <c r="AG47" i="215"/>
  <c r="AB13" i="215"/>
  <c r="AB6" i="205"/>
  <c r="AF46" i="205"/>
  <c r="Z15" i="205"/>
  <c r="Z6" i="208"/>
  <c r="AB6" i="208"/>
  <c r="AJ6" i="208"/>
  <c r="AB14" i="210"/>
  <c r="AH48" i="210"/>
  <c r="AH49" i="210" s="1"/>
  <c r="AH50" i="210" s="1"/>
  <c r="AH51" i="210" s="1"/>
  <c r="AH52" i="210" s="1"/>
  <c r="AH53" i="210" s="1"/>
  <c r="AH54" i="210" s="1"/>
  <c r="AH55" i="210" s="1"/>
  <c r="AH56" i="210" s="1"/>
  <c r="AH57" i="210" s="1"/>
  <c r="AH58" i="210" s="1"/>
  <c r="AJ15" i="210"/>
  <c r="AG59" i="216"/>
  <c r="AB10" i="216"/>
  <c r="AG47" i="211"/>
  <c r="AB14" i="211"/>
  <c r="AB13" i="211"/>
  <c r="AH47" i="212"/>
  <c r="AJ18" i="212"/>
  <c r="AJ16" i="212"/>
  <c r="AJ15" i="212"/>
  <c r="AJ17" i="212"/>
  <c r="AB6" i="206"/>
  <c r="AG56" i="207"/>
  <c r="AG57" i="207" s="1"/>
  <c r="AG58" i="207" s="1"/>
  <c r="AB11" i="207"/>
  <c r="AB16" i="210"/>
  <c r="AF47" i="215"/>
  <c r="Z13" i="215"/>
  <c r="AF47" i="211"/>
  <c r="Z13" i="211"/>
  <c r="Z14" i="211"/>
  <c r="AG48" i="216"/>
  <c r="AB18" i="216" s="1"/>
  <c r="AB15" i="216"/>
  <c r="AB17" i="216"/>
  <c r="AJ19" i="210"/>
  <c r="AJ13" i="210"/>
  <c r="AJ18" i="210"/>
  <c r="Z13" i="210"/>
  <c r="Z19" i="210"/>
  <c r="Z13" i="209"/>
  <c r="Z9" i="209"/>
  <c r="AJ7" i="208"/>
  <c r="AJ9" i="208"/>
  <c r="AJ15" i="207"/>
  <c r="AJ17" i="207"/>
  <c r="Z14" i="207"/>
  <c r="Z9" i="207"/>
  <c r="Z17" i="207"/>
  <c r="Z18" i="207"/>
  <c r="AB20" i="206"/>
  <c r="AJ20" i="206"/>
  <c r="AB17" i="205"/>
  <c r="Z17" i="205"/>
  <c r="AH52" i="213"/>
  <c r="AG59" i="211"/>
  <c r="Z18" i="210"/>
  <c r="Z17" i="210"/>
  <c r="AJ17" i="210"/>
  <c r="Z16" i="210"/>
  <c r="AJ16" i="210"/>
  <c r="Z14" i="210"/>
  <c r="AJ14" i="210"/>
  <c r="AJ10" i="210"/>
  <c r="Z10" i="210"/>
  <c r="Z11" i="209"/>
  <c r="AH59" i="210"/>
  <c r="AF59" i="210"/>
  <c r="Z11" i="210"/>
  <c r="AB8" i="209"/>
  <c r="AB10" i="209"/>
  <c r="AB12" i="209"/>
  <c r="AB15" i="209"/>
  <c r="Z8" i="209"/>
  <c r="Z10" i="209"/>
  <c r="Z12" i="209"/>
  <c r="Z15" i="209"/>
  <c r="AB9" i="209"/>
  <c r="AB11" i="209"/>
  <c r="AB13" i="209"/>
  <c r="AJ21" i="208"/>
  <c r="AB21" i="208"/>
  <c r="Z10" i="208"/>
  <c r="Z15" i="208"/>
  <c r="Z18" i="208"/>
  <c r="AB8" i="208"/>
  <c r="AB10" i="208"/>
  <c r="AB15" i="208"/>
  <c r="AB18" i="208"/>
  <c r="Z20" i="208"/>
  <c r="Z8" i="208"/>
  <c r="AB20" i="208"/>
  <c r="Z7" i="208"/>
  <c r="Z9" i="208"/>
  <c r="Z11" i="208"/>
  <c r="Z17" i="208"/>
  <c r="Z19" i="208"/>
  <c r="AB7" i="208"/>
  <c r="AB9" i="208"/>
  <c r="AB11" i="208"/>
  <c r="AB17" i="208"/>
  <c r="AB19" i="208"/>
  <c r="AB14" i="207"/>
  <c r="AB12" i="207"/>
  <c r="AJ18" i="207"/>
  <c r="AJ16" i="207"/>
  <c r="AJ12" i="207"/>
  <c r="AH49" i="207"/>
  <c r="AH50" i="207" s="1"/>
  <c r="AH51" i="207" s="1"/>
  <c r="AH52" i="207" s="1"/>
  <c r="AH53" i="207" s="1"/>
  <c r="AH54" i="207" s="1"/>
  <c r="AH55" i="207" s="1"/>
  <c r="AG59" i="207"/>
  <c r="AB7" i="207" s="1"/>
  <c r="AB9" i="207"/>
  <c r="Z8" i="207"/>
  <c r="Z10" i="207"/>
  <c r="Z13" i="207"/>
  <c r="Z15" i="207"/>
  <c r="AB8" i="207"/>
  <c r="AB10" i="207"/>
  <c r="AB13" i="207"/>
  <c r="AB15" i="207"/>
  <c r="AJ15" i="206"/>
  <c r="AB9" i="206"/>
  <c r="AB7" i="206"/>
  <c r="AG57" i="206"/>
  <c r="AG58" i="206" s="1"/>
  <c r="AJ18" i="205"/>
  <c r="AB18" i="205"/>
  <c r="AJ16" i="205"/>
  <c r="Z16" i="205"/>
  <c r="AB16" i="205"/>
  <c r="Z9" i="205"/>
  <c r="AB7" i="205"/>
  <c r="AB9" i="205"/>
  <c r="AB8" i="205"/>
  <c r="AG58" i="214" l="1"/>
  <c r="AG59" i="214" s="1"/>
  <c r="AB7" i="214"/>
  <c r="AJ10" i="209"/>
  <c r="AJ9" i="210"/>
  <c r="AJ8" i="210"/>
  <c r="AJ12" i="210"/>
  <c r="AJ7" i="210"/>
  <c r="AG48" i="211"/>
  <c r="AB12" i="211"/>
  <c r="AB11" i="211"/>
  <c r="AG48" i="215"/>
  <c r="AB14" i="215"/>
  <c r="AH47" i="205"/>
  <c r="AJ14" i="205"/>
  <c r="AJ13" i="205"/>
  <c r="AH49" i="216"/>
  <c r="AH50" i="216" s="1"/>
  <c r="AH51" i="216" s="1"/>
  <c r="AH52" i="216" s="1"/>
  <c r="AH53" i="216" s="1"/>
  <c r="AH54" i="216" s="1"/>
  <c r="AH55" i="216" s="1"/>
  <c r="AH56" i="216" s="1"/>
  <c r="AH57" i="216" s="1"/>
  <c r="AJ18" i="216"/>
  <c r="AG48" i="212"/>
  <c r="AB11" i="212" s="1"/>
  <c r="AB14" i="212"/>
  <c r="AB13" i="212"/>
  <c r="AB12" i="212"/>
  <c r="AH47" i="206"/>
  <c r="AJ16" i="206"/>
  <c r="AJ17" i="206"/>
  <c r="AJ18" i="206"/>
  <c r="AB9" i="216"/>
  <c r="AB8" i="216"/>
  <c r="AB12" i="216"/>
  <c r="AB11" i="216"/>
  <c r="AB7" i="216"/>
  <c r="AH48" i="211"/>
  <c r="AH49" i="211" s="1"/>
  <c r="AH50" i="211" s="1"/>
  <c r="AJ12" i="211"/>
  <c r="AJ11" i="211"/>
  <c r="AG56" i="213"/>
  <c r="AG57" i="213" s="1"/>
  <c r="AB11" i="213"/>
  <c r="AB10" i="213"/>
  <c r="AH48" i="215"/>
  <c r="AH49" i="215" s="1"/>
  <c r="AH50" i="215" s="1"/>
  <c r="AH51" i="215" s="1"/>
  <c r="AH52" i="215" s="1"/>
  <c r="AH53" i="215" s="1"/>
  <c r="AH54" i="215" s="1"/>
  <c r="AH55" i="215" s="1"/>
  <c r="AH56" i="215" s="1"/>
  <c r="AJ14" i="215"/>
  <c r="AG47" i="206"/>
  <c r="AB17" i="206"/>
  <c r="AB16" i="206"/>
  <c r="AB18" i="206"/>
  <c r="AF57" i="214"/>
  <c r="Z6" i="214"/>
  <c r="AJ6" i="209"/>
  <c r="AH48" i="212"/>
  <c r="AJ12" i="212"/>
  <c r="AJ14" i="212"/>
  <c r="AJ13" i="212"/>
  <c r="AJ6" i="207"/>
  <c r="AJ8" i="209"/>
  <c r="Z6" i="210"/>
  <c r="AF53" i="213"/>
  <c r="AF54" i="213" s="1"/>
  <c r="Z6" i="213"/>
  <c r="AG47" i="205"/>
  <c r="AB14" i="205"/>
  <c r="AB13" i="205"/>
  <c r="AF47" i="206"/>
  <c r="Z18" i="206"/>
  <c r="Z16" i="206"/>
  <c r="Z17" i="206"/>
  <c r="AF48" i="211"/>
  <c r="AF49" i="211" s="1"/>
  <c r="AF50" i="211" s="1"/>
  <c r="Z11" i="211"/>
  <c r="Z12" i="211"/>
  <c r="AF47" i="205"/>
  <c r="Z14" i="205"/>
  <c r="Z13" i="205"/>
  <c r="AH56" i="207"/>
  <c r="AH57" i="207" s="1"/>
  <c r="AH58" i="207" s="1"/>
  <c r="AJ10" i="207" s="1"/>
  <c r="AJ11" i="207"/>
  <c r="Z9" i="210"/>
  <c r="Z8" i="210"/>
  <c r="Z7" i="210"/>
  <c r="Z12" i="210"/>
  <c r="AH53" i="213"/>
  <c r="AH54" i="213" s="1"/>
  <c r="AJ6" i="213"/>
  <c r="AH57" i="214"/>
  <c r="AJ6" i="214"/>
  <c r="AG59" i="215"/>
  <c r="AB7" i="215" s="1"/>
  <c r="AB6" i="215"/>
  <c r="AJ6" i="210"/>
  <c r="AF49" i="216"/>
  <c r="AF50" i="216" s="1"/>
  <c r="AF51" i="216" s="1"/>
  <c r="AF52" i="216" s="1"/>
  <c r="AF53" i="216" s="1"/>
  <c r="AF54" i="216" s="1"/>
  <c r="AF55" i="216" s="1"/>
  <c r="AF56" i="216" s="1"/>
  <c r="AF57" i="216" s="1"/>
  <c r="Z18" i="216"/>
  <c r="AB10" i="212"/>
  <c r="AB8" i="212"/>
  <c r="AF48" i="215"/>
  <c r="AF49" i="215" s="1"/>
  <c r="AF50" i="215" s="1"/>
  <c r="AF51" i="215" s="1"/>
  <c r="AF52" i="215" s="1"/>
  <c r="AF53" i="215" s="1"/>
  <c r="AF54" i="215" s="1"/>
  <c r="AF55" i="215" s="1"/>
  <c r="AF56" i="215" s="1"/>
  <c r="Z14" i="215"/>
  <c r="AJ11" i="209"/>
  <c r="AJ11" i="210"/>
  <c r="AF48" i="212"/>
  <c r="Z12" i="212"/>
  <c r="Z13" i="212"/>
  <c r="Z14" i="212"/>
  <c r="AJ14" i="207"/>
  <c r="AH59" i="207"/>
  <c r="AJ9" i="207"/>
  <c r="AJ7" i="206"/>
  <c r="AG59" i="206"/>
  <c r="AB10" i="206" s="1"/>
  <c r="AB8" i="206"/>
  <c r="AH58" i="216" l="1"/>
  <c r="AJ6" i="216"/>
  <c r="AG48" i="205"/>
  <c r="AB12" i="205"/>
  <c r="AB11" i="205"/>
  <c r="AG48" i="206"/>
  <c r="AB11" i="206" s="1"/>
  <c r="AB13" i="206"/>
  <c r="AB12" i="206"/>
  <c r="AB14" i="206"/>
  <c r="AH51" i="211"/>
  <c r="AH52" i="211" s="1"/>
  <c r="AH53" i="211" s="1"/>
  <c r="AJ6" i="211"/>
  <c r="AF51" i="211"/>
  <c r="AF52" i="211" s="1"/>
  <c r="AF53" i="211" s="1"/>
  <c r="Z6" i="211"/>
  <c r="AH48" i="206"/>
  <c r="AJ14" i="206"/>
  <c r="AJ13" i="206"/>
  <c r="AJ12" i="206"/>
  <c r="AF55" i="213"/>
  <c r="Z9" i="213"/>
  <c r="AH57" i="215"/>
  <c r="AJ10" i="215"/>
  <c r="AH48" i="205"/>
  <c r="AH49" i="205" s="1"/>
  <c r="AH50" i="205" s="1"/>
  <c r="AJ12" i="205"/>
  <c r="AJ11" i="205"/>
  <c r="AH58" i="214"/>
  <c r="AH59" i="214" s="1"/>
  <c r="AJ7" i="214"/>
  <c r="AF57" i="215"/>
  <c r="Z10" i="215"/>
  <c r="AF58" i="214"/>
  <c r="AF59" i="214" s="1"/>
  <c r="Z7" i="214"/>
  <c r="AJ13" i="207"/>
  <c r="AJ7" i="207"/>
  <c r="AH55" i="213"/>
  <c r="AJ9" i="213"/>
  <c r="AF48" i="206"/>
  <c r="Z12" i="206"/>
  <c r="Z14" i="206"/>
  <c r="Z13" i="206"/>
  <c r="AG58" i="213"/>
  <c r="AG59" i="213" s="1"/>
  <c r="AB7" i="213" s="1"/>
  <c r="AB13" i="213"/>
  <c r="AH49" i="212"/>
  <c r="AH50" i="212" s="1"/>
  <c r="AH51" i="212" s="1"/>
  <c r="AH52" i="212" s="1"/>
  <c r="AH53" i="212" s="1"/>
  <c r="AH54" i="212" s="1"/>
  <c r="AH55" i="212" s="1"/>
  <c r="AH56" i="212" s="1"/>
  <c r="AJ11" i="212"/>
  <c r="AF49" i="212"/>
  <c r="AF50" i="212" s="1"/>
  <c r="AF51" i="212" s="1"/>
  <c r="AF52" i="212" s="1"/>
  <c r="AF53" i="212" s="1"/>
  <c r="AF54" i="212" s="1"/>
  <c r="AF55" i="212" s="1"/>
  <c r="AF56" i="212" s="1"/>
  <c r="Z11" i="212"/>
  <c r="AF58" i="216"/>
  <c r="Z6" i="216"/>
  <c r="AF48" i="205"/>
  <c r="AF49" i="205" s="1"/>
  <c r="AF50" i="205" s="1"/>
  <c r="Z12" i="205"/>
  <c r="Z11" i="205"/>
  <c r="AF51" i="205" l="1"/>
  <c r="AF52" i="205" s="1"/>
  <c r="AF53" i="205" s="1"/>
  <c r="Z6" i="205"/>
  <c r="AH49" i="206"/>
  <c r="AH50" i="206" s="1"/>
  <c r="AH51" i="206" s="1"/>
  <c r="AH52" i="206" s="1"/>
  <c r="AH53" i="206" s="1"/>
  <c r="AH54" i="206" s="1"/>
  <c r="AH55" i="206" s="1"/>
  <c r="AH56" i="206" s="1"/>
  <c r="AJ11" i="206"/>
  <c r="AH58" i="215"/>
  <c r="AJ11" i="215"/>
  <c r="AJ8" i="215"/>
  <c r="AF54" i="211"/>
  <c r="AF55" i="211" s="1"/>
  <c r="Z7" i="211"/>
  <c r="AH51" i="205"/>
  <c r="AH52" i="205" s="1"/>
  <c r="AH53" i="205" s="1"/>
  <c r="AJ6" i="205"/>
  <c r="AF57" i="212"/>
  <c r="Z6" i="212"/>
  <c r="AF49" i="206"/>
  <c r="AF50" i="206" s="1"/>
  <c r="AF51" i="206" s="1"/>
  <c r="AF52" i="206" s="1"/>
  <c r="AF53" i="206" s="1"/>
  <c r="AF54" i="206" s="1"/>
  <c r="AF55" i="206" s="1"/>
  <c r="AF56" i="206" s="1"/>
  <c r="Z11" i="206"/>
  <c r="AF58" i="215"/>
  <c r="Z8" i="215"/>
  <c r="Z11" i="215"/>
  <c r="AF59" i="216"/>
  <c r="Z10" i="216"/>
  <c r="AF56" i="213"/>
  <c r="AF57" i="213" s="1"/>
  <c r="Z10" i="213"/>
  <c r="Z11" i="213"/>
  <c r="AH54" i="211"/>
  <c r="AH55" i="211" s="1"/>
  <c r="AJ7" i="211"/>
  <c r="AH57" i="212"/>
  <c r="AJ6" i="212"/>
  <c r="AH56" i="213"/>
  <c r="AH57" i="213" s="1"/>
  <c r="AJ11" i="213"/>
  <c r="AJ10" i="213"/>
  <c r="AH59" i="216"/>
  <c r="AJ10" i="216"/>
  <c r="R22" i="203"/>
  <c r="AG50" i="203"/>
  <c r="AG51" i="203" s="1"/>
  <c r="AG52" i="203" s="1"/>
  <c r="AG53" i="203" s="1"/>
  <c r="AG54" i="203" s="1"/>
  <c r="AG55" i="203" s="1"/>
  <c r="AG56" i="203" s="1"/>
  <c r="AH40" i="203"/>
  <c r="AH41" i="203" s="1"/>
  <c r="AH42" i="203" s="1"/>
  <c r="AH43" i="203" s="1"/>
  <c r="AH44" i="203" s="1"/>
  <c r="AH45" i="203" s="1"/>
  <c r="AH46" i="203" s="1"/>
  <c r="AH47" i="203" s="1"/>
  <c r="AH48" i="203" s="1"/>
  <c r="AH49" i="203" s="1"/>
  <c r="AH50" i="203" s="1"/>
  <c r="AH51" i="203" s="1"/>
  <c r="AH52" i="203" s="1"/>
  <c r="AH53" i="203" s="1"/>
  <c r="AH54" i="203" s="1"/>
  <c r="AH55" i="203" s="1"/>
  <c r="AH56" i="203" s="1"/>
  <c r="AG40" i="203"/>
  <c r="AG41" i="203" s="1"/>
  <c r="AG42" i="203" s="1"/>
  <c r="AG43" i="203" s="1"/>
  <c r="AG44" i="203" s="1"/>
  <c r="AG45" i="203" s="1"/>
  <c r="AG46" i="203" s="1"/>
  <c r="AG47" i="203" s="1"/>
  <c r="AG48" i="203" s="1"/>
  <c r="AF40" i="203"/>
  <c r="AF41" i="203" s="1"/>
  <c r="AF42" i="203" s="1"/>
  <c r="AF43" i="203" s="1"/>
  <c r="AF44" i="203" s="1"/>
  <c r="AF45" i="203" s="1"/>
  <c r="AF46" i="203" s="1"/>
  <c r="AF47" i="203" s="1"/>
  <c r="AF48" i="203" s="1"/>
  <c r="AF49" i="203" s="1"/>
  <c r="AF50" i="203" s="1"/>
  <c r="AF51" i="203" s="1"/>
  <c r="AF52" i="203" s="1"/>
  <c r="AF53" i="203" s="1"/>
  <c r="AF54" i="203" s="1"/>
  <c r="AF55" i="203" s="1"/>
  <c r="AF56" i="203" s="1"/>
  <c r="G16" i="203"/>
  <c r="R23" i="203"/>
  <c r="R18" i="203"/>
  <c r="AJ18" i="203" s="1"/>
  <c r="R12" i="203"/>
  <c r="R6" i="203"/>
  <c r="B4" i="203"/>
  <c r="A1" i="203"/>
  <c r="B5" i="203" s="1"/>
  <c r="AG50" i="202"/>
  <c r="AG51" i="202" s="1"/>
  <c r="AG52" i="202" s="1"/>
  <c r="AG53" i="202" s="1"/>
  <c r="AH41" i="202"/>
  <c r="AH42" i="202" s="1"/>
  <c r="AH43" i="202" s="1"/>
  <c r="AH44" i="202" s="1"/>
  <c r="AH45" i="202" s="1"/>
  <c r="AH46" i="202" s="1"/>
  <c r="AH47" i="202" s="1"/>
  <c r="AH48" i="202" s="1"/>
  <c r="AH49" i="202" s="1"/>
  <c r="AH50" i="202" s="1"/>
  <c r="AH51" i="202" s="1"/>
  <c r="AH52" i="202" s="1"/>
  <c r="AH53" i="202" s="1"/>
  <c r="AH40" i="202"/>
  <c r="AG40" i="202"/>
  <c r="AG41" i="202" s="1"/>
  <c r="AG42" i="202" s="1"/>
  <c r="AG43" i="202" s="1"/>
  <c r="AG44" i="202" s="1"/>
  <c r="AG45" i="202" s="1"/>
  <c r="AG46" i="202" s="1"/>
  <c r="AG47" i="202" s="1"/>
  <c r="AG48" i="202" s="1"/>
  <c r="AF40" i="202"/>
  <c r="AF41" i="202" s="1"/>
  <c r="AF42" i="202" s="1"/>
  <c r="AF43" i="202" s="1"/>
  <c r="AF44" i="202" s="1"/>
  <c r="AF45" i="202" s="1"/>
  <c r="AF46" i="202" s="1"/>
  <c r="AF47" i="202" s="1"/>
  <c r="AF48" i="202" s="1"/>
  <c r="AF49" i="202" s="1"/>
  <c r="AF50" i="202" s="1"/>
  <c r="AF51" i="202" s="1"/>
  <c r="AF52" i="202" s="1"/>
  <c r="AF53" i="202" s="1"/>
  <c r="G16" i="202"/>
  <c r="B4" i="202"/>
  <c r="A1" i="202"/>
  <c r="B5" i="202" s="1"/>
  <c r="AF54" i="202" l="1"/>
  <c r="AF55" i="202" s="1"/>
  <c r="AF56" i="202" s="1"/>
  <c r="AF57" i="202" s="1"/>
  <c r="AF58" i="202" s="1"/>
  <c r="AF59" i="202" s="1"/>
  <c r="Z22" i="202"/>
  <c r="Z21" i="202"/>
  <c r="Z20" i="202"/>
  <c r="AB22" i="203"/>
  <c r="AJ22" i="203"/>
  <c r="AF54" i="205"/>
  <c r="AF55" i="205" s="1"/>
  <c r="Z7" i="205"/>
  <c r="AG54" i="202"/>
  <c r="AG55" i="202" s="1"/>
  <c r="AG56" i="202" s="1"/>
  <c r="AG57" i="202" s="1"/>
  <c r="AG58" i="202" s="1"/>
  <c r="AG59" i="202" s="1"/>
  <c r="AB21" i="202"/>
  <c r="AB22" i="202"/>
  <c r="AH56" i="211"/>
  <c r="AH57" i="211" s="1"/>
  <c r="AH58" i="211" s="1"/>
  <c r="AH59" i="211" s="1"/>
  <c r="AJ8" i="211"/>
  <c r="AF59" i="215"/>
  <c r="Z7" i="215" s="1"/>
  <c r="Z6" i="215"/>
  <c r="AF56" i="211"/>
  <c r="AF57" i="211" s="1"/>
  <c r="AF58" i="211" s="1"/>
  <c r="AF59" i="211" s="1"/>
  <c r="Z8" i="211"/>
  <c r="AJ12" i="216"/>
  <c r="AJ8" i="216"/>
  <c r="AJ11" i="216"/>
  <c r="AJ9" i="216"/>
  <c r="AJ7" i="216"/>
  <c r="AF58" i="213"/>
  <c r="AF59" i="213" s="1"/>
  <c r="Z7" i="213" s="1"/>
  <c r="Z13" i="213"/>
  <c r="AH59" i="215"/>
  <c r="AJ7" i="215" s="1"/>
  <c r="AJ6" i="215"/>
  <c r="AH57" i="203"/>
  <c r="AH58" i="203" s="1"/>
  <c r="AH59" i="203" s="1"/>
  <c r="AJ20" i="203"/>
  <c r="AJ19" i="203"/>
  <c r="AJ13" i="213"/>
  <c r="AH58" i="213"/>
  <c r="AH59" i="213" s="1"/>
  <c r="AJ7" i="213" s="1"/>
  <c r="AF58" i="212"/>
  <c r="AF59" i="212" s="1"/>
  <c r="Z9" i="212"/>
  <c r="AF57" i="203"/>
  <c r="AF58" i="203" s="1"/>
  <c r="AF59" i="203" s="1"/>
  <c r="Z19" i="203"/>
  <c r="Z20" i="203"/>
  <c r="AF57" i="206"/>
  <c r="Z6" i="206"/>
  <c r="Z6" i="203"/>
  <c r="AJ6" i="203"/>
  <c r="Z11" i="216"/>
  <c r="Z8" i="216"/>
  <c r="Z9" i="216"/>
  <c r="Z12" i="216"/>
  <c r="Z7" i="216"/>
  <c r="AJ6" i="206"/>
  <c r="AH57" i="206"/>
  <c r="AJ12" i="203"/>
  <c r="AG57" i="203"/>
  <c r="AG58" i="203" s="1"/>
  <c r="AG59" i="203" s="1"/>
  <c r="AB19" i="203"/>
  <c r="AB20" i="203"/>
  <c r="AH58" i="212"/>
  <c r="AH59" i="212" s="1"/>
  <c r="AJ9" i="212"/>
  <c r="AH54" i="205"/>
  <c r="AH55" i="205" s="1"/>
  <c r="AJ7" i="205"/>
  <c r="AH54" i="202"/>
  <c r="AH55" i="202" s="1"/>
  <c r="AH56" i="202" s="1"/>
  <c r="AH57" i="202" s="1"/>
  <c r="AH58" i="202" s="1"/>
  <c r="AH59" i="202" s="1"/>
  <c r="AJ19" i="202" s="1"/>
  <c r="AJ22" i="202"/>
  <c r="AJ21" i="202"/>
  <c r="Z22" i="203"/>
  <c r="AB12" i="203"/>
  <c r="AB18" i="203"/>
  <c r="AB23" i="203"/>
  <c r="Z12" i="203"/>
  <c r="Z18" i="203"/>
  <c r="Z23" i="203"/>
  <c r="AJ20" i="202"/>
  <c r="AB20" i="202"/>
  <c r="AB19" i="202"/>
  <c r="Z18" i="202"/>
  <c r="AB18" i="202"/>
  <c r="AG51" i="201"/>
  <c r="AG52" i="201" s="1"/>
  <c r="AG53" i="201" s="1"/>
  <c r="AG54" i="201" s="1"/>
  <c r="AG55" i="201" s="1"/>
  <c r="AG56" i="201" s="1"/>
  <c r="AG57" i="201" s="1"/>
  <c r="AG50" i="201"/>
  <c r="AH40" i="201"/>
  <c r="AH41" i="201" s="1"/>
  <c r="AH42" i="201" s="1"/>
  <c r="AH43" i="201" s="1"/>
  <c r="AH44" i="201" s="1"/>
  <c r="AH45" i="201" s="1"/>
  <c r="AG40" i="201"/>
  <c r="AG41" i="201" s="1"/>
  <c r="AG42" i="201" s="1"/>
  <c r="AG43" i="201" s="1"/>
  <c r="AG44" i="201" s="1"/>
  <c r="AG45" i="201" s="1"/>
  <c r="AF40" i="201"/>
  <c r="AF41" i="201" s="1"/>
  <c r="AF42" i="201" s="1"/>
  <c r="AF43" i="201" s="1"/>
  <c r="AF44" i="201" s="1"/>
  <c r="AF45" i="201" s="1"/>
  <c r="AF46" i="201" s="1"/>
  <c r="AF47" i="201" s="1"/>
  <c r="G16" i="201"/>
  <c r="R6" i="201"/>
  <c r="B4" i="201"/>
  <c r="A1" i="201"/>
  <c r="B5" i="201" s="1"/>
  <c r="AH56" i="205" l="1"/>
  <c r="AH57" i="205" s="1"/>
  <c r="AH58" i="205" s="1"/>
  <c r="AH59" i="205" s="1"/>
  <c r="AJ8" i="205"/>
  <c r="AF56" i="205"/>
  <c r="AF57" i="205" s="1"/>
  <c r="AF58" i="205" s="1"/>
  <c r="AF59" i="205" s="1"/>
  <c r="Z8" i="205"/>
  <c r="AJ8" i="212"/>
  <c r="AJ10" i="212"/>
  <c r="AF58" i="206"/>
  <c r="AF59" i="206" s="1"/>
  <c r="Z9" i="206"/>
  <c r="AJ9" i="203"/>
  <c r="AJ17" i="203"/>
  <c r="AJ10" i="203"/>
  <c r="AJ15" i="203"/>
  <c r="AJ8" i="203"/>
  <c r="AJ16" i="203"/>
  <c r="AJ11" i="203"/>
  <c r="AJ24" i="203"/>
  <c r="AJ13" i="203"/>
  <c r="AJ14" i="203"/>
  <c r="AJ7" i="203"/>
  <c r="AJ23" i="203"/>
  <c r="AB14" i="203"/>
  <c r="AB7" i="203"/>
  <c r="AB15" i="203"/>
  <c r="AB10" i="203"/>
  <c r="AB9" i="203"/>
  <c r="AB8" i="203"/>
  <c r="AB17" i="203"/>
  <c r="AB11" i="203"/>
  <c r="AB24" i="203"/>
  <c r="AB16" i="203"/>
  <c r="AB13" i="203"/>
  <c r="Z8" i="203"/>
  <c r="Z10" i="203"/>
  <c r="Z17" i="203"/>
  <c r="Z11" i="203"/>
  <c r="Z24" i="203"/>
  <c r="Z15" i="203"/>
  <c r="Z16" i="203"/>
  <c r="Z13" i="203"/>
  <c r="Z14" i="203"/>
  <c r="Z7" i="203"/>
  <c r="Z9" i="203"/>
  <c r="AJ9" i="202"/>
  <c r="AJ10" i="202"/>
  <c r="AJ8" i="202"/>
  <c r="AJ6" i="202"/>
  <c r="AJ7" i="202"/>
  <c r="AJ15" i="202"/>
  <c r="AJ14" i="202"/>
  <c r="AJ12" i="202"/>
  <c r="AJ11" i="202"/>
  <c r="AJ13" i="202"/>
  <c r="AJ18" i="202"/>
  <c r="AG58" i="201"/>
  <c r="AB19" i="201" s="1"/>
  <c r="AB22" i="201"/>
  <c r="AH58" i="206"/>
  <c r="AH59" i="206" s="1"/>
  <c r="AJ9" i="206"/>
  <c r="AB6" i="203"/>
  <c r="Z8" i="212"/>
  <c r="Z10" i="212"/>
  <c r="AB7" i="202"/>
  <c r="AB8" i="202"/>
  <c r="AB10" i="202"/>
  <c r="AB9" i="202"/>
  <c r="AB6" i="202"/>
  <c r="AB14" i="202"/>
  <c r="AB13" i="202"/>
  <c r="AB12" i="202"/>
  <c r="AB15" i="202"/>
  <c r="AB11" i="202"/>
  <c r="Z8" i="202"/>
  <c r="Z11" i="202"/>
  <c r="Z9" i="202"/>
  <c r="Z10" i="202"/>
  <c r="Z7" i="202"/>
  <c r="Z6" i="202"/>
  <c r="Z14" i="202"/>
  <c r="Z12" i="202"/>
  <c r="Z15" i="202"/>
  <c r="Z13" i="202"/>
  <c r="Z19" i="202"/>
  <c r="AG59" i="201"/>
  <c r="AB6" i="201" s="1"/>
  <c r="AF48" i="201"/>
  <c r="AF49" i="201" s="1"/>
  <c r="AF50" i="201" s="1"/>
  <c r="AF51" i="201" s="1"/>
  <c r="AF52" i="201" s="1"/>
  <c r="AF53" i="201" s="1"/>
  <c r="AF54" i="201" s="1"/>
  <c r="AF55" i="201" s="1"/>
  <c r="AF56" i="201" s="1"/>
  <c r="AF57" i="201" s="1"/>
  <c r="AG46" i="201"/>
  <c r="AG47" i="201" s="1"/>
  <c r="AH46" i="201"/>
  <c r="AH47" i="201" s="1"/>
  <c r="AB21" i="201" l="1"/>
  <c r="AB24" i="201"/>
  <c r="AB11" i="201"/>
  <c r="AB7" i="201"/>
  <c r="AB18" i="201"/>
  <c r="AB14" i="201"/>
  <c r="AB9" i="201"/>
  <c r="AB12" i="201"/>
  <c r="AB23" i="201"/>
  <c r="AB10" i="201"/>
  <c r="AB20" i="201"/>
  <c r="AB8" i="201"/>
  <c r="AB13" i="201"/>
  <c r="AJ10" i="206"/>
  <c r="AJ8" i="206"/>
  <c r="AF58" i="201"/>
  <c r="Z22" i="201"/>
  <c r="Z10" i="206"/>
  <c r="Z8" i="206"/>
  <c r="AH48" i="201"/>
  <c r="AH49" i="201" s="1"/>
  <c r="AH50" i="201" s="1"/>
  <c r="AH51" i="201" s="1"/>
  <c r="AH52" i="201" s="1"/>
  <c r="AH53" i="201" s="1"/>
  <c r="AH54" i="201" s="1"/>
  <c r="AH55" i="201" s="1"/>
  <c r="AH56" i="201" s="1"/>
  <c r="AG48" i="201"/>
  <c r="AF59" i="201" l="1"/>
  <c r="Z19" i="201"/>
  <c r="AH57" i="201"/>
  <c r="Z13" i="201" l="1"/>
  <c r="Z8" i="201"/>
  <c r="Z21" i="201"/>
  <c r="Z18" i="201"/>
  <c r="Z20" i="201"/>
  <c r="Z10" i="201"/>
  <c r="Z12" i="201"/>
  <c r="Z9" i="201"/>
  <c r="Z14" i="201"/>
  <c r="Z7" i="201"/>
  <c r="Z24" i="201"/>
  <c r="Z11" i="201"/>
  <c r="Z23" i="201"/>
  <c r="Z6" i="201"/>
  <c r="AH58" i="201"/>
  <c r="AJ19" i="201" s="1"/>
  <c r="AJ22" i="201"/>
  <c r="AH59" i="201" l="1"/>
  <c r="AG50" i="200"/>
  <c r="AG51" i="200" s="1"/>
  <c r="AG52" i="200" s="1"/>
  <c r="AG53" i="200" s="1"/>
  <c r="AG54" i="200" s="1"/>
  <c r="AG55" i="200" s="1"/>
  <c r="AG56" i="200" s="1"/>
  <c r="AH40" i="200"/>
  <c r="AH41" i="200" s="1"/>
  <c r="AH42" i="200" s="1"/>
  <c r="AH43" i="200" s="1"/>
  <c r="AH44" i="200" s="1"/>
  <c r="AH45" i="200" s="1"/>
  <c r="AH46" i="200" s="1"/>
  <c r="AH47" i="200" s="1"/>
  <c r="AH48" i="200" s="1"/>
  <c r="AH49" i="200" s="1"/>
  <c r="AH50" i="200" s="1"/>
  <c r="AH51" i="200" s="1"/>
  <c r="AH52" i="200" s="1"/>
  <c r="AH53" i="200" s="1"/>
  <c r="AH54" i="200" s="1"/>
  <c r="AH55" i="200" s="1"/>
  <c r="AH56" i="200" s="1"/>
  <c r="AG40" i="200"/>
  <c r="AG41" i="200" s="1"/>
  <c r="AG42" i="200" s="1"/>
  <c r="AG43" i="200" s="1"/>
  <c r="AG44" i="200" s="1"/>
  <c r="AG45" i="200" s="1"/>
  <c r="AG46" i="200" s="1"/>
  <c r="AG47" i="200" s="1"/>
  <c r="AG48" i="200" s="1"/>
  <c r="AF40" i="200"/>
  <c r="AF41" i="200" s="1"/>
  <c r="AF42" i="200" s="1"/>
  <c r="AF43" i="200" s="1"/>
  <c r="AF44" i="200" s="1"/>
  <c r="AF45" i="200" s="1"/>
  <c r="AF46" i="200" s="1"/>
  <c r="AF47" i="200" s="1"/>
  <c r="AF48" i="200" s="1"/>
  <c r="AF49" i="200" s="1"/>
  <c r="AF50" i="200" s="1"/>
  <c r="AF51" i="200" s="1"/>
  <c r="AF52" i="200" s="1"/>
  <c r="AF53" i="200" s="1"/>
  <c r="AF54" i="200" s="1"/>
  <c r="AF55" i="200" s="1"/>
  <c r="AF56" i="200" s="1"/>
  <c r="R16" i="200"/>
  <c r="G16" i="200"/>
  <c r="R15" i="200"/>
  <c r="R14" i="200"/>
  <c r="R13" i="200"/>
  <c r="AJ13" i="200" s="1"/>
  <c r="R12" i="200"/>
  <c r="R11" i="200"/>
  <c r="R10" i="200"/>
  <c r="R9" i="200"/>
  <c r="R8" i="200"/>
  <c r="R7" i="200"/>
  <c r="R6" i="200"/>
  <c r="B4" i="200"/>
  <c r="A1" i="200"/>
  <c r="B5" i="200" s="1"/>
  <c r="AJ8" i="201" l="1"/>
  <c r="AJ23" i="201"/>
  <c r="AJ18" i="201"/>
  <c r="AJ11" i="201"/>
  <c r="AJ21" i="201"/>
  <c r="AJ10" i="201"/>
  <c r="AJ20" i="201"/>
  <c r="AJ9" i="201"/>
  <c r="AJ7" i="201"/>
  <c r="AJ14" i="201"/>
  <c r="AJ13" i="201"/>
  <c r="AJ24" i="201"/>
  <c r="AJ12" i="201"/>
  <c r="AJ6" i="201"/>
  <c r="Z11" i="200"/>
  <c r="AJ14" i="200"/>
  <c r="AJ9" i="200"/>
  <c r="AJ8" i="200"/>
  <c r="AH57" i="200"/>
  <c r="AH58" i="200" s="1"/>
  <c r="AH59" i="200" s="1"/>
  <c r="AJ10" i="200" s="1"/>
  <c r="AF57" i="200"/>
  <c r="AF58" i="200" s="1"/>
  <c r="AF59" i="200" s="1"/>
  <c r="Z10" i="200" s="1"/>
  <c r="Z8" i="200"/>
  <c r="Z7" i="200"/>
  <c r="AJ15" i="200"/>
  <c r="AG57" i="200"/>
  <c r="AG58" i="200" s="1"/>
  <c r="AG59" i="200" s="1"/>
  <c r="AB10" i="200" s="1"/>
  <c r="AB8" i="200"/>
  <c r="AB13" i="200"/>
  <c r="AB15" i="200"/>
  <c r="Z15" i="200"/>
  <c r="Z13" i="200"/>
  <c r="Z9" i="200"/>
  <c r="AB11" i="200"/>
  <c r="Z14" i="200"/>
  <c r="AJ7" i="200"/>
  <c r="AJ11" i="200"/>
  <c r="AB14" i="200"/>
  <c r="AJ12" i="199"/>
  <c r="AJ11" i="199"/>
  <c r="AJ9" i="199"/>
  <c r="AJ7" i="199"/>
  <c r="AJ8" i="198"/>
  <c r="AJ9" i="198"/>
  <c r="AJ11" i="198"/>
  <c r="AJ7" i="197"/>
  <c r="AJ7" i="196"/>
  <c r="AJ7" i="195"/>
  <c r="R12" i="199"/>
  <c r="AB12" i="199" s="1"/>
  <c r="R11" i="199"/>
  <c r="AB11" i="199" s="1"/>
  <c r="R10" i="199"/>
  <c r="AB10" i="199" s="1"/>
  <c r="R9" i="199"/>
  <c r="AB9" i="199" s="1"/>
  <c r="R8" i="199"/>
  <c r="AB8" i="199" s="1"/>
  <c r="AB7" i="199"/>
  <c r="R7" i="199"/>
  <c r="Z7" i="199" s="1"/>
  <c r="R6" i="199"/>
  <c r="AB6" i="199" s="1"/>
  <c r="B4" i="199"/>
  <c r="A1" i="199"/>
  <c r="B5" i="199" s="1"/>
  <c r="R12" i="198"/>
  <c r="AB12" i="198" s="1"/>
  <c r="R11" i="198"/>
  <c r="AB11" i="198" s="1"/>
  <c r="Z10" i="198"/>
  <c r="R10" i="198"/>
  <c r="AJ10" i="198" s="1"/>
  <c r="R9" i="198"/>
  <c r="AB9" i="198" s="1"/>
  <c r="R8" i="198"/>
  <c r="AB8" i="198" s="1"/>
  <c r="AB7" i="198"/>
  <c r="R7" i="198"/>
  <c r="Z7" i="198" s="1"/>
  <c r="R6" i="198"/>
  <c r="AB6" i="198" s="1"/>
  <c r="B4" i="198"/>
  <c r="A1" i="198"/>
  <c r="B5" i="198" s="1"/>
  <c r="R12" i="197"/>
  <c r="AB12" i="197" s="1"/>
  <c r="R11" i="197"/>
  <c r="AB11" i="197" s="1"/>
  <c r="Z10" i="197"/>
  <c r="R10" i="197"/>
  <c r="AB10" i="197" s="1"/>
  <c r="R9" i="197"/>
  <c r="AB9" i="197" s="1"/>
  <c r="R8" i="197"/>
  <c r="AB8" i="197" s="1"/>
  <c r="AB7" i="197"/>
  <c r="R7" i="197"/>
  <c r="Z7" i="197" s="1"/>
  <c r="R6" i="197"/>
  <c r="AB6" i="197" s="1"/>
  <c r="B4" i="197"/>
  <c r="A1" i="197"/>
  <c r="B5" i="197" s="1"/>
  <c r="R11" i="196"/>
  <c r="AB11" i="196" s="1"/>
  <c r="R10" i="196"/>
  <c r="AB10" i="196" s="1"/>
  <c r="AB9" i="196"/>
  <c r="Z9" i="196"/>
  <c r="R9" i="196"/>
  <c r="AJ9" i="196" s="1"/>
  <c r="R8" i="196"/>
  <c r="AB8" i="196" s="1"/>
  <c r="R7" i="196"/>
  <c r="AB7" i="196" s="1"/>
  <c r="AB6" i="196"/>
  <c r="R6" i="196"/>
  <c r="Z6" i="196" s="1"/>
  <c r="B4" i="196"/>
  <c r="A1" i="196"/>
  <c r="B5" i="196" s="1"/>
  <c r="R11" i="195"/>
  <c r="AB11" i="195" s="1"/>
  <c r="R10" i="195"/>
  <c r="AB10" i="195" s="1"/>
  <c r="R9" i="195"/>
  <c r="AB9" i="195" s="1"/>
  <c r="Z8" i="195"/>
  <c r="R8" i="195"/>
  <c r="AJ8" i="195" s="1"/>
  <c r="R7" i="195"/>
  <c r="AB7" i="195" s="1"/>
  <c r="R6" i="195"/>
  <c r="AB6" i="195" s="1"/>
  <c r="B4" i="195"/>
  <c r="A1" i="195"/>
  <c r="B5" i="195" s="1"/>
  <c r="R11" i="194"/>
  <c r="AB11" i="194" s="1"/>
  <c r="R10" i="194"/>
  <c r="AB10" i="194" s="1"/>
  <c r="R9" i="194"/>
  <c r="AB9" i="194" s="1"/>
  <c r="R8" i="194"/>
  <c r="AB8" i="194" s="1"/>
  <c r="R7" i="194"/>
  <c r="AJ7" i="194" s="1"/>
  <c r="R6" i="194"/>
  <c r="AB6" i="194" s="1"/>
  <c r="B4" i="194"/>
  <c r="A1" i="194"/>
  <c r="B5" i="194" s="1"/>
  <c r="AB10" i="198" l="1"/>
  <c r="AJ6" i="196"/>
  <c r="AJ8" i="197"/>
  <c r="AJ10" i="199"/>
  <c r="AB9" i="200"/>
  <c r="AJ6" i="195"/>
  <c r="AJ8" i="196"/>
  <c r="AJ10" i="197"/>
  <c r="AJ6" i="194"/>
  <c r="AJ11" i="195"/>
  <c r="AJ11" i="197"/>
  <c r="AJ7" i="198"/>
  <c r="AB8" i="195"/>
  <c r="AJ10" i="195"/>
  <c r="AJ10" i="196"/>
  <c r="AJ12" i="197"/>
  <c r="AJ6" i="199"/>
  <c r="AJ9" i="197"/>
  <c r="AJ9" i="195"/>
  <c r="AJ11" i="196"/>
  <c r="AJ6" i="198"/>
  <c r="AJ11" i="194"/>
  <c r="AJ6" i="197"/>
  <c r="AJ12" i="198"/>
  <c r="AJ8" i="199"/>
  <c r="AJ10" i="194"/>
  <c r="AJ9" i="194"/>
  <c r="AJ8" i="194"/>
  <c r="Z7" i="194"/>
  <c r="AB7" i="194"/>
  <c r="AB7" i="200"/>
  <c r="Z10" i="199"/>
  <c r="Z10" i="194"/>
  <c r="Z11" i="195"/>
  <c r="Z8" i="199"/>
  <c r="Z11" i="199"/>
  <c r="Z9" i="199"/>
  <c r="Z12" i="199"/>
  <c r="Z6" i="195"/>
  <c r="Z7" i="196"/>
  <c r="Z8" i="197"/>
  <c r="Z8" i="198"/>
  <c r="Z8" i="194"/>
  <c r="Z9" i="195"/>
  <c r="Z10" i="196"/>
  <c r="Z11" i="197"/>
  <c r="Z11" i="198"/>
  <c r="Z11" i="194"/>
  <c r="Z6" i="197"/>
  <c r="Z6" i="198"/>
  <c r="Z6" i="199"/>
  <c r="Z6" i="194"/>
  <c r="Z7" i="195"/>
  <c r="Z8" i="196"/>
  <c r="Z9" i="197"/>
  <c r="Z9" i="198"/>
  <c r="Z9" i="194"/>
  <c r="Z10" i="195"/>
  <c r="Z11" i="196"/>
  <c r="Z12" i="197"/>
  <c r="Z12" i="198"/>
  <c r="AG50" i="193"/>
  <c r="AG51" i="193" s="1"/>
  <c r="AG52" i="193" s="1"/>
  <c r="AG53" i="193" s="1"/>
  <c r="AG54" i="193" s="1"/>
  <c r="AG55" i="193" s="1"/>
  <c r="AG56" i="193" s="1"/>
  <c r="AG57" i="193" s="1"/>
  <c r="AG58" i="193" s="1"/>
  <c r="AF41" i="193"/>
  <c r="AF42" i="193" s="1"/>
  <c r="AF43" i="193" s="1"/>
  <c r="AF44" i="193" s="1"/>
  <c r="AF45" i="193" s="1"/>
  <c r="AH40" i="193"/>
  <c r="AH41" i="193" s="1"/>
  <c r="AH42" i="193" s="1"/>
  <c r="AH43" i="193" s="1"/>
  <c r="AH44" i="193" s="1"/>
  <c r="AH45" i="193" s="1"/>
  <c r="AG40" i="193"/>
  <c r="AG41" i="193" s="1"/>
  <c r="AG42" i="193" s="1"/>
  <c r="AG43" i="193" s="1"/>
  <c r="AG44" i="193" s="1"/>
  <c r="AG45" i="193" s="1"/>
  <c r="AF40" i="193"/>
  <c r="R16" i="193"/>
  <c r="G16" i="193"/>
  <c r="R15" i="193"/>
  <c r="R14" i="193"/>
  <c r="R13" i="193"/>
  <c r="R12" i="193"/>
  <c r="R11" i="193"/>
  <c r="R10" i="193"/>
  <c r="R9" i="193"/>
  <c r="R8" i="193"/>
  <c r="R7" i="193"/>
  <c r="R6" i="193"/>
  <c r="B4" i="193"/>
  <c r="A1" i="193"/>
  <c r="B5" i="193" s="1"/>
  <c r="AB7" i="193" l="1"/>
  <c r="AG59" i="193"/>
  <c r="AB9" i="193"/>
  <c r="AJ11" i="193"/>
  <c r="AH46" i="193"/>
  <c r="AH47" i="193" s="1"/>
  <c r="AF46" i="193"/>
  <c r="AF47" i="193" s="1"/>
  <c r="Z14" i="193" s="1"/>
  <c r="Z11" i="193"/>
  <c r="AJ14" i="193"/>
  <c r="AB11" i="193"/>
  <c r="AG46" i="193"/>
  <c r="AG47" i="193" s="1"/>
  <c r="AB14" i="193" s="1"/>
  <c r="AB8" i="193"/>
  <c r="AB10" i="193"/>
  <c r="AG50" i="192"/>
  <c r="AG51" i="192" s="1"/>
  <c r="AG52" i="192" s="1"/>
  <c r="AG53" i="192" s="1"/>
  <c r="AH40" i="192"/>
  <c r="AH41" i="192" s="1"/>
  <c r="AH42" i="192" s="1"/>
  <c r="AH43" i="192" s="1"/>
  <c r="AH44" i="192" s="1"/>
  <c r="AH45" i="192" s="1"/>
  <c r="AH46" i="192" s="1"/>
  <c r="AH47" i="192" s="1"/>
  <c r="AH48" i="192" s="1"/>
  <c r="AH49" i="192" s="1"/>
  <c r="AH50" i="192" s="1"/>
  <c r="AH51" i="192" s="1"/>
  <c r="AH52" i="192" s="1"/>
  <c r="AH53" i="192" s="1"/>
  <c r="AH54" i="192" s="1"/>
  <c r="AH55" i="192" s="1"/>
  <c r="AH56" i="192" s="1"/>
  <c r="AH57" i="192" s="1"/>
  <c r="AH58" i="192" s="1"/>
  <c r="AH59" i="192" s="1"/>
  <c r="AG40" i="192"/>
  <c r="AG41" i="192" s="1"/>
  <c r="AG42" i="192" s="1"/>
  <c r="AG43" i="192" s="1"/>
  <c r="AG44" i="192" s="1"/>
  <c r="AG45" i="192" s="1"/>
  <c r="AG46" i="192" s="1"/>
  <c r="AG47" i="192" s="1"/>
  <c r="AF40" i="192"/>
  <c r="AF41" i="192" s="1"/>
  <c r="AF42" i="192" s="1"/>
  <c r="AF43" i="192" s="1"/>
  <c r="AF44" i="192" s="1"/>
  <c r="AF45" i="192" s="1"/>
  <c r="AF46" i="192" s="1"/>
  <c r="AF47" i="192" s="1"/>
  <c r="AF48" i="192" s="1"/>
  <c r="AF49" i="192" s="1"/>
  <c r="AF50" i="192" s="1"/>
  <c r="AF51" i="192" s="1"/>
  <c r="AF52" i="192" s="1"/>
  <c r="AF53" i="192" s="1"/>
  <c r="AF54" i="192" s="1"/>
  <c r="AF55" i="192" s="1"/>
  <c r="AF56" i="192" s="1"/>
  <c r="AF57" i="192" s="1"/>
  <c r="AF58" i="192" s="1"/>
  <c r="AF59" i="192" s="1"/>
  <c r="G16" i="192"/>
  <c r="R14" i="192"/>
  <c r="AJ14" i="192" s="1"/>
  <c r="R13" i="192"/>
  <c r="AJ13" i="192" s="1"/>
  <c r="R12" i="192"/>
  <c r="Z12" i="192" s="1"/>
  <c r="R11" i="192"/>
  <c r="AJ11" i="192" s="1"/>
  <c r="R10" i="192"/>
  <c r="R9" i="192"/>
  <c r="R8" i="192"/>
  <c r="R7" i="192"/>
  <c r="R6" i="192"/>
  <c r="B4" i="192"/>
  <c r="A1" i="192"/>
  <c r="B5" i="192" s="1"/>
  <c r="AF48" i="193" l="1"/>
  <c r="AF49" i="193" s="1"/>
  <c r="AF50" i="193" s="1"/>
  <c r="AF51" i="193" s="1"/>
  <c r="AF52" i="193" s="1"/>
  <c r="AF53" i="193" s="1"/>
  <c r="AF54" i="193" s="1"/>
  <c r="AF55" i="193" s="1"/>
  <c r="AF56" i="193" s="1"/>
  <c r="Z15" i="193"/>
  <c r="Z13" i="193"/>
  <c r="AH48" i="193"/>
  <c r="AH49" i="193" s="1"/>
  <c r="AH50" i="193" s="1"/>
  <c r="AH51" i="193" s="1"/>
  <c r="AH52" i="193" s="1"/>
  <c r="AH53" i="193" s="1"/>
  <c r="AH54" i="193" s="1"/>
  <c r="AH55" i="193" s="1"/>
  <c r="AH56" i="193" s="1"/>
  <c r="AJ15" i="193"/>
  <c r="AJ13" i="193"/>
  <c r="AG48" i="193"/>
  <c r="AB15" i="193"/>
  <c r="AB13" i="193"/>
  <c r="AJ9" i="192"/>
  <c r="AB14" i="192"/>
  <c r="AB12" i="192"/>
  <c r="AJ12" i="192"/>
  <c r="AJ10" i="192"/>
  <c r="AG48" i="192"/>
  <c r="AB8" i="192"/>
  <c r="AB10" i="192"/>
  <c r="AJ6" i="192"/>
  <c r="AJ7" i="192"/>
  <c r="AJ8" i="192"/>
  <c r="AG54" i="192"/>
  <c r="AG55" i="192" s="1"/>
  <c r="AG56" i="192" s="1"/>
  <c r="AG57" i="192" s="1"/>
  <c r="AG58" i="192" s="1"/>
  <c r="AG59" i="192" s="1"/>
  <c r="AB6" i="192"/>
  <c r="Z6" i="192"/>
  <c r="Z8" i="192"/>
  <c r="Z10" i="192"/>
  <c r="Z14" i="192"/>
  <c r="Z7" i="192"/>
  <c r="Z9" i="192"/>
  <c r="Z11" i="192"/>
  <c r="Z13" i="192"/>
  <c r="AB9" i="192"/>
  <c r="AB11" i="192"/>
  <c r="AB13" i="192"/>
  <c r="AH57" i="193" l="1"/>
  <c r="AH58" i="193" s="1"/>
  <c r="AJ8" i="193"/>
  <c r="AF57" i="193"/>
  <c r="AF58" i="193" s="1"/>
  <c r="Z8" i="193"/>
  <c r="AB7" i="192"/>
  <c r="AF59" i="193" l="1"/>
  <c r="Z9" i="193"/>
  <c r="AH59" i="193"/>
  <c r="AJ9" i="193"/>
  <c r="AJ7" i="193" l="1"/>
  <c r="AJ10" i="193"/>
  <c r="Z7" i="193"/>
  <c r="Z10" i="193"/>
  <c r="C1" i="187" l="1" a="1"/>
  <c r="C1" i="187" s="1"/>
  <c r="E2" i="187" l="1" a="1"/>
  <c r="E2" i="187" s="1"/>
  <c r="G1" i="187" s="1" a="1"/>
  <c r="G1" i="187" s="1"/>
  <c r="R12" i="179"/>
  <c r="R13" i="179"/>
  <c r="R14" i="179"/>
  <c r="R15" i="179"/>
  <c r="R16" i="179"/>
  <c r="R15" i="180"/>
  <c r="R12" i="180"/>
  <c r="R13" i="180"/>
  <c r="R14" i="180"/>
  <c r="R12" i="181"/>
  <c r="R13" i="181"/>
  <c r="R14" i="181"/>
  <c r="R15" i="181"/>
  <c r="R16" i="181"/>
  <c r="R17" i="181"/>
  <c r="R18" i="181"/>
  <c r="R19" i="181"/>
  <c r="R20" i="181"/>
  <c r="R21" i="181"/>
  <c r="R12" i="178"/>
  <c r="R13" i="178"/>
  <c r="R14" i="178"/>
  <c r="R15" i="178"/>
  <c r="R16" i="178"/>
  <c r="R17" i="178"/>
  <c r="R18" i="178"/>
  <c r="R19" i="178"/>
  <c r="R11" i="181" l="1"/>
  <c r="R10" i="181"/>
  <c r="R9" i="181"/>
  <c r="R8" i="181"/>
  <c r="R7" i="181"/>
  <c r="R6" i="181"/>
  <c r="B4" i="181"/>
  <c r="A1" i="181"/>
  <c r="B5" i="181" s="1"/>
  <c r="R11" i="180"/>
  <c r="R10" i="180"/>
  <c r="R9" i="180"/>
  <c r="R8" i="180"/>
  <c r="R7" i="180"/>
  <c r="R6" i="180"/>
  <c r="B4" i="180"/>
  <c r="A1" i="180"/>
  <c r="B5" i="180" s="1"/>
  <c r="R11" i="179"/>
  <c r="R10" i="179"/>
  <c r="R9" i="179"/>
  <c r="R8" i="179"/>
  <c r="R7" i="179"/>
  <c r="R6" i="179"/>
  <c r="B4" i="179"/>
  <c r="A1" i="179"/>
  <c r="B5" i="179" s="1"/>
  <c r="A1" i="178" l="1"/>
  <c r="B5" i="178" s="1"/>
  <c r="B4" i="178"/>
  <c r="R6" i="178"/>
  <c r="R7" i="178"/>
  <c r="R8" i="178"/>
  <c r="R9" i="178"/>
  <c r="R10" i="178"/>
  <c r="R11" i="178"/>
  <c r="AG50" i="175" l="1"/>
  <c r="AG51" i="175" s="1"/>
  <c r="AG52" i="175" s="1"/>
  <c r="AG53" i="175" s="1"/>
  <c r="AG54" i="175" s="1"/>
  <c r="AG55" i="175" s="1"/>
  <c r="AH40" i="175"/>
  <c r="AH41" i="175" s="1"/>
  <c r="AH42" i="175" s="1"/>
  <c r="AH43" i="175" s="1"/>
  <c r="AH44" i="175" s="1"/>
  <c r="AH45" i="175" s="1"/>
  <c r="AH46" i="175" s="1"/>
  <c r="AH47" i="175" s="1"/>
  <c r="AG40" i="175"/>
  <c r="AG41" i="175" s="1"/>
  <c r="AG42" i="175" s="1"/>
  <c r="AG43" i="175" s="1"/>
  <c r="AG44" i="175" s="1"/>
  <c r="AG45" i="175" s="1"/>
  <c r="AG46" i="175" s="1"/>
  <c r="AG47" i="175" s="1"/>
  <c r="AF40" i="175"/>
  <c r="AF41" i="175" s="1"/>
  <c r="AF42" i="175" s="1"/>
  <c r="AF43" i="175" s="1"/>
  <c r="AF44" i="175" s="1"/>
  <c r="AF45" i="175" s="1"/>
  <c r="AF46" i="175" s="1"/>
  <c r="AF47" i="175" s="1"/>
  <c r="R18" i="175"/>
  <c r="AJ18" i="175" s="1"/>
  <c r="R17" i="175"/>
  <c r="Z17" i="175" s="1"/>
  <c r="R16" i="175"/>
  <c r="AJ16" i="175" s="1"/>
  <c r="G16" i="175"/>
  <c r="R15" i="175"/>
  <c r="AB15" i="175" s="1"/>
  <c r="R14" i="175"/>
  <c r="AJ14" i="175" s="1"/>
  <c r="R13" i="175"/>
  <c r="Z13" i="175" s="1"/>
  <c r="R12" i="175"/>
  <c r="AJ12" i="175" s="1"/>
  <c r="R11" i="175"/>
  <c r="R10" i="175"/>
  <c r="R9" i="175"/>
  <c r="Z9" i="175" s="1"/>
  <c r="R8" i="175"/>
  <c r="R7" i="175"/>
  <c r="R6" i="175"/>
  <c r="B4" i="175"/>
  <c r="A1" i="175"/>
  <c r="B5" i="175" s="1"/>
  <c r="Z15" i="175" l="1"/>
  <c r="AJ15" i="175"/>
  <c r="Z10" i="175"/>
  <c r="AB13" i="175"/>
  <c r="AJ13" i="175"/>
  <c r="AJ17" i="175"/>
  <c r="AF48" i="175"/>
  <c r="AF49" i="175" s="1"/>
  <c r="AF50" i="175" s="1"/>
  <c r="AF51" i="175" s="1"/>
  <c r="AF52" i="175" s="1"/>
  <c r="AF53" i="175" s="1"/>
  <c r="AF54" i="175" s="1"/>
  <c r="AF55" i="175" s="1"/>
  <c r="AF56" i="175" s="1"/>
  <c r="AF57" i="175" s="1"/>
  <c r="Z11" i="175"/>
  <c r="AG48" i="175"/>
  <c r="AB11" i="175"/>
  <c r="AH48" i="175"/>
  <c r="AH49" i="175" s="1"/>
  <c r="AH50" i="175" s="1"/>
  <c r="AH51" i="175" s="1"/>
  <c r="AH52" i="175" s="1"/>
  <c r="AH53" i="175" s="1"/>
  <c r="AH54" i="175" s="1"/>
  <c r="AH55" i="175" s="1"/>
  <c r="AH56" i="175" s="1"/>
  <c r="AH57" i="175" s="1"/>
  <c r="AJ6" i="175" s="1"/>
  <c r="AJ10" i="175"/>
  <c r="AJ11" i="175"/>
  <c r="AB8" i="175"/>
  <c r="AG56" i="175"/>
  <c r="AG57" i="175" s="1"/>
  <c r="AG58" i="175" s="1"/>
  <c r="AG59" i="175" s="1"/>
  <c r="AB9" i="175"/>
  <c r="Z18" i="175"/>
  <c r="AJ9" i="175"/>
  <c r="Z14" i="175"/>
  <c r="Z16" i="175"/>
  <c r="AB18" i="175"/>
  <c r="Z12" i="175"/>
  <c r="AB16" i="175"/>
  <c r="Z8" i="175"/>
  <c r="AJ8" i="175" l="1"/>
  <c r="AH58" i="175"/>
  <c r="Z6" i="175"/>
  <c r="AF58" i="175"/>
  <c r="AB6" i="175"/>
  <c r="AF59" i="175" l="1"/>
  <c r="Z7" i="175"/>
  <c r="AH59" i="175"/>
  <c r="AJ7" i="175"/>
  <c r="AG50" i="161" l="1"/>
  <c r="AG51" i="161" s="1"/>
  <c r="AG52" i="161" s="1"/>
  <c r="AG53" i="161" s="1"/>
  <c r="AG54" i="161" s="1"/>
  <c r="AG55" i="161" s="1"/>
  <c r="AG56" i="161" s="1"/>
  <c r="AG57" i="161" s="1"/>
  <c r="AG58" i="161" s="1"/>
  <c r="AG59" i="161" s="1"/>
  <c r="AH40" i="161"/>
  <c r="AH41" i="161" s="1"/>
  <c r="AH42" i="161" s="1"/>
  <c r="AH43" i="161" s="1"/>
  <c r="AH44" i="161" s="1"/>
  <c r="AH45" i="161" s="1"/>
  <c r="AH46" i="161" s="1"/>
  <c r="AH47" i="161" s="1"/>
  <c r="AH48" i="161" s="1"/>
  <c r="AH49" i="161" s="1"/>
  <c r="AH50" i="161" s="1"/>
  <c r="AH51" i="161" s="1"/>
  <c r="AH52" i="161" s="1"/>
  <c r="AH53" i="161" s="1"/>
  <c r="AH54" i="161" s="1"/>
  <c r="AH55" i="161" s="1"/>
  <c r="AH56" i="161" s="1"/>
  <c r="AH57" i="161" s="1"/>
  <c r="AH58" i="161" s="1"/>
  <c r="AG40" i="161"/>
  <c r="AG41" i="161" s="1"/>
  <c r="AG42" i="161" s="1"/>
  <c r="AG43" i="161" s="1"/>
  <c r="AG44" i="161" s="1"/>
  <c r="AG45" i="161" s="1"/>
  <c r="AG46" i="161" s="1"/>
  <c r="AG47" i="161" s="1"/>
  <c r="AG48" i="161" s="1"/>
  <c r="AF40" i="161"/>
  <c r="AF41" i="161" s="1"/>
  <c r="AF42" i="161" s="1"/>
  <c r="AF43" i="161" s="1"/>
  <c r="AF44" i="161" s="1"/>
  <c r="AF45" i="161" s="1"/>
  <c r="AF46" i="161" s="1"/>
  <c r="AF47" i="161" s="1"/>
  <c r="AF48" i="161" s="1"/>
  <c r="AF49" i="161" s="1"/>
  <c r="AF50" i="161" s="1"/>
  <c r="AF51" i="161" s="1"/>
  <c r="AF52" i="161" s="1"/>
  <c r="AF53" i="161" s="1"/>
  <c r="AF54" i="161" s="1"/>
  <c r="AF55" i="161" s="1"/>
  <c r="AF56" i="161" s="1"/>
  <c r="AF57" i="161" s="1"/>
  <c r="AF58" i="161" s="1"/>
  <c r="G16" i="161"/>
  <c r="R10" i="161"/>
  <c r="R8" i="161"/>
  <c r="R6" i="161"/>
  <c r="AB6" i="161" s="1"/>
  <c r="B4" i="161"/>
  <c r="A1" i="161"/>
  <c r="B5" i="161" s="1"/>
  <c r="AG50" i="160"/>
  <c r="AG51" i="160" s="1"/>
  <c r="AG52" i="160" s="1"/>
  <c r="AG53" i="160" s="1"/>
  <c r="AG54" i="160" s="1"/>
  <c r="AG55" i="160" s="1"/>
  <c r="AG56" i="160" s="1"/>
  <c r="AG57" i="160" s="1"/>
  <c r="AG58" i="160" s="1"/>
  <c r="AG59" i="160" s="1"/>
  <c r="AH40" i="160"/>
  <c r="AH41" i="160" s="1"/>
  <c r="AH42" i="160" s="1"/>
  <c r="AH43" i="160" s="1"/>
  <c r="AH44" i="160" s="1"/>
  <c r="AH45" i="160" s="1"/>
  <c r="AH46" i="160" s="1"/>
  <c r="AH47" i="160" s="1"/>
  <c r="AH48" i="160" s="1"/>
  <c r="AH49" i="160" s="1"/>
  <c r="AH50" i="160" s="1"/>
  <c r="AH51" i="160" s="1"/>
  <c r="AH52" i="160" s="1"/>
  <c r="AH53" i="160" s="1"/>
  <c r="AH54" i="160" s="1"/>
  <c r="AH55" i="160" s="1"/>
  <c r="AH56" i="160" s="1"/>
  <c r="AH57" i="160" s="1"/>
  <c r="AH58" i="160" s="1"/>
  <c r="AH59" i="160" s="1"/>
  <c r="AG40" i="160"/>
  <c r="AG41" i="160" s="1"/>
  <c r="AG42" i="160" s="1"/>
  <c r="AG43" i="160" s="1"/>
  <c r="AG44" i="160" s="1"/>
  <c r="AG45" i="160" s="1"/>
  <c r="AG46" i="160" s="1"/>
  <c r="AG47" i="160" s="1"/>
  <c r="AG48" i="160" s="1"/>
  <c r="AF40" i="160"/>
  <c r="AF41" i="160" s="1"/>
  <c r="AF42" i="160" s="1"/>
  <c r="AF43" i="160" s="1"/>
  <c r="AF44" i="160" s="1"/>
  <c r="AF45" i="160" s="1"/>
  <c r="AF46" i="160" s="1"/>
  <c r="AF47" i="160" s="1"/>
  <c r="AF48" i="160" s="1"/>
  <c r="AF49" i="160" s="1"/>
  <c r="AF50" i="160" s="1"/>
  <c r="AF51" i="160" s="1"/>
  <c r="AF52" i="160" s="1"/>
  <c r="AF53" i="160" s="1"/>
  <c r="AF54" i="160" s="1"/>
  <c r="AF55" i="160" s="1"/>
  <c r="AF56" i="160" s="1"/>
  <c r="AF57" i="160" s="1"/>
  <c r="AF58" i="160" s="1"/>
  <c r="AF59" i="160" s="1"/>
  <c r="G16" i="160"/>
  <c r="R10" i="160"/>
  <c r="AJ10" i="160" s="1"/>
  <c r="R8" i="160"/>
  <c r="AJ8" i="160" s="1"/>
  <c r="R6" i="160"/>
  <c r="AJ6" i="160" s="1"/>
  <c r="B4" i="160"/>
  <c r="A1" i="160"/>
  <c r="B5" i="160" s="1"/>
  <c r="AB8" i="161" l="1"/>
  <c r="AB10" i="161"/>
  <c r="AF59" i="161"/>
  <c r="Z10" i="161"/>
  <c r="AH59" i="161"/>
  <c r="AJ10" i="161"/>
  <c r="AB8" i="160"/>
  <c r="Z8" i="160"/>
  <c r="Z6" i="160"/>
  <c r="Z10" i="160"/>
  <c r="AB6" i="160"/>
  <c r="AB10" i="160"/>
  <c r="AG51" i="159"/>
  <c r="AG52" i="159" s="1"/>
  <c r="AG53" i="159" s="1"/>
  <c r="AG54" i="159" s="1"/>
  <c r="AG55" i="159" s="1"/>
  <c r="AG56" i="159" s="1"/>
  <c r="AG57" i="159" s="1"/>
  <c r="AG58" i="159" s="1"/>
  <c r="AG59" i="159" s="1"/>
  <c r="AG50" i="159"/>
  <c r="AH40" i="159"/>
  <c r="AH41" i="159" s="1"/>
  <c r="AH42" i="159" s="1"/>
  <c r="AH43" i="159" s="1"/>
  <c r="AH44" i="159" s="1"/>
  <c r="AH45" i="159" s="1"/>
  <c r="AH46" i="159" s="1"/>
  <c r="AH47" i="159" s="1"/>
  <c r="AH48" i="159" s="1"/>
  <c r="AH49" i="159" s="1"/>
  <c r="AH50" i="159" s="1"/>
  <c r="AH51" i="159" s="1"/>
  <c r="AH52" i="159" s="1"/>
  <c r="AH53" i="159" s="1"/>
  <c r="AH54" i="159" s="1"/>
  <c r="AH55" i="159" s="1"/>
  <c r="AH56" i="159" s="1"/>
  <c r="AH57" i="159" s="1"/>
  <c r="AH58" i="159" s="1"/>
  <c r="AH59" i="159" s="1"/>
  <c r="AG40" i="159"/>
  <c r="AG41" i="159" s="1"/>
  <c r="AG42" i="159" s="1"/>
  <c r="AG43" i="159" s="1"/>
  <c r="AG44" i="159" s="1"/>
  <c r="AG45" i="159" s="1"/>
  <c r="AG46" i="159" s="1"/>
  <c r="AG47" i="159" s="1"/>
  <c r="AG48" i="159" s="1"/>
  <c r="AF40" i="159"/>
  <c r="AF41" i="159" s="1"/>
  <c r="AF42" i="159" s="1"/>
  <c r="AF43" i="159" s="1"/>
  <c r="AF44" i="159" s="1"/>
  <c r="AF45" i="159" s="1"/>
  <c r="AF46" i="159" s="1"/>
  <c r="AF47" i="159" s="1"/>
  <c r="AF48" i="159" s="1"/>
  <c r="AF49" i="159" s="1"/>
  <c r="AF50" i="159" s="1"/>
  <c r="AF51" i="159" s="1"/>
  <c r="AF52" i="159" s="1"/>
  <c r="AF53" i="159" s="1"/>
  <c r="AF54" i="159" s="1"/>
  <c r="AF55" i="159" s="1"/>
  <c r="AF56" i="159" s="1"/>
  <c r="AF57" i="159" s="1"/>
  <c r="AF58" i="159" s="1"/>
  <c r="AF59" i="159" s="1"/>
  <c r="G16" i="159"/>
  <c r="R11" i="159"/>
  <c r="AB11" i="159" s="1"/>
  <c r="R10" i="159"/>
  <c r="R6" i="159"/>
  <c r="B4" i="159"/>
  <c r="A1" i="159"/>
  <c r="B5" i="159" s="1"/>
  <c r="O7" i="157"/>
  <c r="AG50" i="157"/>
  <c r="AG51" i="157" s="1"/>
  <c r="AG52" i="157" s="1"/>
  <c r="AG53" i="157" s="1"/>
  <c r="AH41" i="157"/>
  <c r="AH42" i="157" s="1"/>
  <c r="AH43" i="157" s="1"/>
  <c r="AH44" i="157" s="1"/>
  <c r="AH45" i="157" s="1"/>
  <c r="AH46" i="157" s="1"/>
  <c r="AH47" i="157" s="1"/>
  <c r="AH48" i="157" s="1"/>
  <c r="AH49" i="157" s="1"/>
  <c r="AH50" i="157" s="1"/>
  <c r="AH51" i="157" s="1"/>
  <c r="AH52" i="157" s="1"/>
  <c r="AH53" i="157" s="1"/>
  <c r="AF41" i="157"/>
  <c r="AF42" i="157" s="1"/>
  <c r="AF43" i="157" s="1"/>
  <c r="AF44" i="157" s="1"/>
  <c r="AF45" i="157" s="1"/>
  <c r="AF46" i="157" s="1"/>
  <c r="AF47" i="157" s="1"/>
  <c r="AF48" i="157" s="1"/>
  <c r="AF49" i="157" s="1"/>
  <c r="AF50" i="157" s="1"/>
  <c r="AF51" i="157" s="1"/>
  <c r="AF52" i="157" s="1"/>
  <c r="AF53" i="157" s="1"/>
  <c r="AH40" i="157"/>
  <c r="AG40" i="157"/>
  <c r="AG41" i="157" s="1"/>
  <c r="AG42" i="157" s="1"/>
  <c r="AG43" i="157" s="1"/>
  <c r="AG44" i="157" s="1"/>
  <c r="AG45" i="157" s="1"/>
  <c r="AG46" i="157" s="1"/>
  <c r="AG47" i="157" s="1"/>
  <c r="AG48" i="157" s="1"/>
  <c r="AF40" i="157"/>
  <c r="G16" i="157"/>
  <c r="R11" i="157"/>
  <c r="AB11" i="157" s="1"/>
  <c r="R10" i="157"/>
  <c r="R6" i="157"/>
  <c r="B4" i="157"/>
  <c r="A1" i="157"/>
  <c r="B5" i="157" s="1"/>
  <c r="R8" i="155"/>
  <c r="R9" i="155"/>
  <c r="R11" i="155"/>
  <c r="Z11" i="155" s="1"/>
  <c r="R6" i="155"/>
  <c r="AJ6" i="155" s="1"/>
  <c r="R11" i="156"/>
  <c r="AA12" i="156" s="1"/>
  <c r="R9" i="156"/>
  <c r="R8" i="156"/>
  <c r="AB8" i="156" s="1"/>
  <c r="R6" i="156"/>
  <c r="AG50" i="156"/>
  <c r="AG51" i="156" s="1"/>
  <c r="AG52" i="156" s="1"/>
  <c r="AG53" i="156" s="1"/>
  <c r="AG54" i="156" s="1"/>
  <c r="AG55" i="156" s="1"/>
  <c r="AG56" i="156" s="1"/>
  <c r="AG57" i="156" s="1"/>
  <c r="AG58" i="156" s="1"/>
  <c r="AG59" i="156" s="1"/>
  <c r="AF41" i="156"/>
  <c r="AF42" i="156" s="1"/>
  <c r="AF43" i="156" s="1"/>
  <c r="AF44" i="156" s="1"/>
  <c r="AF45" i="156" s="1"/>
  <c r="AF46" i="156" s="1"/>
  <c r="AF47" i="156" s="1"/>
  <c r="AF48" i="156" s="1"/>
  <c r="AF49" i="156" s="1"/>
  <c r="AF50" i="156" s="1"/>
  <c r="AF51" i="156" s="1"/>
  <c r="AF52" i="156" s="1"/>
  <c r="AF53" i="156" s="1"/>
  <c r="AF54" i="156" s="1"/>
  <c r="AF55" i="156" s="1"/>
  <c r="AF56" i="156" s="1"/>
  <c r="AF57" i="156" s="1"/>
  <c r="AF58" i="156" s="1"/>
  <c r="AF59" i="156" s="1"/>
  <c r="Z9" i="156" s="1"/>
  <c r="AH40" i="156"/>
  <c r="AH41" i="156" s="1"/>
  <c r="AH42" i="156" s="1"/>
  <c r="AH43" i="156" s="1"/>
  <c r="AH44" i="156" s="1"/>
  <c r="AH45" i="156" s="1"/>
  <c r="AH46" i="156" s="1"/>
  <c r="AH47" i="156" s="1"/>
  <c r="AH48" i="156" s="1"/>
  <c r="AH49" i="156" s="1"/>
  <c r="AH50" i="156" s="1"/>
  <c r="AH51" i="156" s="1"/>
  <c r="AH52" i="156" s="1"/>
  <c r="AH53" i="156" s="1"/>
  <c r="AH54" i="156" s="1"/>
  <c r="AH55" i="156" s="1"/>
  <c r="AH56" i="156" s="1"/>
  <c r="AH57" i="156" s="1"/>
  <c r="AH58" i="156" s="1"/>
  <c r="AH59" i="156" s="1"/>
  <c r="AJ9" i="156" s="1"/>
  <c r="AG40" i="156"/>
  <c r="AG41" i="156" s="1"/>
  <c r="AG42" i="156" s="1"/>
  <c r="AG43" i="156" s="1"/>
  <c r="AG44" i="156" s="1"/>
  <c r="AG45" i="156" s="1"/>
  <c r="AG46" i="156" s="1"/>
  <c r="AG47" i="156" s="1"/>
  <c r="AG48" i="156" s="1"/>
  <c r="AF40" i="156"/>
  <c r="G16" i="156"/>
  <c r="AB6" i="156"/>
  <c r="B4" i="156"/>
  <c r="A1" i="156"/>
  <c r="B5" i="156" s="1"/>
  <c r="AG50" i="155"/>
  <c r="AG51" i="155" s="1"/>
  <c r="AG52" i="155" s="1"/>
  <c r="AG53" i="155" s="1"/>
  <c r="AH40" i="155"/>
  <c r="AH41" i="155" s="1"/>
  <c r="AH42" i="155" s="1"/>
  <c r="AH43" i="155" s="1"/>
  <c r="AH44" i="155" s="1"/>
  <c r="AH45" i="155" s="1"/>
  <c r="AH46" i="155" s="1"/>
  <c r="AH47" i="155" s="1"/>
  <c r="AH48" i="155" s="1"/>
  <c r="AH49" i="155" s="1"/>
  <c r="AH50" i="155" s="1"/>
  <c r="AH51" i="155" s="1"/>
  <c r="AH52" i="155" s="1"/>
  <c r="AH53" i="155" s="1"/>
  <c r="AH54" i="155" s="1"/>
  <c r="AH55" i="155" s="1"/>
  <c r="AH56" i="155" s="1"/>
  <c r="AH57" i="155" s="1"/>
  <c r="AH58" i="155" s="1"/>
  <c r="AH59" i="155" s="1"/>
  <c r="AG40" i="155"/>
  <c r="AG41" i="155" s="1"/>
  <c r="AG42" i="155" s="1"/>
  <c r="AG43" i="155" s="1"/>
  <c r="AG44" i="155" s="1"/>
  <c r="AG45" i="155" s="1"/>
  <c r="AG46" i="155" s="1"/>
  <c r="AG47" i="155" s="1"/>
  <c r="AG48" i="155" s="1"/>
  <c r="AF40" i="155"/>
  <c r="AF41" i="155" s="1"/>
  <c r="AF42" i="155" s="1"/>
  <c r="AF43" i="155" s="1"/>
  <c r="AF44" i="155" s="1"/>
  <c r="AF45" i="155" s="1"/>
  <c r="AF46" i="155" s="1"/>
  <c r="AF47" i="155" s="1"/>
  <c r="AF48" i="155" s="1"/>
  <c r="AF49" i="155" s="1"/>
  <c r="AF50" i="155" s="1"/>
  <c r="AF51" i="155" s="1"/>
  <c r="AF52" i="155" s="1"/>
  <c r="AF53" i="155" s="1"/>
  <c r="AF54" i="155" s="1"/>
  <c r="AF55" i="155" s="1"/>
  <c r="G16" i="155"/>
  <c r="AJ9" i="155"/>
  <c r="B4" i="155"/>
  <c r="A1" i="155"/>
  <c r="B5" i="155" s="1"/>
  <c r="AG54" i="155" l="1"/>
  <c r="AG55" i="155" s="1"/>
  <c r="AG56" i="155" s="1"/>
  <c r="AG57" i="155" s="1"/>
  <c r="AG58" i="155" s="1"/>
  <c r="AG59" i="155" s="1"/>
  <c r="AB11" i="155"/>
  <c r="AB9" i="155"/>
  <c r="AF56" i="155"/>
  <c r="AF57" i="155" s="1"/>
  <c r="AF58" i="155" s="1"/>
  <c r="AF59" i="155" s="1"/>
  <c r="Z8" i="155"/>
  <c r="AB6" i="155"/>
  <c r="Z9" i="155"/>
  <c r="AB9" i="156"/>
  <c r="AA10" i="156"/>
  <c r="AJ11" i="156"/>
  <c r="Z6" i="155"/>
  <c r="Z6" i="156"/>
  <c r="AB8" i="155"/>
  <c r="AJ6" i="156"/>
  <c r="AA7" i="156"/>
  <c r="Z11" i="156"/>
  <c r="AJ6" i="161"/>
  <c r="AJ8" i="161"/>
  <c r="Z6" i="161"/>
  <c r="Z8" i="161"/>
  <c r="AB10" i="159"/>
  <c r="AB6" i="159"/>
  <c r="AJ6" i="159"/>
  <c r="AJ11" i="159"/>
  <c r="AJ10" i="159"/>
  <c r="Z10" i="159"/>
  <c r="Z11" i="159"/>
  <c r="Z6" i="159"/>
  <c r="AG54" i="157"/>
  <c r="AG55" i="157" s="1"/>
  <c r="AG56" i="157" s="1"/>
  <c r="AG57" i="157" s="1"/>
  <c r="AG58" i="157" s="1"/>
  <c r="AG59" i="157" s="1"/>
  <c r="AB6" i="157" s="1"/>
  <c r="AB10" i="157"/>
  <c r="AJ11" i="157"/>
  <c r="AH54" i="157"/>
  <c r="AH55" i="157" s="1"/>
  <c r="AH56" i="157" s="1"/>
  <c r="AH57" i="157" s="1"/>
  <c r="AH58" i="157" s="1"/>
  <c r="AH59" i="157" s="1"/>
  <c r="AJ6" i="157" s="1"/>
  <c r="AJ10" i="157"/>
  <c r="AF54" i="157"/>
  <c r="AF55" i="157" s="1"/>
  <c r="AF56" i="157" s="1"/>
  <c r="AF57" i="157" s="1"/>
  <c r="AF58" i="157" s="1"/>
  <c r="AF59" i="157" s="1"/>
  <c r="Z6" i="157" s="1"/>
  <c r="Z11" i="157"/>
  <c r="Z10" i="157"/>
  <c r="AJ8" i="155"/>
  <c r="Z8" i="156"/>
  <c r="AJ8" i="156"/>
  <c r="B19" i="16" l="1"/>
  <c r="R16" i="16"/>
  <c r="M16" i="16"/>
  <c r="R15" i="16"/>
  <c r="M15" i="16"/>
  <c r="R14" i="16"/>
  <c r="M14" i="16"/>
  <c r="R13" i="16"/>
  <c r="M13" i="16"/>
  <c r="R12" i="16"/>
  <c r="M12" i="16"/>
  <c r="R11" i="16"/>
  <c r="M11" i="16"/>
  <c r="R10" i="16"/>
  <c r="M10" i="16"/>
  <c r="R9" i="16"/>
  <c r="M9" i="16"/>
  <c r="R8" i="16"/>
  <c r="M8" i="16"/>
  <c r="R7" i="16"/>
  <c r="M7" i="16"/>
  <c r="R6" i="16"/>
  <c r="M6" i="16"/>
  <c r="B4" i="16"/>
  <c r="A1" i="16"/>
  <c r="B5" i="16" s="1"/>
  <c r="B19" i="12"/>
  <c r="R16" i="12"/>
  <c r="M16" i="12"/>
  <c r="R15" i="12"/>
  <c r="M15" i="12"/>
  <c r="R14" i="12"/>
  <c r="M14" i="12"/>
  <c r="R13" i="12"/>
  <c r="M13" i="12"/>
  <c r="R12" i="12"/>
  <c r="M12" i="12"/>
  <c r="R11" i="12"/>
  <c r="M11" i="12"/>
  <c r="R10" i="12"/>
  <c r="M10" i="12"/>
  <c r="R9" i="12"/>
  <c r="M9" i="12"/>
  <c r="R8" i="12"/>
  <c r="M8" i="12"/>
  <c r="R7" i="12"/>
  <c r="M7" i="12"/>
  <c r="R6" i="12"/>
  <c r="M6" i="12"/>
  <c r="B4" i="12"/>
  <c r="A1" i="12"/>
  <c r="B5" i="12" s="1"/>
  <c r="B19" i="15"/>
  <c r="R17" i="15"/>
  <c r="M17" i="15"/>
  <c r="R16" i="15"/>
  <c r="M16" i="15"/>
  <c r="R15" i="15"/>
  <c r="M15" i="15"/>
  <c r="R14" i="15"/>
  <c r="M14" i="15"/>
  <c r="R13" i="15"/>
  <c r="M13" i="15"/>
  <c r="R12" i="15"/>
  <c r="M12" i="15"/>
  <c r="R11" i="15"/>
  <c r="M11" i="15"/>
  <c r="R10" i="15"/>
  <c r="M10" i="15"/>
  <c r="R9" i="15"/>
  <c r="M9" i="15"/>
  <c r="R8" i="15"/>
  <c r="M8" i="15"/>
  <c r="R7" i="15"/>
  <c r="M7" i="15"/>
  <c r="R6" i="15"/>
  <c r="M6" i="15"/>
  <c r="B4" i="15"/>
  <c r="A1" i="15"/>
  <c r="B5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F5E3E96F-A920-40C5-ADC9-9249C0D7161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2819B4F8-4CB6-4250-88AC-688AC8D9A20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3575B608-A209-4884-AB7B-F69C2FE563BD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26DEC192-B17A-43C6-A6A2-91A64168E7C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720F7C2C-C475-450E-8646-491484DA1CD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L6" authorId="2" shapeId="0" xr:uid="{C4BAE026-2ED8-49EB-B4A4-192FEBCE297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why you used the previous sand formulation ????</t>
        </r>
      </text>
    </comment>
    <comment ref="R6" authorId="2" shapeId="0" xr:uid="{17067223-A8AA-4098-A8D1-8E35EB5AF1C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F0CE0C50-0A19-44BB-B15F-DC649A2C176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3250B18E-5AF2-4005-AAAD-585F0387AB7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55AC0C7E-EFB1-48D7-B75C-3437C2DF3FC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8A6A6177-11FE-4EB8-A028-378EAF02EFC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2" authorId="2" shapeId="0" xr:uid="{ED09F08B-FF5D-4411-88B7-FB357164F22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C7F27E7B-AEDF-437D-A988-109E3B25309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DDAEDC51-3997-4E87-AC09-22AB09E3E58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4E083669-293D-4726-AC3B-CC4712C93DC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91EE0A1E-A0B1-4C80-AB8E-BA91229867B1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0EF15755-7A43-40FC-B238-81751056838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D20FABCF-51AE-4CFF-86D6-0F0F94D5E6F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CEFBBDE0-D684-498C-8B2A-47BAD1CD4409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FF38B909-7AF8-4F27-8FE7-1BBEB364749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464FE539-953E-48E2-B0DE-0C373EE03FD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F4FF6801-056F-49CF-A50D-49F26183792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FEA94509-A5AA-4AC2-AE01-86D090E5530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3B8B109B-15BD-4EAF-8315-65857059510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39ADC86F-465F-4B3B-8188-B6D70C2D881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5B83E15B-25C7-4B9D-8E5D-BD34C019C4B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2" authorId="2" shapeId="0" xr:uid="{D44A4196-7C73-4CA9-BFDF-E1E443DDEFB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95760929-2D4D-41BB-A5CF-DB1453E3FA1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606C633C-FBB2-4C9F-ADC0-33C69E11DC1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4F27A9E4-B60B-4A02-9840-2E160BE18A6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8D48DE63-3574-4581-B569-235BB39EF99D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23C95EDE-9AA9-446F-A908-94981BDE862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CB4F6FAC-A4D2-43FD-B14C-9834CCBFA9E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12351334-8ED3-423A-8C06-B5F37BF88499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638D2F36-8360-4D94-96DB-5D716B66C77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8B7CE4EF-361C-4CE0-BDD0-44805A1AACA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9E23B0E3-3EBE-4C2F-8344-E0BEE87A509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72CDFD71-FDAC-4205-B7E3-B719AFBA036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F64EB432-8DAE-4C7D-97F8-C19C51373F8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DE5AD202-D504-464D-A53E-828C69CB3F4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844A59E8-1FAB-45D3-A63B-33AAB97ED20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2" authorId="2" shapeId="0" xr:uid="{D36603CE-12DF-475D-BF78-BCD4D9B6810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CE9385A8-27BA-4BB2-AD81-926A8D10E28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CFF08817-6017-4999-B074-EE84E198575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E07CAC12-F866-4039-9ADF-0D576A8B703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DA06D828-C551-4A44-9DB0-37FC45F8475E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C5E8E638-1063-4EA3-88D8-4A36FD1C39A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0B750BD1-6758-4B2B-B529-FC8DD242B06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37DBE13A-AFF7-4227-BFEB-0D67A8214AD6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425B0EE7-227A-4B9C-AAD3-9CDE4B74E53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FA170F0E-BA69-409F-82A9-1ADF6ED4BB5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DD9706E4-3F65-4E0A-935D-7A1EC8E3DC5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E7081552-3948-441D-86DA-2FAC0ED9DE1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E8D88FEF-D672-43AC-9E4E-94B01E21DE0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F813C7CE-6E4A-4936-B4DF-855F5DA057C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D01ABF39-B1D1-4EA5-A5F7-2792403D066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2" authorId="2" shapeId="0" xr:uid="{D8C90AB3-8CCB-4568-898E-E1F1C656149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E2EEF84C-1492-4059-A053-C3D8DED855B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DB51014F-C1B2-495A-A247-5E26BF15075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6295CDDF-19CF-4F6C-A659-775501B557C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9BE13D56-964E-4E26-9497-A6088DF37CB0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B8FA710E-A84F-4284-BAEC-01B91987995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BA5BBD56-3973-4631-B512-D733C420497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BC28D348-4C7E-4BC3-B08C-9F2128150BAA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C215C1B1-EF16-4FFA-ADA7-27FAEB2884C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44018E85-5C15-4E1F-BB9C-9A6841BD9FF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9E6BCA53-E7DA-4CCA-904A-C1B6C3EA7F8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3B52303F-F112-4BBB-89BC-0FF5DC1E74D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4C5CD86B-11E9-4C02-89BE-47C8A7B736C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A848E5BB-41AC-4A13-8018-EF5C206ACDE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C08C0F5C-B5C4-4CFE-835A-A87BB11B414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1C6DF462-08F5-43A4-A01F-89CBA985297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251764A4-76B0-478F-91C8-8E3B51DDE77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E368EB1E-69FC-44FA-A665-5CBAA6967D0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97E9CD87-D909-4D91-AF16-B7D2420323C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5" authorId="2" shapeId="0" xr:uid="{DBD29805-95B0-4F71-AE24-A4573719EC9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6" authorId="2" shapeId="0" xr:uid="{E19D12AE-8CDD-454B-8177-C9F832611FF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4C2AF7BC-68BC-45DA-B21E-858816BBC84F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3F4D9D1B-F626-4CE3-A4B5-600CAB6A3F6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8BC69F3B-AE0C-460D-9AE2-2E7A4766199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6AF79E83-C461-4B2C-AE31-C4A6B7A73AC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C3547E55-20B9-4C9C-9703-CC25DA263F6D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75317559-2D1D-4F6A-B9D4-0FC0E266E37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0CF13941-FCB7-4D64-B054-7E3F2A2CB60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A0CDE9EB-17D4-4AAB-8D43-98EC02F4A90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298869E2-24F8-4B37-8694-D4557DB06B7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3D63DBC8-ADBC-4073-9476-363CDB98529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CEAB66D6-504C-43EA-AE88-0DE37F8BC34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21E68363-158A-48E4-8FB3-2F2081C04BB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15036928-8718-473B-8D27-26A33BEABB5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B6552774-9152-4319-9FE0-EEEEB739595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C987BACD-9433-44AC-8B16-345297D9264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847E41C9-FA5C-4797-8F80-B0ECA55B470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5" authorId="2" shapeId="0" xr:uid="{35E68962-0C4C-4A51-AE8A-BDB2BE9E2B7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6" authorId="2" shapeId="0" xr:uid="{AC19CF38-071C-4D6D-A271-E5913FEEABD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A6E2EF9D-5440-4326-8FF2-0EFB56977E81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C819B2BE-16B2-41BA-AF90-4A9F43AE31C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98F12F52-0A95-4A08-B132-63D1D8BE51E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5DB94E08-632F-40AF-A9B0-CE3910DD3D7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64231545-DA34-4E2D-B082-BA242DEA7CB9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CC9E51F5-554F-490D-AB25-6E9FA292C6A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C445AEF5-6DCC-470B-B374-8D0C2C785E5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2555A9AE-0C84-49DB-A741-B74C9733E4F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4539029E-078B-407F-9393-874A091800D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604B259A-50A0-43AA-BB9C-8777294EE0F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A759129C-ADB8-4C71-8A7E-AACE2B148C6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877E518F-9CDD-4EC9-818B-6E0FE89F4D6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6C667EE5-A486-449B-9462-28C11ECB686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564F143F-7D63-4C6D-AE76-635F65A44FC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0" authorId="2" shapeId="0" xr:uid="{B9269F70-04D1-4C2A-8EFD-1520F78E960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1ECD0709-0537-42D7-90A2-A2444040FA6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93B9E7AF-65B5-47BA-BE1E-17F912521A5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781D056F-F9CE-48AA-B93C-3A032E927CA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EB4F12A4-BBA2-45A5-90D8-F2904357CB33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3641A3A7-859F-4556-A32C-C509402568C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4" authorId="2" shapeId="0" xr:uid="{CFC00DDB-8C8F-4F95-9926-4B102EB38B6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1E9F6EC9-1544-4E55-A0BD-3CE19671C3E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D3CEB522-E6C9-401F-BAEE-F8BC85E9D20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9445D5A-1CBD-4860-ACD3-F9A211C825C7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A2660B7D-F58B-4476-8554-976CE543E6B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4C4E6607-0BE6-427A-A606-D97D9F3A5F8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0410B58B-A530-4D23-8D56-4ADB7B3DC15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455DFBE8-AB54-4624-9C5F-4222D4C91DD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06AB360F-EE39-47B4-B9AD-24BFC230675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E0631BCB-407F-4B4B-9DA1-DB616C78BCC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10DB4962-484F-4CAD-B7CA-46B1E63197A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387CE078-50FE-491C-A4F1-EB8AE2FA3D0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AFF80A49-75BF-4272-A286-DA0801555DC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0" authorId="2" shapeId="0" xr:uid="{CF08316E-D225-4E2B-9A32-6B7F9C1BD1E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DF71C9E0-4F51-43BB-B81B-205DB39C6B6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9A974C98-E907-493B-A287-3F031B4FAE0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0AAF62C0-7FD1-4A79-B26A-A23EE5AB180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E311668F-6F58-4130-A520-BD4967202329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D9AA1572-8E9F-4892-B01A-003CEDD6F06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4" authorId="2" shapeId="0" xr:uid="{9F846C21-622B-4985-BE9A-F53F3E31900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21CE1F0B-87CC-4B7C-AF35-A0463C0445E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560F97F6-34A0-4237-9A67-78D58CC8A14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3A9FD22F-798F-434C-857C-E984AF5E38CE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24CEE676-ECA6-446F-BCE3-4E95B59CDBC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E5DC6B00-829A-4AE3-8712-3896154269B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4D531D50-A8F2-4667-8CFC-9F90FCD08FB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69C233E6-6139-4943-A60C-31FF16037EB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0AD8EC33-396A-43A1-982F-42D515AF38E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A02BCAB8-9A51-4EA7-A1AB-D97FD584E8C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3A65A8AB-3C47-4E85-AF31-FFC9CAA205E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A1A80C28-DE1F-46C5-8BF5-9D64EFCBC1B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F53802DB-6BE8-4885-AFCB-CEF7571E108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0" authorId="2" shapeId="0" xr:uid="{50446AB0-962B-4223-BA01-D1735E5A6CD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F64769F0-11C6-47C0-98C4-3E57BABAB33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F3F81625-742D-49F7-B806-9CEEAFB0F1D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9D1DC139-D202-46A1-B38C-83953354508B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575CD91D-799D-47DE-B87D-FD7010E2708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5" authorId="2" shapeId="0" xr:uid="{71904187-E020-4483-B807-649F281F169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CB518784-88AE-4E1A-9D0E-060DB15188A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A75653E6-0F73-42C8-8F75-64C61A2A4E3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131CEE1-014F-4862-8AFD-469E9D4C7E2B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0490BE25-552E-4DBD-8B8E-144C314B346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4A06F993-4EA1-4F0C-B135-7C6760EAFCA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BE8E8E0C-27F6-42C6-935E-9BDF0033429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A48CE5E0-3B2D-4588-AC15-E80A8222602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9671952C-EE79-400C-B6E2-2DC04D9A4AA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5D76D6B2-5E3B-4018-A137-DC45ECBA813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179B0C56-41FB-4FE0-858E-11E3C661A33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33D68832-5964-475D-9B57-9D897E461E4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E33DE3C3-5657-4715-B693-083C0DE0A9B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0" authorId="2" shapeId="0" xr:uid="{D1B2D63A-EAC8-42C3-B6A5-4AAF1C96262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2DF1076E-6091-4EE5-97AB-A773E045160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7237F058-2637-4440-A542-9F75A62CF9B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B2399E21-FADB-4520-BD78-A01FC5C3FABE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8FB656AF-57F6-4122-A84A-EFD0AE4BE97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5" authorId="2" shapeId="0" xr:uid="{400542C5-2DBC-4E22-8799-0CF991AA482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48499C25-D94A-4C12-B400-192DAE4526E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8BEEC398-283D-45BA-AC3D-536A23B601C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FFC7F54F-72F1-4153-8D94-551568FC3513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117CC5A7-C2C4-4B78-A652-E61F87E8B10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A20B5586-F2AC-4CEA-8F98-2C174EC8431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C37D14C0-4720-4471-B4C0-402C7B7B5E4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C391D705-D64B-4520-817C-9A414BE005B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AD8BE31B-8393-4F55-87FA-F5951407247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8D960483-E60C-450E-A80A-7449046CA1D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91AA653B-4490-45D7-8AE0-37C2C614743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E9DE5AB4-F197-4252-B69F-851970C5716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E9B49627-55EE-4378-851D-C7C3D66E7F4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0" authorId="2" shapeId="0" xr:uid="{601F40A4-92C9-495A-8606-6D5E816FE3E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3F50CFBB-14EF-42DB-941B-4C547FD02D6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F0B8C7A3-556C-4569-B65E-146F23C1C42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780D16B3-4706-4F6D-8690-122EADF44D0E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AEE24FD3-12AF-49FA-A770-9B9ECCB5FD6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5" authorId="2" shapeId="0" xr:uid="{5187B860-6BEC-49EE-A105-ED803098F96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DB2EC3DE-2D4F-4F54-AA96-D7FBAE4D336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D166999E-C9DD-410D-8E81-12A5E0681D6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24F31DE-265C-4325-9451-69F2DA10B4DB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AC06E88B-01C6-4E00-9E00-799F1479C4A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B83C7DA4-A9F2-47A8-A934-3E61437CC78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E55B2767-12ED-4B46-9EAD-6B88DBACE76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90A72D1E-9233-4A31-9854-94C4E118A03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FDB7DE0C-13E0-4CA6-B32C-CD7D9E4EC42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A8EF21AA-7157-431C-A411-416C9FAC566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2D1F03BB-A78F-41AF-9553-321D36C4754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72409A9F-3A1B-4E35-A96E-0567B0C2F5B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987949C2-CDF6-4B4A-9CBC-DB2CCD5A587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0" authorId="2" shapeId="0" xr:uid="{E9475446-42D4-4365-A5FB-2AB733577DF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1" authorId="2" shapeId="0" xr:uid="{2673573C-F010-42B0-8C22-4C10D6CD8F1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2" authorId="2" shapeId="0" xr:uid="{EFB9EFAF-33C7-4DCA-97E9-ED19A7840EA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04171940-DB77-4AD4-8376-A29C64BECC9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41077FC0-CF54-430D-B604-6768C85A391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C39683D8-6EA1-4988-8410-097661A0530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4" authorId="2" shapeId="0" xr:uid="{F2BC0AAE-8A8A-4453-BF4D-CB5BE24A7E0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5" authorId="2" shapeId="0" xr:uid="{7DC79316-21C1-4739-B4CE-FC1689E4872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6" authorId="2" shapeId="0" xr:uid="{9472468F-1794-4A96-B80F-C493484DF91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38566117-C5D0-45A1-8590-B29EF9DF037C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3577E27E-4EC4-47C1-91FD-21A4A0C422F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8" authorId="2" shapeId="0" xr:uid="{9F33429A-D3D7-40A1-B621-9CE8173E267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9" authorId="2" shapeId="0" xr:uid="{825818C2-21A4-4684-B8FE-3FC3CC327E0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0" authorId="2" shapeId="0" xr:uid="{1E49C739-EE93-4A24-B500-A34F2D8EB8C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1" authorId="2" shapeId="0" xr:uid="{2BEC9661-D358-41F8-8284-94275AFD565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2" authorId="2" shapeId="0" xr:uid="{F78EBBD6-EF60-420A-9C24-9FD144BC598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5" authorId="2" shapeId="0" xr:uid="{A868895D-CBC0-46F3-A618-F015F3921A4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37" authorId="2" shapeId="0" xr:uid="{F57A1846-883C-4857-AFDA-7C83B37A1CB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D294BF10-5BE4-4E69-95C6-DBCF4C95974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91B5C091-A39A-47A7-AA18-C396E40F899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2B3D9247-72CE-45BA-A309-4FE96C4748C9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B8092FEB-19E0-4DFC-9D60-5D21BC44F6A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0216854E-D5C8-48A0-BF2A-89FCFD8715A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00E19FF3-4146-4BEA-8ED6-2C28E7D6AC3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821ECC78-EBBE-4EE4-80BE-0358FF51447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AE4131AD-7886-4E51-80E3-7DE826C8933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4F0B8698-031F-4188-A25A-B3784E8F871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CFD94C1E-D3B8-4969-980B-F773095A4FC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C0E7CD85-6BBE-45B7-8CD0-7C6B461B5A4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17C4D80A-E83E-4D97-BEB3-69A912D34C0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0" authorId="2" shapeId="0" xr:uid="{A708A79D-F42F-4F8D-9065-D0A204B19C8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1" authorId="2" shapeId="0" xr:uid="{4251E498-B1C6-4BAE-9F33-45FB150A1C7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2" authorId="2" shapeId="0" xr:uid="{452546D0-71A6-462C-8870-D7CA3D032F0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7538920C-88F5-4ED7-BAA4-9179DE4DEF4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473C9420-A2D1-4033-8730-93FAFB5A184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2089AD0A-E98F-46F9-99A1-1A986FF7667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4" authorId="2" shapeId="0" xr:uid="{0CD16C49-6AF4-49DB-9676-04B147C57F6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5" authorId="2" shapeId="0" xr:uid="{C0685C27-7601-4EB6-8C5B-87F50CBFC2E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6" authorId="2" shapeId="0" xr:uid="{27D139D0-F01A-4AF7-8C40-0C42CDCDBB2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BE6E4BDB-AA90-47E5-BC16-C1606E97039A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1197A9B9-14EC-4A68-BD8B-2A679D64606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8" authorId="2" shapeId="0" xr:uid="{DEB8126B-8489-4060-921F-935A31D2521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9" authorId="2" shapeId="0" xr:uid="{9C18CB14-ED0F-43C8-8EB3-9BB6F4631CF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0" authorId="2" shapeId="0" xr:uid="{52EED68C-185C-4555-B74B-A5D3CF77CBD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1" authorId="2" shapeId="0" xr:uid="{142BD483-3302-4FC2-B486-F8504F12759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2" authorId="2" shapeId="0" xr:uid="{257DB857-14F8-413A-95D7-7B55CDC05CF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5" authorId="2" shapeId="0" xr:uid="{1D80585D-6CF2-4D2E-95DC-0A1DD45C578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37" authorId="2" shapeId="0" xr:uid="{B72464EE-A4AA-4D05-84B5-9B8DBE4DEC8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7179E79C-31D4-47ED-9223-CA11495E41A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2CC866B3-6922-4FA6-84F6-2BFF36B8FAD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8EA9F5EE-3387-48DA-A1ED-A80D7B49B31C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585327B6-4AAE-4930-9E43-98511A8B469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FD47A2E5-6927-4117-908C-1F604B5E8A7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1A3C9986-7F32-4CDF-A0AA-C53374A9DD8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C66CE97A-46FA-46A1-801C-C98DB11979B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D55D8E83-4689-42C6-83F4-27BB57D9800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733F65A7-1099-43AD-B3F2-E4F28031C16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C4BE55D0-F258-4FDB-8275-AC7E1F15F1B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AAF31D90-BF2A-47B3-BC3F-C6C09989BFF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30B5352C-59BA-45A4-9941-B9123942D2B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1" authorId="2" shapeId="0" xr:uid="{414A8E96-B35A-4BE5-9A29-AFA1A32F7AF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F09DA05E-AA49-47AB-9323-52710DE573F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FBA92B8A-319F-4A0C-9DB9-8A4BF9684C7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511B466E-7350-40AE-82D9-C0558BD63142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AC3BB931-0FC1-4E30-BA19-053A7D3F279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A8305061-28AA-4244-A87E-A0012D0C570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997A8C6C-BDE6-46B5-9CFD-F23731F78801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7C034F04-54D1-4710-A977-324F9FD4708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01073330-7465-4FA8-A44E-64EE102E5FA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90238135-0A00-4FC9-AC83-6BABDE25483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49F18018-F924-4F61-92A4-B27626B0A6A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C931EA6E-4D60-4600-9B2F-A9C6C0CED1E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74662F3C-305E-4C40-82E3-0368617F338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606ADF01-8F70-443E-B66E-DB932C12A55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1337C5C3-07F0-4500-B3CF-B163A24130A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4095B929-60A6-4C19-94B8-7FDAFD47ECE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1" authorId="2" shapeId="0" xr:uid="{3387B704-9DB9-40D8-82FE-9B4B5A22552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C4AD6871-B43E-4DF6-86A1-CA25F2D524D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F5C8C44E-B7CD-4DD6-B2A4-76CBF34AD49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3A7C75B0-DE66-4009-84EB-286DA440FF11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99DBB4A0-314F-43D4-974C-1BB0BB9F14B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BC3DDAF6-6E9C-4C8C-B738-6C915D559B2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2F95A768-5FE8-4BD2-8952-706BA365684A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E82A2DAA-5187-404F-BF7D-AD5551C3CAE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E011814A-2C2D-49CD-AC86-82ED8FB0DB8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566CAD4F-D4F9-447D-971A-E969942C5BF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7C029B84-35AC-43F1-8FDF-AEB25CE2301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7CB6F924-43A6-4597-932A-5EC47345BC5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65612A82-7478-4A8F-81BA-8CCC061CC33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7D074570-2521-4F19-86D9-50514B7E6B4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BC2046B8-282D-4205-BEDA-619679CEEA2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60170F95-47D0-4B43-8684-4BEEE8CE3CB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1" authorId="2" shapeId="0" xr:uid="{DC4BA56B-AD04-4C4A-815A-BC0CD3C412D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221BB754-7E47-4FD3-935E-1F84CE3B615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D5A19C78-0978-480E-818E-34403AAD80B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E91A80C3-4059-4611-BAD5-1CCF164DF408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4F818E23-A3CD-4CD7-909E-C636E949F3B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DD6695CE-C55A-4C44-90B1-1CC679E9ED2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F319EE49-B038-4B0E-B65C-E928D21AFB22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97FA4042-D90B-4CE9-94D8-42F50588323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6EE84AFC-B606-44BD-9A2E-9AF371AA0B1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73AFFDB6-93DB-49FB-A15B-9232E00DD84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6B91827F-F070-4D3C-9E9E-5AC7CF14EE7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C0240747-AA58-40B4-AD34-F6D02373A8B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7B8F9EC7-941B-4F77-8BB7-75D15A78D2F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A21951A1-4C80-48C6-BE63-B76191ECF37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CD6B2F57-8555-4BE8-9DEC-7A1D156561A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5B323BF7-DA30-4EB6-9B90-37D8078496A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1" authorId="2" shapeId="0" xr:uid="{410CA318-3C94-408D-BB0E-E529E7F8681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715EBFCE-2897-4B6B-85B7-6586839AD86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F2E512C2-90C6-4827-B2BB-DF78D6A5A80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5EF2FD5D-9E66-4F02-83A9-AE6C74BF9469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F475A677-2A58-46EC-B99A-28534951C48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A6AB4199-A0CE-480A-8F2F-0354F4E7335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281EAB4C-8118-44A4-952F-484CE80868EC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EA8B3666-AC50-4B1A-A830-9056DCD1F0D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5B8EF0AF-530D-4A81-887F-76B47E2C1D2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C1858E36-6143-48F8-AE7E-C544EA2AEDF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A9BAF322-AD99-49CF-9FA7-FF80E0D5C06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D51B1AD7-3FB0-47D4-95D6-9811178A11A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204E06F8-1815-4918-8B08-55EA4463A3E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DE1DD061-B94E-43A8-ADF6-77F92682499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86CDF51C-3427-4FAF-9E2F-E3D895BC36E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2" authorId="2" shapeId="0" xr:uid="{0AC06B81-CA3F-450A-A54E-821D01DBED0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22DC9701-69EA-49D1-BBEA-425674FC732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74EE10C4-0DAB-4399-B941-F01C01547A4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59A0E009-20B0-4123-9912-357DE240EEF5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18E046C6-5F1E-40C9-840D-2BBF08FD2B0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8" authorId="2" shapeId="0" xr:uid="{9562370C-6374-4090-8FBA-D99561B6A31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9" authorId="2" shapeId="0" xr:uid="{071C760D-58AD-40A5-9C3A-3FD018E3DF1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1" authorId="2" shapeId="0" xr:uid="{AC20DA9E-57A8-41A4-A56D-47B01449389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4C5B7EE5-EF96-4650-92FC-F5A3E041D81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83A3214C-0B55-4B80-B6F5-00346851E99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A71A3E33-461F-423D-AB45-B6ADFFA06FEB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947DC418-A678-4315-B20C-B6F9009FB62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0FA1F576-2BB5-419D-AC5F-40A2E1903C9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82C7CF67-6A1D-4E60-B479-3B3A772DA03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1B4BE93E-8205-4553-8CA3-BAC7D3D12B9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F0D28AF5-8ECA-4FA4-AFD2-250F7B8C1D1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F0E0CE07-7687-4F28-B383-27A8C410E60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EE0F69E6-4F10-4DC5-B995-08A062D56CE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148F20F2-D370-4E92-A8CF-E042EB8A5FC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2" authorId="2" shapeId="0" xr:uid="{32AF2E22-42E7-476C-A711-1619DCC0E13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997418E9-6BE5-4EFE-80F6-F0D7EC1F3BC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BCB8A7FB-0983-4322-B428-A8AB2054AB4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EF358412-0464-4664-B253-296BC869C130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395F6CD4-9C31-4577-8FB6-C83880CBB90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8" authorId="2" shapeId="0" xr:uid="{FC4A8CCF-BC33-40F2-BE38-B53FD65474F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9" authorId="2" shapeId="0" xr:uid="{0D48A50E-07EA-466B-B218-A3A6EFC55BE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1" authorId="2" shapeId="0" xr:uid="{1FD5E915-C00E-46A1-AC65-052CBAD2BF9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374EFD19-85D3-4A85-A387-5D888C1F878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1D252220-D83D-45EF-B6D6-4271B0C0A22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D270BAC3-3AAE-4D0E-8907-F2995D45377D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9A34AF50-CC31-40D4-B12B-6A06FCFE456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D917FD92-CCDB-41AC-AD46-975060B0692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64135C87-C61C-4745-AF0B-0AE3A2C1AB9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BC88EED3-4109-4994-BCA5-35CB3AB6C36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23636589-467C-47C7-B13C-EB31E5CCCB8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FA8ED644-D3CE-46D2-A381-1D9219A5689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3834A8F8-0D60-46F1-9BF1-23C97969283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5114F026-C06D-4901-BC76-051534A7B38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2" authorId="2" shapeId="0" xr:uid="{33050686-A8CC-4114-B6ED-962C6F63654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D1BC1E90-1142-400E-9984-BA611080033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8AEB4584-0532-499E-960B-0E4CD70DFC6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FEABF4A2-0841-45F9-9AA0-A413B8F5DCB8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40C52D04-A536-46DD-8D15-036505CAFFE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8" authorId="2" shapeId="0" xr:uid="{871B5976-2AA3-4451-B39E-EA304986E19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9" authorId="2" shapeId="0" xr:uid="{B341554C-D19D-4AB9-801B-2820A1A9A26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1" authorId="2" shapeId="0" xr:uid="{B2BCB526-6D2B-4B6F-9481-9F134A9D638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359D06E3-CB8B-46FC-A8F7-AD9CD0AA527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EE6D99DF-6E5B-43EA-8EA1-91E3B3D0427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33CCDE1A-D20F-4BFF-82C7-3966A2B6242C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49294828-C587-4503-8975-2AA3118DCC4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5006E54B-0A68-4E82-8BD1-2D311910BA3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6D9F3BEC-E4D3-464E-90E4-E8C5BA36806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41929F87-A9F5-4A8A-9441-A201C939B3F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C5FC3ABF-E6A5-43E3-BCDC-45AEBA72D91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39C210A0-B6E3-4AF7-AD62-6B7014A2BAD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1BAE0C5A-4341-4B7B-974D-5050599091D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892FDBEC-B105-4B40-8954-8D7117EC0E1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2" authorId="2" shapeId="0" xr:uid="{A7870786-C598-4410-B3A1-D161EBAC3F0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96E15FA8-715E-4E8C-A2DD-895CBC2FF9B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2AD0C923-CAAB-4409-A7E5-659D1F5F1AC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2100316C-A760-4AE4-AFEC-7F8130667BDD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222E51EC-24DF-4C80-BA42-ABEA2168E1C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8" authorId="2" shapeId="0" xr:uid="{02BEC0BB-AD84-48E8-AD5E-1314E9242A6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9" authorId="2" shapeId="0" xr:uid="{C5CB76EA-AD5B-4011-92B2-756A53CD346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1" authorId="2" shapeId="0" xr:uid="{3590EF53-1535-4D37-BF32-AE9759D7592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BBDEC930-1AEE-487B-B561-B47C38B5B81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A7E09889-988D-466F-8316-483EEFB347F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1315B11F-12C8-4582-8E30-E659FDC2BEC6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232344A7-75FD-4725-91E7-ABA8E87E388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C04BEA8D-8DAF-4948-88AC-3C7F566655A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632529D4-13E9-4E6C-B181-7F83A92DC27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0CAD173F-F6C9-4121-8D5B-D3C2DE4CE58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5E7E4983-ECEE-443F-8A32-FDB137ED632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C07D111A-D247-4160-9C4C-F53200CD5C6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12C0D99A-9BFF-41B1-9DAD-50859C9437B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3450CC24-A356-4805-86DF-E1615FB1625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0" authorId="2" shapeId="0" xr:uid="{E08818F6-7A46-47EB-A597-CCBE3551F16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2" authorId="2" shapeId="0" xr:uid="{A8ECE557-7F15-40B5-837F-C654466A2F9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9CD1F4DD-6F5F-414A-A132-6A1B37F85F9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A1192969-9B4C-484E-B97F-8C832C4568E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5042542F-3CBA-4D86-9F8C-E003C4ACB4C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4" authorId="2" shapeId="0" xr:uid="{D65745D9-D7DF-4446-99A1-692DC289321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3C740DB4-3201-416F-9C1C-B769D0AE737F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26" authorId="2" shapeId="0" xr:uid="{98B1D56A-66D0-4A6F-A2EB-0DA805B9968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361BCB80-5D04-44CB-832C-CD8B5FFB928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A1D727B9-B402-4534-B949-D1F50FF3476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A29679D3-793E-4417-8886-1455DC6B221E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2408BBBB-4BC9-4BEB-B26F-773C85BF5A6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A31BF17A-D415-4938-9A1B-26F8A1AFC47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9B18AC72-F13C-4290-9252-870A2BF3761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9B9960ED-D282-4A49-BB5E-698ED79AEDD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BA043E65-1B10-49D6-A45B-1547C820E2E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D093A50F-4CF9-4264-A37B-9459A698D8C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DB253EAF-405B-446C-82ED-8BCA94A7FE0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12D605C9-86AE-4ADD-B3CC-F72BA1148D3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0" authorId="2" shapeId="0" xr:uid="{0FD28D82-A9F4-47C0-9883-0692EB32AF5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2" authorId="2" shapeId="0" xr:uid="{926D5DCB-6D10-4D6F-95AE-A7B9A90E9B7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C7762120-5AF3-4DB9-BDE6-AC6BD648480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08814A29-2809-44B1-B3CB-CFC503138A0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8FBBC73F-042E-4090-AD4D-A3F338B9EA8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4" authorId="2" shapeId="0" xr:uid="{1BB9AA6E-9588-458F-8539-1A47C8864E9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99C5A1A8-2078-423B-A1BB-D28C936964C5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26" authorId="2" shapeId="0" xr:uid="{8C6D734A-5A6D-490D-A063-C3A4AF44E1B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5D9BA6FB-79BB-4763-BD9C-CA245D28AD9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F1DBDC2-6FA2-42FF-A760-8BEDB6F56E9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F89F5F70-21C9-4594-B800-6266AEDDEBB3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EC277F98-CBE9-4ED6-B64B-9A20EB39052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57D9CBC8-573C-41B0-80DD-5C1DD8738AC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F7923484-A63F-4D94-96ED-F386C45BD6A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868FBF55-AB92-426A-BABB-513CEC8D269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327D783D-5780-4A48-BF48-27640F44C1C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2BAB6F74-611C-41B8-9F48-32A0695EE74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A0CF5327-0B88-4813-84A8-EBBD4A8E82D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AED005CA-72AF-4F50-A505-82794DE1F18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88802094-FD6C-40C9-B581-0A78144C046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C551DB97-D9AC-416A-A87C-D42709B9CDE7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FD6E8DE7-BEA5-4C1F-A08A-A3B308BC1B7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8" authorId="2" shapeId="0" xr:uid="{4E5A0AA0-E3ED-439B-9039-2C1F02F64F4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9" authorId="2" shapeId="0" xr:uid="{E0E6EF7E-E542-4E5C-8D3C-CB543B9A02F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F38730BA-FEE2-4DEF-8A84-D22238F7736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B9FBBF40-42B0-40CD-9B1B-ED7E92EE1AB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82E53D6D-B701-4E2F-A100-0C0D1EB80A1C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A9D98372-4A21-4D90-B6AE-D9E0B0AAD45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BF208F2D-6241-41E5-8B0F-BCDC90B6523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C5B07D40-EF14-493B-A267-8F287D1FFB1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57EE975C-E7F6-4922-9155-5BD4AAEB766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5572A5BB-5AC9-4A50-8C33-43D3CEAEBDF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20D9F573-D726-4C2E-A0D9-2912197A493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990B0105-7336-4BA9-B731-9096906F9DF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ADCCA9AC-C505-4872-8EBE-5F762B64785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A882563E-B270-4EEE-A305-F1A7669B771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A9E0291B-22CA-430E-B037-74ACD9C8E680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00974DE0-69E5-49E3-AD14-52D931E3DB9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8" authorId="2" shapeId="0" xr:uid="{65E396A8-FD45-4F31-8C14-1AA288FAB87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9" authorId="2" shapeId="0" xr:uid="{F3C81041-9C02-4920-8776-EE1DC714058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A75E97B1-9817-4BBA-8D7A-F58684C9728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543B6C52-5212-4F17-9C3E-342F5F2DB81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3CD8D430-A464-45E5-A978-6C91FAB82AE9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AE06DA51-5B7B-4B72-9865-4E06F6EEA1D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10862FD3-F6A4-4420-9853-73F395642A8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FEF23E04-C560-4141-B479-02A26D8B41A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7E398C23-160F-41D3-A30D-A71BC1BD039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369CB718-663C-4D7B-AFAC-52BFFE77E83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87609D03-5454-4E39-9C3E-FD22AA87F0B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B1F733FA-8A1F-4F7E-9E80-009762D49A1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B568F04E-308A-44D7-8886-946A8A11BF7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229AE7E4-9BDD-4663-8D20-1FBBA20F1D3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5DDAF13E-02BF-463C-94BC-6A3F72E9CBD1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41544C5C-292C-4937-91A4-7ECA2B5BDDC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8" authorId="2" shapeId="0" xr:uid="{E009BF3A-2272-45A4-8ED5-D0A2827E851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9" authorId="2" shapeId="0" xr:uid="{ADF41DAF-789F-42CC-988C-6CA1107A54C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BF5F1B43-CD09-49E6-82BC-2F10F629576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606978B5-3AFF-47B3-A572-EE99D4D397E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9D3B9E95-7D80-481A-A96B-6A5E4BF5C2F5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2B091CC3-84A6-47B3-B7C0-7C8AA4693CD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668945B0-16A8-4539-995F-874776A4960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E11E5DAC-C9D6-4658-88AC-C385E7A5E2F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2AA4C067-20AD-4FC2-9CEE-6C3477908B6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E087228C-0419-46AA-9399-B27B103DEE5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FE2B9189-DCAC-4209-AA41-973EC420D3D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5DE03A74-F9AA-4BBB-881A-6549C7A82BB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0CB8DB48-AA8E-4FC5-8C47-FA49534595B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E14F8F91-BEA7-49CF-86B1-98BAC84D7DA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3870B326-51E8-4F2F-805F-B64FF35DA788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31F481D7-426B-4F43-AEC7-054499C1628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8" authorId="2" shapeId="0" xr:uid="{B8456A12-CBBA-46B3-A3E7-B58C98969E7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9" authorId="2" shapeId="0" xr:uid="{818E7964-1A56-4E08-91CF-D83FB64FCC5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A94EFF34-9482-4B40-8F5B-773B5BD7F9E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AC07C8FD-42F9-4921-A01D-7D3E358A280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5691F0A7-D04A-4305-9512-3FE3D68881A1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2CF57841-FBA8-4992-A093-4383F60DBAC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81921BFE-4C51-43A1-B0C4-24682321DCC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6FD27199-9504-45A4-B19C-C64921DCFCE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00ED6B4E-E224-4236-9DB1-969972629EE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52FC5429-764E-4DD4-BFE7-C8357B26B63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B1965A19-5002-4DA1-BD98-34D5C57679B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A453B9E6-77C6-43A1-82C7-C3FA89FB0DD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06CDEF9E-A6BB-4956-9412-7C825585631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B9F78037-4469-4C66-ADFB-576EAE584A5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A145CA8F-EDEB-4011-B196-266A2D5DD7BF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20" authorId="2" shapeId="0" xr:uid="{F49DE8F3-C813-4B07-962B-5527C67B77A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1" authorId="2" shapeId="0" xr:uid="{9BFEC2E5-4693-43ED-9648-F9B04637A9D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2" authorId="2" shapeId="0" xr:uid="{236299A9-A585-46D9-A79C-CC0AA1EC502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C8ACA9F1-60BB-4DA7-961F-3ECE2C1693B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17D773E4-4765-48DB-8C21-81BDC0C5B04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A971CBA9-F9A6-4A01-ABB8-A2C59375783A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3E2F14D5-5098-435F-A519-DEA78F26EDB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C6DDD59A-0821-453E-975C-26699CFB6FC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A09ADF01-139A-436C-AEAD-F12426BCA46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C2685D7F-CD5C-4C46-87A5-55E48E9CE8F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4A7866EA-B63C-4862-9FDF-A9E25FB0033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E57CA34B-6C4C-432B-B26B-F0333118E37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805E4D62-05B6-4CBC-AE6A-23ED2E39829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FA83A84E-F027-4682-AEF9-BB39D3D1AA8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EBE499F4-96D4-4677-8DAD-AE3FA940348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1EEAEA9E-2DCF-4933-AD97-1456816E3804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20" authorId="2" shapeId="0" xr:uid="{5B444204-907E-4E2F-AC02-871E249E8FE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1" authorId="2" shapeId="0" xr:uid="{87A39474-ADB0-4B1B-82D5-2388035FC9F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2" authorId="2" shapeId="0" xr:uid="{52F5B13A-C119-476A-9C09-609B19CB604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6AB228C0-6AAE-440F-8A93-AE2F96BE338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ECF80937-D03D-49DB-B51C-F848768BAF7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A6703FF7-D730-4785-9548-6EC1884A9ABB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25291B4C-21CA-465E-95BA-C77391D279E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54C23BF4-5463-4D87-A472-AC56BC04B09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6419183A-8F3F-4829-9109-E58657C0AD6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910D00F9-36A6-418F-82EF-12A60C7C17C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26EFBC05-73B9-4807-809C-BDCF0DE4EEE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9B04CA75-115E-4A89-B504-57142847AE5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12ED86CF-944F-4BF1-8943-009D42391B8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E11A590F-A96A-4976-A12E-490DC7D97C2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6E09B832-D930-47D5-A3C9-DC485BBD5EA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2A2C8B0E-2EE4-483B-B939-D124EABB5CD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4" authorId="2" shapeId="0" xr:uid="{38842BB8-B6C1-4459-A550-46C33384F93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5" authorId="2" shapeId="0" xr:uid="{FBEDDAB5-C4D8-4DAE-9F65-FAC5F77A2B3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A3680AAE-2348-424C-B85E-D5A339937ADC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F8502EF1-65AB-4D95-B28C-99EF7C0ACDF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E8D2D53-0627-4154-9A82-DFD4958CE5D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BC4EEBD1-0B45-4B6F-B7FA-50A7D122EC4F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673550DE-8FB1-47CC-8E57-336921DC663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AD6B9325-F8D9-4C09-9523-09349E7558A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EC83E583-1D72-4E64-85BA-5084296752D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974A7A26-BC32-4FC0-A497-603A1EFD32C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386589C9-34C3-439E-9781-2C3FED92ABE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A9FF9564-6B4E-4F99-8545-7561227FC09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80106BBE-0E1C-4598-A666-A24EEAE199E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DBEF6A38-1C9E-49BA-A361-EDA1661CF29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256858BA-8DEB-43D4-9E7D-CFC1C30A94F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77D832F8-11E7-4E9B-BD77-DC26C8009B6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4" authorId="2" shapeId="0" xr:uid="{B621FAF1-A10F-415C-A7E4-9257CB3D7B1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5" authorId="2" shapeId="0" xr:uid="{84C9195E-D104-4E79-8E35-DA752BE1A11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1A01D4A0-2001-4C0E-B827-1C40ABAEA122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09B6E6D7-506F-4414-8740-E552E8F89C0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032E516D-823F-4DE0-8E55-D37AE4EFB65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53E6AE7B-A006-4E79-9409-8EB582F7EB6C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F1C66BE9-9535-4016-AF71-56996D748F5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D06FCAA7-CFB0-489F-8B7F-276F1684220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2EE8C7C8-20C1-4A24-9F9F-A5B06013618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BAFAE5FD-2DFD-4EE1-88A2-DE68E45ABAC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6BA54ED5-3C8F-4E02-8DDD-355EEF71E3F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287477F4-4A4C-4A24-B337-435DDBF7E25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CB577B6B-33CC-4B80-8169-16248331CB3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35EC0CF5-01E7-4C1D-B6F2-54535C98B03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53D1FA57-8607-459E-A30F-C902091557C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583AE2AB-6575-4712-AD0C-A77283AE3DA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4" authorId="2" shapeId="0" xr:uid="{46553040-0A95-450A-9BCC-A009C41F56E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5" authorId="2" shapeId="0" xr:uid="{2F80B440-10EA-4538-9243-E6661CA7D74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BFE5D325-4E40-47DB-B1C4-6C4CB4C54649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34C85863-16A4-432A-9B36-B70D368284B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3043B01C-A3EB-4E41-91B3-8A32AD1A0A5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860990D5-7972-4D33-BB79-7F2CC37E0988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06EC4F72-F7BE-499E-A4A7-12146AA0ACA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24CC17AB-F87C-4FDC-9587-46BD9C2B935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B23C3EB6-4DF1-4A2C-8488-34A63457819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59CAB84E-56A5-4F0F-9F99-2EECE8C429D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BB917D64-94F8-4B40-BCF4-A7D94AD266E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790A9033-A697-4CB2-B04B-7E9987DEE40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E2E99F39-05C7-4BBA-9172-20154AAAE72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A3976C1A-668C-47A0-9714-600BB9AB82B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5ACD2D59-4D85-4882-8B8E-334CF811AA1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E78CE29D-DCC4-48E0-93A4-4F7ECC9DEA7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4" authorId="2" shapeId="0" xr:uid="{E40C69D5-8DE9-48C7-984E-967627F43E8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5" authorId="2" shapeId="0" xr:uid="{680D181F-4689-4B03-8B83-67DA956850E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ADCA855A-9357-4ACE-A214-F9E3F468C5B3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D290591A-4E4C-4FB2-8259-B1AEEE49B8C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219750DB-9143-48D6-8D88-57B1325504A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1D4A23C4-0890-4278-A989-E95AF5EC1D58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BEE79C21-7212-4542-BEF6-27E1C5D84F8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0C69A0A3-9747-4AB4-BBF6-06BECB40230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059E8EED-4FE1-44EF-8D2D-8313BE6FC58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49F50D7F-6B2A-49CF-AB20-A56874E589E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ADA6A6C0-EDAA-4F9D-ACF2-5671FC897AD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4D0A6C3B-0997-41B5-81D8-2A920F62A56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9F4D5D94-F9B5-443B-B3BB-F704EC6133B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9967FDDE-C017-4642-BFB9-751131C4D0C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03EA8AE0-88D7-40E4-A62D-46E2E43BBA1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5" authorId="2" shapeId="0" xr:uid="{14AFE470-4ACC-4073-9C5B-A75AE663F15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6" authorId="2" shapeId="0" xr:uid="{2BA7525A-5774-4C5F-904D-E6C81225A32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3FA7358B-F401-45A6-99A0-F2BF3115DE5A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A9DAF062-3B7C-42D2-BFF4-CF988AB5391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0CC26E95-2F26-495E-96DA-FC438522689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68E9100B-B71A-41DA-9A8A-38228BDAD28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FF5B1113-E084-4C1A-A697-C308FF5B83DD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065592DD-3555-4E41-B335-1C9E4C03628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648F82A8-1023-4B92-908E-A4585563FA8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4DE10635-9029-45D5-B40F-2602FA7DE67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CC2A6C12-C822-4D6B-BC8C-838F3C1241B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B9C5CDE5-BC6A-4F1F-A0BA-CB4A35CC246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1031ECD2-A8B1-4375-81D5-1E673682C8C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08863601-D3F2-47BD-9199-173969A90DE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3C1D293C-2103-4B07-A698-33AC733ED34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A790C07D-1FCC-42A7-AE35-9F8E2165D44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5" authorId="2" shapeId="0" xr:uid="{EC40B563-FAAC-4464-8061-E48FA448EFB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6" authorId="2" shapeId="0" xr:uid="{1DB56571-775C-4F93-B0BF-A4F4121AD33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7867D18F-5A5B-4E0D-84E4-050CD87381FE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ABF4A868-BDA3-44F5-A5D3-95A8D38A84D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E01087E5-1656-4ADA-9E07-2AFD95FFB8A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157A2829-53AE-412B-B775-04C7DD55868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37F7AC0A-95E7-4649-9244-055D6B303E06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6E941A7B-9902-4CA6-804C-CA3242F280F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241A4009-75E6-475B-ACDD-AFD50400BEE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71317407-74BD-4B70-9046-D3365DED5CE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BB71BDEE-63ED-4B6F-A942-1508D78947F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E29169DD-40D3-4167-8FCE-433271BB9E5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0F2BB154-1F82-4F54-AB75-149E82FC7BC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FFEE2FF3-340D-417C-9A01-F064ABA927D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A4BCCB62-9EC7-4BB2-A0B2-6DA164E2A10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F9728A35-66E0-4AA2-838C-2EB01837E61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921A3561-6BB1-45B5-800E-4D15087746A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46962A5B-BED2-458D-BFD8-05EC057C4BB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4" authorId="2" shapeId="0" xr:uid="{2CF6E9F6-0672-4F74-922C-EA6AD96AC1F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5" authorId="2" shapeId="0" xr:uid="{CC3B10AE-2F77-4FF3-B799-BE35A514599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6" authorId="2" shapeId="0" xr:uid="{965436AD-DD0A-4EC4-8640-58C17A5178F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19DE1DB7-D003-4A83-B88E-00AD9D8966D6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D2FEB0D1-9F07-47E9-8197-3EB0601E930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C0162905-6D24-4BB2-BFF0-94BC79C37E1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D27A63E2-6330-4953-9A69-CFB98C9A67D3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A7621CB3-9D69-40FB-8274-3643A3F9812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55826054-C473-4081-A731-C9392948B9F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3AA629B6-E734-4CB7-8E56-AC2EF25EC8F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DECC49B1-562A-4AFE-BBE2-0ECC7E88658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994A79C9-4D2B-4560-9977-3FC5E94C101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34CAEE48-C708-4F81-BABD-A4FA5E940D5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7616AACC-6ADE-47F0-AE10-2CF6B4D7571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9" authorId="2" shapeId="0" xr:uid="{D8586B87-600D-42C0-BC6B-2EF4244566A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13C983F5-823A-45FC-A3B8-CFD7036C6A5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21F23DF4-5E91-4866-A722-3A8A3758BE0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89009E39-4165-4D3B-9A5C-19144234B17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4" authorId="2" shapeId="0" xr:uid="{6C94B890-3518-46FA-A008-74DC43524BF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5" authorId="2" shapeId="0" xr:uid="{06996CFE-1A54-4B92-AA1C-867945ACF77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6" authorId="2" shapeId="0" xr:uid="{990D898B-7BD9-49FE-8B0C-4898577E758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DF04A70F-2033-407B-984A-B43669DD5FD5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CF38440A-A121-4624-9FB6-8C93869B5FD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D8D533C8-DFA3-4B79-9EAE-08C3D68B670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A1E4679A-19DF-4F63-A5BB-CF63B7408725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2DD0C7A2-FF5E-42BA-82B7-57ACFE173EE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2C34BEF9-52CF-4008-B6E1-8AB7ABF364F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80BF2401-5F71-4104-9908-A5DADAF0637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8E30CFE1-A96E-4B41-95B6-C91BEAA2DFB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4E5DCC66-8ACC-4AF5-886F-53C5DDC7A83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12C71281-E845-4C36-B362-7E8DD6D6916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F1D09BCA-11E0-4974-9D41-5536374B4BE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DCFB71F7-F4BD-441B-BD63-39EE996AA64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96DC2E47-9107-4BFD-97D6-E56772621FD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1" authorId="2" shapeId="0" xr:uid="{5A2B6656-6785-4193-960C-7CD5139DC02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2" authorId="2" shapeId="0" xr:uid="{F16A4D1A-3C96-42D0-89A3-4967805ADD7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1D039002-B66B-4165-A8FD-E98E90B97BA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64B4AF8A-CD5A-4B04-8C42-67C11EF926E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51E3D075-1FA3-4F84-9E20-7A205F3C0AC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1B8B0DD2-B9F2-4072-8921-DDEB638F8982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3AD16FB8-2F23-4785-996F-B0C521323A4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9" authorId="2" shapeId="0" xr:uid="{FA8F1A60-D090-4F5F-9C7F-C220ACC00BA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30" authorId="2" shapeId="0" xr:uid="{AF88D727-7BD9-4C82-BD46-FAB0CF65469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31" authorId="2" shapeId="0" xr:uid="{2F8FD491-0F6D-4A7D-9244-7356ECF6E34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32" authorId="2" shapeId="0" xr:uid="{92865F59-010D-4534-9368-68E286D2E97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D27381ED-8BAF-4A24-8613-6326AB064CE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5902A567-B51B-4451-BBD2-D4D9BE193D3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80D701EC-4098-420D-95FE-85FC1894647A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72B7FA1D-2368-40C9-871C-9FCD87CB002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5F57B53D-B2D9-43CC-91E5-E4B8F3A094C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BE13EB3C-AB09-499E-8F96-88C94E09341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7F8ABE59-C073-404F-B1A4-93B000C2E28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4B0A4ABB-E990-4E1D-BE4C-C5B88902804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E83A4A56-077B-4DC5-BCAD-6B5AB281224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478A3596-CB9F-48A7-8207-07B77EAEA38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3B7E7CB3-8B75-4A61-AD1D-528F5866F86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A8D7A0B0-CDBC-4832-B24C-FF460D27CA4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1" authorId="2" shapeId="0" xr:uid="{542359E2-5D18-4C94-B7AD-CD57902B777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2" authorId="2" shapeId="0" xr:uid="{EBBD53D3-7936-4AFB-9A12-F0E2277EB28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47AC226D-6887-417A-B220-EB2A372426D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09634CDA-FDAE-4F7A-8BA3-C89C83724F9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38B992F3-86FE-426B-9C55-188587A4695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5CF88DB3-5350-44A8-9928-134F9E351F0B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46D1074C-DECC-4736-845D-4F252B8C766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9" authorId="2" shapeId="0" xr:uid="{287223AD-9834-4E98-A698-CECD9801A6E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30" authorId="2" shapeId="0" xr:uid="{4AEB4A48-0743-4E81-93A3-DD958D55E71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31" authorId="2" shapeId="0" xr:uid="{A2066B73-5B20-4FF7-8247-9DA5C407E14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32" authorId="2" shapeId="0" xr:uid="{80D5BF17-21E3-4F3F-8D98-E24EDD9869D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130F8F4C-C861-4358-9A00-39F2D9C2BC8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449895F6-4C00-4DFA-9366-F8C4EC075B3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20E35BD8-C636-4FBA-949B-6A0BB7DE27BB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A8770593-5CA6-4C41-B78A-6FE09682BDF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39A33829-2853-4269-8887-1C2024A1245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683E6993-539E-4CCA-82A1-8B2E359B255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DBE2327C-2B23-44DC-B2ED-C6D805D52B0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8BCB2037-6A73-4B97-9CBE-4634E9EF4FB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14EF5783-FE08-4879-8466-E12B2A65FEB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66B4B227-5529-4821-B71C-63B9D056FE2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5D062D10-70EA-4198-BCE6-FD38988B778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C9289982-D45F-4DC8-8453-0723A9D4625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1" authorId="2" shapeId="0" xr:uid="{04D81706-C7B6-4EE7-9655-72429EB22A5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2" authorId="2" shapeId="0" xr:uid="{CF0BA6E7-8CAF-44C5-9D30-D4386EE8BCD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450EF706-48AE-4831-A3D5-096A504ACDD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2C6429FD-AD48-4387-8288-F03D6FA84AA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F08A0255-28F4-40D4-A96C-67C38B0147A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2503CE9F-3043-465A-8864-BBCFE7E117BF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3DA883FA-CB77-4E0E-A01E-DE207FADCE6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9" authorId="2" shapeId="0" xr:uid="{01B2A46F-9622-4A98-894A-23AD222C922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30" authorId="2" shapeId="0" xr:uid="{BE95E578-258B-49F6-9E63-F354964B094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31" authorId="2" shapeId="0" xr:uid="{B3E07D35-3F27-4ACC-AD12-1E5C66F0FED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32" authorId="2" shapeId="0" xr:uid="{878BF74C-BA98-4B4B-8B3C-9A3BD32EB23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2AA8D1F6-3FE3-4CAF-AF32-46700FBB836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3C2F7D2-9F77-4AD6-866A-2CE6BE0EE64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8849FBE1-E60C-4C72-9EED-3874BE165EC5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A7062DC8-4455-42C5-A0C9-DD0AAF1E202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8848A537-491C-4ED1-BD60-BDE0899B851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8F85BD01-330C-4AC7-ADB6-9F738F5FFB3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FDF42C2A-B293-4B52-8429-804FDFB2D21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A6E67953-D969-4BBC-8F64-98B95D8C69A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B3A2C3F5-3850-4AD3-9E9D-CEFD2E65C93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95E9D37E-414D-4E8C-8E16-48D8F650D40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39A4CF90-1670-473D-AAE0-16A563DD2B9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1BA60F98-680F-44C0-AF63-A2DE4841DB2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1" authorId="2" shapeId="0" xr:uid="{C66B5AE4-77F1-4487-B34F-CCB02FC9857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12" authorId="2" shapeId="0" xr:uid="{40F65277-D233-44D7-868E-85F34E9F2B7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E298EB4E-D038-4D76-9037-4223AC830B9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D69F4D9D-F55B-477E-82EC-9DDC47010F1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29C2B1C4-486F-4535-8A48-D53C194FE50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3B6B768E-EA76-478C-AE58-82969F3BE56E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BD4D7F8A-C240-49AD-98ED-861584C3146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9" authorId="2" shapeId="0" xr:uid="{B906120C-009E-4E76-8BBB-4CCF81141FF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30" authorId="2" shapeId="0" xr:uid="{B6322ECE-28F8-4003-A279-69FEC60D998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31" authorId="2" shapeId="0" xr:uid="{7AF74871-40BD-4E74-BDE4-C60ED31BB11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32" authorId="2" shapeId="0" xr:uid="{9B55D062-FAFE-450F-9709-5F1B95BCEA8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4807A063-6331-47B3-96FB-35F7D397641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88266E0D-ABEB-4F38-81BF-7493C683F24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91059733-FBDC-44B2-BD66-6AB8E8AA2DA6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2D82EF95-8DD2-4C52-A4EE-E56C3B78080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020324DF-A9B5-4CB8-BA30-EA316D2325D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D72AA57B-7E42-4B52-A770-8700B958BD4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FE003CCF-6B79-49BA-9D41-F03BEE986C4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EFC98522-79CD-4AC8-81CA-A73F98C845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8B691099-E6F3-4E51-BE12-8CACC85A554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A0919FD0-D6D4-44D6-B4B8-15C96900C1D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3E88834C-421D-4041-8501-5D12F8311C0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93101204-A793-499D-880E-453069F7101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7717A2C1-87CB-4E22-9716-44DFEF548BC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69856141-F7F4-45EE-A855-C8C396A03E2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E4D35543-D9EE-414D-B60B-D70734105D0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EF8DADC3-3429-4EF3-AEFF-B6F036AB7C2D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9BC222B4-B55B-429B-A0A7-EF6ED532F51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B773877E-5B64-4F7C-BCC5-8D66F6CFF16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D7563FA6-3C68-4B79-A494-91BF1CCC3E7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BE5B22BE-0E7E-41A4-AAC9-1B1A397097FB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26E1453E-CA5A-4276-A8FF-3AA4396E5F9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62C6797D-B843-4801-B965-8DB59091B4D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AEEDEBF4-7069-4F37-9D3C-FFA104133DC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A0349BB8-FC44-434F-9FB9-D1A574A4E57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893A590C-4037-4E0C-81D0-B4A62C0E3A2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42C74CCC-6DA6-4552-B71D-D5169E28DF3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8406F38C-F251-4BC2-A8A1-813414F795A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EBF841D1-951D-482B-B499-B9F0CABAE2B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0547E1DC-A57D-4464-A65F-3446417F001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0C727E50-99A6-4A69-90F3-D5332024608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610CDBEC-5AE2-42B8-9A46-61335521E5E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605634F1-D259-4AB3-8939-E60A6F85A43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C482B82E-5CE7-4949-835B-C140CC08F144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02D64640-15F5-4F4E-AA5C-94F51DA600C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B0432D84-2FDF-4C54-BC30-F53AFDF56CD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121236D4-591E-4385-ADFF-ED442E81297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9FC8C8AC-B2EC-4C0E-BA20-E39A34F4CE39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9CA0778C-F943-4B66-8E25-339C9597295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097351F9-A8D0-4602-AA9E-E926FAF9F08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3B6B2C1B-E14C-472E-9055-A51CED902E3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385F63BB-4E46-43B2-A18C-63E271752E4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512E5D7D-5FA1-4DA9-873D-21F87917A0B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0A31E26D-9F2C-4A43-8D45-F15846B64B3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9C4A2FAC-6926-489C-B62F-FC0107D7E1E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A7702CC6-95BA-46D9-B778-1ED55793BA1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637ED662-1EB9-413E-A4E5-1526A8CD94C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A70E3D62-7AC4-40D9-93EC-AD44D7D8A6D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1A4ED53C-AB37-4279-B2B2-AE123532BEC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96119285-DB91-4730-825A-493DDF372B0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7FFAC0C5-D60C-49D0-98D4-064ADDBEEAAB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A721C362-8D0E-4C15-BCAC-8B9EC17F9B6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2CE30033-6D16-4D07-8906-27E8E0D2CB2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BF200703-91B2-45A7-9B23-98A2B290E10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82E41B5D-D39F-4A57-A7F8-DAFE6CC3DD59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1BB12E78-D257-4CCD-AE89-632AA3F3185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6F73B03C-918E-47BF-A717-272CE0AF3E1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93A4B208-0D06-4D61-933E-1F3A86A0A22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F08B1DCF-3778-46D5-9312-5C6FD46E7CA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094806F0-B316-4ABC-AA1C-F04D78B1C1E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8688107B-656B-4464-86C4-B5BA907BA43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274A8AB0-719E-492D-93E1-CE4C012E0EC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D9E8F950-7136-4B52-82AE-F5C4F262735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25089590-6730-427D-B1B2-E96360C27DC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906028C1-EC85-4C29-A591-3CF9B3F0DF8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377EC313-C19E-4FB4-9748-1F5401EF0CD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FC4F8A5A-53CA-4B96-A1A2-8352D682F55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A1F00B52-9CD2-45B8-B61F-1A802371E007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FCD80953-C062-4068-9DC4-C8891E21848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1FCE4FFA-4C74-477B-87C4-A996F1ED237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C042E7AD-A77C-4E43-A6F5-BE587092C37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9DE121C7-C330-4992-A774-2E7E52A40024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96C5B6B2-044F-4817-BABC-8C835A78585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CD043750-DF32-4061-81FF-2A225E33C26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31B07781-CBD7-46EF-9787-2E52BAE395B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06CD214D-17C4-4B73-895C-30943419546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D6D039B5-CD3C-4DAA-A8FA-A72FA74E6EC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77E05A6E-C142-4C0F-B473-EA4DB1CA7DF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7720D437-5CB6-4752-9B76-7E5D40EE01A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B76A05C6-9846-40FA-B517-EC4A95EC6E6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E5A7ADD6-5E95-4B29-9440-10B193EED5A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452DE48D-17F2-4597-BC43-F4E553186C59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20" authorId="2" shapeId="0" xr:uid="{F1868008-872F-4147-A3B2-73B8B858E57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1" authorId="2" shapeId="0" xr:uid="{967F1CCF-AAE4-4D18-BFF6-DCFEDAE2F25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3" authorId="2" shapeId="0" xr:uid="{51819175-3532-46D9-BE70-38AD61D6E11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A1E713DF-5054-446A-B8F4-6EEA1460CDA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77582D80-7CCE-4713-A9B0-A2791ED4DAA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3D142279-CE15-404B-8AB6-D337713D8B28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A8C27E21-3AF4-49F4-8CCE-2E179B9781B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0788F464-4EA8-4256-9AD9-F26B02A7E1F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426A34C8-4318-43DC-8E90-6176BC39D99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8C12158B-24F2-4A96-9713-6FFC8414A3E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BC4DB088-8714-44BB-9FEB-D5FD6EDA2BC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305D9F1D-673F-4CFE-98C2-DA1471F0507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0C19FE08-4440-42AE-A571-8EE857B99B3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6EF70620-1908-4A19-9C24-D6DA49CC469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D2EC7857-1719-423D-81DF-4BEAA062A03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67508E4E-39C3-4E75-9DB7-FE3AB0105958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20" authorId="2" shapeId="0" xr:uid="{D5BBDB27-4B8A-45F7-B8F1-475A9F701B3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1" authorId="2" shapeId="0" xr:uid="{E9D51997-37B2-4994-92FD-86F19D56444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23" authorId="2" shapeId="0" xr:uid="{18B37978-597B-461D-B4DC-E74D800C20F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23B85280-5907-4C66-81CE-7D1C354AB45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D189410-D3AB-4C9F-985B-69B7782A8DD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661CB5EE-FA88-46E4-AFF5-9D81B946CD31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C4D2FB2E-9656-47BC-9E6C-71029537851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28501FF9-C002-4673-AA4A-1316D95439D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85DACA04-646C-4116-AF87-E7280D6AD43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4E9987F0-CE7E-4F9A-A1E6-06C263A8E7D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5E78FA51-8591-4CF9-9D4A-D7763E2CEBE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69F8B300-4815-456C-9F6D-C2AA458AC28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076C4EB9-CDCD-42DA-8A4E-3527379B338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5EAF512C-6A5A-4346-99FF-22EECA1A275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0FB1C586-F29F-4E7C-AD45-9C9F8683F99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F4D46792-7A5F-44B0-AAA7-AA77778C411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B041AF30-0D57-4B91-87DD-9FC581FDE01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D5D00132-EBDD-4562-B8CC-0F474C5BDAE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24EF10B9-1A0B-4889-91A0-E2745C007401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4F4BA41C-0B20-41E3-BDC6-1B545D79ECF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F585CBD7-EB38-419C-82BB-54CBF3C45BF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C8CEEC3E-D2F9-4C96-83C9-4CECA15D4AD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65670C5B-D608-4F0C-8BD7-CF24472C461F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BB93284B-26E7-48AE-91C9-A0140517ECB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DB987AB5-04B3-472F-A9E7-176BDB2C779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27F45A73-85A7-4848-A9DF-7048EB16BDC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E67CDA06-30C3-43AB-B0CF-00A07541035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3E9E3278-D466-49ED-AFBD-B57AE429CCD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71F63AA9-DC1D-4C18-8039-CEFC27DDC80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0BE70477-3BAF-4A98-A253-DC826D109FF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CE80D75F-FA8A-457D-AA38-40BDE97E3F0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042A89EC-AFFF-4C01-8E6F-1F05632F1FC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24F562DB-FEDE-440E-BA66-5F724D7651B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F032EC59-E776-426C-B91B-53990869CA9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D212D082-E51D-4B93-801C-F4CE4B2D2BF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60F98EDB-71E3-4113-982F-0D89622354AF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F9C641B2-4C98-4A63-BAEE-265C90C1A94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7CAE4E43-C3E9-4A82-A601-4491EAF68D7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977AB00-008A-4CD4-9FCC-0E154E3DA3F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C746DCD7-B99A-4725-9C56-84CDA7750136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CF886E27-E9B7-4442-B392-B170F518EB6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D671F4D5-094A-4479-A45A-D39FDC347F6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A8B32C28-4A3F-495F-8E6F-F7C4F26205C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952660D1-B55F-46B8-8537-5751B605CCC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A3C76A72-5240-447B-8984-8EBFE62971B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DC2D1FE2-8EBF-4FDE-86BB-96DA41F56BE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543E478E-E0C0-40F5-AAD0-DD5D51F3A30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10EB8A31-B8B3-4CE6-9FCC-6277BAB5827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17A861EA-8AC3-46FE-B30C-69CD0AC7E18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6FE6F367-916F-4880-BBA2-7B3E176C2DD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7BB75977-94A4-49FB-AD2C-A8EE6476FB8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E6A9D2EE-D789-4521-8558-59242B2E089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865295B4-E659-4098-84BB-37C5F5CAE25C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4A4F2F8A-1321-4A31-AA1F-5526D8D5875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422CB022-4C6C-40F5-A102-2324B66589A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D5FAB541-7AF8-4C43-9E33-89ECC5B0312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C870009C-7AC4-4E66-BB8E-9DE1858A7C15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5BA0F34E-C4A8-42F3-BE8A-03C336133B0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47A15F56-AD11-487A-A3AE-8EE76C0781F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18917AEF-8277-4F95-AA7A-53ED00A4482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FCBE33BF-7AB4-436B-BF14-801763114DB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6A16E114-6B38-4960-96ED-FF305A2B8E4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8C146001-DB26-42E0-B67A-F92B9F42872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B2189888-2F99-4786-9003-F3737E8272E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79867D0B-C137-4037-A43A-49E612517F5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0227EAD2-55D5-4BEB-BC41-7C14D80D809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25947A37-D77F-46BA-9F05-34788127143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5270583C-707F-40F0-AFD0-CFC36717B82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91B1FA9C-FD6A-4A84-BA2C-FA121403154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3233867A-E1D3-4B69-9059-6393F1F8F329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80CC0873-A495-4B17-867C-9F06EE58354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8D628AB4-DF74-4A5C-9A6A-4FED6EEC987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EA68649D-44FC-4F1F-9B7F-2DA1AE9D32C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DDCC61E0-3098-4A33-A571-966D43C38DA5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5BA649EF-828B-4917-9CE9-C75454C1143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821A403F-E5D6-45A5-9D31-A03E58C4325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31B8F641-DD90-4438-9F36-A7FEEA420C8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4EEE8CF7-0698-47A9-BAC7-A945EBE64D3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315E7FC4-68B3-473E-AA0B-1A2A31E1B44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548F56DC-69EE-44C9-9233-CCE5AA850B0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1E9C7D27-67DD-425C-9C3A-341F7AA752D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6F5085C6-4F47-4657-8896-080B13A9B92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0EEB17B9-090A-4B3D-A006-ABD33DAA84B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5EBA764E-EF73-4666-8F8A-D5643C7BBB2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2BEAD9DD-1FB5-4208-A085-BB86F70B004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066FA399-4CF7-4C0D-8F2D-7221484AD98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C7BCED00-42D7-4F79-95FA-E75519F1CF4A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70E5B2DB-0DDA-4960-A460-B7AE0809055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4EB2CF16-6F6B-4D2A-9BC5-21DD974766A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2B52C1BD-D0AD-41A0-BA7F-B79D10C0040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435BA093-8A4E-4535-9D1F-1A0AA4EE279F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D856C347-1B06-484F-B6D5-FAA3B08C15A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3E6D20D9-6D6B-42A0-BE8F-E140904B133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642750C5-C4F2-418C-9215-C8BE5526606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06509837-3292-4128-9E81-514C4641418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8C8AD74F-8537-4D2C-A21F-B14295594EA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EBE86E18-673E-460D-981E-B378AB59546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BD0F07EE-C311-4912-B220-5450C9A3329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7FF99C3C-AE03-4A40-AC4C-7BD0950621D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9831C9A7-4E31-4A75-941B-C3DF54B6114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8BD8E650-F1EF-4629-9C60-45E26AA06ED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B08717DC-71D4-4E83-936D-DD8BAD29EA0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856FF1C1-C642-4B9B-9710-D9B9E86C716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A00A11CC-E281-4825-9614-CC4777D41CFD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DC0FDE79-9D53-4C3A-B640-775EEC36630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19A7EB4E-6280-41FA-A595-3C3E6D7EBA6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7B8095A7-8047-4C98-A920-758B6D5D17D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F6D5BE4F-DAF1-4F64-81B8-002AD4296324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FE17FB4B-90A6-4716-874A-1127D6B8892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BF2E66DA-E252-4078-93A0-5D3ACD698F3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5EE3E48E-6A4D-4BD1-81FB-EDEFE275EDB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3ED2FB7E-AC31-4FDD-8CF0-17D1A7930BD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C972979D-231A-4F93-BE17-3E972F8CC86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7AF33B3C-47B6-4D63-AA74-EF308183F3F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B540380F-A9B8-4EA9-8EED-4E68776A329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299B0EFB-5725-491B-9AAB-CBB06C1C01E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8496BD66-07AE-4560-859C-7D83C5EBB65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B89A0E28-B9E6-4BA7-B1FF-69FAC8B686C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F63873F9-9C79-4173-9961-93CA98495F3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3CC6E05B-DFC1-4DE7-9858-0797F72CEA1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CA68785F-2DC8-4343-AB30-32B39D40A549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F2C9C287-63CD-4D9D-917D-001DC9A2404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158B34B7-7F54-41F1-A37D-0B9F072D2B9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7B7DC50C-F884-4ED3-B28F-60B1F6F4221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45360ECE-460D-4828-87C5-AA1388866B46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C24DB8B4-7D99-44C7-9927-F2020D1C171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E2FB7083-4DBA-4AB6-A59A-EF3AE12B9B2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2DF1E6C0-C87F-48CE-A2AC-4C3F3A30192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5071EAA8-8B90-4217-81EF-18E9685F8EF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797E1C06-EAA7-4DCE-BF1F-55C80EF19FA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622E330F-3FB0-4706-AB06-0A642D0AB3B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C8225F07-FE11-4DAB-A5CA-1D04569AEBA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41F462EF-6D73-4AAC-8E0F-F88B8D41DE1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011FAAA7-68F7-400B-A727-B1A6390C90A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40BED173-7C36-45C4-A22B-944B62CB35C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F0758E9D-2513-47F1-8796-184FCD25F40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CD2CB312-74BF-4E14-BB96-5DA13F1606D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0DE56A58-53E7-48CE-9795-F93038530621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BAF88CD4-94AE-4A96-B53B-407F277C812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B85E1461-A110-4495-866F-8D56A2380CC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08BE8878-BC22-45B6-BECD-DD60D2EDB16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C283F791-8460-4ED9-9094-309C64857721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3E078091-5D5E-4275-8B0A-D9170850418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54FB80F5-6344-49A5-B8C5-63AE551CCA6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DD738284-E606-40EF-BB83-2471C61DD36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31B27F61-F479-4131-831C-8B9819A3C5F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461A1E78-3C5B-4643-97F1-BB8B7A30401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E6575FAA-87F3-4953-9699-015B6D8CF33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F2C5AA14-B70D-4C89-BF0B-9A8F55CB1F4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0378C582-2BF9-42E2-B079-8B84678D724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6D5953E1-006D-471B-8952-7488F809209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44E4E139-6210-4D3F-8316-9123F211F5E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37807D6D-1888-48C9-A904-C5FBDD0856D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74D534A2-5D09-46F7-87A9-EEFAA56201C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A3002920-AB2B-425F-94F3-77D2436ADAB7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71387AF5-A5C4-460D-B8C7-93DEEB8FBA2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9F168D9C-97EA-43CB-9035-032129C2E79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21FD828F-F05A-48C0-A439-7482B9B86A8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DE18A8A-4203-47BB-895A-D265FDAFD895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6C46847F-5E37-4C39-9BC7-A8590956DDB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E7A59D84-6090-4774-8A55-678F0806171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63F1926F-BE14-494A-8A4F-013FC3A9463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E0BC6A5C-97A0-4153-B39F-BDE24676F3D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13C8D47E-5403-49C4-AA82-6DAC488CC17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9C54CF6E-1EAE-4777-A6A2-EE2CB719451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58593D85-B13C-47AB-B7E8-AAEA5E0E1B4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EC972D39-9847-4644-BD13-B39B3DFA76C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1898C4D3-121D-4052-967D-A5B012A31FD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5E986457-DA5B-40B1-91F0-0ABBF4B7CB2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981B5181-DF6E-4E9E-AFB0-FE0161F120B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C38BFBAE-7978-42EC-8AEA-B0CCE2A0F13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2E83FC98-3ACB-4580-B6D5-9FE180BDCBD4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283B3352-F21E-4A4E-B5D9-FD7D60D7B5B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92B8EBA4-6C83-49D0-B727-93CA11DAA7E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085CB20F-B203-4210-960C-2A70F547679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990921EB-E522-40F0-B22C-5378B400738C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CE4BBABB-0C03-4292-884E-599B699B38C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B49C3DEF-5921-4EDA-BD95-BF120FCBA1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EB84D05F-F8DF-4EA0-A241-26A7511B210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5227C9AE-71E0-4936-A190-C68240C424E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758A6505-D689-4A06-995E-F3BF26E6B8C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3A5F286C-2D99-4EB8-8A21-D953B7C7E76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28A3B200-B6DE-4D9B-9EB1-20DE0101DCC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980EBAA1-91E6-4617-8A91-EA7445FEE0B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B3D946A0-C959-4CB5-9333-AE259E557D7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A0821E4C-FCBE-4F4E-BA4F-BAA2585735A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1063DA5A-A6C8-47C1-A025-376EC2D4BC4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69BB874D-613F-4DD0-8B67-3887BCAEA65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65918335-87F5-436B-8A27-9F6591E85D0B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5A98797F-B8F0-4EA4-958A-B50B3E4F6BD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192EB663-2929-45EA-9336-60E1D473BA7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C06B161E-F2D8-4B71-80F7-7B864669C4B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B7BA2246-455E-49C2-8552-1D6A7B1B56AB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3B1612BA-5470-400C-89FA-0C6378FA465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DDF67FBD-EB77-475D-8952-AEC2D6C3325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C1B2C3EA-2247-4A02-83A0-7245320591A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9CB66B4C-7280-4D19-BBAE-444EBC521DF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2F840F6F-8744-4ED0-AD75-DA41B449548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958A6E21-3E34-405B-B83D-0BCC156500B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356683AD-37A3-4CD9-95BC-DCF295C1013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9D11815A-8379-488D-95EC-EE97C4BCD9D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B2ABB42D-D818-486B-9916-87BE5D4AB6C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E49526A8-359C-46F2-A2B8-39AA10CE16B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801B87DD-E19B-4C8F-9671-8EAF356E975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A55D5C6E-4B20-4F83-BB23-699CA57A0EA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CD2382C5-5D21-4E7E-A3F2-1AA60B09929B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7AE1E6CB-3E65-44C4-AD3D-C896959A35E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E5AFAFF3-D421-4ED6-8B1B-16437387C38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29AB18E-F752-4A42-951E-B5EDE39033D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6C89C05E-D69B-42F5-A1F4-BC5C2921C98A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D186D9D2-9B7C-4872-9A3C-00011380D0E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4EE33D43-2963-466F-806E-F4BC436B527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9F774E8D-8514-4959-A94B-626BA90A733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869D1731-AFB6-4D26-BC08-8AB91AA7145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782BAA54-EC99-461E-AF11-BE5613F6136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68B62C9A-FF5F-4C73-8EE3-861026CFC1B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20D337FD-E3E6-45A0-B899-636822D87F6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300E1684-B5F2-4619-BC0C-355A14C5967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0BE99109-841B-45F7-B5FD-FD04292BCC5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2E1BC1C8-748C-4052-AB14-918CC411D29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EDD525F6-82D0-4490-9C45-8AAEA9BA943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301565F7-657E-49C5-8056-848B2779773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BB5A3DC1-17D7-4044-8E36-2EE6CB4B008E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CBCF5206-1B6B-4106-B1E5-1E9F80B5399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FCA04890-FBF5-4B47-9B79-4C7483B5E65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905DAF43-F89C-4FBF-9D1F-40DE38352E3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E0A85512-5C9F-46B3-84DE-BB346E12FBD1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E21FA436-FB57-4D8B-86D7-EDE6322E50C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98E39702-D3C3-4260-A51F-21D88044482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0351022D-1019-4315-B4E8-BBA646D2F8F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40848844-712F-4E56-B358-3F4B9FC86CA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D28C5320-86BF-4EC1-8703-C8C9941D33D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CDE760D7-8895-4E03-A066-471C56F2824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1167709D-02CA-4F73-9F72-01ADC873300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96638B06-2F74-4038-96B5-67C211D8E1A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50BDBD3E-D590-45E8-B89D-8B8BAAAFE90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E4E465A6-68C9-444D-9A94-8132C66206D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303EF62C-6DB0-4892-8F83-A64FCC890C9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6C003D79-8395-497B-AA28-A5D207055BD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62B88FB3-DFA4-4C96-842A-2301FE82B1D4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06A82D23-0CE8-4995-B27C-06CE5EE8D23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DA0D3025-3A6B-486E-8568-A8AAA3733FB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45AC11FE-779A-44B7-9D3D-568B9BBA547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A0F2F3C5-13DD-4569-B63F-60CBED73F10F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85AE4140-84CC-487E-AB9B-9EB567C235A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6EBDE8C9-C3D0-4BF5-A1FC-2C73A63C566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D62408D9-0BA3-444B-9EF8-1C290D2D8A0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9EF28A8D-B348-4472-8915-74E5B2DC142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E5B76678-856D-4083-BB30-8F1F4C60BF5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358BBB9E-45F1-4F8E-BA6E-D2CF1404684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0FB7D4E3-0E9A-4E44-BFAD-37BA3787986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83F83C0E-BDB5-404B-AEEA-7CD37A54108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5DA0D586-34E8-41C3-B134-B5FD0EDE8B4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8824778A-2CAE-43F0-B61E-D9D0EE3A088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321A0BB8-2906-4FDC-820E-862E1B8CF40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1DBF424A-EF15-4508-8B56-D0F3E945929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F209C48F-095B-42CC-A025-1DECAD6471E1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C7FBC27F-8C9E-44F1-8E3D-9B8BA00F188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4B4DD665-62C1-41FA-A0A5-948F864AE63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1613140F-24D8-4BFD-B8E0-E52087E6541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159BC9E7-70D0-4DBA-9159-4146A7C4D625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DA8BF213-C926-48A3-8BBF-86C98CD95F6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DA716797-93B9-4094-87C8-0C98E7F75FC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9BCC66EC-9CFD-4862-9DA8-B25F39397C4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72220B8F-397C-434E-B438-76A101C4B70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5277E796-64BA-47F9-BE96-C2DBDD1578C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DE2168FC-A483-42C8-8C02-2805DC83EB2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964BB168-AC92-4699-939C-A7A8A937AA6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94181AB8-46ED-4662-B513-5386EAF2C8C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109BEF8E-1794-4EDB-A6E5-EB09AE24439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042ED2B7-68C0-4BE6-94CA-60C066ADF52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1D4F84C5-11E3-465F-8F68-AC57D793793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6278A8DC-20D2-4B59-A8E0-1DA6FFECB95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9AB0CF9C-7D5B-416D-B015-490FFB9BEE8D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DE5AA27C-065C-4C3C-B6AA-42E78ADB14B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F1F3D6D7-8DB6-430C-BF31-DF696257F85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CC202B6-C95F-4910-A177-0143A361525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50254B85-7B77-4140-A53D-C9C1DCA8DA89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17675C0B-A6BA-4B83-B115-B6333FF5472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3ECD4F5D-12B0-414D-BD65-A7FA86E0B95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F96BF536-29F7-453D-BD98-DDAE92F2570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38619BF9-D977-4EBF-91DB-FFED284C666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74F7CF5C-F0D5-4F55-A6DC-F5B636FBD0D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988D9F9F-4DFB-4610-AF6E-0983351DA42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C0E33B56-DB85-4C89-A4AE-8D8BFDD6B9D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CF202600-E737-46CC-AE15-FEF2229A0F5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878B4554-6DC0-4A1D-83C5-F75A179E7C5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95540CCE-7CC8-425C-B046-5AE29CC0920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C3749EBA-57E1-41D8-B999-1CB4C22822D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EE6C050F-27C0-4960-8338-2C72583956F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1A6563C9-21AA-450A-8EA8-9DB650F7895C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30C8F69E-0E14-4B18-B61C-6CE0461042F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BB21263B-043B-45EF-ACB3-7BA609FFB6E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ECD76FA-90BA-4FC5-A4A7-0CF77DAAF90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DC05F7A9-4126-4E6E-840A-E98C42AD092E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9B8D21F0-BD88-4B66-9940-576FA62FDC1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F1E629D1-2268-4F36-A5A1-108F9DCE1F4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DBE93934-A9BD-43A0-B41F-AD6B93F2FC1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92821E99-BE48-4F3F-8ABA-597AE7C2C0F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AAC55A02-0743-47D4-9713-0141460F94C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78B63DD3-4320-4BA7-BD97-6B2902F8C75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3C999262-8CFF-4261-A952-15316B2D8E0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DFDE7296-66CB-4758-8032-A2CB235C5E4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589FB1EA-5E81-40C4-9098-5D9C0965506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7657F435-94B7-4830-BCF3-6A0BCA6F91A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EC56FA72-1245-48C0-BE50-F36137D38B9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85494F70-AB7A-4CB6-8719-8E608DE49B5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C2AABB21-6992-4CCD-A080-146459A3E6C9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3840FB68-247B-43C4-B445-A10248FD675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72C02FBA-D092-4095-A7AE-46594F43BD6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C6C464F0-D81B-45C9-B319-F77A4496B0E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EED459A-C80E-4676-A10A-4ED8F4C9FD03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102561CE-65C7-4AA6-A41D-FD9377F7498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F77497BA-9778-4F52-85E2-0C56F6D7298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40A01870-7F71-41A1-8A5F-0988DA8F3C4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731108C2-7D2C-4543-B6E9-ACE48F9F2FE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2E41C6C9-51AB-45C3-B6EA-891E99A87A7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77E9C608-AAE8-4F47-8246-114C8BFC505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F2404953-844B-4398-8C74-01139B4F0D2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24905FB3-20AB-4409-94C8-892546924F7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1D880E21-675F-4820-8059-B7BABF0BC72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1E286559-54F6-490E-A814-9719EB084EC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4E2B34D8-04E1-4220-B1BB-D956E7F2D7A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BEA4038B-4F14-4FD9-BA80-2083345BC8C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4FFCE33E-9AB8-4AFC-99C1-BE45020ABA2C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3E0329AF-D41E-4177-BD0F-22442BD0296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714E7FBA-315B-445C-8283-FD9AB2ACE68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7A818384-FFB7-404C-991E-399CF864600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7012684C-4D6D-40E2-8839-7BDE2B883B23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BF8434DC-3D53-4C16-A610-DF83A0EDE30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6DB266E2-5087-4488-B636-5E070D08452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EC235462-FC43-4815-B2CB-863D33B669C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1E9E2703-72E0-48ED-AB0D-07D359C19DB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3A42099B-BD49-494C-8F18-08839B2CD42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AA2E0C5C-E652-4EF4-9172-9C91778E1F0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95E92137-E98C-4902-B90B-B74361C172B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DA90D6B0-24AD-4E59-97DE-4C2EC50BE1F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423C8429-5C00-44C8-B8A4-CE7B32F7CB8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526F5B01-AAE9-48C3-B13A-B49D6E67EA9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C7BAF783-20CA-4B2F-917C-80936DDC44A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607B5A2B-76F0-4BCD-875D-1DA82631757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AB574F9A-0327-4B1E-A12E-3432C46CC089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5EB84700-3A82-4B5B-ABF0-E429563A5D7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32A48123-1A29-4284-862A-7413028A0FC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B771166B-A9FF-4527-95E0-9CA72413848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9F604269-38B2-46CE-85DF-B9F778ACEE0B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8C7C937D-074A-4328-95DF-E093CFBD988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7D075192-EDA0-48E6-9814-407DEDA12E3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50043DF9-66C6-4DF3-B3D3-2341AB6A459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601D6FB5-DAAB-42FA-A808-6CCFCD16481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4E4C8004-D409-4423-AA9D-AAECC8FC78E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F47F427C-4F64-47F6-B018-21F98ABDD0D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E4BEBA30-C8B4-4C09-AA48-FA7DE392D7E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14D10C61-4404-449C-B79D-EA9BF39DD09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AB26EACC-533B-4ACA-AE91-56C8C1AD0C6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2C7D13CE-09CA-4FD4-92D2-94D3E8B2C76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26DF5437-4695-482B-8745-541CB1D89EE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6D6B0AAD-5594-4F01-9472-F3262675A94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8F53DDBD-BD61-4CE9-B042-0C4D73838518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835CB4BA-6EFC-4E1C-988E-9BCCF05C8CA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55DE8834-432A-4A25-A250-9AD840A0AC4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D208A8B0-BC2B-4D10-90BC-CE075D79BF4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2BEE7204-BB90-4F6D-9BCD-018E935DB649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AEF24885-0EAB-4C41-A812-5F8CC46C57E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36FB7B90-9336-49B4-9744-9323C276634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396784A0-A586-432D-AC76-BFA42F70718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03B5FE8B-F841-4835-95C6-EE512E44501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F7C09E46-D7F4-4C6D-8F03-E7FE576EB03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381490C6-ECB6-4841-8F3F-40DC03068B8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A904E55F-EA59-4FAD-B6FB-E9E53DA19FB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FB90DC27-436E-4A7F-B44D-9EF6D57382E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3CB4306B-DDC3-4FD0-9DB1-AFDD0B9CACE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456C4F21-5A47-4975-9096-D4270AA3788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99CB63B4-15EC-4B3A-A014-48F08345643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8B1A0C99-7296-4443-B133-BCAEED878B3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63C68E12-3885-4B9D-8D8C-B7C28E18318B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EB2B1496-4DB6-4EDF-BAF0-0EC124245A6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BD504073-0329-47E2-A786-919D12ACA04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CBDF3AA1-BFC8-419C-9351-48D80BC9CEC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A06C5646-8365-4BAF-9528-4A4ECD02667F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FEB1B7E8-079E-436B-A657-16DEE7CB09B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0AE0D19E-912F-4C3F-B2B9-6562663A063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4AEEC786-9A8A-4E40-8C53-805FDAABAA6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57C72FB0-A3E3-4ABF-A151-F69450E60B2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89708050-7359-4868-8F9A-553227B787F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ECADF956-8A25-4AA3-862E-BA4B0E614C0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C0D90910-F4CA-4FF7-B71C-1EBBADF8EA8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639354D0-048F-4515-BEE5-BC1982B316C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8566590D-6A7B-4159-9ED9-C907F22D211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1AAF72A9-4E12-423B-8BFB-93CB8D6C51A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A26667C3-F08D-4D1B-B694-5365EBE3423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B4FDA19F-DED3-49C9-BB38-E4DC03F5BF8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0D5DAA43-07CC-48C3-9375-B6B6EA9F0FC0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942D9D53-C46C-4961-AAA9-7529993645C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4C0FFFE4-B107-435E-87E6-6D1B51358E2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D79F6675-928C-4206-8A6F-A44D357823C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274343BA-C629-4BCF-800C-4B4F548728CD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E741F374-0682-48C6-9E19-18829F61F31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8855AEC5-73D0-4482-BD8F-C70756256AC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84F9554B-430B-4363-8171-3D4F9388B35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82779520-F1FC-44BE-8A22-E610409F70A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20F4B46B-7EA5-4EE2-9D89-256AEA4E4EA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6A1F7D95-F460-46BB-986B-47ADD3640F9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E0B0EAA8-3EA1-4B2E-AD11-5805178E18F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BD0BF4DF-E0F0-42C4-A853-A2EFF25327A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64F5EA6F-77DA-4988-9FFB-BD395A6B576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2D6B2346-E95F-4374-AF3C-0FED96921D1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EE577520-B855-483E-8D97-F3A79D257DE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F5F36CF7-C1D6-4415-8EA7-30A18EF3DC2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745C4503-0181-4EA0-97C9-43E514574B6C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67A7D10C-9B07-4B68-BBAF-F23398E973E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E3DAC1AE-6A22-429A-A7EF-F23912963CD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5D68FF61-20D5-452A-9A55-31DEFFE1BBE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4044EF87-7214-4C8A-91B5-7BBE85D268DB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74FFD17A-745B-48EB-AD91-11E31D68902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180DF0C1-E48C-4CBE-ABB6-749A2E99DCA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7470A7CF-720B-4CF6-8590-2EA7CBD5026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407B64D0-D004-4098-B50A-B119AEF0A7D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B0A43F4E-202D-4946-87A4-65444FE814D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F20BC4A4-6A12-4021-9B6E-3D3EE8F2666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15D934A7-4BCA-4DAD-B541-284665B1C5F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97389962-6437-42D9-83B0-85AF0C966BA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40E4B8FF-4741-47BF-8313-C193E676AED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3B6CD8C1-9D7C-4538-B77A-E7B5C9486D2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9DA9DDA3-E53E-45D8-A4A6-DB21E1388D0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9E0145CE-D1B3-43A0-8A5C-13EFC04957E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EFA13BA4-649C-40CD-8742-0FD7453C4230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4953ED03-7A1C-4D1E-ABEC-346250DE2DE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84C6DB79-F4E2-4038-BC2D-18465C54B23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D2932B37-9414-4024-A577-1E3291CF0CE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5FC2333B-A91A-4607-A9F2-7E2AC1D678DF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FD339FC4-7391-45B3-91E2-CFBDCD9E094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00B12FD7-7CAC-4FCA-AAC4-9A0EA967B70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186C45B0-0F41-47F7-85AA-0BDCB4B3DB3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202748FE-6DB3-41C9-9886-AAF7F951F49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C1FAA1A7-6C52-4C37-B6A7-CD5ABE08BF7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2F101058-F67E-4823-B97E-4E2B7AD5D3D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A46FAA31-7323-4D6A-BF07-1C27CE46F58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E0356EBC-4C77-4854-B5B5-0CDCE722F21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45E9871F-712D-46D4-BC72-CBBBA942411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689084E8-1474-4F76-93B8-5E1EB5B26BE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300B55F2-C7E9-4CD5-A7CD-BB6D1122E0C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BBEF46CF-BF76-4352-BF45-CC6C37EDCFA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4259E6A4-902C-4D10-96D4-1F56862DC81A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D66F6A43-9063-4075-9C49-DF8C3210EF8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250B0692-877F-426E-ADE8-8E1F8D687BD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4CD67327-9A70-46CC-A6DC-E531F8711B0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5F42E3AD-A0F2-41D2-A963-E2135AF1B1EF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79803A7C-A99E-4230-B875-4E219D1D4E8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F8523F94-0EE6-477F-89A8-EE6476C4C73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5A155B58-3F02-43D1-8A8D-6C558B4A9DA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453752EB-C77E-47C7-8B74-A8951464C27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10AEE6A6-2949-46F9-A08C-C5203D67BD1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A6A3A3FF-F827-4925-B4E4-026353F320E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189629E6-203C-4A97-BBA8-64BD5F5E83F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A13DCB8A-6D6E-443A-A0A1-F477DE87D6C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7002CAAB-9014-4DA6-A636-FC2CBDD4913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64768C60-0C7A-44B1-865D-5DE982BE15C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56F5CA26-CF37-46CB-B1EF-3A0C8C7BD5B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164A89D1-E946-4785-9550-21065B421B1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49F13F5D-325A-49AA-854A-C7B41617435B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327F9B26-2C90-427F-A803-46796C50B58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F92DEDCC-9DAE-431D-8D86-DE75D41B98D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89D9E253-95C2-4DEC-AFEA-EA44E607714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D2CD6293-8FDE-444D-91C6-02FC86B3BC5C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6ED52CBC-2080-462D-B115-60B6E945423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DF625392-7C98-4150-A05F-BA84E1D9D2E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D1011E32-111E-4E44-9D7B-2E6230F6F70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C5BD01BA-EA96-4E1A-90DB-BB5C814216E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F47082BE-14BC-4C6D-BB83-54B9692720A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48F1697F-15DD-4D02-B50E-94F8002C97C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E0BC9A44-4EAE-4F89-AFC0-B210D1FC2EC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24CD9BA5-83B2-49B1-83CD-12037193E9B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3871565B-B5A1-432C-B771-F1473500250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E23FF627-CFBF-4569-ADF0-496011557D7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1B1CC0CD-5E2F-4FAD-B063-77DD0301846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49878E3E-0BF8-462E-9AD3-656752B06AF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47FD6CAE-7618-43BD-A443-B7CD82D4344E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B7B59180-ED23-4F48-9FA0-B7B0DDC0033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1D7FC24C-B977-4F90-97B9-5FD73196792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65BC17E1-7038-42F1-8AF9-C1B96AE363B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5D318659-E480-4477-A929-26B5D2C0D12F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92CC236E-7E28-4D35-B69D-B1A108B487C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0ACC8933-D09A-4706-87F5-33D1D551D34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3DF285CC-D9C0-4D33-A3F9-C42DFFC5E80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24370C09-AAA8-4B20-8B0D-1CC39B26F55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78111EF9-F8BC-4495-A6D4-28697C3F212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025D022E-6D3B-4EA8-B80A-6379F8E33FC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AA1D1CB6-5211-4596-998E-5470772C062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06753B72-4113-44F6-BEC6-535A389FD09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EFF34C41-2DA8-4CDB-A554-372393BC120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3FC1BBE8-DF41-4692-A5A7-16F8140FA88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3907A3CC-10EA-457B-87F9-45F0508CFCB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E4239625-33F8-4C37-A013-87088AB7101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FB97A223-8029-4BB1-A1D2-4A0BB8FFB32D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FA9E36A7-202B-43C0-96EB-84CDCC026B3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2F16CC01-BEB1-4DE9-9295-0556280D1F5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58D1268A-1183-44F4-A7F1-1A51611237C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5176C831-5E7A-4A87-9077-0498FA90C24C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17140BC0-6A5C-4817-88B2-26A391BF3EE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BB56A36D-DB75-4D93-B831-9C2465A856A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06330964-4582-4033-B968-DEDFBD245F4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92B1E34A-0E82-4627-8329-A0F34E2483E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0CFE50B3-0EF3-4ED1-947B-B30B095949A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D7916292-F301-46FE-8E7F-8C29F5274CB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BDAFB68B-9FF3-4FEF-97DB-8DC421A390E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8C63F46A-B258-4213-9B71-22C90D14995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95CC279C-6FD9-488D-A46B-573386F2D33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4D4CABBC-5E1F-4752-91F5-1EF348946B5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A988AF8F-8650-4314-BBAF-A729A94ED9B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8C13FC2E-E2D7-4EF9-AA6C-03AD9B55E1F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9C77D51D-AC78-4D72-8CB7-8B4A3D99E3ED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C0204707-D912-447F-ADAE-4F602979127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DD0ACF3F-D45D-4FD7-BFDA-251B5A59DC3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95EA8B4C-FD8B-412F-AD59-E02646CCD04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8590D50A-F042-40BB-9F8A-F15C8576FB0A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22AAA26E-4EEF-4907-9E92-93DFF9ADCDB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9913951D-9397-48AD-927F-DA0D29AB306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004D2967-5078-4D45-B779-C7E6B49B959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43CFB639-1A42-4985-9E86-360457F4AAE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E87200E2-9B9F-4A52-9F56-CDAF6892AC9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850C160E-4C28-4433-9442-26B3B9675CB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443B9E7C-E46A-46F3-B02B-F9CC0C45392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6A891998-AC04-47B1-BCCA-6FDD71F49A9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5EEE0950-D772-4F47-9CF2-4494F088E5B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0756CE7E-BCB4-4881-B233-E50B60DC94F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1B9312FD-C54A-49F5-A4AB-8110C0F3D53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3F7C14C7-EA79-4E8F-8035-AB61F2E0408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5FEF780C-71CE-474D-959D-EB57D6D6AC75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1EC0D68B-2F00-401A-A81E-A65485461D5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AEA2626F-0445-44DD-8D0C-F31263AEC29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38ECDFBF-88ED-462D-BF48-C13932E8CFC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3223BFD7-420B-4237-8FE2-9F723AA82C2F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DABDFCD7-4C6C-497E-B52A-D4BC8BC9119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60783AA9-06DF-40EB-A3D7-C96D85DCE06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336A338E-4AFD-439D-9A88-496A2C5E2F0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D92D9377-3576-4E17-B97A-BC50E42377C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583B2E80-48CC-4A90-8B60-ADE6DBE0F2D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930621CB-08ED-498B-B567-0BD4B6981BB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9BA1948A-B0B5-429A-A41E-2AE79296EA2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9FD80673-D811-4814-A7DE-8DB57DA2519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20521D5B-F8E0-4C14-9F5D-C4581B01FDF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AE08455D-6AEB-43C7-A36C-C1EFA7371EB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C570418D-ED78-480F-81C1-E8F16050388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F683A684-F444-4E37-AB30-9905EC65BAE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835FC215-E12E-416B-944F-B30D19B80A3B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DB00A6A8-FAD5-4B26-9166-D24FE2C565C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5DD1FE58-A12E-431B-932E-FE1F75E477C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E04212F0-530A-4CD3-AAAC-E68894B27B9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D06EF797-BC66-4919-BAE1-0B75098B75EC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2EFB700D-F437-45D6-A70A-D8CEB21151B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4CE3C62F-5F26-41D8-BA54-9C6540BABEA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0B3E6695-79A7-47AE-9EC6-00BF3F8EFD4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DDFAE003-8C10-45DB-934D-57B9D665F2A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D5674E95-594F-4B66-A10E-4AD935E6726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50051E7F-C8B8-4DEC-9988-473749F5D02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8E77977F-26F4-4601-8D76-CEAC62004D0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26392EF4-4496-4770-A247-25A0D6A6F3D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15FBE83C-463A-448D-9908-ED7EF248102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41C416E8-E4BA-4372-A4BB-C5F47BFFC0B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5CEB7B7D-BE9E-4EB9-85D0-4542F7A612E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8B63087A-8056-4BAC-B10A-0DD063983CD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A57739E7-83CB-48FC-888B-68B41914AE2E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AF65ACB0-E66B-4D43-90E4-A96573AFB08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EAAC4F30-46DC-4B75-8112-0DDDA2E2137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E14761B-A84A-42DA-870C-CD9742419D4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D17F6914-D3E0-4372-8A61-F087AF9E6D8F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9E203B9E-2371-498F-AB84-2BEA7077251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E8E71735-75F6-467D-9CBC-2B0888F2563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C36E0D9E-D8F7-4FAA-909F-F271BD93C75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607B0BC3-4DE2-4FDA-9BBC-0BA34E56BC1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B9C047D3-65FA-4444-9984-46EEB8FAE73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3E35B3D0-D9C4-4668-8644-CFE1999AC3D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FC833404-5FFA-4818-9FA6-25C40B5E24D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BE1D2A69-5CC8-45EF-BA9D-284E725DF9A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8182AE1D-A8C0-4732-A511-BF5DAD7678F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A1AA57AD-7BC9-454C-A773-D0B40982A95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FADFBE06-AB4E-4FF2-A19B-E3BDC5C31CA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CD8CA88C-4A7E-4960-A48D-C14A00130BD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39BBBCED-0CFF-4011-9C9A-0A2BFEDA807E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59D25E31-97BD-4922-ABA7-8654B8E3F8B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C8BB4CC4-9297-4090-A861-1360B878BA6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EAB87778-26D3-4BA4-920A-FEDFA5C42CE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7DF1BF23-B3F2-408D-9AB8-71C25433EA08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CE23314B-87E2-46DA-9B24-18C933A6930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B7625BCA-40F3-46F3-89E8-B50B4C58A0E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6A517EB0-3E75-4A1B-B5A4-9CED2F2AF52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510651AD-8F77-4EF9-8E1A-9EA8F7FBC3B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77A6EC45-5D06-48AA-B4BA-F2FDD4888FF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082D0BB1-D001-4253-BD03-F5D6C066340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7FFFA21B-C969-4DFC-8001-E6F9910B479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25509901-85FA-4A5B-9BE0-C207C2F51F5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5F5DC6DE-2F41-4B95-8052-F843C5E5704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C155C8F3-3591-42DC-A3B5-9D2E2FDB243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757E200C-7D0C-421F-892C-8A0E120B0C5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B2EE454C-845D-43FA-8D1E-A8505DC789D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C41DA086-88EF-4396-B9D7-EFE89EC31B6E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15C0791C-954C-457C-B2BB-E76AFBD01D6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70C7CD7E-F288-4AC5-B139-5A9DEF7A113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E2E1EAAA-CE44-4D17-949A-6B5FE78724B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CA199A27-CB7A-43B4-965C-5121E04266A6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C40D6BB8-0196-4276-B586-B1CACBEFF0B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9B653BBC-DC1E-4A9E-88B6-EAB80F426F3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D95E9A18-C2BE-4D25-8C73-1657BC4065C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FEA2FBAA-3685-448F-A588-36370614EC7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9BE2E317-AE1B-4C99-9BD3-129FC8FFAF8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7C379175-6063-4E43-92FB-6B1DCDDAC89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9287C6F5-BEF9-4623-90D3-F817476EC21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0C570A74-EECB-45CA-A640-5EE36770F9E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D993BB49-879E-419F-B02B-E1421467909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A7F91793-4480-4DE9-B8D4-8FE7511EB5D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46980072-D534-4CA9-883B-D61EDB47DB4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9A93697D-6B84-4521-AED2-BE0A457113E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A94C5FDE-D5FA-4645-882F-2DF2897EB956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4EF0BF38-AFC0-4912-A3DE-48760816F35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1F8E3C58-1D5E-4754-A971-8934FA857B0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63EE4D26-BD3A-46E8-84F9-96DBC7873A1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920AB5B7-90FA-4D2D-9496-B0BF8FA2726C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10BBFDB0-BF1D-48BF-9D91-0701F1D39BE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4A7ABC6D-D743-4E0A-B5D1-56377852857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0263DE18-B830-4139-89FD-154C5CFD278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5265B2E3-4840-4FA5-BCE1-95EE90247AF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F876A569-D60A-4160-A73C-E1E2031248D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38A070C1-5FD9-479A-BDD1-EB517037641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2E3C2038-9ACA-4CAD-8D10-38EA4F94726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99D5DC05-728F-48CE-B689-43F6CDCE6E3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5CD49D6B-51BC-4995-8BD7-F6D3C3D2679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2973D1BA-BDDC-4299-9741-7FF9AEAB0F1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32514A58-74AA-47D6-B977-FF858D542C2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AE13F00F-AA7E-4760-AEFC-4B61AFBEF2B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1B3619DF-F416-4489-8CB3-051905BD961D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3C6A5E7B-37E4-43B9-AE95-B948B430EFC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FC226783-9D8F-4F4E-8485-BA6DC36C41E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B9EB768D-124C-4361-BB18-2E26E398BF0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A399346-9496-4C81-AE15-AD85F12D5223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05CA2993-7439-4EA9-B6F5-7E90DD7FE98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F91C3FAF-4FFA-48F7-93F9-CE64E7152AF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61796933-4549-4C85-A738-F0C576B58A8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64632C4B-FE69-430C-873E-6D2D77242E5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7CC96999-0F8D-44F5-86A7-418CC714F66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BD970B23-A716-43A8-82FC-FEF464041AA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ECB6D591-783D-445E-BA73-5B426182FE8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9BABC6FC-F073-449F-A2FE-33727A5C9BD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366679CB-A615-46A3-9CA9-618B47FA413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AD67E951-BE3D-49E1-99A4-A377C810690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2EB8CE34-5DA9-4F87-9611-5DF97DCD978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25829C0D-8846-4359-A1E4-CD616A4C8FD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B3AAF052-922E-4402-BA05-108C0DECB0F5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40073D8B-616D-4B87-A35B-8E38D913DE3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4A52A211-9FD0-4028-9FC6-B27CFD010A7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1BC62483-07EE-40C4-8AE9-D0DCD4892A1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862F4DF5-1AAC-493A-BB6D-07F4B0B8F83F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2E713464-95B9-4041-9309-D152AEA7859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BCCD1F24-CA28-46EA-BC8D-4F2EFB4C957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0D5B6F59-8A6E-408E-8F3B-E90139F9699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040641B7-DF0F-4949-BF99-1EFCD974872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ED1C3791-8CA3-4DE6-95E1-BB04A99F657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B0A4D8E3-9EA3-4014-9329-C4005E7E534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70BEC823-80CC-4B0E-8717-C680F859FEF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A742337F-2B69-4F99-9AD8-0052B03AB8D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4DA39946-027D-43AD-AF70-5EA7C4B420C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B13AC511-D1D6-4E65-8100-C8BB938474E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23560B44-826F-4980-A88E-8B6C45D4BC3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B104540F-E292-4531-99EB-433EA256496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BF4680F1-A07E-449C-8241-F8BEFFA98070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9CE6E33D-BD4E-4336-A679-31F0BC9CFB4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23D62EEA-B661-4385-9DEE-728FC1DA3FE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9B1C23D3-B7D5-419C-AD12-C08007EEBCB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C3262532-9EF7-4219-B35D-269FD757DCEA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E0FD07E2-F322-485F-A1FF-E4BEEEB88D0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ADCF3F74-8119-4D03-8417-80CA0D753EE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FE154F59-EA5C-41D8-BDFE-0EC1AEDA07B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8FF70596-2168-48BF-BB3B-CB21B310ECE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8DE19EB2-602D-43A4-A854-3861155C1DB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02DA0BEE-6693-4104-BE75-207263BEBDC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695D5AB1-4351-4C01-BDCB-C1D30E81B4F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2B49E5B3-7768-4126-ACD9-A9322BC087D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AC4AA378-6E16-4A82-9D70-E30D0C1752F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BDA0EE43-2148-479F-891B-8AF765D3FAD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C57324F3-CA46-425E-8987-AD0A75CFCD3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421D08C3-8EBB-4BA6-8D6D-2B5DA79765B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3C12EC74-0DF9-47EB-81E0-D53338A4268D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3CC31273-8664-4719-8429-8A14A426AC2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FB25C528-B2C4-44AC-9EAC-DF7BD3E3BC3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5AA07AAC-E878-49CD-A046-712DD8FE957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EBA4874E-8786-4350-AD16-27D31A6AC650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5C95DF74-4E1D-4DE2-9A87-9FEEBB27A8B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FC323CA9-E8C1-4F03-8D1E-2F7AED915E1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61280915-0972-406C-A747-08DFF811627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773F9AAF-A69A-4152-9A7B-D90D583AA00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35F2A28E-ABE5-4016-A041-9AA25E4905F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45F910CF-8BF5-4202-B263-15F8F6BF624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7CFFA1BB-F33A-4EFB-B65D-A26FDD49E64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3A021BDB-DB6F-4E39-BF54-0FB8381AED0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BCDE43C9-F512-4E32-8673-676CB539F05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D25B621C-55C6-48C9-BCE2-70C2948A67B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5BBC937B-E88E-494D-B57A-A9FC181D826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9B27C013-5E35-4972-A811-634661B225D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F583F369-C296-4C8D-BB0D-066117080BF5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F5E2BCFD-3D06-47F5-B2C3-19BA1E23C83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F2148CBA-563B-47E9-8D33-D512CA2CA26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E27BC36-3EC5-4F52-9F5F-C33052BE62B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EC978509-2A3F-4FBA-B936-FA59015DF5B8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F3DC53B2-DF07-45DE-8EB8-F6EE302D171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891B8679-E859-468A-BA3D-DF5C144872A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D53AAA90-444F-49B6-83AD-BAB914F2D4B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EDA051C2-F1DE-42B8-9FA5-43E1AA1ABD9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519C1376-EAA8-4206-BD07-D0644138B56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8E663894-C09B-4BD6-8121-DBA9F1A732B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EE031026-FCF5-4CE5-813D-BD95EE66C5D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B80A4B9B-145D-4256-91DA-6FC552A3BA6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C9AC39A6-13F7-4449-8CE0-654CBC10D94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6982A159-4776-4D11-8B55-12A5430A50F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F6099518-BB25-42CB-A48B-6D7F1A44163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EC3FB6E1-8E56-4F3A-9E91-30142074078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490A4972-AA9D-4A3A-8205-6253795A048A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10811F1F-6C04-4F46-9197-F8C92BB43BE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A3355B4A-ED8B-4A6E-BF9A-30E8788BBCD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BB670F4-6E60-42A2-937D-2CA19055B25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BC0F319-483A-4227-81BE-EFD725ED4397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0630021C-6460-4206-A3AC-6272824DA8A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F104BF90-E53A-4594-80F7-5A58713B2F0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F3DA3ABA-AF4C-41EB-BD11-DA082A7D15A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A1225763-F17E-4633-B126-A6DE83D31A5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4CB2567B-8C67-49EA-88D1-3DA4787D09B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2BF1F8B8-EE1D-4F88-89C6-DBB0D94956B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826D9CFC-3B57-4B17-BDC4-5AC1D94A244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44202F06-3A37-4B5C-9DA6-42A91C8FA08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8B6C6033-C82A-4C39-A7F4-E66CCA9DDCE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0B3EB0DF-F7A5-48EE-AAF2-FF864909AD1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0670396D-4256-4F92-B02A-AEE20F24B4A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E7689F78-01B5-47D5-BD0C-D4B159070FE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A4F09A38-166D-4FAE-B927-7D2C0972E376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655DFDB9-E4AF-4B53-9C85-05478F1E50D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9506F9DC-A083-4F44-A951-3F6F41A72D2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AA94C82D-941C-485F-9D0F-FDED5C28536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99FDD2E4-4ADD-4004-A01A-F721A90098D9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D8B71CDC-45FF-4C97-8E25-AD80CED138C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1026B164-292E-4B42-8470-51B31BFDDD7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247D0F35-BF60-4205-B02F-CC620247CA6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BD013039-948B-47F7-A315-70297709331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A563B81C-8973-4528-8DE5-E0CA0CB4DD2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58AD918F-0BB1-42EB-8A03-06E16C3D264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E5268CF6-9300-4FD2-90F2-0DF37C5D9CA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603BE915-BEEA-45DC-A56B-DA069F92B54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93886571-FD2B-49EF-A9D1-E1568BE3FB9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32C58C36-82C4-4956-BAAE-13AB30A721E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470D8CF7-0E64-4161-BCAD-C9D1FE5029C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5BD3C842-6B8E-475B-8101-5E7E0CD26E2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3E43E08A-7206-4123-893C-4C0A7561ED5A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B86A834C-E284-49C5-9AB6-005068D1A81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88157CFB-C562-42C7-A0CF-DEA4801D6F3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D9581C78-F132-4954-A6E8-EFAD0C8BF65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DE94E00D-1F5E-46F4-BFCC-62DF9A738530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3695E8BC-F43A-4388-844E-D1A765F1BC1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AEE54111-7A62-4910-840C-0817F2BF0CD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D787D493-3B6D-4869-8382-3F45D9C0CC8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14D1D557-0D07-469F-AD7B-2A69003F604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7CC60318-D5C2-4D70-8890-744F73B09A2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A12BE33D-7305-4FB5-A8C7-FF66D63061D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A8D5D31E-9799-4262-9947-A77A56DDD83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192B3A0B-7D27-4F66-80C2-12D33DE2167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1CBF042C-D78E-4360-B693-5A0AA3FF4BD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9FFFB7C9-B3AD-42DE-8DE6-DE9FC71B5DA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ECB04057-8AA7-4AD9-9BC8-2607D7E1852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C8D4B567-F63D-45BF-800A-25C2CDF15BF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3EADD6AC-A80B-4039-8B3C-230CF3C7229F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C4D220F9-4419-4944-B9ED-F138D285A76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E89617CF-05A2-480E-8B47-11422F9B8B7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2FC4F8A8-369E-4F15-9C98-429CF020CDC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4DCB13F-E1D3-4241-A2E1-A4384C264E54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F96CCC23-2920-456D-9A46-3F8A6BBC676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09B73237-26C3-412B-B04C-E48007EA6EC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677E1328-A7E8-4EA0-A0A0-E1B430BA3B3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C803EF58-0ED7-461B-B6E3-4B8075A2A2B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CD563009-CCFE-48BE-BE78-D5EAD8F5D27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6C1D9DAC-A8C1-4224-843B-1E4D567814F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229E23DB-F1FE-4810-AB7B-D2F6893D658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880A70A8-2390-4740-A4FD-DFE7620B35E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3323D99B-9254-4A0A-B59A-BFC7CAB7ABE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1B2FF145-C98C-4A75-9EC9-A983E7389E3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DB7637ED-9FA8-4071-8D0A-0EC185E95E1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0424358A-B1C4-4A5E-A783-4F2E8B17B4F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BA82D671-2D4B-443B-A1A3-004B33A0C969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67E5965B-187C-4BE8-A9F2-9219DB78006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030D14A2-9A66-4470-90BE-3225EA1FD14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72A28F17-3162-437E-B096-650C3AF1FB2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C5818BD2-E962-402F-BD9C-F4579C075FA5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E2906690-31F2-4954-8520-CC0ECA44333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98565A7C-E101-4826-A025-1BBD61F5FAD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9470E880-B908-4684-A88D-75767DFF25E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3446E1F5-F7F3-45EC-838E-E9A1B6E13F4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4C66E28F-99C7-47F8-A7BC-86D8FA039A6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3A271EF9-5309-4D4E-B14C-B70D8C0874D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ABA8EA71-23FE-4DF1-9D97-1E96E24F785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A77273F6-70B9-4444-B8AC-52A93C9896B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3C81DBDF-F069-4A2B-91B3-5DD889461D7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12622C66-144C-4239-B5F5-86CF3F7497F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E0F9F2D8-5A36-4F67-89FB-C65467B3C64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2A09AD25-CCF7-4374-BF30-8379B1918FB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5C28C8C6-D491-451E-ADD4-6FA295B8D537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7D6D61A4-DF8C-43BF-BE13-41AF8DBBBD0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12E2800E-04E6-4BF1-A29D-5BD03CEC3FA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DAB84615-7EFE-452E-B5D0-2ABF182FF44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49BBFCA1-00B1-40C5-8088-D160D2364E77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AD7613F4-41EF-4E34-9ECC-1EF88437BE3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AF0C1940-24CE-4D80-9514-86F1B90B424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9B4F41BE-A684-4ADB-BDE8-8D45C009D67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14A4E4B9-A794-4F65-A2DE-1BFB7FE7283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FAD74FBD-0301-4BFD-AA5D-EC7C28DCC6A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846099EB-0018-4143-BC83-9DD56354643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DAA21B13-303E-463C-BEB2-44E0DE98AA0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62D04FDB-2074-4152-B047-4C1CD968EAB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E8854E5D-6848-4F76-B87E-7A3472731EA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D9F587DC-EFDA-4CBB-B165-B6C3ABD4CB8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B6E7038E-8DCE-459D-ABCD-225E082D580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868142E6-7841-41D4-86BA-6F1A14EBBE4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5BFBBDD3-3C08-45F2-BCD7-B7D9D7F6E909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D84B06BD-16B0-4480-B1AE-D1D80A20DF1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D0782711-A021-49BC-8508-E76D3EDC6FF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09897CC7-7424-42C4-A063-D80020534A6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9AE241B-154F-43AC-87D1-FF03A5B62C0C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913CAE10-A910-44DB-A547-B791DF2B621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F672FC30-F4B3-413A-9D63-0C2E99D0944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90F1F632-1817-4740-93A2-8F4EB68B648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20D3AAE2-A65B-4F3D-B095-C93AE82DBD6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AE59CEC4-EF97-49D6-A81D-D7756F5B27E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0A3BDC7B-385E-4D0F-93E9-CF796E41339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97095E4E-DF8F-4108-85B3-85764C92B6A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0677E4EF-A77F-4CA6-96D5-987CC8A6777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9779765E-9F77-45D9-8114-0F181BDA501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C55B1C62-23FF-44A1-8E01-AA5069F3944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476D7D2E-AC60-4391-9FD2-7ACEC96C1AB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A91B2173-43DB-4F66-93C2-C0BDC20D87A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79440DB1-D97C-4768-A305-DDD274451F29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47ABFB3C-E792-47E7-AA30-7EBF90F56BC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7F5171AA-12F1-4913-A896-228E022151A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DB540D5D-64DB-4CD7-BA4C-49C8A071A6E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F45AD4D4-61CA-43B7-A80B-3B5CBAD5899B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35DCF967-EDC0-4948-BF43-E724B56C1FF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4C97A41A-11AE-4458-A774-22FDF6F1003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A12F7245-1CAE-4A0D-84C5-1CB20ED6F20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E01E18B0-D2D0-49D1-A4AC-B1F9F0F8D2F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46BB2514-2198-480C-91A4-E2B28B0D101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6EB63439-8306-413D-9DB4-3A10A0888BB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BB1F7E03-11C2-41AC-ABDB-3989E663396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8EA76AFB-C435-4C1E-9D3F-6C2729BD9D3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29314948-AA1C-4077-BDE1-C0A77B8DCAB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C9070BBC-0911-42EE-9742-C969ED9C44C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4F4FD051-538F-4734-A5F8-556602A292C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CED8A527-E166-45F7-929D-9631F933D47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162B46A6-CB62-4702-8EAD-791B705C2188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0099A42D-59C6-4634-A6E2-6FA95E675E2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03375830-B346-4200-A959-A260B2E93DA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9931DAC2-03FB-480A-A422-626BFC9A274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13E355C0-EB3F-440B-A8F5-21721CEACD58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CBD0C3CE-9A16-49E8-B57A-3669F2C64A0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11147376-71C5-4220-ABBC-EF4CA9A25B8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28E440A3-0230-4149-8284-76BB774D336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AC9FA118-4AD6-40DA-A13C-C9E39534668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406F110C-1DAD-48A2-ACAA-B8E000C8A0D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FD305B97-5F2A-4D14-811F-5C6F32B0825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02485E78-2BB7-40D7-9408-97D0601F8C0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A8A89D96-E366-4192-A059-DC4A7C21F41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70822B6A-5DCE-43FC-9F3F-D5635EF00C6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E5A0E43F-845B-4522-8E24-DB8013BD881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DC69BC35-B9A1-48E1-96CA-C7E9796B3B7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438DD52E-9778-4C62-ADB4-12C59820D95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0E1769DF-0AD0-499B-A785-7739DCC3FE08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BF4F2A46-E87D-4CF9-93F8-BEA3C9CEDE7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F2499662-24D1-4E32-9195-5AF74062DD3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6035128-3830-40BE-B139-44AC3A4D2C4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7A60E5C3-9373-4F00-A35E-37C54B4EFE93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168D99A2-2262-4C07-B173-F9FCDE312EF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EF4C458A-50CE-4AD7-8FEF-9E3180CB73D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BF633F99-487A-4B0B-BBB0-7CEEDE975E7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79A9B4E5-B81D-4242-94A2-78AAB13AAB4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67DC2251-2863-4ACD-B748-8F305D9C92E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84A6857B-6BA5-46F4-B011-0AAC2DEB8F8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B9FCA49F-0422-4310-8D14-9846DD67186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B523EDD0-32C7-403A-A627-6CA9415EA58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8409BB85-14A7-4747-AB28-0D58A334666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EAE16ADC-6173-4317-9DC6-932D52436C8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53BE2839-0255-4568-8BAA-119993C8E8C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D7822B6D-07CE-4623-A256-F4C5A201201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B223EE6B-D8A0-4FCC-98D9-A9E029C1AC5C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BAA180C3-8D3D-4EAA-A6D8-DE3F6B733D7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2E96D41B-64CB-4A1F-9464-6E2F3594461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13A550D4-6BAC-4EAD-9FEB-59E9E837E82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2DFDA2C6-C7C8-493E-B9D7-A4B8FE782E74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0A849FCD-80A2-4EEA-8592-11C29935609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B0A19566-0D16-43C8-B143-EBB8E7880FC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7069720D-BD08-4881-A7F9-F3A8AC5F1FC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4EA5F913-2A1C-4B5F-A7B1-33279ED3212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CA53E3A0-D86A-4B95-8CCD-5D6C019489F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0E8965DF-DD85-4AB6-ABAD-4623A640EC5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C88EE3DC-04F3-4129-8C05-1EFB0A29CDC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D2B749FE-D9A5-4574-B0CF-09BA94E0BDA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EB497A34-9D11-474D-9CD7-868482DE978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772C6002-9156-46F3-95F4-A85A10FB8A8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8DF920C0-C1FF-48DA-8B35-668A3CC08FA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05672A23-8689-4595-965F-37339F8D7FA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F53B8CCA-A000-4583-915E-A5A5ED9CB450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E9E1FDC3-66C4-4B66-A28C-C1D95461605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4106E071-28A1-46DF-ABB1-38068C5BDBE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63AECBA2-334A-4BA8-96EA-8D4FC016FCB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97E12353-FB4B-4316-9CCB-281FAD16AA28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44EFB2C2-5670-401B-9858-64011BAB9BC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A2FF4A81-E422-4076-AA50-26E21C4ED19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D5416FBB-7543-4FE3-BD08-DDE435260E9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87869EA8-FF11-4798-8A2B-DA3CDF7DE88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4D738C75-299A-4F80-9DDD-1A6366ADB0F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1CE2F8D0-A83D-401B-9D2D-A3505439107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F0018353-352F-450A-BD20-2E66D27D6B3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D38BBF40-351B-4002-B179-2CB75ABFDF0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49220BE9-EB1B-430A-93AE-B1737318649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1EFC729A-28D3-4B76-8AD6-1F43D2BA3A0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4E0A2C15-411B-4460-AA2A-9D0028CF1ED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AEF24FCE-7809-48E0-96F9-657A9A87D2E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3268750F-D72F-46AD-8EED-50CB86096E0D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B5E4F232-83DC-4122-8531-BF12347E3C2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4580A983-690E-4214-9285-5B5C7C8621D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72FB866-C302-4001-81C5-61F141A7A0D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C84044BC-E777-4A73-913C-9C8DB3038AEF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2D184E9F-6091-446E-AAC2-4F2A1498F7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80D14677-B3A3-4072-819D-1D03C36828D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F03BB614-A3C1-4CF9-8FBD-2FC9C127AC7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7859C653-9C2B-49A7-9418-0D3498D3F9E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0403315F-8999-47A7-90BE-475A136DA91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9F20C6AD-F943-4609-8BF2-06238C870BF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ABC671EF-AF4A-465B-95A1-9FDBE62892A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92C30CEC-47A2-4A9F-8E1A-EA1FF54C891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C651F959-D076-44DA-BBB2-04CB60B26E5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EC476FBE-3D0B-4354-A696-AD1152E190D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AFD9D10A-0B4F-416F-970F-E229BDD4C55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D3033965-B9E7-458F-BD26-97D18EF0001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10E674AD-6AEF-408E-9B7E-5372703D7988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A39E9857-1D10-4E44-9A7F-BDAF84E3F8F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3B0B1361-6A35-4D57-B12A-F58CEF9DD86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65DDDE5F-E303-47CC-AD59-2BE9AE50985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FF211C9E-7623-4F8B-8097-BCED180653E0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5995C7A4-D528-4AE8-A7C1-6742C442FD0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40ED2888-22DE-4B55-B7AA-F2C03A591E5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E5BAF201-9591-47ED-B7D5-3F0E72BF2AE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14D05321-025C-4015-A460-1421C031B29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346A44D2-46B6-4F98-B653-4DB23DFF6FF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6D2A1743-8ACA-4ADD-8B49-1BE5F1711A9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34F4406F-614A-48F3-AFE1-FD43A7BD871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8B1FAB35-3F09-4FD3-AAC2-22841C38900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B8E99895-3E93-4A6F-A6B6-83DB261BBB6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C1C1944B-7AA4-4D57-B72A-0650EAA7CF2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DB74F031-85E5-4689-9EDB-C5366A5B285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D53637FC-1A89-4FAE-9361-2F1E995898D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357E7237-8D55-4AF0-B452-19D0B0788878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7C6F9A1B-B325-4301-87C5-E4DBCC92BB9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202A5237-9002-4376-9991-3B1FF341DE6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796A524-0FAA-4D20-B567-4AFC59621DB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565E15CF-BE75-40CB-9A79-55CC4FBBDE32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E9F5B1D2-2CB6-420B-B626-17522D69111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19F200E4-5506-42E7-BB7E-35E2CB8E963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A013B89E-B17E-4BC3-B4C6-DBBE3642EEA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2FC01C5C-E39E-4224-8051-B95DF41CC1B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52A19867-E443-4025-B12B-29613657CBA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4EE7EE24-99BC-4133-BC6E-88CC46FF4CE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89CDE429-D0D3-4720-8A24-BD26F7028DD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A5F636FE-6D6B-4A37-A597-E416321471E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D5BC0C7C-568F-4D9B-BA16-0A52FC85BD8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748995FF-FABB-44B0-AA2C-80A1498D095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99CA8050-F30F-4A91-B5E8-2A35EA5F3A9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EC66006F-6A8A-4683-BB91-B3FED068655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1AADE54A-0810-46F6-B224-8E561CF14F7C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2C7AE6B4-EB01-4639-8547-F8B84452753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CAF09DEE-1EF0-4716-B42B-3382D3B47C6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EBA7CC69-6789-4D4B-AD1C-B41905EE38B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504B6E91-F7DA-4BE9-9AF3-BE56E65F3A0D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EC80055F-7682-41CF-8683-4D99F077977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66FC8BE1-CB5D-4B55-9F2F-52F2541E7C2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D1DC9F47-262D-4770-A0E2-304D3A8F4E8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AA90D361-39EE-48C7-9201-24A885AE939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171E8446-FF3C-4A51-8817-94F15B54688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D2FDE91F-487A-4763-B14C-F6E7F35352D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75FB42F3-5749-45AE-84DF-73855BC5968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52B7DB3D-D350-445C-92E2-85D3B1CC238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CB8706D1-9E4E-417E-9FED-E3C7284D163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509733DF-FB21-48EC-B413-CD5C4562F74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0B592F4A-39D1-4958-9814-FB14D9C0D7F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802A5FA3-A81B-4BDF-9ADD-2D9040E10CF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01DA567E-3035-413E-BDB9-3FD978F89C75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A84148DC-1316-4F7F-A182-1E357FF4C2A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92E2D722-77A4-4C55-9691-856FCED20BF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C496CD51-EEAE-41E2-9165-5702C5070A9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509CB001-9595-4576-9A12-4629798D139C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F4FCB165-8D4C-4B26-8B0F-A22B570B695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4C5E753B-08DE-4023-A94E-902B47D5738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B66579FF-0EE3-4292-B71A-2CC3BF0D900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8A8AF7B1-833B-44F3-A6EB-0D8A04B8CE9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7E9506ED-D403-4BF8-B2F4-05EC1049FBB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163C932D-AB4C-4E5D-B337-4D964FE350C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95F85593-2D76-41B3-8A9E-5BB1D40AAD2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0F0337A0-894F-458B-86BB-7F4965EB071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662B2ACD-1797-488D-9987-A2CADD23ED6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A3DA6B44-13FF-4031-A3C4-D901BF15752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D15DE15D-F136-4237-AC50-FF7C36C1A59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0E13542F-1629-40AA-A89F-ED50F355EE8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441C0E66-3595-4028-B872-7420CA78474B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A3183CE9-21D3-446C-87FC-EFF2AE2D412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B84F3B72-5FCC-4B7F-8C59-8625A2BFE31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66B7E7B0-57AC-42C1-AC62-297E14F6F74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94D2CC4C-9573-481C-9DF8-8D2A0B4EA7E0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8AB00305-A0BD-444B-91D3-3422EAC05E8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5B32C5B4-41B2-46D8-B2DF-864CC2AEF1B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23627A1B-9E3B-4151-ADC7-E366B4414EF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3EBF8695-AEDD-408C-ACD6-CCD61402D5B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7A5AA883-AC89-4C78-87FD-046CBA3B860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D0DDAF78-DB48-47B4-8BF3-A5E83595001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E482BDAA-619F-4E9F-8C60-A62C34FE887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CD2CC4E3-0FC7-4EC9-8576-F8BE8FA9277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2283AB07-B928-4C25-8D39-77022D58C41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CDADC76D-9391-4683-A5B0-C1BA3F23D04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A88FF0A4-29BA-4BC3-9311-9B66F9E9985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804DBA2F-12EB-47D2-A45D-537DE44AA46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978130C8-E575-4AC2-9304-3A86CF2F2571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6026859B-73A3-4375-8007-F2695F1BAE4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0B9FC29E-F587-4CB4-B649-2381F4FF560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F4085C33-9D78-4CD9-AB68-60B6B8E163A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2EC4DAEF-76BF-4B05-ACBB-A91C224445ED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7D49FF1B-7B0F-43C1-A5EE-C8B19498820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1B5095C8-F598-46B5-BD81-50F6826CA6B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06E6568A-E441-4D2A-BC91-7B053E52D26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41E758A8-4FDC-4BF5-85EF-D23141A4E19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3BCB6D98-6A75-4046-BDA5-CC8125D53E7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81428AC8-679B-42CC-A877-EDE9D7EFB70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7DF05C21-705F-45AC-AEE4-DE14B2CEAB7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A21BC820-4154-4ED7-9E2C-009D862D01F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A05A8293-1210-45E6-BF18-F2C66B8064A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8DF19252-431D-4F0B-9311-2595B4BB0CE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90CAEEB5-6877-480C-91B3-FB027D5CF90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D4FC6500-79B3-45D9-830C-3F60BC93F07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2DBC365E-95B3-4C3C-88BD-42F7FA32D6EB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234D5F78-AF03-4A79-B306-56E2D1150AC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B0368FC3-6C18-4AF1-8D42-09959827971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B0B521A0-2434-40A0-85EB-D451038E9E6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0A4D69F-553A-48C0-912F-5AE0AACF1FC3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C79F3F8E-2B47-49AC-ABED-BC89BF5F0DC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3428BBAD-570F-4378-ACCB-88CD16ADBBD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4E3B6FF5-B397-42D8-A1C2-09AF43BFC1C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6BF9C720-C7A9-4972-845F-92CA36F2B49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3E7DB52D-690D-4607-A2BD-FA09205147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F9281696-8928-49FB-A6A0-797D2E5F315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EC5EC1BD-C606-4174-AC88-0FF6508299A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F9BAA330-D27F-4DCF-8A9F-41C1CCA8AE9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40166BE0-D036-416E-9278-9966584F408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ECB9E818-B6C4-4A33-AB12-58CB3804836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BCC41EFB-A95E-454D-9ED1-590C7A9DD4A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EAF67BED-3E3B-451F-BA19-D234C366740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7F6BFD03-05A5-47CB-979C-513BDB2DBB65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CA924DC3-26A5-4D66-90FA-B779899806E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FADE54A9-EAB6-4DF6-BA57-477190A05E4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1C059EC5-9C1E-4712-B8D7-D8F98249E2D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1A6E1503-4FE0-4F66-BEEF-BB82CA5E10CA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EC1CCA8E-983B-488F-9DE2-925047E8047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1DA8B956-6F2A-4447-B5BE-A178CD7F0EF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CA524ED3-61B2-48AC-8D59-28AC65B92B2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4B7AE7B2-F3BE-4869-A02B-6B6FE3849E4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182FAEC7-7C38-49AE-ABF2-2B8671EA747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A884A54D-A385-4304-B48B-163BAEC76E8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1C877BFE-982E-43C4-BFD6-7EF061A137F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423180F1-2708-42F3-944F-B4C83E7D421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8407A0C0-3E53-4027-AEDE-F80F67DABFD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CD00F27A-A5EC-43BC-84E0-1295C560A4F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1EC360D1-F515-4851-9150-28059421EB7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C15CAAF3-005F-4932-A6CF-916252034A06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81799602-6FAD-46A5-9386-70D3F4D3A306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555ED4AD-152E-422E-ACD4-6EB269664612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EF4D91BF-9EA9-4B94-948F-91C96927AD5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28D8674F-C1BA-45A7-8643-183F485E9CE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A52D16AA-A5A9-4055-BC2E-B71BC29429DA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88913246-CB84-41B3-AB71-9EBB4CC1163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BE427162-9100-4B1B-AE5F-09B4E27D890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A5CE02C8-E965-4A3F-9B0D-C827A949B2C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R7" authorId="2" shapeId="0" xr:uid="{E47D36F4-33A0-4FD6-AEF9-0422A802A87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CD2F0843-7D1C-4D68-9F9A-3EAC81CC9CC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F9B28B72-6330-4B77-9967-7C6DF5A0255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AEF4ACE7-C0B1-4A07-80D4-0FE61C78B7B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59639D76-ED96-49B9-BD66-E68CA8F74CF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0" authorId="2" shapeId="0" xr:uid="{7BF4149B-F05C-47A6-B82C-830DC8D9F51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B7A92329-9DE5-4B3A-A301-DE335684ABD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5D68D1D1-D9DF-41C1-B14B-C457E202F91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R16" authorId="2" shapeId="0" xr:uid="{443FD570-AFA2-4FB8-898B-1542E816216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7" authorId="3" shapeId="0" xr:uid="{86B614F2-928A-458A-AB91-DEE05257B452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  <comment ref="R17" authorId="2" shapeId="0" xr:uid="{034CCA97-E800-457C-B6E1-19C24D0E2AB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EC62BA0D-646A-4135-9350-4F0E962FD4B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529DA0CF-2D06-4D86-8ECD-DF4A97CF07A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D45F93AE-8D00-452F-9836-2633A0B1B372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8FEA9640-071F-482B-AAC1-2C5D663DE88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403F24BF-4F8B-4D9B-BEAF-C1D4C09F78B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D7A6AE3C-C9C0-4BB0-9FD0-B7344E36C10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8D73F49A-854E-4C20-BC38-22633F3D564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9A8014A6-72B5-4742-AB43-53E1A851F51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888C5E77-AE46-41D9-B4E1-6C81B704894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6E7C6366-9E0D-4A75-919D-DA873A09300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2" authorId="2" shapeId="0" xr:uid="{45153FAF-CD89-4673-A1E9-17B705B2EEB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190372E1-0EED-4CD9-80CB-9E3658BAAAB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8108DAB7-A00E-443B-BC38-22273FA98E6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1ADEB576-E7EF-472D-8BA9-B81BABEE828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FA2E6AA6-FC3D-4C73-94E3-F03F41F668F0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Evelina Vaitkunaitè</author>
  </authors>
  <commentList>
    <comment ref="A1" authorId="0" shapeId="0" xr:uid="{CA3134B6-5F23-48F0-9439-8BC92861F9D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7E4A0FE0-7707-4595-B57D-A206B60B326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61CBD393-5687-456B-B8C3-88A3A719B871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D078630E-1BDB-4C6C-860C-0AA3937BB43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46117E29-B549-4358-8558-C8CC304B5BB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G8" authorId="0" shapeId="0" xr:uid="{0B83043C-E370-4F77-B17A-EBF2EF95DF7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3E3980BA-1581-4E3C-BC46-A5A810C1948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EE23546F-6118-451F-8759-E7AA2CADECD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B9C93A86-A37D-4D6B-9225-C7D3C39A520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2" shapeId="0" xr:uid="{FAAD565B-56C9-4756-BD12-32339144C99D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Evelina Vaitkunaitè</author>
  </authors>
  <commentList>
    <comment ref="A1" authorId="0" shapeId="0" xr:uid="{8659D340-3424-42FB-8470-7E6054E1656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444D068E-9D5A-4F29-B9E8-CC28016BAC8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1ADB6D6C-745A-4D8A-9367-E962E7D7E1D8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D6691440-2769-4555-A1B1-1A185C66ABE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13C98BFE-7FCB-4DC6-A838-036EFE71296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G8" authorId="0" shapeId="0" xr:uid="{05B3DF71-B992-4C06-8900-9748FB4851C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DFC22917-73AC-4E7A-9D01-089615040EF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656E1490-E54F-4788-A201-46F1F37C708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4AA6FE10-BE09-480C-B7AF-D5C6C4A2FDA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2" shapeId="0" xr:uid="{B09C1C05-D5E5-4E04-A359-84C5BB6D7B24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Evelina Vaitkunaitè</author>
  </authors>
  <commentList>
    <comment ref="A1" authorId="0" shapeId="0" xr:uid="{56CBE3E9-CA88-4075-9FEC-8F6244AFAA7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9DF8BB2A-27FE-4753-BDD0-A3CF77393AB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49347E97-DEF5-45A8-A0B0-848FD9F74F40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A258E90E-C24B-4D8D-B3CA-0D4D840F674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8EABF12D-2D8A-43D1-A63B-EC94660E8D2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G8" authorId="0" shapeId="0" xr:uid="{B8EFAA66-4C7E-4D5C-BCD8-4FE6D218F01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FBF82204-C664-47E4-A05E-CEC9A8B39EA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ACA7B9A8-7479-4740-BE61-65C5ED99878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40A8FA1E-D85D-443C-8DE2-48BF53FDBEE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2" shapeId="0" xr:uid="{5D530B67-8BC5-4D10-814C-3A497632F702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Evelina Vaitkunaitè</author>
  </authors>
  <commentList>
    <comment ref="A1" authorId="0" shapeId="0" xr:uid="{0E76B235-5ED9-473C-96FD-993E6D72C0A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0D536794-4A47-4C47-A541-89BD47FC568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8ABBFB4B-270E-48A0-B578-F240983EC484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F243C86C-11F1-4496-B302-FBE54B5D4BA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D1532C10-8B41-45EC-927F-536A231BD75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G8" authorId="0" shapeId="0" xr:uid="{73390DF8-C202-43DB-A5C9-15A97080541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C911E5EF-6B5C-43E7-B36E-259D48812B9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A840337D-5F58-4DF2-A417-50340BF9DC8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1C92FFF4-5BF5-4084-B4BF-9189763D91B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2" shapeId="0" xr:uid="{92E48469-356E-4D2B-9A1F-E2A4FD1F6039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Evelina Vaitkunaitè</author>
  </authors>
  <commentList>
    <comment ref="A1" authorId="0" shapeId="0" xr:uid="{08CCFD33-E4F2-4F8E-85E4-1D6226E16D5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5BF45526-973F-4DCA-B96F-E0DC6DC80E9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175A3A0E-D5EC-4258-850D-DD8CC87CC14B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1FA1A7AF-5245-4685-BE38-15DA4935015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B9295B5C-DD68-494A-AAEF-80AE6279F59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G8" authorId="0" shapeId="0" xr:uid="{F3F91961-BCC0-4E96-9FFB-4F1025F36BD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B2FA3D26-3581-4550-8C66-FFA5A298A2D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20E19EE6-4B4A-4F59-B4BF-94CF43252D4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7397231C-9158-4350-9F72-F35EF8DDDF8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2" shapeId="0" xr:uid="{40E214A0-9A53-49BB-A06A-2C21DDF0A8EF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Evelina Vaitkunaitè</author>
  </authors>
  <commentList>
    <comment ref="A1" authorId="0" shapeId="0" xr:uid="{794901C0-754E-462F-AEC9-2966A8E413F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84768A0E-C5F6-4EF3-BF67-E0E4EE36295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F4539795-C992-43E7-9466-20C43DE89598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9601EBCF-2C25-4873-8393-C756E346426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3614FDC9-90CB-4602-91A5-BC27126AB6B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G8" authorId="0" shapeId="0" xr:uid="{EB4E0EFB-A222-42A6-A59A-AA80838A486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41E201B9-69A4-4039-8CA0-93440C2828A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06C3C67F-BD50-418A-AFA3-05B6299C530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D07832CC-B125-400C-9A18-72BAB1EC2EC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2" shapeId="0" xr:uid="{E9CA4F49-C9C7-43A3-BEE1-92AE0D95C1E4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97457273-5985-4ED2-8BD1-46860B15357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B5BE8F31-EB17-496F-9595-E20F8F700E2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1938729-9A71-4591-A9E9-FE1AB871D15D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702465CE-C35D-474D-AEA5-AA7546A934F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903C7F6B-30E1-4F80-81DD-ABA3AF6F6CC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R6" authorId="2" shapeId="0" xr:uid="{189CFE62-FAFE-4EB0-87DB-6A5FB9E6B5D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B530E61D-D226-4B0B-BF70-055B05346A1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1AB0D2F8-17ED-4EA1-AA9D-E6FD8DAD193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D1C847FB-3AA2-436A-8A40-20A3D1383AC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3E1BF42F-C24F-47FD-9EB8-A20A425C6A2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2" authorId="2" shapeId="0" xr:uid="{996F13E0-93EE-4BDE-94AC-C5E2E28F845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4182A586-CE4F-4A47-A49A-24147EDADDB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DF359518-FFF7-4CAB-B9EE-532A1A746EC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A2079213-9B2D-491D-B47E-1F7ACFB27E2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5B51F3E1-143A-4382-8671-12EE8EA59422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Evelina Vaitkunaitè</author>
  </authors>
  <commentList>
    <comment ref="A1" authorId="0" shapeId="0" xr:uid="{9500E3A5-A461-49CB-8A3E-8677520BE4C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0AFA7A60-F7E7-4984-A2C3-A3E5077130D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7DF3277C-40E8-4F6C-9B97-ADABA2C0F76F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8C0A3F3C-BA06-43E3-ADFA-A6FECD667E1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1204AF52-AEA5-43E1-BAF6-0331BC65151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G8" authorId="0" shapeId="0" xr:uid="{5F370053-3A4B-4921-B175-FC3D188CE4E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30FFCB6B-C378-4243-9448-94A8AE15289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10AFB1E4-852C-4B19-AE28-986C5248E32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1611E482-59E6-43DE-905B-6E1E6CFEBB7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2" shapeId="0" xr:uid="{7F234ABB-1863-4883-BD9D-6E957CEB42C0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Evelina Vaitkunaitè</author>
  </authors>
  <commentList>
    <comment ref="A1" authorId="0" shapeId="0" xr:uid="{7D96B653-6166-4070-9C14-5F9275FF6A9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6989CC0C-0E1C-429F-8E5F-9BBC21C1A64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ECCDAE26-4DC3-45F5-9179-9F5FCB7CC203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EE6471EB-527A-46FC-9F2D-72CF1E15D9D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26AC2143-031F-4222-9BA8-C860AD7C338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G8" authorId="0" shapeId="0" xr:uid="{8FDF0ECE-B10A-4F52-AF14-FA5CF7170EA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AE4D43F8-D753-43B5-BCB5-DB9F6355C3D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A201AAF8-18C9-4DF5-9FC5-A44A1400494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88FF93DC-FCC7-4730-9AC3-385B7B8309A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2" shapeId="0" xr:uid="{D25949B2-E8AB-42FA-9A61-DE4AAE4BA8A1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Evelina Vaitkunaitè</author>
  </authors>
  <commentList>
    <comment ref="A1" authorId="0" shapeId="0" xr:uid="{E4EC1BF1-FBF3-43E0-AFD4-E6CB05E513C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B3D256CF-9D76-4D59-9EC0-27434D7C821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B619BB60-7B0A-4132-BB4C-C992329CC0FF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806B7513-EFDB-48C8-ACB6-7FF52728EB8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FB6352D7-E8B6-4AE0-9D19-879B5E1C2D1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G8" authorId="0" shapeId="0" xr:uid="{ED63FDB2-E496-4C6F-B112-41069EB9793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FA800A37-3F2C-4F6E-B27F-EA77A5B7DDF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9D052547-B28F-464F-AFA0-7C459268BEE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D0442008-C4FE-4EB2-871C-649E7BA4FF9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2" shapeId="0" xr:uid="{9EE354EF-0C47-4169-B140-2B82D82466A5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Evelina Vaitkunaitè</author>
  </authors>
  <commentList>
    <comment ref="A1" authorId="0" shapeId="0" xr:uid="{0E30CF68-F978-4036-8B58-D67D868EFE9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5796A5D7-6E43-4729-BA2E-3075C70FF9A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D2201AC5-DB4F-49AE-A3FF-9267D693A8A6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1B238092-9D57-424E-B871-DF92C64107E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61971F34-B068-4C85-896D-EDB9D019F95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G8" authorId="0" shapeId="0" xr:uid="{C9C655AD-897E-4095-8549-9D760FB77BA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E180F6E3-8BBD-4BAF-ADC8-4291BFC11DA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F4A0DB3F-1B48-4931-8B94-AE00CB107D9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EC3CA6D1-14FF-461B-AFA2-EA811930E64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2" shapeId="0" xr:uid="{66775B11-E43E-40A6-BDD4-90CEB561414D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tc={8991A492-03C0-4C9A-B1C5-128A6BD97A1A}</author>
    <author>Evelina Vaitkunaitè</author>
  </authors>
  <commentList>
    <comment ref="A1" authorId="0" shapeId="0" xr:uid="{22BD9912-6491-49B0-AED2-97852575D83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A326B69E-0E76-4A42-A80F-D9D88DFC19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FD1E5A5-EC22-4FB1-99BD-61B6FDDD4418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DC4E2D09-EEE2-448A-A9C9-EE9DEA19369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6312EAC8-DE61-482A-8311-23BE1640344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L6" authorId="2" shapeId="0" xr:uid="{C198A76D-C1FB-4437-A1CB-E47F639E4D89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why you used the previous sand formulation ????</t>
        </r>
      </text>
    </comment>
    <comment ref="R6" authorId="2" shapeId="0" xr:uid="{D5A3A4D5-5733-4AFB-B570-FB31B5F6E7DE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627A7B76-D29C-4A22-8446-3B39ECAFE29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DAA2C70D-BF0E-4B63-B05D-799E8B26288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BC63DC8F-68E0-44F7-9341-473BD26077D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E755857E-0C20-4DCA-903C-E02E0059B751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X11" authorId="3" shapeId="0" xr:uid="{8991A492-03C0-4C9A-B1C5-128A6BD97A1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taken from WTG 1, zone 1 because it has a similar depth  = 39-55m. THere is also measurements from locations in zone 2, but depth here is higher than 60 m</t>
      </text>
    </comment>
    <comment ref="R12" authorId="2" shapeId="0" xr:uid="{80411A64-118F-44F6-974A-1CFED0D53B55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6FA8B99A-120D-4385-A947-E297807EF32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D7A1BBFF-F06F-40CE-BE37-BDD16A03401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48E0D38C-D326-47A4-BD52-F256E54DF4C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4" shapeId="0" xr:uid="{8488A304-9B97-496C-976B-1124CCEBF335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D5BEE0D0-732D-4AEA-89A4-DA4E701BBA5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5188C066-D470-4B43-9143-800DE9C7ADF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3E7E3F02-8015-4913-A194-3B3F3C200F52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CEA70CB7-931E-47E2-97E8-C84786F7A2F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C31F3B50-33AD-43FE-9C9C-0DC0EEAA147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L6" authorId="2" shapeId="0" xr:uid="{FAE9D9E6-951B-4D79-ADEC-EBBA7EA9CA10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why you used the previous sand formulation ????</t>
        </r>
      </text>
    </comment>
    <comment ref="R6" authorId="2" shapeId="0" xr:uid="{81FA1B4F-32B0-46D8-99E6-EAF83683FAF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C2AA8A18-F5B0-45AB-8054-FF2B0C88F33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A8A5590C-1483-4C19-AA63-9DE57064963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211D1784-D9A3-4D04-BEF4-E9DA92A3DEC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F4ACEB75-02FD-41C3-9E80-5180C7E57AB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E086324D-646A-4117-B4F5-AF261CEEE26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28141B54-5D1F-446E-A084-768239CE4A9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37C7B415-CF44-4C8A-ABF4-062CB0B9D3AE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731C215B-C21D-437B-82CD-C3E7148B3223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5F77FC15-2B4B-4C3E-AA5B-DDEDB648E6F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B3B3F08C-4179-4C76-96D2-94D487F7606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1EF87DAD-AFCC-4FB3-8261-EF5E4A699539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386DDFDA-8D2D-4F90-B5EC-C717E171A72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15429F16-38BC-4184-9080-F87556A9598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L6" authorId="2" shapeId="0" xr:uid="{FEA01B00-1639-4784-88B5-C26817B659B7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why you used the previous sand formulation ????</t>
        </r>
      </text>
    </comment>
    <comment ref="R6" authorId="2" shapeId="0" xr:uid="{9FA9A7C1-A9F0-47CA-9624-7E4735DBB2F3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2AD34191-F506-4735-BE67-674DFC70FC0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16A2C988-0DD0-4BC1-8B8B-0324BFBEF03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01A05875-DA9E-435E-9A39-4C9253EE3CA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036F742C-F4D6-4546-878B-3E95804B065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1D44845F-9640-43FA-A74D-6753D278FB6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7B5B197A-212D-4B99-8E0A-72385603FD6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2A145429-5B51-4A29-B115-AE9D9D8129C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68377A59-EA01-4A8F-8AA8-0950B2ADABD5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9A92AED0-1262-4DB8-9E1D-2E6EDC8C7A5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CB0B9873-F61E-4215-B697-D06E1F16B70F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925683F3-18B9-4184-B7EC-E469B5E26CF4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79D9D74C-C279-461F-8CE7-F88B2090283C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80413FE7-E8D7-4B44-9096-CD872833247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L6" authorId="2" shapeId="0" xr:uid="{7E361FFB-C37E-4E71-BB7B-2E1A9D458404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why you used the previous sand formulation ????</t>
        </r>
      </text>
    </comment>
    <comment ref="R6" authorId="2" shapeId="0" xr:uid="{834B2D9A-66B5-4AD5-879A-8BCCF219892C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A3285736-1DB2-4D54-813B-F31959FBAD95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77F421F0-2FC1-463F-86EF-570528C6FBF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F78D8E0D-81DA-4713-A16B-BA8FC36A33B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0C69930F-780B-47AB-8B20-506A4DB27162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2" authorId="2" shapeId="0" xr:uid="{1782A2E3-1D61-4B34-8D58-F749F7261CF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0A266893-78CF-493C-9796-18BDDF42B23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CCC0FC01-DC55-4A5F-A644-F3A5CA140DB1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96CFF335-F80A-4EF5-A14D-8C2388CE136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7080603D-E38C-40F5-87CA-1F5EB14975F7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  <author>Pooyan Ghasemi</author>
    <author>Evelina Vaitkunaitè</author>
  </authors>
  <commentList>
    <comment ref="A1" authorId="0" shapeId="0" xr:uid="{168BB396-03F1-457E-AB50-8CA5A0792657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2664DC76-EE33-4AF3-8083-29DB475E84CD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2BFA1426-292F-4C72-8658-C0357AE3A583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 xr:uid="{F7191EDD-551D-492E-8D6B-3BC00A2EEE23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G6" authorId="0" shapeId="0" xr:uid="{45C002AC-56D9-4D9B-8FED-4A5641B34BA9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L6" authorId="2" shapeId="0" xr:uid="{F62175F6-B623-49FE-97EF-F20681B02C9A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why you used the previous sand formulation ????</t>
        </r>
      </text>
    </comment>
    <comment ref="R6" authorId="2" shapeId="0" xr:uid="{6566FAD9-C493-4830-9109-63CB7EA7F38D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G8" authorId="0" shapeId="0" xr:uid="{A86285FA-5148-443F-A10F-D77834134478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R8" authorId="2" shapeId="0" xr:uid="{7E04D5C6-C869-4081-B72C-D309DE60EA08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9" authorId="0" shapeId="0" xr:uid="{0F05FBD8-E49E-415C-8F97-CBAA38144D74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D9" authorId="0" shapeId="0" xr:uid="{C68C2E4C-B2C7-4481-BCBF-60991CB78CEB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R12" authorId="2" shapeId="0" xr:uid="{82E8976A-4976-4660-BA5F-265236EAB3CB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3" authorId="0" shapeId="0" xr:uid="{2F1C4A4C-36E9-49FB-AE74-C16ACFA6208A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R13" authorId="2" shapeId="0" xr:uid="{C634F702-0693-409F-B94F-B6A8B6379DCF}">
      <text>
        <r>
          <rPr>
            <b/>
            <sz val="9"/>
            <color indexed="81"/>
            <rFont val="Tahoma"/>
            <family val="2"/>
          </rPr>
          <t>Pooyan Ghasemi:</t>
        </r>
        <r>
          <rPr>
            <sz val="9"/>
            <color indexed="81"/>
            <rFont val="Tahoma"/>
            <family val="2"/>
          </rPr>
          <t xml:space="preserve">
the values are phi(LB)-5</t>
        </r>
      </text>
    </comment>
    <comment ref="B14" authorId="0" shapeId="0" xr:uid="{D8ABFB4E-9DA8-4FEE-915C-F1F0BB693416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  <comment ref="B17" authorId="3" shapeId="0" xr:uid="{E3EEBCCC-3CF5-4AA1-94B8-E63DB43D09D1}">
      <text>
        <r>
          <rPr>
            <b/>
            <sz val="9"/>
            <color indexed="81"/>
            <rFont val="Tahoma"/>
            <family val="2"/>
          </rPr>
          <t>Evelina Vaitkunaitè:</t>
        </r>
        <r>
          <rPr>
            <sz val="9"/>
            <color indexed="81"/>
            <rFont val="Tahoma"/>
            <family val="2"/>
          </rPr>
          <t xml:space="preserve">
shear correction factor for Timoshenko beam theory. For circular cross section with thin wall: ksf=(2*(1+v))/(4+3*v), where v is Poisson's ratio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</authors>
  <commentList>
    <comment ref="A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6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G8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</authors>
  <commentList>
    <comment ref="A1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0000000-0006-0000-0700-000003000000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6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G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Møller</author>
    <author>Martin Underlin Østergaard</author>
  </authors>
  <commentList>
    <comment ref="A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Takes the name from the tab</t>
        </r>
      </text>
    </comment>
    <comment ref="G4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Removes soil from top of profile</t>
        </r>
      </text>
    </comment>
    <comment ref="S4" authorId="1" shapeId="0" xr:uid="{00000000-0006-0000-0800-000003000000}">
      <text>
        <r>
          <rPr>
            <b/>
            <sz val="9"/>
            <color indexed="81"/>
            <rFont val="Tahoma"/>
            <family val="2"/>
          </rPr>
          <t>Martin Møller:
For sand  1.0 for closed ended and 0.8 for open ended is recomended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6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Water depth including scour. Only used for printing, not used in calculation!</t>
        </r>
      </text>
    </comment>
    <comment ref="G8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If pile head is fixed, eg. jacket structure, M and H have same sign. If pile head is free, the signs have to be opposite. Please refer til coordinate system</t>
        </r>
      </text>
    </comment>
    <comment ref="B9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Starting length if running length vs. rotation analysis. If not this is simply just the length and the "end" and "increment" boxes should be left blank!</t>
        </r>
      </text>
    </comment>
    <comment ref="B13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Density of pile material. Bouancy substrated inside routine</t>
        </r>
      </text>
    </comment>
    <comment ref="B14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Martin Møller:</t>
        </r>
        <r>
          <rPr>
            <sz val="9"/>
            <color indexed="81"/>
            <rFont val="Tahoma"/>
            <family val="2"/>
          </rPr>
          <t xml:space="preserve">
Only relevant for check of stresses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<sst xmlns="http://schemas.openxmlformats.org/spreadsheetml/2006/main" count="24634" uniqueCount="322">
  <si>
    <t>layer</t>
  </si>
  <si>
    <t>model_py</t>
  </si>
  <si>
    <t>model_axial</t>
  </si>
  <si>
    <t>toplevel</t>
  </si>
  <si>
    <t>cu</t>
  </si>
  <si>
    <t>delta_cu</t>
  </si>
  <si>
    <t>gamma_eff</t>
  </si>
  <si>
    <t>phi</t>
  </si>
  <si>
    <t>epsilon50</t>
  </si>
  <si>
    <t>delta_epsilon50</t>
  </si>
  <si>
    <t>J</t>
  </si>
  <si>
    <t>G0</t>
  </si>
  <si>
    <t>delta_G0</t>
  </si>
  <si>
    <t>delta_eff</t>
  </si>
  <si>
    <t>c_eff</t>
  </si>
  <si>
    <t>limit_skin</t>
  </si>
  <si>
    <t>limit_alpha</t>
  </si>
  <si>
    <t>limit_tip</t>
  </si>
  <si>
    <t>poisson</t>
  </si>
  <si>
    <t>q_ur</t>
  </si>
  <si>
    <t>k_rm</t>
  </si>
  <si>
    <t>RQD</t>
  </si>
  <si>
    <t>Soil</t>
  </si>
  <si>
    <t>Pile</t>
  </si>
  <si>
    <t>head</t>
  </si>
  <si>
    <t>section</t>
  </si>
  <si>
    <t>cross_section.toplevel</t>
  </si>
  <si>
    <t>cross_section.thickness</t>
  </si>
  <si>
    <t>m</t>
  </si>
  <si>
    <t>m VREF</t>
  </si>
  <si>
    <t>[m VREF]</t>
  </si>
  <si>
    <t>[text]</t>
  </si>
  <si>
    <t>[kN/m³]</t>
  </si>
  <si>
    <t>[kPa]</t>
  </si>
  <si>
    <t>[-]</t>
  </si>
  <si>
    <t>[kPa/m]</t>
  </si>
  <si>
    <t>[degrees]</t>
  </si>
  <si>
    <t xml:space="preserve">delta_q_ur </t>
  </si>
  <si>
    <t>[number]</t>
  </si>
  <si>
    <t>Scour</t>
  </si>
  <si>
    <t>local</t>
  </si>
  <si>
    <t>ORD</t>
  </si>
  <si>
    <t>density</t>
  </si>
  <si>
    <t>sigma_y</t>
  </si>
  <si>
    <t>E</t>
  </si>
  <si>
    <t>G</t>
  </si>
  <si>
    <t>kN/m³</t>
  </si>
  <si>
    <t>kPa</t>
  </si>
  <si>
    <t>Loads</t>
  </si>
  <si>
    <t>H</t>
  </si>
  <si>
    <t>M</t>
  </si>
  <si>
    <t>Vc</t>
  </si>
  <si>
    <t>Vt</t>
  </si>
  <si>
    <t>kN</t>
  </si>
  <si>
    <t>kNm</t>
  </si>
  <si>
    <t>Settings</t>
  </si>
  <si>
    <t>pile_type</t>
  </si>
  <si>
    <t>open</t>
  </si>
  <si>
    <t>-</t>
  </si>
  <si>
    <t>[m]</t>
  </si>
  <si>
    <t>n_layers</t>
  </si>
  <si>
    <t>n_sections</t>
  </si>
  <si>
    <r>
      <t>[m</t>
    </r>
    <r>
      <rPr>
        <vertAlign val="superscript"/>
        <sz val="11"/>
        <color theme="0" tint="-0.14999847407452621"/>
        <rFont val="Calibri"/>
        <family val="2"/>
        <scheme val="minor"/>
      </rPr>
      <t>-1</t>
    </r>
    <r>
      <rPr>
        <sz val="11"/>
        <color theme="0" tint="-0.14999847407452621"/>
        <rFont val="Calibri"/>
        <family val="2"/>
        <scheme val="minor"/>
      </rPr>
      <t>]</t>
    </r>
  </si>
  <si>
    <t>text</t>
  </si>
  <si>
    <t>API sand</t>
  </si>
  <si>
    <t>API clay</t>
  </si>
  <si>
    <t>Nq</t>
  </si>
  <si>
    <t>water depth</t>
  </si>
  <si>
    <t>length (start)</t>
  </si>
  <si>
    <t>length (end)</t>
  </si>
  <si>
    <t>length (increment)</t>
  </si>
  <si>
    <t>Axial degradation factor</t>
  </si>
  <si>
    <t>t-multiplier</t>
  </si>
  <si>
    <t>K0</t>
  </si>
  <si>
    <t>outer diameter</t>
  </si>
  <si>
    <t>model_py = 'API sand'</t>
  </si>
  <si>
    <t>model_py = 'Weak rock'</t>
  </si>
  <si>
    <t>model_axial = 'API sand'</t>
  </si>
  <si>
    <r>
      <t>model_axial = 'API clay' (</t>
    </r>
    <r>
      <rPr>
        <sz val="11"/>
        <color theme="0" tint="-0.14999847407452621"/>
        <rFont val="Calibri"/>
        <family val="2"/>
      </rPr>
      <t>β</t>
    </r>
    <r>
      <rPr>
        <sz val="11"/>
        <color theme="0" tint="-0.14999847407452621"/>
        <rFont val="Calibri"/>
        <family val="2"/>
        <scheme val="minor"/>
      </rPr>
      <t>), 'API sand'</t>
    </r>
  </si>
  <si>
    <t xml:space="preserve"> model_py = 'API clay', 'Reese stiff clay', 'Stiff clay w/o free water'</t>
  </si>
  <si>
    <t>model_py = 'API clay', 'Stiff clay w/o free water'</t>
  </si>
  <si>
    <t>model_axial = 'API clay' (β)</t>
  </si>
  <si>
    <r>
      <t>model_axial = 'API clay' (</t>
    </r>
    <r>
      <rPr>
        <sz val="11"/>
        <color theme="0" tint="-0.14999847407452621"/>
        <rFont val="Calibri"/>
        <family val="2"/>
      </rPr>
      <t>α</t>
    </r>
    <r>
      <rPr>
        <sz val="11"/>
        <color theme="0" tint="-0.14999847407452621"/>
        <rFont val="Calibri"/>
        <family val="2"/>
        <scheme val="minor"/>
      </rPr>
      <t>)</t>
    </r>
  </si>
  <si>
    <r>
      <t>model_axial = 'API clay' (</t>
    </r>
    <r>
      <rPr>
        <sz val="11"/>
        <color theme="0" tint="-0.14999847407452621"/>
        <rFont val="Calibri"/>
        <family val="2"/>
      </rPr>
      <t>α, β</t>
    </r>
    <r>
      <rPr>
        <sz val="11"/>
        <color theme="0" tint="-0.14999847407452621"/>
        <rFont val="Calibri"/>
        <family val="2"/>
        <scheme val="minor"/>
      </rPr>
      <t>), 'API sand'</t>
    </r>
  </si>
  <si>
    <t>very loose</t>
  </si>
  <si>
    <t>loose-medium</t>
  </si>
  <si>
    <t>very dense</t>
  </si>
  <si>
    <t>stiff</t>
  </si>
  <si>
    <t>medium dense</t>
  </si>
  <si>
    <t>loose</t>
  </si>
  <si>
    <t>Es</t>
  </si>
  <si>
    <t>z-multiplier</t>
  </si>
  <si>
    <t>p-multiplier</t>
  </si>
  <si>
    <t>y-multiplier</t>
  </si>
  <si>
    <t/>
  </si>
  <si>
    <t>delta_Es</t>
  </si>
  <si>
    <t>Mxy</t>
  </si>
  <si>
    <t>Mz</t>
  </si>
  <si>
    <t>ksf</t>
  </si>
  <si>
    <t>delta</t>
  </si>
  <si>
    <t>f1</t>
  </si>
  <si>
    <t>q1</t>
  </si>
  <si>
    <t>delta_phi</t>
  </si>
  <si>
    <t>[degrees/m]</t>
  </si>
  <si>
    <t>skin</t>
  </si>
  <si>
    <t>tip</t>
  </si>
  <si>
    <t>Kirsch sand</t>
  </si>
  <si>
    <t>Kirsch soft clay</t>
  </si>
  <si>
    <t>m-multiplier</t>
  </si>
  <si>
    <t>theta-multiplier</t>
  </si>
  <si>
    <t>EW_sand_70</t>
  </si>
  <si>
    <t>Sand</t>
  </si>
  <si>
    <t>Kirsch Sand</t>
  </si>
  <si>
    <t>prelim</t>
  </si>
  <si>
    <t>CLIENT</t>
  </si>
  <si>
    <t>SDNN</t>
  </si>
  <si>
    <t>Clay</t>
  </si>
  <si>
    <t>Z2_L12</t>
  </si>
  <si>
    <t>Z3_L32</t>
  </si>
  <si>
    <t>Z4_L11</t>
  </si>
  <si>
    <t>Z5_57</t>
  </si>
  <si>
    <t>id</t>
  </si>
  <si>
    <t>rev</t>
  </si>
  <si>
    <t>top level</t>
  </si>
  <si>
    <t>bot level</t>
  </si>
  <si>
    <t>description</t>
  </si>
  <si>
    <t>legend</t>
  </si>
  <si>
    <t>model py</t>
  </si>
  <si>
    <t>model axial</t>
  </si>
  <si>
    <t>gamma eff</t>
  </si>
  <si>
    <t>cu lb</t>
  </si>
  <si>
    <t>cu ub</t>
  </si>
  <si>
    <t>delta cu</t>
  </si>
  <si>
    <t>delta cu lb</t>
  </si>
  <si>
    <t>delta cu ub</t>
  </si>
  <si>
    <t>c eff</t>
  </si>
  <si>
    <t>phi lb</t>
  </si>
  <si>
    <t>phi ub</t>
  </si>
  <si>
    <t>delta eff</t>
  </si>
  <si>
    <t>delta eff lb</t>
  </si>
  <si>
    <t>delta eff ub</t>
  </si>
  <si>
    <t>delta Es</t>
  </si>
  <si>
    <t>Es lb</t>
  </si>
  <si>
    <t>Es ub</t>
  </si>
  <si>
    <t>k0</t>
  </si>
  <si>
    <t>epsilon0 lb</t>
  </si>
  <si>
    <t>epsilon50 ub</t>
  </si>
  <si>
    <t>unit skin</t>
  </si>
  <si>
    <t>unit tip</t>
  </si>
  <si>
    <t>limit skin</t>
  </si>
  <si>
    <t>limit tip</t>
  </si>
  <si>
    <t>limit skin lb</t>
  </si>
  <si>
    <t>limit skin ub</t>
  </si>
  <si>
    <t>limit alpha</t>
  </si>
  <si>
    <t>limit tip lb</t>
  </si>
  <si>
    <t>limit tip ub</t>
  </si>
  <si>
    <t>g0 lb</t>
  </si>
  <si>
    <t>G0 ub</t>
  </si>
  <si>
    <t>delta G0</t>
  </si>
  <si>
    <t>delta G0 lb</t>
  </si>
  <si>
    <t>delta G0 ub</t>
  </si>
  <si>
    <t>delta epsilon50</t>
  </si>
  <si>
    <t>qur py</t>
  </si>
  <si>
    <t>qur py lb</t>
  </si>
  <si>
    <t>qur py ub</t>
  </si>
  <si>
    <t>qur axial</t>
  </si>
  <si>
    <t>qur axial lb</t>
  </si>
  <si>
    <t>qur axial ub</t>
  </si>
  <si>
    <t>krm</t>
  </si>
  <si>
    <t>Nq lb</t>
  </si>
  <si>
    <t>Nq ub</t>
  </si>
  <si>
    <t>t multi</t>
  </si>
  <si>
    <t>z ulti</t>
  </si>
  <si>
    <t>p multi</t>
  </si>
  <si>
    <t>y multi</t>
  </si>
  <si>
    <t>y multi 100000</t>
  </si>
  <si>
    <t>A factor</t>
  </si>
  <si>
    <t>Dr</t>
  </si>
  <si>
    <t>[%]</t>
  </si>
  <si>
    <t>zone 1</t>
  </si>
  <si>
    <t>zone 3</t>
  </si>
  <si>
    <t>zone 2</t>
  </si>
  <si>
    <t>zone 4</t>
  </si>
  <si>
    <t>EW_sand_71</t>
  </si>
  <si>
    <t>EW_sand_77</t>
  </si>
  <si>
    <t>EW_sand_76</t>
  </si>
  <si>
    <t>EW_sand_22</t>
  </si>
  <si>
    <t>EW_sand_32</t>
  </si>
  <si>
    <t>EW_sand_99</t>
  </si>
  <si>
    <t>EW_sand_100</t>
  </si>
  <si>
    <t>EW_sand_64</t>
  </si>
  <si>
    <t>EW_sand_89</t>
  </si>
  <si>
    <t>EW_sand_82</t>
  </si>
  <si>
    <t>EW_sand_84</t>
  </si>
  <si>
    <t>EW_sand_79</t>
  </si>
  <si>
    <t>EW_sand_67</t>
  </si>
  <si>
    <t>EW_sand_66</t>
  </si>
  <si>
    <t>EW_sand_68</t>
  </si>
  <si>
    <t>EW_sand_50</t>
  </si>
  <si>
    <t>EW_sand_60</t>
  </si>
  <si>
    <t>EW_sand_51</t>
  </si>
  <si>
    <t>EW_sand_42</t>
  </si>
  <si>
    <t>EW_sand_81</t>
  </si>
  <si>
    <t>EW_sand_65</t>
  </si>
  <si>
    <t>EW_sand_57</t>
  </si>
  <si>
    <t>EW_sand_74</t>
  </si>
  <si>
    <t>EW_sand_62</t>
  </si>
  <si>
    <t>EW_sand_94</t>
  </si>
  <si>
    <t>EW_sand_59</t>
  </si>
  <si>
    <t>zone 5</t>
  </si>
  <si>
    <t>Location</t>
  </si>
  <si>
    <t>Our zone</t>
  </si>
  <si>
    <t>NGI zone</t>
  </si>
  <si>
    <t>Cyclic_Pisa_Multiplier_P_M</t>
  </si>
  <si>
    <t>Cyclic_Pisa_Multiplier_Y_Thehta</t>
  </si>
  <si>
    <t>1a</t>
  </si>
  <si>
    <t>21c</t>
  </si>
  <si>
    <t>21d</t>
  </si>
  <si>
    <t>23i</t>
  </si>
  <si>
    <t>23k</t>
  </si>
  <si>
    <t>23l</t>
  </si>
  <si>
    <t>23m</t>
  </si>
  <si>
    <t>Depth, (m bsf)</t>
  </si>
  <si>
    <t>Unit</t>
  </si>
  <si>
    <t>w, (%)</t>
  </si>
  <si>
    <t>Gam, (kN/m3)</t>
  </si>
  <si>
    <t>Ip, (%)</t>
  </si>
  <si>
    <t>FC, (%)</t>
  </si>
  <si>
    <t>St, (‐)</t>
  </si>
  <si>
    <t>qt LE, (MPa)</t>
  </si>
  <si>
    <t>qt CLBE, (MPa)</t>
  </si>
  <si>
    <t>qt BE, (MPa)</t>
  </si>
  <si>
    <t>qt CHBE, (MPa)</t>
  </si>
  <si>
    <t>qt HE, (MPa)</t>
  </si>
  <si>
    <t>su LE, (kPa)</t>
  </si>
  <si>
    <t>su CLBE, (kPa)</t>
  </si>
  <si>
    <t>su BE, (kPa)</t>
  </si>
  <si>
    <t>su CHBE, (kPa)</t>
  </si>
  <si>
    <t>su HE, (kPa)</t>
  </si>
  <si>
    <t>Dr, (%)</t>
  </si>
  <si>
    <t>phi LE, (deg)</t>
  </si>
  <si>
    <t>phi CLBE, (deg)</t>
  </si>
  <si>
    <t>phi BE, (deg)</t>
  </si>
  <si>
    <t>phi CHBE, (deg)</t>
  </si>
  <si>
    <t>phi HE, (deg)</t>
  </si>
  <si>
    <t>Gmax LE, (MPa)</t>
  </si>
  <si>
    <t>Gmax CLBE, (MPa)</t>
  </si>
  <si>
    <t>Gmax BE, (MPa)</t>
  </si>
  <si>
    <t>Gmax CHBE, (MPa)</t>
  </si>
  <si>
    <t>Gmax HE, (MPa)</t>
  </si>
  <si>
    <t>M0, (MPa)</t>
  </si>
  <si>
    <t>OCR, (‐)</t>
  </si>
  <si>
    <t>K0, (‐)</t>
  </si>
  <si>
    <t>k, (m/s</t>
  </si>
  <si>
    <t>eps50, (%)</t>
  </si>
  <si>
    <t>02a</t>
  </si>
  <si>
    <t>3E‐07</t>
  </si>
  <si>
    <t>02b</t>
  </si>
  <si>
    <t>6E‐05</t>
  </si>
  <si>
    <t>10a</t>
  </si>
  <si>
    <t>1E‐06</t>
  </si>
  <si>
    <t>10b</t>
  </si>
  <si>
    <t>3E‐06</t>
  </si>
  <si>
    <t>1E‐05</t>
  </si>
  <si>
    <t>14a</t>
  </si>
  <si>
    <t>6E‐09</t>
  </si>
  <si>
    <t>14b</t>
  </si>
  <si>
    <t>8E‐11</t>
  </si>
  <si>
    <t>15b</t>
  </si>
  <si>
    <t>5E‐07</t>
  </si>
  <si>
    <t>2E‐10</t>
  </si>
  <si>
    <t>21a</t>
  </si>
  <si>
    <t>3E‐10</t>
  </si>
  <si>
    <t>23d</t>
  </si>
  <si>
    <t>4E‐12</t>
  </si>
  <si>
    <t>Cowden Clay</t>
  </si>
  <si>
    <t>Cyclic_Multiplier</t>
  </si>
  <si>
    <t>2a</t>
  </si>
  <si>
    <t>20a</t>
  </si>
  <si>
    <t>01a</t>
  </si>
  <si>
    <t>EW_sand_90</t>
  </si>
  <si>
    <t>EW_sand_69</t>
  </si>
  <si>
    <t>N_SPT</t>
  </si>
  <si>
    <t>Sr</t>
  </si>
  <si>
    <t>Ns</t>
  </si>
  <si>
    <t>Ms</t>
  </si>
  <si>
    <t>Dc</t>
  </si>
  <si>
    <t>10c</t>
  </si>
  <si>
    <t>Kirsch stiff clay</t>
  </si>
  <si>
    <t>23e</t>
  </si>
  <si>
    <t>17a</t>
  </si>
  <si>
    <t>19b</t>
  </si>
  <si>
    <t>12b</t>
  </si>
  <si>
    <t>11a</t>
  </si>
  <si>
    <t>12a</t>
  </si>
  <si>
    <t>09a</t>
  </si>
  <si>
    <t>09b</t>
  </si>
  <si>
    <t>23b</t>
  </si>
  <si>
    <t>02c</t>
  </si>
  <si>
    <t>11b</t>
  </si>
  <si>
    <t>23a</t>
  </si>
  <si>
    <t>17c</t>
  </si>
  <si>
    <t>23c</t>
  </si>
  <si>
    <t>9a</t>
  </si>
  <si>
    <t>19a</t>
  </si>
  <si>
    <t>15a</t>
  </si>
  <si>
    <t>23n</t>
  </si>
  <si>
    <t>Kirsch sand 2015</t>
  </si>
  <si>
    <t>21i</t>
  </si>
  <si>
    <t>23j</t>
  </si>
  <si>
    <t>23o</t>
  </si>
  <si>
    <t>21e</t>
  </si>
  <si>
    <t>k, (m/s)</t>
  </si>
  <si>
    <t>K0, (-)</t>
  </si>
  <si>
    <t>OCR, (-)</t>
  </si>
  <si>
    <t>St, (-)</t>
  </si>
  <si>
    <t>COPY TABLE FROM DESIGN_PROFILE ON [AW5]</t>
  </si>
  <si>
    <t>21f</t>
  </si>
  <si>
    <t>23q</t>
  </si>
  <si>
    <t>23r</t>
  </si>
  <si>
    <t>23s</t>
  </si>
  <si>
    <t>Cowden Clay_2020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</si>
</sst>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E+00"/>
    <numFmt numFmtId="165" formatCode="0.0"/>
    <numFmt numFmtId="166" formatCode="0.000"/>
    <numFmt numFmtId="167" formatCode="0E+00"/>
  </numFmts>
  <fonts count="18" x14ac:knownFonts="1">
    <font>
      <sz val="11"/>
      <color theme="1"/>
      <name val="Calibri"/>
      <family val="2"/>
      <scheme val="minor"/>
    </font>
    <font>
      <sz val="9"/>
      <color theme="1"/>
      <name val="Verdana"/>
      <family val="2"/>
    </font>
    <font>
      <sz val="9"/>
      <color theme="1"/>
      <name val="Verdana"/>
      <family val="2"/>
    </font>
    <font>
      <sz val="9"/>
      <color theme="1"/>
      <name val="Verdana"/>
      <family val="2"/>
    </font>
    <font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vertAlign val="superscript"/>
      <sz val="11"/>
      <color theme="0" tint="-0.1499984740745262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0"/>
      <color rgb="FF333333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 tint="-0.1499984740745262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13" fillId="0" borderId="0"/>
    <xf numFmtId="0" fontId="3" fillId="0" borderId="0"/>
    <xf numFmtId="0" fontId="2" fillId="0" borderId="0"/>
    <xf numFmtId="0" fontId="13" fillId="0" borderId="0"/>
    <xf numFmtId="0" fontId="1" fillId="0" borderId="0"/>
  </cellStyleXfs>
  <cellXfs count="15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/>
    </xf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vertical="center"/>
    </xf>
    <xf numFmtId="0" fontId="4" fillId="0" borderId="0" xfId="0" applyFont="1" applyAlignment="1"/>
    <xf numFmtId="0" fontId="4" fillId="0" borderId="0" xfId="0" applyFont="1"/>
    <xf numFmtId="1" fontId="4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/>
    <xf numFmtId="0" fontId="7" fillId="0" borderId="0" xfId="0" applyFont="1" applyAlignment="1">
      <alignment horizontal="left"/>
    </xf>
    <xf numFmtId="0" fontId="4" fillId="0" borderId="0" xfId="0" quotePrefix="1" applyFont="1" applyAlignment="1">
      <alignment horizontal="right"/>
    </xf>
    <xf numFmtId="2" fontId="4" fillId="0" borderId="0" xfId="0" applyNumberFormat="1" applyFont="1" applyAlignment="1">
      <alignment horizontal="center"/>
    </xf>
    <xf numFmtId="0" fontId="0" fillId="0" borderId="0" xfId="0" applyAlignment="1">
      <alignment vertical="center" wrapText="1"/>
    </xf>
    <xf numFmtId="0" fontId="7" fillId="0" borderId="0" xfId="0" applyFont="1" applyAlignment="1">
      <alignment vertical="center"/>
    </xf>
    <xf numFmtId="2" fontId="4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/>
    <xf numFmtId="0" fontId="4" fillId="0" borderId="0" xfId="0" applyFont="1" applyAlignment="1">
      <alignment vertical="center"/>
    </xf>
    <xf numFmtId="164" fontId="4" fillId="0" borderId="0" xfId="0" applyNumberFormat="1" applyFont="1"/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2" fontId="0" fillId="0" borderId="0" xfId="0" applyNumberFormat="1"/>
    <xf numFmtId="0" fontId="13" fillId="0" borderId="0" xfId="1"/>
    <xf numFmtId="0" fontId="9" fillId="0" borderId="0" xfId="1" applyFont="1"/>
    <xf numFmtId="0" fontId="13" fillId="0" borderId="0" xfId="1" applyAlignment="1">
      <alignment horizontal="center" vertical="center"/>
    </xf>
    <xf numFmtId="0" fontId="7" fillId="0" borderId="0" xfId="1" applyFont="1" applyAlignment="1">
      <alignment horizontal="left"/>
    </xf>
    <xf numFmtId="0" fontId="7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5" fillId="0" borderId="0" xfId="1" applyFont="1" applyAlignment="1">
      <alignment vertical="center"/>
    </xf>
    <xf numFmtId="0" fontId="13" fillId="0" borderId="0" xfId="1" applyAlignment="1">
      <alignment horizontal="left"/>
    </xf>
    <xf numFmtId="0" fontId="13" fillId="0" borderId="0" xfId="1" applyAlignment="1"/>
    <xf numFmtId="0" fontId="5" fillId="0" borderId="0" xfId="1" applyFont="1" applyAlignment="1"/>
    <xf numFmtId="0" fontId="13" fillId="0" borderId="0" xfId="1" applyAlignment="1">
      <alignment horizontal="center"/>
    </xf>
    <xf numFmtId="0" fontId="4" fillId="0" borderId="0" xfId="1" applyFont="1" applyAlignment="1"/>
    <xf numFmtId="0" fontId="5" fillId="0" borderId="0" xfId="1" applyFont="1"/>
    <xf numFmtId="0" fontId="4" fillId="0" borderId="0" xfId="1" applyFont="1" applyFill="1"/>
    <xf numFmtId="0" fontId="4" fillId="0" borderId="0" xfId="1" applyFont="1" applyAlignment="1">
      <alignment horizontal="center" vertical="center"/>
    </xf>
    <xf numFmtId="0" fontId="4" fillId="0" borderId="0" xfId="1" quotePrefix="1" applyFont="1" applyAlignment="1" applyProtection="1">
      <alignment horizontal="center" vertical="center"/>
    </xf>
    <xf numFmtId="0" fontId="4" fillId="0" borderId="0" xfId="1" quotePrefix="1" applyFont="1" applyAlignment="1">
      <alignment horizontal="center" vertical="center"/>
    </xf>
    <xf numFmtId="0" fontId="4" fillId="0" borderId="0" xfId="1" applyFont="1" applyFill="1" applyAlignment="1">
      <alignment horizontal="center" vertical="center"/>
    </xf>
    <xf numFmtId="2" fontId="4" fillId="0" borderId="0" xfId="1" applyNumberFormat="1" applyFont="1" applyFill="1" applyAlignment="1">
      <alignment horizontal="center" vertical="center"/>
    </xf>
    <xf numFmtId="166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7" fillId="0" borderId="0" xfId="1" applyFont="1"/>
    <xf numFmtId="0" fontId="7" fillId="0" borderId="0" xfId="1" applyFont="1" applyAlignment="1">
      <alignment vertical="center"/>
    </xf>
    <xf numFmtId="0" fontId="13" fillId="0" borderId="0" xfId="1" applyAlignment="1">
      <alignment vertical="center"/>
    </xf>
    <xf numFmtId="0" fontId="4" fillId="0" borderId="0" xfId="1" applyFont="1"/>
    <xf numFmtId="0" fontId="4" fillId="0" borderId="0" xfId="1" applyFont="1" applyAlignment="1">
      <alignment vertical="center"/>
    </xf>
    <xf numFmtId="1" fontId="4" fillId="0" borderId="0" xfId="1" applyNumberFormat="1" applyFont="1"/>
    <xf numFmtId="0" fontId="4" fillId="0" borderId="0" xfId="1" quotePrefix="1" applyFont="1" applyAlignment="1">
      <alignment horizontal="right"/>
    </xf>
    <xf numFmtId="164" fontId="4" fillId="0" borderId="0" xfId="1" applyNumberFormat="1" applyFont="1"/>
    <xf numFmtId="0" fontId="13" fillId="0" borderId="0" xfId="1" applyAlignment="1">
      <alignment vertical="center" wrapText="1"/>
    </xf>
    <xf numFmtId="2" fontId="4" fillId="0" borderId="0" xfId="1" applyNumberFormat="1" applyFont="1" applyAlignment="1">
      <alignment horizontal="center" vertical="center"/>
    </xf>
    <xf numFmtId="165" fontId="4" fillId="0" borderId="0" xfId="1" applyNumberFormat="1" applyFont="1" applyAlignment="1">
      <alignment horizontal="center" vertical="center"/>
    </xf>
    <xf numFmtId="0" fontId="13" fillId="0" borderId="0" xfId="1" applyAlignment="1">
      <alignment horizontal="center" vertical="center" wrapText="1"/>
    </xf>
    <xf numFmtId="0" fontId="4" fillId="0" borderId="0" xfId="1" applyFont="1" applyAlignment="1">
      <alignment horizontal="center"/>
    </xf>
    <xf numFmtId="0" fontId="4" fillId="2" borderId="0" xfId="1" applyFont="1" applyFill="1" applyAlignment="1">
      <alignment horizontal="center"/>
    </xf>
    <xf numFmtId="0" fontId="0" fillId="0" borderId="0" xfId="1" applyFont="1" applyAlignment="1"/>
    <xf numFmtId="0" fontId="4" fillId="0" borderId="0" xfId="1" applyFont="1" applyAlignment="1">
      <alignment horizontal="center" vertical="center" wrapText="1"/>
    </xf>
    <xf numFmtId="0" fontId="0" fillId="0" borderId="0" xfId="1" applyFont="1"/>
    <xf numFmtId="165" fontId="4" fillId="0" borderId="0" xfId="1" applyNumberFormat="1" applyFont="1"/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 wrapText="1"/>
    </xf>
    <xf numFmtId="166" fontId="4" fillId="0" borderId="0" xfId="1" applyNumberFormat="1" applyFont="1" applyAlignment="1">
      <alignment horizontal="center" vertical="center"/>
    </xf>
    <xf numFmtId="165" fontId="0" fillId="0" borderId="1" xfId="0" applyNumberFormat="1" applyBorder="1"/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 wrapText="1"/>
    </xf>
    <xf numFmtId="2" fontId="13" fillId="0" borderId="0" xfId="1" applyNumberFormat="1"/>
    <xf numFmtId="0" fontId="4" fillId="0" borderId="0" xfId="3" applyFont="1" applyAlignment="1">
      <alignment horizontal="center" vertical="center"/>
    </xf>
    <xf numFmtId="0" fontId="4" fillId="3" borderId="0" xfId="1" applyFont="1" applyFill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0" fillId="2" borderId="0" xfId="0" applyFill="1"/>
    <xf numFmtId="22" fontId="0" fillId="0" borderId="0" xfId="0" applyNumberFormat="1" applyAlignment="1">
      <alignment vertical="center" wrapText="1"/>
    </xf>
    <xf numFmtId="0" fontId="0" fillId="2" borderId="0" xfId="0" applyFill="1" applyAlignment="1">
      <alignment vertical="center" wrapText="1"/>
    </xf>
    <xf numFmtId="0" fontId="13" fillId="0" borderId="0" xfId="1" applyFill="1"/>
    <xf numFmtId="0" fontId="13" fillId="0" borderId="0" xfId="1" applyFill="1" applyAlignment="1">
      <alignment vertical="center"/>
    </xf>
    <xf numFmtId="0" fontId="14" fillId="6" borderId="2" xfId="0" applyFont="1" applyFill="1" applyBorder="1"/>
    <xf numFmtId="0" fontId="14" fillId="6" borderId="4" xfId="0" applyFont="1" applyFill="1" applyBorder="1"/>
    <xf numFmtId="0" fontId="14" fillId="6" borderId="3" xfId="0" applyFont="1" applyFill="1" applyBorder="1"/>
    <xf numFmtId="0" fontId="0" fillId="5" borderId="5" xfId="0" applyFill="1" applyBorder="1"/>
    <xf numFmtId="0" fontId="0" fillId="5" borderId="6" xfId="0" applyFill="1" applyBorder="1"/>
    <xf numFmtId="0" fontId="0" fillId="4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4" borderId="10" xfId="0" applyFill="1" applyBorder="1"/>
    <xf numFmtId="0" fontId="0" fillId="5" borderId="11" xfId="0" applyFill="1" applyBorder="1"/>
    <xf numFmtId="0" fontId="0" fillId="5" borderId="12" xfId="0" applyFill="1" applyBorder="1"/>
    <xf numFmtId="0" fontId="0" fillId="4" borderId="13" xfId="0" applyFill="1" applyBorder="1"/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4" fillId="0" borderId="0" xfId="4" quotePrefix="1" applyFon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4" fillId="0" borderId="0" xfId="5" applyFon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4" fillId="0" borderId="0" xfId="1" quotePrefix="1" applyFont="1" applyAlignment="1">
      <alignment horizontal="left"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15" fillId="0" borderId="0" xfId="1" quotePrefix="1" applyFont="1" applyAlignment="1">
      <alignment horizontal="left" vertical="center"/>
    </xf>
    <xf numFmtId="0" fontId="4" fillId="0" borderId="0" xfId="4" quotePrefix="1" applyFont="1" applyFill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7" fillId="0" borderId="0" xfId="0" applyFont="1" applyAlignment="1">
      <alignment horizontal="center" vertical="center" textRotation="90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2" fontId="13" fillId="0" borderId="0" xfId="1" applyNumberFormat="1" applyFont="1" applyAlignment="1">
      <alignment horizontal="center" vertical="center"/>
    </xf>
    <xf numFmtId="0" fontId="13" fillId="0" borderId="0" xfId="1" applyFont="1" applyAlignment="1">
      <alignment horizontal="center" vertical="center"/>
    </xf>
    <xf numFmtId="166" fontId="13" fillId="0" borderId="0" xfId="1" applyNumberFormat="1" applyFont="1" applyAlignment="1">
      <alignment horizontal="center" vertical="center"/>
    </xf>
    <xf numFmtId="0" fontId="13" fillId="0" borderId="0" xfId="1" applyFont="1"/>
    <xf numFmtId="165" fontId="13" fillId="0" borderId="0" xfId="1" applyNumberFormat="1" applyFont="1" applyAlignment="1">
      <alignment horizontal="center" vertical="center"/>
    </xf>
    <xf numFmtId="0" fontId="13" fillId="0" borderId="0" xfId="4" quotePrefix="1" applyFont="1" applyAlignment="1">
      <alignment horizontal="center" vertical="center"/>
    </xf>
    <xf numFmtId="0" fontId="13" fillId="0" borderId="0" xfId="1" quotePrefix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3" fillId="0" borderId="0" xfId="1" applyFont="1" applyAlignment="1">
      <alignment horizontal="center"/>
    </xf>
    <xf numFmtId="0" fontId="13" fillId="0" borderId="0" xfId="0" applyFont="1" applyAlignment="1">
      <alignment horizontal="center"/>
    </xf>
    <xf numFmtId="0" fontId="13" fillId="2" borderId="0" xfId="1" applyFont="1" applyFill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13" fillId="7" borderId="0" xfId="1" applyFill="1"/>
    <xf numFmtId="0" fontId="13" fillId="7" borderId="0" xfId="1" applyFill="1" applyAlignment="1">
      <alignment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</cellXfs>
  <cellStyles count="6">
    <cellStyle name="Normal" xfId="0" builtinId="0"/>
    <cellStyle name="Normal 2" xfId="1" xr:uid="{552F32EA-5476-4460-A856-A7400DE53AEF}"/>
    <cellStyle name="Normal 2 2" xfId="2" xr:uid="{8081F8D7-64DD-4731-9D5D-EB57B48E81BB}"/>
    <cellStyle name="Normal 2 4" xfId="4" xr:uid="{4AF76F3E-4A52-4141-8125-A3F030D2F28C}"/>
    <cellStyle name="Normal 3" xfId="3" xr:uid="{CC751CDE-DB87-4608-B195-B5D52AEE4E22}"/>
    <cellStyle name="Normal 4" xfId="5" xr:uid="{B6465EF0-735A-479C-8ED4-81BEFF4C5615}"/>
  </cellStyles>
  <dxfs count="4187"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338218</xdr:colOff>
      <xdr:row>60</xdr:row>
      <xdr:rowOff>147695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8F3E66-AD47-4CAB-B481-DBD1E0D68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0" y="5010150"/>
          <a:ext cx="6986668" cy="71676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768804</xdr:colOff>
      <xdr:row>33</xdr:row>
      <xdr:rowOff>69396</xdr:rowOff>
    </xdr:from>
    <xdr:to>
      <xdr:col>13</xdr:col>
      <xdr:colOff>118598</xdr:colOff>
      <xdr:row>70</xdr:row>
      <xdr:rowOff>186611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93F92B-DC01-4FF3-AFEE-939800223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7375" y="6954610"/>
          <a:ext cx="6997009" cy="7165715"/>
        </a:xfrm>
        <a:prstGeom prst="rect">
          <a:avLst/>
        </a:prstGeom>
      </xdr:spPr>
    </xdr:pic>
    <xdr:clientData/>
  </xdr:twoCellAnchor>
  <xdr:twoCellAnchor editAs="oneCell">
    <xdr:from>
      <xdr:col>10</xdr:col>
      <xdr:colOff>319768</xdr:colOff>
      <xdr:row>45</xdr:row>
      <xdr:rowOff>151039</xdr:rowOff>
    </xdr:from>
    <xdr:to>
      <xdr:col>19</xdr:col>
      <xdr:colOff>127126</xdr:colOff>
      <xdr:row>83</xdr:row>
      <xdr:rowOff>72674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121744-AEB9-46AE-BC09-2B6C554F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63768" y="9322253"/>
          <a:ext cx="6991929" cy="71606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331233</xdr:colOff>
      <xdr:row>60</xdr:row>
      <xdr:rowOff>140710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FD9E79-9C11-4411-A093-ACA2FC176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58325" y="5010150"/>
          <a:ext cx="6979683" cy="71606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331233</xdr:colOff>
      <xdr:row>60</xdr:row>
      <xdr:rowOff>140710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0E98D3-F9F7-4300-9346-C61433562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58325" y="5010150"/>
          <a:ext cx="6979683" cy="71606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542925</xdr:colOff>
      <xdr:row>27</xdr:row>
      <xdr:rowOff>142875</xdr:rowOff>
    </xdr:from>
    <xdr:to>
      <xdr:col>20</xdr:col>
      <xdr:colOff>540783</xdr:colOff>
      <xdr:row>65</xdr:row>
      <xdr:rowOff>64510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FB5B4-0B38-454B-AA47-01E89859F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67875" y="5886450"/>
          <a:ext cx="6979683" cy="71606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542925</xdr:colOff>
      <xdr:row>27</xdr:row>
      <xdr:rowOff>142875</xdr:rowOff>
    </xdr:from>
    <xdr:to>
      <xdr:col>20</xdr:col>
      <xdr:colOff>540783</xdr:colOff>
      <xdr:row>65</xdr:row>
      <xdr:rowOff>64510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51CFC-71CB-4B3D-AF99-A3B9C1928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67875" y="5886450"/>
          <a:ext cx="6979683" cy="71606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381000</xdr:colOff>
      <xdr:row>23</xdr:row>
      <xdr:rowOff>28575</xdr:rowOff>
    </xdr:from>
    <xdr:to>
      <xdr:col>20</xdr:col>
      <xdr:colOff>378858</xdr:colOff>
      <xdr:row>60</xdr:row>
      <xdr:rowOff>140710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3F3EF6-C294-448D-BBB3-0B339661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05950" y="5010150"/>
          <a:ext cx="6979683" cy="716063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381000</xdr:colOff>
      <xdr:row>23</xdr:row>
      <xdr:rowOff>28575</xdr:rowOff>
    </xdr:from>
    <xdr:to>
      <xdr:col>20</xdr:col>
      <xdr:colOff>378858</xdr:colOff>
      <xdr:row>60</xdr:row>
      <xdr:rowOff>140710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C8CF74-EE7A-4AE0-8E43-37F001093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05950" y="5010150"/>
          <a:ext cx="6979683" cy="716063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25</xdr:row>
      <xdr:rowOff>57150</xdr:rowOff>
    </xdr:from>
    <xdr:to>
      <xdr:col>20</xdr:col>
      <xdr:colOff>102633</xdr:colOff>
      <xdr:row>62</xdr:row>
      <xdr:rowOff>169285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7E7218-6F16-46CB-8E16-3128B7CF3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9725" y="5419725"/>
          <a:ext cx="6979683" cy="716063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25</xdr:row>
      <xdr:rowOff>57150</xdr:rowOff>
    </xdr:from>
    <xdr:to>
      <xdr:col>20</xdr:col>
      <xdr:colOff>102633</xdr:colOff>
      <xdr:row>62</xdr:row>
      <xdr:rowOff>169285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69B81-776D-44D1-9C8D-42315BD31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9725" y="5419725"/>
          <a:ext cx="6979683" cy="716063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25</xdr:row>
      <xdr:rowOff>57150</xdr:rowOff>
    </xdr:from>
    <xdr:to>
      <xdr:col>20</xdr:col>
      <xdr:colOff>102633</xdr:colOff>
      <xdr:row>62</xdr:row>
      <xdr:rowOff>169285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0047C0-F9A2-4928-BE2F-1BD941E8F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9725" y="5419725"/>
          <a:ext cx="6979683" cy="716063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25</xdr:row>
      <xdr:rowOff>57150</xdr:rowOff>
    </xdr:from>
    <xdr:to>
      <xdr:col>20</xdr:col>
      <xdr:colOff>102633</xdr:colOff>
      <xdr:row>62</xdr:row>
      <xdr:rowOff>169285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C40189-659E-4C33-A37A-2CA4AA33C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9725" y="5419725"/>
          <a:ext cx="6979683" cy="716063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25</xdr:row>
      <xdr:rowOff>57150</xdr:rowOff>
    </xdr:from>
    <xdr:to>
      <xdr:col>20</xdr:col>
      <xdr:colOff>102633</xdr:colOff>
      <xdr:row>62</xdr:row>
      <xdr:rowOff>169285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9DB3CE-8260-4F20-9C99-CEE9A7CC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9725" y="5419725"/>
          <a:ext cx="6979683" cy="716063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28015</xdr:colOff>
      <xdr:row>20</xdr:row>
      <xdr:rowOff>63874</xdr:rowOff>
    </xdr:from>
    <xdr:to>
      <xdr:col>20</xdr:col>
      <xdr:colOff>29048</xdr:colOff>
      <xdr:row>57</xdr:row>
      <xdr:rowOff>179184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6A15C1-3559-473D-93AD-8721142B2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84765" y="4343774"/>
          <a:ext cx="7303533" cy="69288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28015</xdr:colOff>
      <xdr:row>20</xdr:row>
      <xdr:rowOff>63874</xdr:rowOff>
    </xdr:from>
    <xdr:to>
      <xdr:col>20</xdr:col>
      <xdr:colOff>29048</xdr:colOff>
      <xdr:row>57</xdr:row>
      <xdr:rowOff>179184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49E9C1-4522-4677-B1A5-9C68FA17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84765" y="4343774"/>
          <a:ext cx="7303533" cy="692886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28015</xdr:colOff>
      <xdr:row>20</xdr:row>
      <xdr:rowOff>63874</xdr:rowOff>
    </xdr:from>
    <xdr:to>
      <xdr:col>20</xdr:col>
      <xdr:colOff>29048</xdr:colOff>
      <xdr:row>57</xdr:row>
      <xdr:rowOff>179184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3A45EA-F786-4547-931E-183F470E8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52965" y="4473949"/>
          <a:ext cx="6982858" cy="716381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28015</xdr:colOff>
      <xdr:row>20</xdr:row>
      <xdr:rowOff>63874</xdr:rowOff>
    </xdr:from>
    <xdr:to>
      <xdr:col>20</xdr:col>
      <xdr:colOff>29048</xdr:colOff>
      <xdr:row>57</xdr:row>
      <xdr:rowOff>179184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DDAD4F-A411-4215-A30C-B80950BE2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9603" y="4478992"/>
          <a:ext cx="6982298" cy="716381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274544</xdr:colOff>
      <xdr:row>22</xdr:row>
      <xdr:rowOff>30256</xdr:rowOff>
    </xdr:from>
    <xdr:to>
      <xdr:col>21</xdr:col>
      <xdr:colOff>163518</xdr:colOff>
      <xdr:row>59</xdr:row>
      <xdr:rowOff>145566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D5AF2-A164-4EC5-B41E-90CBB203C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37744" y="4678456"/>
          <a:ext cx="7312124" cy="692886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274544</xdr:colOff>
      <xdr:row>22</xdr:row>
      <xdr:rowOff>30256</xdr:rowOff>
    </xdr:from>
    <xdr:to>
      <xdr:col>21</xdr:col>
      <xdr:colOff>163518</xdr:colOff>
      <xdr:row>59</xdr:row>
      <xdr:rowOff>145566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55DFA1-2685-4084-B21B-A9D1C95BC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37744" y="4678456"/>
          <a:ext cx="7312124" cy="692886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274544</xdr:colOff>
      <xdr:row>22</xdr:row>
      <xdr:rowOff>30256</xdr:rowOff>
    </xdr:from>
    <xdr:to>
      <xdr:col>21</xdr:col>
      <xdr:colOff>163518</xdr:colOff>
      <xdr:row>59</xdr:row>
      <xdr:rowOff>145566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B93A66-FDD3-48E0-AF1C-893418C82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71019" y="4821331"/>
          <a:ext cx="6985099" cy="716381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274544</xdr:colOff>
      <xdr:row>22</xdr:row>
      <xdr:rowOff>30256</xdr:rowOff>
    </xdr:from>
    <xdr:to>
      <xdr:col>21</xdr:col>
      <xdr:colOff>163518</xdr:colOff>
      <xdr:row>59</xdr:row>
      <xdr:rowOff>145566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C136F4-2FE7-410B-9EBD-F90765A42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9338" y="4826374"/>
          <a:ext cx="6982298" cy="716381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308162</xdr:colOff>
      <xdr:row>33</xdr:row>
      <xdr:rowOff>19050</xdr:rowOff>
    </xdr:from>
    <xdr:to>
      <xdr:col>20</xdr:col>
      <xdr:colOff>309195</xdr:colOff>
      <xdr:row>70</xdr:row>
      <xdr:rowOff>134360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41EA2F-10F5-416A-8DE3-2568BCEAF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3112" y="6905625"/>
          <a:ext cx="6982858" cy="716381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308162</xdr:colOff>
      <xdr:row>33</xdr:row>
      <xdr:rowOff>19050</xdr:rowOff>
    </xdr:from>
    <xdr:to>
      <xdr:col>20</xdr:col>
      <xdr:colOff>309195</xdr:colOff>
      <xdr:row>70</xdr:row>
      <xdr:rowOff>134360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93D947-65E4-473D-9AA5-017184019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0" y="6910668"/>
          <a:ext cx="6982298" cy="716381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371475</xdr:colOff>
      <xdr:row>20</xdr:row>
      <xdr:rowOff>0</xdr:rowOff>
    </xdr:from>
    <xdr:to>
      <xdr:col>20</xdr:col>
      <xdr:colOff>372508</xdr:colOff>
      <xdr:row>57</xdr:row>
      <xdr:rowOff>115310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B58A09-3642-4F27-9651-2DAEFBB79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8225" y="4279900"/>
          <a:ext cx="7303533" cy="692886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371475</xdr:colOff>
      <xdr:row>20</xdr:row>
      <xdr:rowOff>0</xdr:rowOff>
    </xdr:from>
    <xdr:to>
      <xdr:col>20</xdr:col>
      <xdr:colOff>372508</xdr:colOff>
      <xdr:row>57</xdr:row>
      <xdr:rowOff>115310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B298F1-7071-43C1-9CE9-A1335A6C7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8225" y="4279900"/>
          <a:ext cx="7303533" cy="692886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371475</xdr:colOff>
      <xdr:row>20</xdr:row>
      <xdr:rowOff>0</xdr:rowOff>
    </xdr:from>
    <xdr:to>
      <xdr:col>20</xdr:col>
      <xdr:colOff>130053</xdr:colOff>
      <xdr:row>57</xdr:row>
      <xdr:rowOff>115310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D45725-F75C-4DF8-9340-36C3EFC3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6425" y="4410075"/>
          <a:ext cx="6982858" cy="716381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20</xdr:row>
      <xdr:rowOff>19050</xdr:rowOff>
    </xdr:from>
    <xdr:to>
      <xdr:col>20</xdr:col>
      <xdr:colOff>96283</xdr:colOff>
      <xdr:row>57</xdr:row>
      <xdr:rowOff>134360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FC5188-5C21-4A2A-B55B-6FFCF78EB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4429125"/>
          <a:ext cx="6982858" cy="716381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331233</xdr:colOff>
      <xdr:row>60</xdr:row>
      <xdr:rowOff>140710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23111D-50AF-438A-A391-EE545218A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3775" y="4797425"/>
          <a:ext cx="7309883" cy="681456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23</xdr:row>
      <xdr:rowOff>66675</xdr:rowOff>
    </xdr:from>
    <xdr:to>
      <xdr:col>20</xdr:col>
      <xdr:colOff>112158</xdr:colOff>
      <xdr:row>60</xdr:row>
      <xdr:rowOff>178810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7FD91E-1734-4C48-A23C-97D107569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0" y="5048250"/>
          <a:ext cx="6979683" cy="716063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20</xdr:row>
      <xdr:rowOff>38100</xdr:rowOff>
    </xdr:from>
    <xdr:to>
      <xdr:col>20</xdr:col>
      <xdr:colOff>801133</xdr:colOff>
      <xdr:row>57</xdr:row>
      <xdr:rowOff>153410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B750B-5276-4357-A613-AB08B7D5E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1775" y="4318000"/>
          <a:ext cx="7268608" cy="692886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20</xdr:row>
      <xdr:rowOff>38100</xdr:rowOff>
    </xdr:from>
    <xdr:to>
      <xdr:col>20</xdr:col>
      <xdr:colOff>801133</xdr:colOff>
      <xdr:row>57</xdr:row>
      <xdr:rowOff>153410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4A4378-E079-42B6-BC34-3632A372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1775" y="4318000"/>
          <a:ext cx="7268608" cy="692886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20</xdr:row>
      <xdr:rowOff>38100</xdr:rowOff>
    </xdr:from>
    <xdr:to>
      <xdr:col>20</xdr:col>
      <xdr:colOff>801133</xdr:colOff>
      <xdr:row>57</xdr:row>
      <xdr:rowOff>153410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D1669B-E754-47BC-B82D-A414FCA28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5050" y="4448175"/>
          <a:ext cx="6982858" cy="716381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20</xdr:row>
      <xdr:rowOff>57150</xdr:rowOff>
    </xdr:from>
    <xdr:to>
      <xdr:col>20</xdr:col>
      <xdr:colOff>826533</xdr:colOff>
      <xdr:row>57</xdr:row>
      <xdr:rowOff>169285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C332E-FC79-46EA-B1F5-A1BDE776A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3625" y="4467225"/>
          <a:ext cx="6979683" cy="716063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331233</xdr:colOff>
      <xdr:row>60</xdr:row>
      <xdr:rowOff>140710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7231B7-C4DA-401C-8215-5769F075D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3775" y="4797425"/>
          <a:ext cx="7306708" cy="681138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504825</xdr:colOff>
      <xdr:row>23</xdr:row>
      <xdr:rowOff>38100</xdr:rowOff>
    </xdr:from>
    <xdr:to>
      <xdr:col>20</xdr:col>
      <xdr:colOff>505858</xdr:colOff>
      <xdr:row>60</xdr:row>
      <xdr:rowOff>153410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233142-FB39-430E-A8C1-4FD7A694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9775" y="5019675"/>
          <a:ext cx="6982858" cy="716381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17</xdr:row>
      <xdr:rowOff>104775</xdr:rowOff>
    </xdr:from>
    <xdr:to>
      <xdr:col>20</xdr:col>
      <xdr:colOff>817008</xdr:colOff>
      <xdr:row>54</xdr:row>
      <xdr:rowOff>26410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AEDCCA-1835-4B41-BA5B-12B5A3068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0" y="3752850"/>
          <a:ext cx="6979683" cy="716063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114300</xdr:colOff>
      <xdr:row>17</xdr:row>
      <xdr:rowOff>85725</xdr:rowOff>
    </xdr:from>
    <xdr:to>
      <xdr:col>20</xdr:col>
      <xdr:colOff>883683</xdr:colOff>
      <xdr:row>54</xdr:row>
      <xdr:rowOff>7360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94793A-DF3A-41BA-848B-1D7E02556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0775" y="3733800"/>
          <a:ext cx="6979683" cy="716063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125506</xdr:colOff>
      <xdr:row>30</xdr:row>
      <xdr:rowOff>119342</xdr:rowOff>
    </xdr:from>
    <xdr:to>
      <xdr:col>21</xdr:col>
      <xdr:colOff>9624</xdr:colOff>
      <xdr:row>68</xdr:row>
      <xdr:rowOff>40977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178C55-50C7-490F-8FE1-6A4C99598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88706" y="6240742"/>
          <a:ext cx="7307268" cy="6919335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125506</xdr:colOff>
      <xdr:row>30</xdr:row>
      <xdr:rowOff>119342</xdr:rowOff>
    </xdr:from>
    <xdr:to>
      <xdr:col>21</xdr:col>
      <xdr:colOff>9624</xdr:colOff>
      <xdr:row>68</xdr:row>
      <xdr:rowOff>40977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D14C46-F4AB-49CB-A872-E0B208641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88706" y="6240742"/>
          <a:ext cx="7307268" cy="691933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125506</xdr:colOff>
      <xdr:row>30</xdr:row>
      <xdr:rowOff>119342</xdr:rowOff>
    </xdr:from>
    <xdr:to>
      <xdr:col>21</xdr:col>
      <xdr:colOff>9624</xdr:colOff>
      <xdr:row>68</xdr:row>
      <xdr:rowOff>40977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883B0A-0E5A-4DA3-8D5A-2775D0DAC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1981" y="6434417"/>
          <a:ext cx="6980243" cy="716063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125506</xdr:colOff>
      <xdr:row>30</xdr:row>
      <xdr:rowOff>119342</xdr:rowOff>
    </xdr:from>
    <xdr:to>
      <xdr:col>21</xdr:col>
      <xdr:colOff>9624</xdr:colOff>
      <xdr:row>68</xdr:row>
      <xdr:rowOff>40977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315700-6ACD-4794-8542-327B0E6B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0300" y="6439460"/>
          <a:ext cx="6977442" cy="716063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331233</xdr:colOff>
      <xdr:row>60</xdr:row>
      <xdr:rowOff>140710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A88B0-EA3B-404D-B9F3-1FF12866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0125" y="4860925"/>
          <a:ext cx="7300358" cy="6925685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331233</xdr:colOff>
      <xdr:row>60</xdr:row>
      <xdr:rowOff>140710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E60DD1-E0EB-4BFB-8D2A-CBDA239B2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0125" y="4860925"/>
          <a:ext cx="7300358" cy="6925685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331233</xdr:colOff>
      <xdr:row>60</xdr:row>
      <xdr:rowOff>140710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82CE94-F328-4C0C-AE5E-DB95B8F7B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3775" y="4797425"/>
          <a:ext cx="7309883" cy="681456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104775</xdr:rowOff>
    </xdr:from>
    <xdr:to>
      <xdr:col>20</xdr:col>
      <xdr:colOff>331233</xdr:colOff>
      <xdr:row>61</xdr:row>
      <xdr:rowOff>26410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7B7D57-7DC0-4169-9E7A-321991A8B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58325" y="5086350"/>
          <a:ext cx="6979683" cy="7160635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753035</xdr:colOff>
      <xdr:row>18</xdr:row>
      <xdr:rowOff>78441</xdr:rowOff>
    </xdr:from>
    <xdr:to>
      <xdr:col>20</xdr:col>
      <xdr:colOff>750893</xdr:colOff>
      <xdr:row>56</xdr:row>
      <xdr:rowOff>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BEE55D-FA06-44A4-8F14-F4DB511D4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4623" y="4112559"/>
          <a:ext cx="6979123" cy="716063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91888</xdr:colOff>
      <xdr:row>18</xdr:row>
      <xdr:rowOff>89646</xdr:rowOff>
    </xdr:from>
    <xdr:to>
      <xdr:col>20</xdr:col>
      <xdr:colOff>862952</xdr:colOff>
      <xdr:row>56</xdr:row>
      <xdr:rowOff>11281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E9911B-3896-429F-96D5-8147DEFC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86682" y="4123764"/>
          <a:ext cx="6979123" cy="7160635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ABCA117A-2C62-48D0-8A4F-D749FD03E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D0B9A527-3F0D-4D2F-B6B6-010FE2C1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9CE0F279-71DD-40FF-9099-42D46BF8E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F0A8749B-AAFC-4393-9537-47BAFB4FE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7E10C909-2027-4B64-90DE-DA5F8DB6B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8C56E5CE-89C2-4886-ADDF-76BC6FF66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763C6D13-05BF-4707-8AE1-ED1C055F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F6E6E5DE-DBDB-4680-8111-5F4855B7D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56D4A975-0734-4D75-BB8E-5244882B9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ED008459-5C04-4EDE-84B0-BDF6E49B6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37D3C299-24B2-4590-86BE-F016D5503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E27268F8-8B18-489A-972E-18B4476B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D2895B49-B7A0-4C5A-A624-3C51866E7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E407BE85-0128-4C18-87E3-BEB342673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38C9D019-3828-495D-A9AA-34C3B4172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33718F9E-AB26-4696-9FB8-64F6C59C9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D3F3F1D7-0393-4BD5-A6F6-870ECED6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A86C3D63-89C4-4D02-BFA9-AD392EE27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6A7212EA-1A92-4D93-9879-F7B21C8F2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3280BC65-64C5-4BA8-BF2C-49452951A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9BAFC299-0236-451E-8E77-2E4313759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3E69DB5D-B6AD-48FD-B82A-C3D1A3D9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DD1E1654-DBA3-4E19-9A97-AD133E0AF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3F8E821F-CE28-4EDC-9DF2-ECC094DED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D4C4AD65-3F00-4B68-B88E-C056DE087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EA09E3AF-C33B-4071-9933-518A3493E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06D0F1E8-542B-46FF-ADAB-E5D091478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E34554D5-1C52-4B67-B6CF-F2B4638F3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0EA28848-828F-4EA2-8495-2A0F11FC1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6A3A8442-C468-41A3-A2DF-4159952AE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64798FA1-2E0B-41E8-96B3-43F9F402E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D411384A-D237-4C52-8003-762771E73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AEEEC2C9-F841-4F14-B2E7-E7DDC9804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DE781A8F-FFAC-49A1-8A72-D6B12EC11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85398A24-2748-44DE-B3E4-4A7EECD32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0728F663-AB29-4C62-84DE-47A626A00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29EB0FAB-9A2D-42F7-AA89-1306D2E8F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3AB2E9F3-0CAE-4F9D-BC73-E4D245A27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7013209A-65E8-4C3B-BC9C-056A689C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D1A047B6-366E-4EFF-A977-46448E33E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500076E7-7E3A-4067-ADF3-11C40D85D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510ECD1D-8429-4156-9477-74AA50CD4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BDAEA5C4-A574-410C-8E1D-38A7594C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F7666D8C-389C-454B-B43C-4197176D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D405B34C-18DF-4D67-AC8F-48C017CF0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4C0B561E-0CE6-41FA-B777-8B28DBA4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975912CF-B48F-47F4-BEA0-C501162CA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ECED096F-BB5C-4555-84BD-D051BE3ED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FA3FCCBF-F75E-438E-8E9F-8E8902DF4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11B0999C-9514-4B68-ACBA-585E7AF2A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823F255C-F195-4E54-8569-B51ABA02B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56483F37-A664-47B3-9D13-B8562AF2B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F6B5E08D-2D7D-4BEA-9625-900BE1190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8C951420-8ED0-43FA-8255-D333DC1C0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B880C821-84FC-4009-8CA0-5BFB3BE83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FB688CC9-0E54-48AF-AFA1-9207D34B2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57C7B474-1EB0-41AC-8574-D24A77DC7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0EE64BC9-FA4E-45A1-8ACE-7D621FB17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15260" y="6409170"/>
          <a:ext cx="6977085" cy="7160635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B28CB783-E562-4A3F-97D1-21554B6B2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15260" y="6409170"/>
          <a:ext cx="6977085" cy="7160635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359A26FE-4AEA-495C-8F7A-F5FE98A60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1F6E9803-0EA3-413D-ACCB-26B63DF4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28AF03C2-7D66-42CB-8519-D01404ED1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3460" y="6577445"/>
          <a:ext cx="6977085" cy="7160635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BFB259B3-82C8-4937-9E3F-924DDDA37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760" y="5005820"/>
          <a:ext cx="6977085" cy="7160635"/>
        </a:xfrm>
        <a:prstGeom prst="rect">
          <a:avLst/>
        </a:prstGeom>
      </xdr:spPr>
    </xdr:pic>
    <xdr:clientData/>
  </xdr:one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558510</xdr:colOff>
      <xdr:row>26</xdr:row>
      <xdr:rowOff>52820</xdr:rowOff>
    </xdr:from>
    <xdr:ext cx="6977085" cy="7160635"/>
    <xdr:pic>
      <xdr:nvPicPr>
        <xdr:cNvPr id="2" name="Picture 1">
          <a:extLst>
            <a:ext uri="{FF2B5EF4-FFF2-40B4-BE49-F238E27FC236}">
              <a16:creationId xmlns:a16="http://schemas.microsoft.com/office/drawing/2014/main" id="{B44AE87F-F560-40AE-AD12-664BC81FF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760" y="5005820"/>
          <a:ext cx="6977085" cy="7160635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336313</xdr:colOff>
      <xdr:row>60</xdr:row>
      <xdr:rowOff>145790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57E851-6F5E-4B25-9DBC-D7F57B8D6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0" y="5010150"/>
          <a:ext cx="6984763" cy="7165715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336313</xdr:colOff>
      <xdr:row>60</xdr:row>
      <xdr:rowOff>145790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8037D3-81A8-48BF-8384-B3347BF4F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0" y="5010150"/>
          <a:ext cx="6984763" cy="7165715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338218</xdr:colOff>
      <xdr:row>60</xdr:row>
      <xdr:rowOff>147695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428781-F26C-499B-A616-B5E1DA79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0" y="5010150"/>
          <a:ext cx="6986668" cy="716762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338218</xdr:colOff>
      <xdr:row>60</xdr:row>
      <xdr:rowOff>147695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AAA03-3BFA-4A72-836D-67E2DF9E0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0" y="5010150"/>
          <a:ext cx="6986668" cy="716762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338218</xdr:colOff>
      <xdr:row>60</xdr:row>
      <xdr:rowOff>147695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67E9A5-2A97-4D94-A891-23B57B524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0" y="5010150"/>
          <a:ext cx="6986668" cy="716762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338218</xdr:colOff>
      <xdr:row>60</xdr:row>
      <xdr:rowOff>147695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D0C1F4-F4F9-4375-AD4F-368BEB551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0" y="5010150"/>
          <a:ext cx="6986668" cy="716762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23</xdr:row>
      <xdr:rowOff>28575</xdr:rowOff>
    </xdr:from>
    <xdr:to>
      <xdr:col>20</xdr:col>
      <xdr:colOff>338218</xdr:colOff>
      <xdr:row>60</xdr:row>
      <xdr:rowOff>147695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B9B2D4-079E-4C3C-923D-0D5F02EC4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0" y="5010150"/>
          <a:ext cx="6986668" cy="716762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øren Dam Nielsen" id="{0B95801C-883E-42F1-B0E8-D42327B1A83D}" userId="S::SDNN@COWI.Com::07ff2b87-a297-48b6-83d6-41c330a8b83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X11" dT="2021-03-06T07:51:50.90" personId="{0B95801C-883E-42F1-B0E8-D42327B1A83D}" id="{8991A492-03C0-4C9A-B1C5-128A6BD97A1A}">
    <text>This is taken from WTG 1, zone 1 because it has a similar depth  = 39-55m. THere is also measurements from locations in zone 2, but depth here is higher than 60 m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3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Relationship Id="rId4" Type="http://schemas.openxmlformats.org/officeDocument/2006/relationships/comments" Target="../comments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Relationship Id="rId4" Type="http://schemas.openxmlformats.org/officeDocument/2006/relationships/comments" Target="../comments37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Relationship Id="rId4" Type="http://schemas.openxmlformats.org/officeDocument/2006/relationships/comments" Target="../comments3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Relationship Id="rId4" Type="http://schemas.openxmlformats.org/officeDocument/2006/relationships/comments" Target="../comments39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Relationship Id="rId4" Type="http://schemas.openxmlformats.org/officeDocument/2006/relationships/comments" Target="../comments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Relationship Id="rId4" Type="http://schemas.openxmlformats.org/officeDocument/2006/relationships/comments" Target="../comments4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Relationship Id="rId4" Type="http://schemas.openxmlformats.org/officeDocument/2006/relationships/comments" Target="../comments42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Relationship Id="rId4" Type="http://schemas.openxmlformats.org/officeDocument/2006/relationships/comments" Target="../comments43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Relationship Id="rId4" Type="http://schemas.openxmlformats.org/officeDocument/2006/relationships/comments" Target="../comments44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Relationship Id="rId4" Type="http://schemas.openxmlformats.org/officeDocument/2006/relationships/comments" Target="../comments45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Relationship Id="rId4" Type="http://schemas.openxmlformats.org/officeDocument/2006/relationships/comments" Target="../comments46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Relationship Id="rId4" Type="http://schemas.openxmlformats.org/officeDocument/2006/relationships/comments" Target="../comments47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Relationship Id="rId4" Type="http://schemas.openxmlformats.org/officeDocument/2006/relationships/comments" Target="../comments48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Relationship Id="rId4" Type="http://schemas.openxmlformats.org/officeDocument/2006/relationships/comments" Target="../comments49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Relationship Id="rId4" Type="http://schemas.openxmlformats.org/officeDocument/2006/relationships/comments" Target="../comments50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Relationship Id="rId4" Type="http://schemas.openxmlformats.org/officeDocument/2006/relationships/comments" Target="../comments5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Relationship Id="rId4" Type="http://schemas.openxmlformats.org/officeDocument/2006/relationships/comments" Target="../comments52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Relationship Id="rId4" Type="http://schemas.openxmlformats.org/officeDocument/2006/relationships/comments" Target="../comments53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Relationship Id="rId4" Type="http://schemas.openxmlformats.org/officeDocument/2006/relationships/comments" Target="../comments54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Relationship Id="rId4" Type="http://schemas.openxmlformats.org/officeDocument/2006/relationships/comments" Target="../comments55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Relationship Id="rId4" Type="http://schemas.openxmlformats.org/officeDocument/2006/relationships/comments" Target="../comments56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Relationship Id="rId4" Type="http://schemas.openxmlformats.org/officeDocument/2006/relationships/comments" Target="../comments57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Relationship Id="rId4" Type="http://schemas.openxmlformats.org/officeDocument/2006/relationships/comments" Target="../comments58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Relationship Id="rId4" Type="http://schemas.openxmlformats.org/officeDocument/2006/relationships/comments" Target="../comments59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Relationship Id="rId4" Type="http://schemas.openxmlformats.org/officeDocument/2006/relationships/comments" Target="../comments60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Relationship Id="rId4" Type="http://schemas.openxmlformats.org/officeDocument/2006/relationships/comments" Target="../comments61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Relationship Id="rId4" Type="http://schemas.openxmlformats.org/officeDocument/2006/relationships/comments" Target="../comments62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3.v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Relationship Id="rId4" Type="http://schemas.openxmlformats.org/officeDocument/2006/relationships/comments" Target="../comments63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4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Relationship Id="rId4" Type="http://schemas.openxmlformats.org/officeDocument/2006/relationships/comments" Target="../comments64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5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Relationship Id="rId4" Type="http://schemas.openxmlformats.org/officeDocument/2006/relationships/comments" Target="../comments65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6.vml"/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Relationship Id="rId4" Type="http://schemas.openxmlformats.org/officeDocument/2006/relationships/comments" Target="../comments66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7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Relationship Id="rId4" Type="http://schemas.openxmlformats.org/officeDocument/2006/relationships/comments" Target="../comments67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8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Relationship Id="rId4" Type="http://schemas.openxmlformats.org/officeDocument/2006/relationships/comments" Target="../comments68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9.v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Relationship Id="rId4" Type="http://schemas.openxmlformats.org/officeDocument/2006/relationships/comments" Target="../comments69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0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Relationship Id="rId4" Type="http://schemas.openxmlformats.org/officeDocument/2006/relationships/comments" Target="../comments70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1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Relationship Id="rId4" Type="http://schemas.openxmlformats.org/officeDocument/2006/relationships/comments" Target="../comments71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2.vml"/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Relationship Id="rId4" Type="http://schemas.openxmlformats.org/officeDocument/2006/relationships/comments" Target="../comments72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3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Relationship Id="rId4" Type="http://schemas.openxmlformats.org/officeDocument/2006/relationships/comments" Target="../comments73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4.v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Relationship Id="rId4" Type="http://schemas.openxmlformats.org/officeDocument/2006/relationships/comments" Target="../comments74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5.vml"/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Relationship Id="rId4" Type="http://schemas.openxmlformats.org/officeDocument/2006/relationships/comments" Target="../comments75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Relationship Id="rId4" Type="http://schemas.openxmlformats.org/officeDocument/2006/relationships/comments" Target="../comments76.xm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7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Relationship Id="rId4" Type="http://schemas.openxmlformats.org/officeDocument/2006/relationships/comments" Target="../comments77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8.vml"/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Relationship Id="rId4" Type="http://schemas.openxmlformats.org/officeDocument/2006/relationships/comments" Target="../comments78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9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Relationship Id="rId4" Type="http://schemas.openxmlformats.org/officeDocument/2006/relationships/comments" Target="../comments79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0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Relationship Id="rId4" Type="http://schemas.openxmlformats.org/officeDocument/2006/relationships/comments" Target="../comments80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1.vml"/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Relationship Id="rId4" Type="http://schemas.openxmlformats.org/officeDocument/2006/relationships/comments" Target="../comments81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2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Relationship Id="rId4" Type="http://schemas.openxmlformats.org/officeDocument/2006/relationships/comments" Target="../comments82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3.v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Relationship Id="rId4" Type="http://schemas.openxmlformats.org/officeDocument/2006/relationships/comments" Target="../comments83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4.vml"/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Relationship Id="rId4" Type="http://schemas.openxmlformats.org/officeDocument/2006/relationships/comments" Target="../comments84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5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Relationship Id="rId4" Type="http://schemas.openxmlformats.org/officeDocument/2006/relationships/comments" Target="../comments85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6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Relationship Id="rId4" Type="http://schemas.openxmlformats.org/officeDocument/2006/relationships/comments" Target="../comments86.xm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7.vml"/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Relationship Id="rId4" Type="http://schemas.openxmlformats.org/officeDocument/2006/relationships/comments" Target="../comments87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8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Relationship Id="rId4" Type="http://schemas.openxmlformats.org/officeDocument/2006/relationships/comments" Target="../comments88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9.vml"/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Relationship Id="rId4" Type="http://schemas.openxmlformats.org/officeDocument/2006/relationships/comments" Target="../comments89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0.vml"/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Relationship Id="rId4" Type="http://schemas.openxmlformats.org/officeDocument/2006/relationships/comments" Target="../comments90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Relationship Id="rId4" Type="http://schemas.openxmlformats.org/officeDocument/2006/relationships/comments" Target="../comments91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2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Relationship Id="rId4" Type="http://schemas.openxmlformats.org/officeDocument/2006/relationships/comments" Target="../comments92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3.vml"/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Relationship Id="rId4" Type="http://schemas.openxmlformats.org/officeDocument/2006/relationships/comments" Target="../comments93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4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Relationship Id="rId4" Type="http://schemas.openxmlformats.org/officeDocument/2006/relationships/comments" Target="../comments94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5.vml"/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Relationship Id="rId4" Type="http://schemas.openxmlformats.org/officeDocument/2006/relationships/comments" Target="../comments95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6.vml"/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Relationship Id="rId4" Type="http://schemas.openxmlformats.org/officeDocument/2006/relationships/comments" Target="../comments96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7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Relationship Id="rId4" Type="http://schemas.openxmlformats.org/officeDocument/2006/relationships/comments" Target="../comments97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8.vml"/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Relationship Id="rId4" Type="http://schemas.openxmlformats.org/officeDocument/2006/relationships/comments" Target="../comments98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9.vml"/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Relationship Id="rId4" Type="http://schemas.openxmlformats.org/officeDocument/2006/relationships/comments" Target="../comments99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0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Relationship Id="rId4" Type="http://schemas.openxmlformats.org/officeDocument/2006/relationships/comments" Target="../comments100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1.vml"/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Relationship Id="rId4" Type="http://schemas.openxmlformats.org/officeDocument/2006/relationships/comments" Target="../comments101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2.vml"/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Relationship Id="rId4" Type="http://schemas.openxmlformats.org/officeDocument/2006/relationships/comments" Target="../comments102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3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Relationship Id="rId4" Type="http://schemas.openxmlformats.org/officeDocument/2006/relationships/comments" Target="../comments103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4.vml"/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Relationship Id="rId4" Type="http://schemas.openxmlformats.org/officeDocument/2006/relationships/comments" Target="../comments104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5.vml"/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Relationship Id="rId4" Type="http://schemas.openxmlformats.org/officeDocument/2006/relationships/comments" Target="../comments105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Relationship Id="rId4" Type="http://schemas.openxmlformats.org/officeDocument/2006/relationships/comments" Target="../comments106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7.vml"/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Relationship Id="rId4" Type="http://schemas.openxmlformats.org/officeDocument/2006/relationships/comments" Target="../comments107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8.vml"/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Relationship Id="rId4" Type="http://schemas.openxmlformats.org/officeDocument/2006/relationships/comments" Target="../comments108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9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Relationship Id="rId4" Type="http://schemas.openxmlformats.org/officeDocument/2006/relationships/comments" Target="../comments109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0.vml"/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Relationship Id="rId4" Type="http://schemas.openxmlformats.org/officeDocument/2006/relationships/comments" Target="../comments110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1.vml"/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Relationship Id="rId4" Type="http://schemas.openxmlformats.org/officeDocument/2006/relationships/comments" Target="../comments111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2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Relationship Id="rId4" Type="http://schemas.openxmlformats.org/officeDocument/2006/relationships/comments" Target="../comments112.xm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9.vml"/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9.bin"/><Relationship Id="rId4" Type="http://schemas.openxmlformats.org/officeDocument/2006/relationships/comments" Target="../comments119.xm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4.vml"/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25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24.xm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5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26.bin"/><Relationship Id="rId4" Type="http://schemas.openxmlformats.org/officeDocument/2006/relationships/comments" Target="../comments125.xm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6.vml"/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27.bin"/><Relationship Id="rId4" Type="http://schemas.openxmlformats.org/officeDocument/2006/relationships/comments" Target="../comments126.xm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7.vml"/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28.bin"/><Relationship Id="rId4" Type="http://schemas.openxmlformats.org/officeDocument/2006/relationships/comments" Target="../comments127.xm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8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29.bin"/><Relationship Id="rId4" Type="http://schemas.openxmlformats.org/officeDocument/2006/relationships/comments" Target="../comments128.xm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30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1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94A8B-8397-4934-B6E1-EBBEBD3C8892}">
  <sheetPr>
    <tabColor theme="2"/>
  </sheetPr>
  <dimension ref="A1:AO255"/>
  <sheetViews>
    <sheetView zoomScaleNormal="100" workbookViewId="0">
      <selection activeCell="F23" sqref="F23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140625" style="33" customWidth="1"/>
    <col min="22" max="22" width="19.42578125" style="33" customWidth="1"/>
    <col min="23" max="23" width="6.5703125" style="33" customWidth="1"/>
    <col min="24" max="24" width="11.855468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85546875" style="33" customWidth="1"/>
    <col min="30" max="30" width="11.85546875" style="33" customWidth="1"/>
    <col min="31" max="31" width="10.28515625" style="33" customWidth="1"/>
    <col min="32" max="32" width="8.140625" style="33" customWidth="1"/>
    <col min="33" max="33" width="13.7109375" style="33" customWidth="1"/>
    <col min="34" max="34" width="8.42578125" style="33" customWidth="1"/>
    <col min="35" max="35" width="7.855468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16384" width="9.140625" style="33"/>
  </cols>
  <sheetData>
    <row r="1" spans="1:41" x14ac:dyDescent="0.25">
      <c r="A1" s="34" t="str">
        <f ca="1">TRIM(MID(CELL("filename",A1),FIND("]",CELL("filename",A1),1)+1,255))</f>
        <v>Zone_2_LE</v>
      </c>
      <c r="D1" s="34"/>
    </row>
    <row r="3" spans="1:41" s="35" customFormat="1" ht="45" customHeight="1" x14ac:dyDescent="0.25">
      <c r="F3" s="36" t="s">
        <v>39</v>
      </c>
      <c r="J3" s="37" t="s">
        <v>22</v>
      </c>
      <c r="Q3" s="72"/>
      <c r="R3" s="155"/>
      <c r="S3" s="155"/>
      <c r="T3" s="72"/>
      <c r="U3" s="155"/>
      <c r="V3" s="155"/>
      <c r="W3" s="72"/>
      <c r="X3" s="69"/>
      <c r="Y3" s="72"/>
      <c r="Z3" s="72"/>
      <c r="AA3" s="72"/>
      <c r="AB3" s="72"/>
      <c r="AC3" s="69"/>
      <c r="AD3" s="39"/>
      <c r="AE3" s="39"/>
      <c r="AF3" s="39"/>
      <c r="AG3" s="39"/>
      <c r="AH3" s="39"/>
      <c r="AI3" s="39"/>
      <c r="AJ3" s="72"/>
      <c r="AK3" s="72"/>
      <c r="AL3" s="72"/>
      <c r="AM3" s="72"/>
      <c r="AN3" s="72"/>
    </row>
    <row r="4" spans="1:41" s="41" customFormat="1" x14ac:dyDescent="0.25">
      <c r="A4" s="40" t="s">
        <v>60</v>
      </c>
      <c r="B4" s="41">
        <f>COUNTIF(J:J,"&gt;0")</f>
        <v>7</v>
      </c>
      <c r="C4" s="42" t="s">
        <v>58</v>
      </c>
      <c r="D4" s="43"/>
      <c r="F4" s="41" t="s">
        <v>40</v>
      </c>
      <c r="G4" s="44">
        <v>0</v>
      </c>
      <c r="H4" s="42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68" t="s">
        <v>102</v>
      </c>
    </row>
    <row r="5" spans="1:41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44">
        <v>0</v>
      </c>
      <c r="H5" s="45" t="s">
        <v>28</v>
      </c>
      <c r="J5" s="38" t="s">
        <v>38</v>
      </c>
      <c r="K5" s="38" t="s">
        <v>30</v>
      </c>
      <c r="L5" s="38" t="s">
        <v>31</v>
      </c>
      <c r="M5" s="38" t="s">
        <v>31</v>
      </c>
      <c r="N5" s="38" t="s">
        <v>32</v>
      </c>
      <c r="O5" s="38" t="s">
        <v>33</v>
      </c>
      <c r="P5" s="38" t="s">
        <v>35</v>
      </c>
      <c r="Q5" s="38" t="s">
        <v>36</v>
      </c>
      <c r="R5" s="38" t="s">
        <v>36</v>
      </c>
      <c r="S5" s="38" t="s">
        <v>34</v>
      </c>
      <c r="T5" s="38" t="s">
        <v>33</v>
      </c>
      <c r="U5" s="38" t="s">
        <v>34</v>
      </c>
      <c r="V5" s="38" t="s">
        <v>62</v>
      </c>
      <c r="W5" s="38" t="s">
        <v>34</v>
      </c>
      <c r="X5" s="38" t="s">
        <v>33</v>
      </c>
      <c r="Y5" s="38" t="s">
        <v>35</v>
      </c>
      <c r="Z5" s="38" t="s">
        <v>33</v>
      </c>
      <c r="AA5" s="38" t="s">
        <v>34</v>
      </c>
      <c r="AB5" s="38" t="s">
        <v>33</v>
      </c>
      <c r="AC5" s="38" t="s">
        <v>33</v>
      </c>
      <c r="AD5" s="38" t="s">
        <v>35</v>
      </c>
      <c r="AE5" s="38" t="s">
        <v>34</v>
      </c>
      <c r="AF5" s="38" t="s">
        <v>33</v>
      </c>
      <c r="AG5" s="38" t="s">
        <v>35</v>
      </c>
      <c r="AH5" s="38" t="s">
        <v>34</v>
      </c>
      <c r="AI5" s="38" t="s">
        <v>34</v>
      </c>
      <c r="AJ5" s="38" t="s">
        <v>34</v>
      </c>
      <c r="AK5" s="38" t="s">
        <v>34</v>
      </c>
      <c r="AL5" s="38" t="s">
        <v>34</v>
      </c>
      <c r="AM5" s="38" t="s">
        <v>34</v>
      </c>
      <c r="AN5" s="38" t="s">
        <v>34</v>
      </c>
      <c r="AO5" s="38" t="s">
        <v>103</v>
      </c>
    </row>
    <row r="6" spans="1:41" x14ac:dyDescent="0.25">
      <c r="C6" s="45"/>
      <c r="F6" s="33" t="s">
        <v>67</v>
      </c>
      <c r="G6" s="46">
        <v>23</v>
      </c>
      <c r="H6" s="45" t="s">
        <v>28</v>
      </c>
      <c r="J6" s="47">
        <v>1</v>
      </c>
      <c r="K6" s="47">
        <v>0</v>
      </c>
      <c r="L6" s="70" t="s">
        <v>106</v>
      </c>
      <c r="M6" s="49" t="s">
        <v>64</v>
      </c>
      <c r="N6" s="50">
        <v>9.8000000000000007</v>
      </c>
      <c r="O6" s="51"/>
      <c r="P6" s="51"/>
      <c r="Q6" s="50">
        <v>38</v>
      </c>
      <c r="R6" s="50">
        <f>Q6-5</f>
        <v>33</v>
      </c>
      <c r="S6" s="50">
        <v>0.5</v>
      </c>
      <c r="T6" s="50">
        <v>0</v>
      </c>
      <c r="U6" s="52"/>
      <c r="V6" s="52"/>
      <c r="W6" s="50">
        <v>0.5</v>
      </c>
      <c r="X6" s="50">
        <v>26200</v>
      </c>
      <c r="Y6" s="50">
        <v>0</v>
      </c>
      <c r="Z6" s="50">
        <f>VLOOKUP(R6,$AE$39:$AF$59,2)</f>
        <v>107.39999999999996</v>
      </c>
      <c r="AA6" s="53"/>
      <c r="AB6" s="50">
        <f>VLOOKUP(R6,$AE$39:$AG$59,3)</f>
        <v>11040</v>
      </c>
      <c r="AC6" s="51"/>
      <c r="AD6" s="51"/>
      <c r="AE6" s="51"/>
      <c r="AF6" s="51"/>
      <c r="AG6" s="51"/>
      <c r="AH6" s="51"/>
      <c r="AI6" s="51"/>
      <c r="AJ6" s="50">
        <f t="shared" ref="AJ6:AJ9" si="0">VLOOKUP(R6,$AE$39:$AH$59,4)</f>
        <v>46.000000000000007</v>
      </c>
      <c r="AK6" s="50">
        <v>1</v>
      </c>
      <c r="AL6" s="50">
        <v>1</v>
      </c>
      <c r="AM6" s="50">
        <v>1</v>
      </c>
      <c r="AN6" s="50">
        <v>1</v>
      </c>
      <c r="AO6" s="50">
        <v>0</v>
      </c>
    </row>
    <row r="7" spans="1:41" x14ac:dyDescent="0.25">
      <c r="A7" s="54" t="s">
        <v>23</v>
      </c>
      <c r="C7" s="45"/>
      <c r="F7" s="55" t="s">
        <v>48</v>
      </c>
      <c r="G7" s="56"/>
      <c r="H7" s="39"/>
      <c r="I7" s="56"/>
      <c r="J7" s="47">
        <v>2</v>
      </c>
      <c r="K7" s="47">
        <v>-1.5</v>
      </c>
      <c r="L7" s="33" t="s">
        <v>107</v>
      </c>
      <c r="M7" s="49" t="s">
        <v>65</v>
      </c>
      <c r="N7" s="50">
        <v>9.8000000000000007</v>
      </c>
      <c r="O7" s="51">
        <v>30</v>
      </c>
      <c r="P7" s="51">
        <v>0</v>
      </c>
      <c r="Q7" s="50"/>
      <c r="R7" s="50"/>
      <c r="S7" s="50"/>
      <c r="T7" s="50"/>
      <c r="U7" s="52">
        <v>1.7999999999999999E-2</v>
      </c>
      <c r="V7" s="52">
        <v>0</v>
      </c>
      <c r="W7" s="50"/>
      <c r="X7" s="50"/>
      <c r="Y7" s="50"/>
      <c r="Z7" s="50"/>
      <c r="AA7" s="53"/>
      <c r="AB7" s="50"/>
      <c r="AC7" s="51">
        <v>7410</v>
      </c>
      <c r="AD7" s="51">
        <v>0</v>
      </c>
      <c r="AE7" s="51">
        <v>0.46</v>
      </c>
      <c r="AF7" s="51">
        <v>0</v>
      </c>
      <c r="AG7" s="51">
        <v>0</v>
      </c>
      <c r="AH7" s="51">
        <v>0</v>
      </c>
      <c r="AI7" s="51">
        <v>0</v>
      </c>
      <c r="AJ7" s="50"/>
      <c r="AK7" s="50">
        <v>1</v>
      </c>
      <c r="AL7" s="50">
        <v>1</v>
      </c>
      <c r="AM7" s="50">
        <v>1</v>
      </c>
      <c r="AN7" s="50">
        <v>1</v>
      </c>
      <c r="AO7" s="50">
        <v>0</v>
      </c>
    </row>
    <row r="8" spans="1:4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2278.1</v>
      </c>
      <c r="H8" s="45" t="s">
        <v>53</v>
      </c>
      <c r="J8" s="47">
        <v>3</v>
      </c>
      <c r="K8" s="47">
        <v>-1.8</v>
      </c>
      <c r="L8" s="70" t="s">
        <v>106</v>
      </c>
      <c r="M8" s="49" t="s">
        <v>64</v>
      </c>
      <c r="N8" s="50">
        <v>9.8000000000000007</v>
      </c>
      <c r="O8" s="51"/>
      <c r="P8" s="51"/>
      <c r="Q8" s="50">
        <v>36</v>
      </c>
      <c r="R8" s="50">
        <f t="shared" ref="R8:R11" si="1">Q8-5</f>
        <v>31</v>
      </c>
      <c r="S8" s="50">
        <v>2.4</v>
      </c>
      <c r="T8" s="50">
        <v>0</v>
      </c>
      <c r="U8" s="52"/>
      <c r="V8" s="52"/>
      <c r="W8" s="50">
        <v>0.5</v>
      </c>
      <c r="X8" s="50">
        <v>12700</v>
      </c>
      <c r="Y8" s="50">
        <v>0</v>
      </c>
      <c r="Z8" s="50">
        <f>VLOOKUP(R8,$AE$39:$AF$59,2)</f>
        <v>99.799999999999969</v>
      </c>
      <c r="AA8" s="53"/>
      <c r="AB8" s="50">
        <f t="shared" ref="AB8:AB11" si="2">VLOOKUP(R8,$AE$39:$AG$59,3)</f>
        <v>10080</v>
      </c>
      <c r="AC8" s="51"/>
      <c r="AD8" s="51"/>
      <c r="AE8" s="51"/>
      <c r="AF8" s="51"/>
      <c r="AG8" s="51"/>
      <c r="AH8" s="51"/>
      <c r="AI8" s="51"/>
      <c r="AJ8" s="50">
        <f t="shared" si="0"/>
        <v>42.000000000000007</v>
      </c>
      <c r="AK8" s="50">
        <v>1</v>
      </c>
      <c r="AL8" s="50">
        <v>1</v>
      </c>
      <c r="AM8" s="50">
        <v>1</v>
      </c>
      <c r="AN8" s="50">
        <v>1</v>
      </c>
      <c r="AO8" s="50">
        <v>0</v>
      </c>
    </row>
    <row r="9" spans="1:41" x14ac:dyDescent="0.25">
      <c r="A9" s="33" t="s">
        <v>68</v>
      </c>
      <c r="B9" s="57">
        <v>33</v>
      </c>
      <c r="C9" s="45" t="s">
        <v>28</v>
      </c>
      <c r="D9" s="57">
        <v>28</v>
      </c>
      <c r="F9" s="33" t="s">
        <v>96</v>
      </c>
      <c r="G9" s="71">
        <v>-122786</v>
      </c>
      <c r="H9" s="45" t="s">
        <v>54</v>
      </c>
      <c r="J9" s="47">
        <v>4</v>
      </c>
      <c r="K9" s="47">
        <v>-5</v>
      </c>
      <c r="L9" s="70" t="s">
        <v>106</v>
      </c>
      <c r="M9" s="49" t="s">
        <v>64</v>
      </c>
      <c r="N9" s="50">
        <v>9.8000000000000007</v>
      </c>
      <c r="O9" s="51"/>
      <c r="P9" s="51"/>
      <c r="Q9" s="50">
        <v>34</v>
      </c>
      <c r="R9" s="50">
        <f t="shared" si="1"/>
        <v>29</v>
      </c>
      <c r="S9" s="50">
        <v>1.6</v>
      </c>
      <c r="T9" s="50">
        <v>0</v>
      </c>
      <c r="U9" s="52"/>
      <c r="V9" s="52"/>
      <c r="W9" s="50">
        <v>0.5</v>
      </c>
      <c r="X9" s="50">
        <v>22500</v>
      </c>
      <c r="Y9" s="50">
        <v>0</v>
      </c>
      <c r="Z9" s="50">
        <f t="shared" ref="Z9:Z11" si="3">VLOOKUP(R9,$AE$39:$AF$59,2)</f>
        <v>92.999999999999972</v>
      </c>
      <c r="AA9" s="53"/>
      <c r="AB9" s="50">
        <f t="shared" si="2"/>
        <v>8640</v>
      </c>
      <c r="AC9" s="51"/>
      <c r="AD9" s="51"/>
      <c r="AE9" s="51"/>
      <c r="AF9" s="51"/>
      <c r="AG9" s="51"/>
      <c r="AH9" s="51"/>
      <c r="AI9" s="51"/>
      <c r="AJ9" s="50">
        <f t="shared" si="0"/>
        <v>36.000000000000007</v>
      </c>
      <c r="AK9" s="50">
        <v>1</v>
      </c>
      <c r="AL9" s="50">
        <v>1</v>
      </c>
      <c r="AM9" s="50">
        <v>1</v>
      </c>
      <c r="AN9" s="50">
        <v>1</v>
      </c>
      <c r="AO9" s="50">
        <v>0</v>
      </c>
    </row>
    <row r="10" spans="1:41" s="56" customFormat="1" x14ac:dyDescent="0.25">
      <c r="A10" s="56" t="s">
        <v>69</v>
      </c>
      <c r="B10" s="58">
        <v>33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/>
      <c r="J10" s="47">
        <v>5</v>
      </c>
      <c r="K10" s="47">
        <v>-17</v>
      </c>
      <c r="L10" s="33" t="s">
        <v>107</v>
      </c>
      <c r="M10" s="49" t="s">
        <v>65</v>
      </c>
      <c r="N10" s="50">
        <v>8.6</v>
      </c>
      <c r="O10" s="51">
        <v>89.5</v>
      </c>
      <c r="P10" s="51">
        <v>5.3</v>
      </c>
      <c r="Q10" s="50"/>
      <c r="R10" s="50"/>
      <c r="S10" s="50"/>
      <c r="T10" s="50"/>
      <c r="U10" s="52">
        <v>1.7999999999999999E-2</v>
      </c>
      <c r="V10" s="52">
        <v>0</v>
      </c>
      <c r="W10" s="50"/>
      <c r="X10" s="50"/>
      <c r="Y10" s="50"/>
      <c r="Z10" s="50"/>
      <c r="AA10" s="53"/>
      <c r="AB10" s="50"/>
      <c r="AC10" s="51">
        <v>85730</v>
      </c>
      <c r="AD10" s="51">
        <v>6777</v>
      </c>
      <c r="AE10" s="51">
        <v>0.46</v>
      </c>
      <c r="AF10" s="51">
        <v>0</v>
      </c>
      <c r="AG10" s="51">
        <v>0</v>
      </c>
      <c r="AH10" s="51">
        <v>0</v>
      </c>
      <c r="AI10" s="51">
        <v>0</v>
      </c>
      <c r="AJ10" s="50"/>
      <c r="AK10" s="50">
        <v>1</v>
      </c>
      <c r="AL10" s="50">
        <v>1</v>
      </c>
      <c r="AM10" s="50">
        <v>1</v>
      </c>
      <c r="AN10" s="50">
        <v>1</v>
      </c>
      <c r="AO10" s="50">
        <v>0</v>
      </c>
    </row>
    <row r="11" spans="1:41" x14ac:dyDescent="0.25">
      <c r="A11" s="33" t="s">
        <v>70</v>
      </c>
      <c r="B11" s="57">
        <v>0.5</v>
      </c>
      <c r="C11" s="45" t="s">
        <v>28</v>
      </c>
      <c r="F11" s="33" t="s">
        <v>52</v>
      </c>
      <c r="G11" s="71">
        <v>0</v>
      </c>
      <c r="H11" s="45" t="s">
        <v>53</v>
      </c>
      <c r="J11" s="47">
        <v>6</v>
      </c>
      <c r="K11" s="47">
        <v>-27</v>
      </c>
      <c r="L11" s="33" t="s">
        <v>106</v>
      </c>
      <c r="M11" s="49" t="s">
        <v>64</v>
      </c>
      <c r="N11" s="50">
        <v>8.6999999999999993</v>
      </c>
      <c r="O11" s="51"/>
      <c r="P11" s="51"/>
      <c r="Q11" s="50">
        <v>34</v>
      </c>
      <c r="R11" s="50">
        <f t="shared" si="1"/>
        <v>29</v>
      </c>
      <c r="S11" s="50">
        <v>0.8</v>
      </c>
      <c r="T11" s="50">
        <v>0</v>
      </c>
      <c r="U11" s="52"/>
      <c r="V11" s="52"/>
      <c r="W11" s="50">
        <v>0.5</v>
      </c>
      <c r="X11" s="50">
        <v>28900</v>
      </c>
      <c r="Y11" s="50">
        <v>0</v>
      </c>
      <c r="Z11" s="50">
        <f t="shared" si="3"/>
        <v>92.999999999999972</v>
      </c>
      <c r="AA11" s="53"/>
      <c r="AB11" s="50">
        <f t="shared" si="2"/>
        <v>8640</v>
      </c>
      <c r="AC11" s="51"/>
      <c r="AD11" s="51"/>
      <c r="AE11" s="51"/>
      <c r="AF11" s="51"/>
      <c r="AG11" s="51"/>
      <c r="AH11" s="51"/>
      <c r="AI11" s="51"/>
      <c r="AJ11" s="50">
        <v>0</v>
      </c>
      <c r="AK11" s="50">
        <v>1</v>
      </c>
      <c r="AL11" s="50">
        <v>1</v>
      </c>
      <c r="AM11" s="50">
        <v>1</v>
      </c>
      <c r="AN11" s="50">
        <v>1</v>
      </c>
      <c r="AO11" s="50">
        <v>0</v>
      </c>
    </row>
    <row r="12" spans="1:41" x14ac:dyDescent="0.25">
      <c r="A12" s="33" t="s">
        <v>74</v>
      </c>
      <c r="B12" s="46">
        <v>5.5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/>
      <c r="J12" s="47">
        <v>7</v>
      </c>
      <c r="K12" s="47">
        <v>-31</v>
      </c>
      <c r="L12" s="33" t="s">
        <v>107</v>
      </c>
      <c r="M12" s="49" t="s">
        <v>65</v>
      </c>
      <c r="N12" s="50">
        <v>9</v>
      </c>
      <c r="O12" s="51">
        <v>163.9</v>
      </c>
      <c r="P12" s="51">
        <v>5.3</v>
      </c>
      <c r="Q12" s="50"/>
      <c r="R12" s="50"/>
      <c r="S12" s="50"/>
      <c r="T12" s="50"/>
      <c r="U12" s="52">
        <v>1.7999999999999999E-2</v>
      </c>
      <c r="V12" s="52">
        <v>0</v>
      </c>
      <c r="W12" s="50"/>
      <c r="X12" s="50"/>
      <c r="Y12" s="50"/>
      <c r="Z12" s="50"/>
      <c r="AA12" s="53"/>
      <c r="AB12" s="50"/>
      <c r="AC12" s="51">
        <v>187000</v>
      </c>
      <c r="AD12" s="51">
        <v>7844</v>
      </c>
      <c r="AE12" s="51">
        <v>0.46</v>
      </c>
      <c r="AF12" s="51">
        <v>0</v>
      </c>
      <c r="AG12" s="51">
        <v>0</v>
      </c>
      <c r="AH12" s="51">
        <v>0</v>
      </c>
      <c r="AI12" s="51">
        <v>0</v>
      </c>
      <c r="AJ12" s="50"/>
      <c r="AK12" s="50">
        <v>1</v>
      </c>
      <c r="AL12" s="50">
        <v>1</v>
      </c>
      <c r="AM12" s="50">
        <v>1</v>
      </c>
      <c r="AN12" s="50">
        <v>1</v>
      </c>
      <c r="AO12" s="50">
        <v>0</v>
      </c>
    </row>
    <row r="13" spans="1:4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J13" s="47"/>
      <c r="K13" s="47"/>
      <c r="M13" s="49"/>
      <c r="N13" s="50"/>
      <c r="O13" s="51"/>
      <c r="P13" s="51"/>
      <c r="Q13" s="50"/>
      <c r="R13" s="50"/>
      <c r="S13" s="50"/>
      <c r="T13" s="50"/>
      <c r="U13" s="52"/>
      <c r="V13" s="52"/>
      <c r="W13" s="50"/>
      <c r="X13" s="50"/>
      <c r="Y13" s="50"/>
      <c r="Z13" s="50"/>
      <c r="AA13" s="53"/>
      <c r="AB13" s="50"/>
      <c r="AC13" s="51"/>
      <c r="AD13" s="51"/>
      <c r="AE13" s="51"/>
      <c r="AF13" s="51"/>
      <c r="AG13" s="51"/>
      <c r="AH13" s="51"/>
      <c r="AI13" s="51"/>
      <c r="AJ13" s="50"/>
      <c r="AK13" s="50"/>
      <c r="AL13" s="50"/>
      <c r="AM13" s="50"/>
      <c r="AN13" s="50"/>
      <c r="AO13" s="50"/>
    </row>
    <row r="14" spans="1:4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J14" s="47"/>
      <c r="K14" s="47"/>
      <c r="M14" s="49"/>
      <c r="N14" s="50"/>
      <c r="O14" s="51"/>
      <c r="P14" s="51"/>
      <c r="Q14" s="50"/>
      <c r="R14" s="50"/>
      <c r="S14" s="50"/>
      <c r="T14" s="50"/>
      <c r="U14" s="52"/>
      <c r="V14" s="52"/>
      <c r="W14" s="50"/>
      <c r="X14" s="50"/>
      <c r="Y14" s="50"/>
      <c r="Z14" s="50"/>
      <c r="AA14" s="53"/>
      <c r="AB14" s="50"/>
      <c r="AC14" s="51"/>
      <c r="AD14" s="51"/>
      <c r="AE14" s="51"/>
      <c r="AF14" s="51"/>
      <c r="AG14" s="51"/>
      <c r="AH14" s="51"/>
      <c r="AI14" s="51"/>
      <c r="AJ14" s="50"/>
      <c r="AK14" s="50"/>
      <c r="AL14" s="50"/>
      <c r="AM14" s="50"/>
      <c r="AN14" s="50"/>
      <c r="AO14" s="50"/>
    </row>
    <row r="15" spans="1:41" x14ac:dyDescent="0.25">
      <c r="A15" s="33" t="s">
        <v>44</v>
      </c>
      <c r="B15" s="61">
        <v>207000000</v>
      </c>
      <c r="C15" s="45" t="s">
        <v>47</v>
      </c>
      <c r="J15" s="47"/>
      <c r="K15" s="47"/>
      <c r="M15" s="49"/>
      <c r="N15" s="50"/>
      <c r="O15" s="51"/>
      <c r="P15" s="51"/>
      <c r="Q15" s="50"/>
      <c r="R15" s="50"/>
      <c r="S15" s="50"/>
      <c r="T15" s="50"/>
      <c r="U15" s="52"/>
      <c r="V15" s="52"/>
      <c r="W15" s="50"/>
      <c r="X15" s="50"/>
      <c r="Y15" s="50"/>
      <c r="Z15" s="50"/>
      <c r="AA15" s="53"/>
      <c r="AB15" s="50"/>
      <c r="AC15" s="51"/>
      <c r="AD15" s="51"/>
      <c r="AE15" s="51"/>
      <c r="AF15" s="51"/>
      <c r="AG15" s="51"/>
      <c r="AH15" s="51"/>
      <c r="AI15" s="51"/>
      <c r="AJ15" s="50"/>
      <c r="AK15" s="50"/>
      <c r="AL15" s="50"/>
      <c r="AM15" s="50"/>
      <c r="AN15" s="50"/>
      <c r="AO15" s="50"/>
    </row>
    <row r="16" spans="1:4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/>
      <c r="J16" s="47"/>
      <c r="K16" s="47"/>
      <c r="M16" s="49"/>
      <c r="N16" s="50"/>
      <c r="O16" s="51"/>
      <c r="P16" s="51"/>
      <c r="Q16" s="50"/>
      <c r="R16" s="50"/>
      <c r="S16" s="50"/>
      <c r="T16" s="50"/>
      <c r="U16" s="52"/>
      <c r="V16" s="52"/>
      <c r="W16" s="50"/>
      <c r="X16" s="50"/>
      <c r="Y16" s="50"/>
      <c r="Z16" s="50"/>
      <c r="AA16" s="53"/>
      <c r="AB16" s="50"/>
      <c r="AC16" s="51"/>
      <c r="AD16" s="51"/>
      <c r="AE16" s="51"/>
      <c r="AF16" s="51"/>
      <c r="AG16" s="51"/>
      <c r="AH16" s="51"/>
      <c r="AI16" s="51"/>
      <c r="AJ16" s="50"/>
      <c r="AK16" s="50"/>
      <c r="AL16" s="50"/>
      <c r="AM16" s="50"/>
      <c r="AN16" s="50"/>
      <c r="AO16" s="50"/>
    </row>
    <row r="17" spans="1:41" s="56" customFormat="1" x14ac:dyDescent="0.25">
      <c r="A17" s="33" t="s">
        <v>98</v>
      </c>
      <c r="B17" s="57">
        <v>0.53</v>
      </c>
      <c r="C17" s="45"/>
      <c r="D17" s="38"/>
      <c r="E17" s="38"/>
      <c r="J17" s="47"/>
      <c r="K17" s="47"/>
      <c r="L17" s="33"/>
      <c r="M17" s="49"/>
      <c r="N17" s="50"/>
      <c r="O17" s="51"/>
      <c r="P17" s="51"/>
      <c r="Q17" s="50"/>
      <c r="R17" s="50"/>
      <c r="S17" s="50"/>
      <c r="T17" s="50"/>
      <c r="U17" s="52"/>
      <c r="V17" s="52"/>
      <c r="W17" s="50"/>
      <c r="X17" s="50"/>
      <c r="Y17" s="50"/>
      <c r="Z17" s="50"/>
      <c r="AA17" s="53"/>
      <c r="AB17" s="50"/>
      <c r="AC17" s="51"/>
      <c r="AD17" s="51"/>
      <c r="AE17" s="51"/>
      <c r="AF17" s="51"/>
      <c r="AG17" s="51"/>
      <c r="AH17" s="51"/>
      <c r="AI17" s="51"/>
      <c r="AJ17" s="50"/>
      <c r="AK17" s="50"/>
      <c r="AL17" s="50"/>
      <c r="AM17" s="50"/>
      <c r="AN17" s="50"/>
      <c r="AO17" s="50"/>
    </row>
    <row r="18" spans="1:41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L18" s="48"/>
      <c r="M18" s="49" t="s">
        <v>94</v>
      </c>
      <c r="N18" s="47"/>
      <c r="O18" s="63"/>
      <c r="P18" s="47"/>
      <c r="Q18" s="47"/>
      <c r="R18" s="64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</row>
    <row r="19" spans="1:41" x14ac:dyDescent="0.25">
      <c r="A19" s="38" t="s">
        <v>38</v>
      </c>
      <c r="B19" s="38" t="s">
        <v>30</v>
      </c>
      <c r="C19" s="38" t="s">
        <v>59</v>
      </c>
      <c r="D19" s="43"/>
      <c r="E19" s="35"/>
      <c r="L19" s="48"/>
      <c r="M19" s="49" t="s">
        <v>94</v>
      </c>
      <c r="N19" s="47"/>
      <c r="O19" s="50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</row>
    <row r="20" spans="1:41" x14ac:dyDescent="0.25">
      <c r="A20" s="66">
        <v>1</v>
      </c>
      <c r="B20" s="66">
        <v>0</v>
      </c>
      <c r="C20" s="67">
        <v>0.09</v>
      </c>
      <c r="D20" s="43"/>
      <c r="L20" s="48"/>
      <c r="M20" s="49" t="s">
        <v>94</v>
      </c>
      <c r="N20" s="47"/>
      <c r="O20" s="50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</row>
    <row r="21" spans="1:41" x14ac:dyDescent="0.25">
      <c r="A21" s="66"/>
      <c r="B21" s="66"/>
      <c r="C21" s="67"/>
      <c r="D21" s="43"/>
      <c r="L21" s="48"/>
      <c r="M21" s="49" t="s">
        <v>94</v>
      </c>
      <c r="N21" s="47"/>
      <c r="O21" s="50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</row>
    <row r="22" spans="1:41" x14ac:dyDescent="0.25">
      <c r="A22" s="66"/>
      <c r="B22" s="66"/>
      <c r="C22" s="67"/>
      <c r="D22" s="35"/>
      <c r="L22" s="48"/>
      <c r="M22" s="49" t="s">
        <v>94</v>
      </c>
      <c r="N22" s="47"/>
      <c r="O22" s="50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</row>
    <row r="23" spans="1:41" x14ac:dyDescent="0.25">
      <c r="A23" s="66"/>
      <c r="B23" s="66"/>
      <c r="C23" s="67"/>
      <c r="D23" s="35"/>
      <c r="L23" s="48"/>
      <c r="M23" s="49" t="s">
        <v>94</v>
      </c>
      <c r="N23" s="47"/>
      <c r="O23" s="50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</row>
    <row r="24" spans="1:41" x14ac:dyDescent="0.25">
      <c r="A24" s="66"/>
      <c r="B24" s="66"/>
      <c r="C24" s="67"/>
      <c r="D24" s="35"/>
      <c r="L24" s="48"/>
      <c r="M24" s="49" t="s">
        <v>94</v>
      </c>
      <c r="N24" s="47"/>
      <c r="O24" s="50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</row>
    <row r="25" spans="1:41" x14ac:dyDescent="0.25">
      <c r="A25" s="66"/>
      <c r="B25" s="66"/>
      <c r="C25" s="67"/>
      <c r="D25" s="35"/>
      <c r="L25" s="48"/>
      <c r="M25" s="49" t="s">
        <v>94</v>
      </c>
      <c r="N25" s="47"/>
      <c r="O25" s="50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</row>
    <row r="26" spans="1:41" x14ac:dyDescent="0.25">
      <c r="A26" s="66"/>
      <c r="B26" s="66"/>
      <c r="C26" s="67"/>
      <c r="D26" s="35"/>
      <c r="L26" s="48"/>
      <c r="M26" s="49" t="s">
        <v>94</v>
      </c>
      <c r="N26" s="47"/>
      <c r="O26" s="50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</row>
    <row r="27" spans="1:41" x14ac:dyDescent="0.25">
      <c r="A27" s="66"/>
      <c r="B27" s="66"/>
      <c r="C27" s="67"/>
      <c r="D27" s="35"/>
      <c r="L27" s="48"/>
      <c r="M27" s="49" t="s">
        <v>94</v>
      </c>
      <c r="N27" s="47"/>
      <c r="O27" s="50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</row>
    <row r="28" spans="1:41" x14ac:dyDescent="0.25">
      <c r="A28" s="66"/>
      <c r="B28" s="66"/>
      <c r="C28" s="67"/>
      <c r="D28" s="35"/>
      <c r="L28" s="48"/>
      <c r="M28" s="49" t="s">
        <v>94</v>
      </c>
      <c r="N28" s="47"/>
      <c r="O28" s="50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</row>
    <row r="29" spans="1:41" x14ac:dyDescent="0.25">
      <c r="A29" s="66"/>
      <c r="B29" s="66"/>
      <c r="C29" s="67"/>
      <c r="D29" s="35"/>
      <c r="L29" s="48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</row>
    <row r="30" spans="1:41" x14ac:dyDescent="0.25">
      <c r="A30" s="66"/>
      <c r="B30" s="66"/>
      <c r="C30" s="67"/>
      <c r="D30" s="35"/>
      <c r="L30" s="48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</row>
    <row r="31" spans="1:41" x14ac:dyDescent="0.25">
      <c r="A31" s="66"/>
      <c r="B31" s="66"/>
      <c r="C31" s="67"/>
      <c r="D31" s="35"/>
      <c r="L31" s="48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</row>
    <row r="32" spans="1:41" x14ac:dyDescent="0.25">
      <c r="A32" s="66"/>
      <c r="B32" s="66"/>
      <c r="C32" s="67"/>
      <c r="D32" s="35"/>
      <c r="L32" s="48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</row>
    <row r="33" spans="1:40" x14ac:dyDescent="0.25">
      <c r="A33" s="66"/>
      <c r="B33" s="66"/>
      <c r="C33" s="67"/>
      <c r="D33" s="35"/>
      <c r="L33" s="48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</row>
    <row r="34" spans="1:40" x14ac:dyDescent="0.25">
      <c r="L34" s="48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</row>
    <row r="35" spans="1:40" x14ac:dyDescent="0.25">
      <c r="L35" s="48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</row>
    <row r="36" spans="1:40" x14ac:dyDescent="0.25">
      <c r="L36" s="48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</row>
    <row r="37" spans="1:40" x14ac:dyDescent="0.25">
      <c r="L37" s="48"/>
      <c r="AE37" s="47"/>
      <c r="AF37" s="47" t="s">
        <v>104</v>
      </c>
      <c r="AG37" s="47" t="s">
        <v>105</v>
      </c>
      <c r="AH37" s="47" t="s">
        <v>66</v>
      </c>
    </row>
    <row r="38" spans="1:40" x14ac:dyDescent="0.25">
      <c r="L38" s="48"/>
      <c r="AE38" s="33" t="s">
        <v>99</v>
      </c>
      <c r="AF38" s="33" t="s">
        <v>100</v>
      </c>
      <c r="AG38" s="33" t="s">
        <v>101</v>
      </c>
    </row>
    <row r="39" spans="1:40" x14ac:dyDescent="0.25">
      <c r="L39" s="48"/>
      <c r="AE39" s="33">
        <v>15</v>
      </c>
      <c r="AF39" s="33">
        <v>48</v>
      </c>
      <c r="AG39" s="33">
        <v>1900</v>
      </c>
      <c r="AH39" s="33">
        <v>8</v>
      </c>
    </row>
    <row r="40" spans="1:40" x14ac:dyDescent="0.25">
      <c r="L40" s="48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0" x14ac:dyDescent="0.25">
      <c r="L41" s="48"/>
      <c r="AE41" s="33">
        <v>17</v>
      </c>
      <c r="AF41" s="33">
        <f t="shared" ref="AF41:AF44" si="4">AF40+3.8</f>
        <v>55.599999999999994</v>
      </c>
      <c r="AG41" s="33">
        <f t="shared" ref="AG41:AG43" si="5">AG40+200</f>
        <v>2300</v>
      </c>
      <c r="AH41" s="33">
        <f t="shared" ref="AH41:AH44" si="6">AH40+0.8</f>
        <v>9.6000000000000014</v>
      </c>
    </row>
    <row r="42" spans="1:40" x14ac:dyDescent="0.25">
      <c r="L42" s="48"/>
      <c r="AE42" s="33">
        <v>18</v>
      </c>
      <c r="AF42" s="33">
        <f t="shared" si="4"/>
        <v>59.399999999999991</v>
      </c>
      <c r="AG42" s="33">
        <f t="shared" si="5"/>
        <v>2500</v>
      </c>
      <c r="AH42" s="33">
        <f t="shared" si="6"/>
        <v>10.400000000000002</v>
      </c>
    </row>
    <row r="43" spans="1:40" x14ac:dyDescent="0.25">
      <c r="L43" s="48"/>
      <c r="AE43" s="33">
        <v>19</v>
      </c>
      <c r="AF43" s="33">
        <f t="shared" si="4"/>
        <v>63.199999999999989</v>
      </c>
      <c r="AG43" s="33">
        <f t="shared" si="5"/>
        <v>2700</v>
      </c>
      <c r="AH43" s="33">
        <f t="shared" si="6"/>
        <v>11.200000000000003</v>
      </c>
    </row>
    <row r="44" spans="1:40" x14ac:dyDescent="0.25">
      <c r="L44" s="48"/>
      <c r="AE44" s="33">
        <v>20</v>
      </c>
      <c r="AF44" s="33">
        <f t="shared" si="4"/>
        <v>66.999999999999986</v>
      </c>
      <c r="AG44" s="33">
        <f>AG43+200</f>
        <v>2900</v>
      </c>
      <c r="AH44" s="33">
        <f t="shared" si="6"/>
        <v>12.000000000000004</v>
      </c>
    </row>
    <row r="45" spans="1:40" x14ac:dyDescent="0.25">
      <c r="L45" s="48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0" x14ac:dyDescent="0.25">
      <c r="L46" s="48"/>
      <c r="AE46" s="33">
        <v>22</v>
      </c>
      <c r="AF46" s="33">
        <f t="shared" ref="AF46:AF49" si="7">AF45+2.8</f>
        <v>72.59999999999998</v>
      </c>
      <c r="AG46" s="33">
        <f t="shared" ref="AG46:AG48" si="8">AG45+380</f>
        <v>3660</v>
      </c>
      <c r="AH46" s="33">
        <f t="shared" ref="AH46:AH49" si="9">AH45+1.6</f>
        <v>15.200000000000003</v>
      </c>
    </row>
    <row r="47" spans="1:40" x14ac:dyDescent="0.25">
      <c r="L47" s="48"/>
      <c r="AE47" s="33">
        <v>23</v>
      </c>
      <c r="AF47" s="33">
        <f t="shared" si="7"/>
        <v>75.399999999999977</v>
      </c>
      <c r="AG47" s="33">
        <f t="shared" si="8"/>
        <v>4040</v>
      </c>
      <c r="AH47" s="33">
        <f t="shared" si="9"/>
        <v>16.800000000000004</v>
      </c>
    </row>
    <row r="48" spans="1:40" x14ac:dyDescent="0.25">
      <c r="L48" s="48"/>
      <c r="AE48" s="33">
        <v>24</v>
      </c>
      <c r="AF48" s="33">
        <f t="shared" si="7"/>
        <v>78.199999999999974</v>
      </c>
      <c r="AG48" s="33">
        <f t="shared" si="8"/>
        <v>4420</v>
      </c>
      <c r="AH48" s="33">
        <f t="shared" si="9"/>
        <v>18.400000000000006</v>
      </c>
    </row>
    <row r="49" spans="12:34" x14ac:dyDescent="0.25">
      <c r="L49" s="48"/>
      <c r="AE49" s="33">
        <v>25</v>
      </c>
      <c r="AF49" s="33">
        <f t="shared" si="7"/>
        <v>80.999999999999972</v>
      </c>
      <c r="AG49" s="33">
        <v>4800</v>
      </c>
      <c r="AH49" s="33">
        <f t="shared" si="9"/>
        <v>20.000000000000007</v>
      </c>
    </row>
    <row r="50" spans="12:34" x14ac:dyDescent="0.25">
      <c r="L50" s="48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8"/>
      <c r="AE51" s="33">
        <v>27</v>
      </c>
      <c r="AF51" s="33">
        <f t="shared" ref="AF51:AF54" si="10">AF50+3</f>
        <v>86.999999999999972</v>
      </c>
      <c r="AG51" s="33">
        <f t="shared" ref="AG51:AG54" si="11">AG50+960</f>
        <v>6720</v>
      </c>
      <c r="AH51" s="33">
        <f t="shared" ref="AH51:AH54" si="12">AH50+4</f>
        <v>28.000000000000007</v>
      </c>
    </row>
    <row r="52" spans="12:34" x14ac:dyDescent="0.25">
      <c r="L52" s="48"/>
      <c r="AE52" s="33">
        <v>28</v>
      </c>
      <c r="AF52" s="33">
        <f t="shared" si="10"/>
        <v>89.999999999999972</v>
      </c>
      <c r="AG52" s="33">
        <f t="shared" si="11"/>
        <v>7680</v>
      </c>
      <c r="AH52" s="33">
        <f t="shared" si="12"/>
        <v>32.000000000000007</v>
      </c>
    </row>
    <row r="53" spans="12:34" x14ac:dyDescent="0.25">
      <c r="L53" s="48"/>
      <c r="AE53" s="33">
        <v>29</v>
      </c>
      <c r="AF53" s="33">
        <f t="shared" si="10"/>
        <v>92.999999999999972</v>
      </c>
      <c r="AG53" s="33">
        <f t="shared" si="11"/>
        <v>8640</v>
      </c>
      <c r="AH53" s="33">
        <f t="shared" si="12"/>
        <v>36.000000000000007</v>
      </c>
    </row>
    <row r="54" spans="12:34" x14ac:dyDescent="0.25">
      <c r="L54" s="48"/>
      <c r="AE54" s="33">
        <v>30</v>
      </c>
      <c r="AF54" s="33">
        <f t="shared" si="10"/>
        <v>95.999999999999972</v>
      </c>
      <c r="AG54" s="33">
        <f t="shared" si="11"/>
        <v>9600</v>
      </c>
      <c r="AH54" s="33">
        <f t="shared" si="12"/>
        <v>40.000000000000007</v>
      </c>
    </row>
    <row r="55" spans="12:34" x14ac:dyDescent="0.25">
      <c r="L55" s="48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8"/>
      <c r="AE56" s="33">
        <v>32</v>
      </c>
      <c r="AF56" s="33">
        <f t="shared" ref="AF56:AF59" si="13">AF55+3.8</f>
        <v>103.59999999999997</v>
      </c>
      <c r="AG56" s="33">
        <f t="shared" ref="AG56:AG59" si="14">AG55+480</f>
        <v>10560</v>
      </c>
      <c r="AH56" s="33">
        <f t="shared" ref="AH56:AH59" si="15">AH55+2</f>
        <v>44.000000000000007</v>
      </c>
    </row>
    <row r="57" spans="12:34" x14ac:dyDescent="0.25">
      <c r="L57" s="48"/>
      <c r="AE57" s="33">
        <v>33</v>
      </c>
      <c r="AF57" s="33">
        <f t="shared" si="13"/>
        <v>107.39999999999996</v>
      </c>
      <c r="AG57" s="33">
        <f t="shared" si="14"/>
        <v>11040</v>
      </c>
      <c r="AH57" s="33">
        <f t="shared" si="15"/>
        <v>46.000000000000007</v>
      </c>
    </row>
    <row r="58" spans="12:34" x14ac:dyDescent="0.25">
      <c r="L58" s="48"/>
      <c r="AE58" s="33">
        <v>34</v>
      </c>
      <c r="AF58" s="33">
        <f t="shared" si="13"/>
        <v>111.19999999999996</v>
      </c>
      <c r="AG58" s="33">
        <f t="shared" si="14"/>
        <v>11520</v>
      </c>
      <c r="AH58" s="33">
        <f t="shared" si="15"/>
        <v>48.000000000000007</v>
      </c>
    </row>
    <row r="59" spans="12:34" x14ac:dyDescent="0.25">
      <c r="L59" s="48"/>
      <c r="AE59" s="33">
        <v>35</v>
      </c>
      <c r="AF59" s="33">
        <f t="shared" si="13"/>
        <v>114.99999999999996</v>
      </c>
      <c r="AG59" s="33">
        <f t="shared" si="14"/>
        <v>12000</v>
      </c>
      <c r="AH59" s="33">
        <f t="shared" si="15"/>
        <v>50.000000000000007</v>
      </c>
    </row>
    <row r="60" spans="12:34" x14ac:dyDescent="0.25">
      <c r="L60" s="48"/>
      <c r="AE60" s="33">
        <v>36</v>
      </c>
    </row>
    <row r="61" spans="12:34" x14ac:dyDescent="0.25">
      <c r="L61" s="48"/>
      <c r="AE61" s="33">
        <v>37</v>
      </c>
    </row>
    <row r="62" spans="12:34" x14ac:dyDescent="0.25">
      <c r="L62" s="48"/>
    </row>
    <row r="63" spans="12:34" x14ac:dyDescent="0.25">
      <c r="L63" s="48"/>
    </row>
    <row r="64" spans="12:34" x14ac:dyDescent="0.25">
      <c r="L64" s="48"/>
    </row>
    <row r="65" spans="12:12" x14ac:dyDescent="0.25">
      <c r="L65" s="48"/>
    </row>
    <row r="66" spans="12:12" x14ac:dyDescent="0.25">
      <c r="L66" s="48"/>
    </row>
    <row r="67" spans="12:12" x14ac:dyDescent="0.25">
      <c r="L67" s="48"/>
    </row>
    <row r="68" spans="12:12" x14ac:dyDescent="0.25">
      <c r="L68" s="48"/>
    </row>
    <row r="69" spans="12:12" x14ac:dyDescent="0.25">
      <c r="L69" s="48"/>
    </row>
    <row r="70" spans="12:12" x14ac:dyDescent="0.25">
      <c r="L70" s="48"/>
    </row>
    <row r="71" spans="12:12" x14ac:dyDescent="0.25">
      <c r="L71" s="48"/>
    </row>
    <row r="72" spans="12:12" x14ac:dyDescent="0.25">
      <c r="L72" s="48"/>
    </row>
    <row r="73" spans="12:12" x14ac:dyDescent="0.25">
      <c r="L73" s="48"/>
    </row>
    <row r="74" spans="12:12" x14ac:dyDescent="0.25">
      <c r="L74" s="48"/>
    </row>
    <row r="75" spans="12:12" x14ac:dyDescent="0.25">
      <c r="L75" s="48"/>
    </row>
    <row r="76" spans="12:12" x14ac:dyDescent="0.25">
      <c r="L76" s="48"/>
    </row>
    <row r="77" spans="12:12" x14ac:dyDescent="0.25">
      <c r="L77" s="48"/>
    </row>
    <row r="78" spans="12:12" x14ac:dyDescent="0.25">
      <c r="L78" s="48"/>
    </row>
    <row r="79" spans="12:12" x14ac:dyDescent="0.25">
      <c r="L79" s="48"/>
    </row>
    <row r="80" spans="12:12" x14ac:dyDescent="0.25">
      <c r="L80" s="48"/>
    </row>
    <row r="81" spans="12:12" x14ac:dyDescent="0.25">
      <c r="L81" s="48"/>
    </row>
    <row r="82" spans="12:12" x14ac:dyDescent="0.25">
      <c r="L82" s="48"/>
    </row>
    <row r="83" spans="12:12" x14ac:dyDescent="0.25">
      <c r="L83" s="48"/>
    </row>
    <row r="84" spans="12:12" x14ac:dyDescent="0.25">
      <c r="L84" s="48"/>
    </row>
    <row r="85" spans="12:12" x14ac:dyDescent="0.25">
      <c r="L85" s="48"/>
    </row>
    <row r="86" spans="12:12" x14ac:dyDescent="0.25">
      <c r="L86" s="48"/>
    </row>
    <row r="87" spans="12:12" x14ac:dyDescent="0.25">
      <c r="L87" s="48"/>
    </row>
    <row r="88" spans="12:12" x14ac:dyDescent="0.25">
      <c r="L88" s="48"/>
    </row>
    <row r="89" spans="12:12" x14ac:dyDescent="0.25">
      <c r="L89" s="48"/>
    </row>
    <row r="90" spans="12:12" x14ac:dyDescent="0.25">
      <c r="L90" s="48"/>
    </row>
    <row r="91" spans="12:12" x14ac:dyDescent="0.25">
      <c r="L91" s="48"/>
    </row>
    <row r="92" spans="12:12" x14ac:dyDescent="0.25">
      <c r="L92" s="48"/>
    </row>
    <row r="93" spans="12:12" x14ac:dyDescent="0.25">
      <c r="L93" s="48"/>
    </row>
    <row r="94" spans="12:12" x14ac:dyDescent="0.25">
      <c r="L94" s="48"/>
    </row>
    <row r="95" spans="12:12" x14ac:dyDescent="0.25">
      <c r="L95" s="48"/>
    </row>
    <row r="96" spans="12:12" x14ac:dyDescent="0.25">
      <c r="L96" s="48"/>
    </row>
    <row r="97" spans="12:12" x14ac:dyDescent="0.25">
      <c r="L97" s="48"/>
    </row>
    <row r="98" spans="12:12" x14ac:dyDescent="0.25">
      <c r="L98" s="48"/>
    </row>
    <row r="99" spans="12:12" x14ac:dyDescent="0.25">
      <c r="L99" s="48"/>
    </row>
    <row r="100" spans="12:12" x14ac:dyDescent="0.25">
      <c r="L100" s="48"/>
    </row>
    <row r="101" spans="12:12" x14ac:dyDescent="0.25">
      <c r="L101" s="48"/>
    </row>
    <row r="102" spans="12:12" x14ac:dyDescent="0.25">
      <c r="L102" s="48"/>
    </row>
    <row r="103" spans="12:12" x14ac:dyDescent="0.25">
      <c r="L103" s="48"/>
    </row>
    <row r="104" spans="12:12" x14ac:dyDescent="0.25">
      <c r="L104" s="48"/>
    </row>
    <row r="105" spans="12:12" x14ac:dyDescent="0.25">
      <c r="L105" s="48"/>
    </row>
    <row r="106" spans="12:12" x14ac:dyDescent="0.25">
      <c r="L106" s="48"/>
    </row>
    <row r="107" spans="12:12" x14ac:dyDescent="0.25">
      <c r="L107" s="48"/>
    </row>
    <row r="108" spans="12:12" x14ac:dyDescent="0.25">
      <c r="L108" s="48"/>
    </row>
    <row r="109" spans="12:12" x14ac:dyDescent="0.25">
      <c r="L109" s="48"/>
    </row>
    <row r="110" spans="12:12" x14ac:dyDescent="0.25">
      <c r="L110" s="48"/>
    </row>
    <row r="111" spans="12:12" x14ac:dyDescent="0.25">
      <c r="L111" s="48"/>
    </row>
    <row r="112" spans="12:12" x14ac:dyDescent="0.25">
      <c r="L112" s="48"/>
    </row>
    <row r="113" spans="12:12" x14ac:dyDescent="0.25">
      <c r="L113" s="48"/>
    </row>
    <row r="114" spans="12:12" x14ac:dyDescent="0.25">
      <c r="L114" s="48"/>
    </row>
    <row r="115" spans="12:12" x14ac:dyDescent="0.25">
      <c r="L115" s="48"/>
    </row>
    <row r="116" spans="12:12" x14ac:dyDescent="0.25">
      <c r="L116" s="48"/>
    </row>
    <row r="117" spans="12:12" x14ac:dyDescent="0.25">
      <c r="L117" s="48"/>
    </row>
    <row r="118" spans="12:12" x14ac:dyDescent="0.25">
      <c r="L118" s="48"/>
    </row>
    <row r="119" spans="12:12" x14ac:dyDescent="0.25">
      <c r="L119" s="48"/>
    </row>
    <row r="120" spans="12:12" x14ac:dyDescent="0.25">
      <c r="L120" s="48"/>
    </row>
    <row r="121" spans="12:12" x14ac:dyDescent="0.25">
      <c r="L121" s="48"/>
    </row>
    <row r="122" spans="12:12" x14ac:dyDescent="0.25">
      <c r="L122" s="48"/>
    </row>
    <row r="123" spans="12:12" x14ac:dyDescent="0.25">
      <c r="L123" s="48"/>
    </row>
    <row r="124" spans="12:12" x14ac:dyDescent="0.25">
      <c r="L124" s="48"/>
    </row>
    <row r="125" spans="12:12" x14ac:dyDescent="0.25">
      <c r="L125" s="48"/>
    </row>
    <row r="126" spans="12:12" x14ac:dyDescent="0.25">
      <c r="L126" s="48"/>
    </row>
    <row r="127" spans="12:12" x14ac:dyDescent="0.25">
      <c r="L127" s="48"/>
    </row>
    <row r="128" spans="12:12" x14ac:dyDescent="0.25">
      <c r="L128" s="48"/>
    </row>
    <row r="129" spans="12:12" x14ac:dyDescent="0.25">
      <c r="L129" s="48"/>
    </row>
    <row r="130" spans="12:12" x14ac:dyDescent="0.25">
      <c r="L130" s="48"/>
    </row>
    <row r="131" spans="12:12" x14ac:dyDescent="0.25">
      <c r="L131" s="48"/>
    </row>
    <row r="132" spans="12:12" x14ac:dyDescent="0.25">
      <c r="L132" s="48"/>
    </row>
    <row r="133" spans="12:12" x14ac:dyDescent="0.25">
      <c r="L133" s="48"/>
    </row>
    <row r="134" spans="12:12" x14ac:dyDescent="0.25">
      <c r="L134" s="48"/>
    </row>
    <row r="135" spans="12:12" x14ac:dyDescent="0.25">
      <c r="L135" s="48"/>
    </row>
    <row r="136" spans="12:12" x14ac:dyDescent="0.25">
      <c r="L136" s="48"/>
    </row>
    <row r="137" spans="12:12" x14ac:dyDescent="0.25">
      <c r="L137" s="48"/>
    </row>
    <row r="138" spans="12:12" x14ac:dyDescent="0.25">
      <c r="L138" s="48"/>
    </row>
    <row r="139" spans="12:12" x14ac:dyDescent="0.25">
      <c r="L139" s="48"/>
    </row>
    <row r="140" spans="12:12" x14ac:dyDescent="0.25">
      <c r="L140" s="48"/>
    </row>
    <row r="141" spans="12:12" x14ac:dyDescent="0.25">
      <c r="L141" s="48"/>
    </row>
    <row r="142" spans="12:12" x14ac:dyDescent="0.25">
      <c r="L142" s="48"/>
    </row>
    <row r="143" spans="12:12" x14ac:dyDescent="0.25">
      <c r="L143" s="48"/>
    </row>
    <row r="144" spans="12:12" x14ac:dyDescent="0.25">
      <c r="L144" s="48"/>
    </row>
    <row r="145" spans="12:12" x14ac:dyDescent="0.25">
      <c r="L145" s="48"/>
    </row>
    <row r="146" spans="12:12" x14ac:dyDescent="0.25">
      <c r="L146" s="48"/>
    </row>
    <row r="147" spans="12:12" x14ac:dyDescent="0.25">
      <c r="L147" s="48"/>
    </row>
    <row r="148" spans="12:12" x14ac:dyDescent="0.25">
      <c r="L148" s="48"/>
    </row>
    <row r="149" spans="12:12" x14ac:dyDescent="0.25">
      <c r="L149" s="48"/>
    </row>
    <row r="150" spans="12:12" x14ac:dyDescent="0.25">
      <c r="L150" s="48"/>
    </row>
    <row r="151" spans="12:12" x14ac:dyDescent="0.25">
      <c r="L151" s="48"/>
    </row>
    <row r="152" spans="12:12" x14ac:dyDescent="0.25">
      <c r="L152" s="48"/>
    </row>
    <row r="153" spans="12:12" x14ac:dyDescent="0.25">
      <c r="L153" s="48"/>
    </row>
    <row r="154" spans="12:12" x14ac:dyDescent="0.25">
      <c r="L154" s="48"/>
    </row>
    <row r="155" spans="12:12" x14ac:dyDescent="0.25">
      <c r="L155" s="48"/>
    </row>
    <row r="156" spans="12:12" x14ac:dyDescent="0.25">
      <c r="L156" s="48"/>
    </row>
    <row r="157" spans="12:12" x14ac:dyDescent="0.25">
      <c r="L157" s="48"/>
    </row>
    <row r="158" spans="12:12" x14ac:dyDescent="0.25">
      <c r="L158" s="48"/>
    </row>
    <row r="159" spans="12:12" x14ac:dyDescent="0.25">
      <c r="L159" s="48"/>
    </row>
    <row r="160" spans="12:12" x14ac:dyDescent="0.25">
      <c r="L160" s="48"/>
    </row>
    <row r="161" spans="12:12" x14ac:dyDescent="0.25">
      <c r="L161" s="48"/>
    </row>
    <row r="162" spans="12:12" x14ac:dyDescent="0.25">
      <c r="L162" s="48"/>
    </row>
    <row r="163" spans="12:12" x14ac:dyDescent="0.25">
      <c r="L163" s="48"/>
    </row>
    <row r="164" spans="12:12" x14ac:dyDescent="0.25">
      <c r="L164" s="48"/>
    </row>
    <row r="165" spans="12:12" x14ac:dyDescent="0.25">
      <c r="L165" s="48"/>
    </row>
    <row r="166" spans="12:12" x14ac:dyDescent="0.25">
      <c r="L166" s="48"/>
    </row>
    <row r="167" spans="12:12" x14ac:dyDescent="0.25">
      <c r="L167" s="48"/>
    </row>
    <row r="168" spans="12:12" x14ac:dyDescent="0.25">
      <c r="L168" s="48"/>
    </row>
    <row r="169" spans="12:12" x14ac:dyDescent="0.25">
      <c r="L169" s="48"/>
    </row>
    <row r="170" spans="12:12" x14ac:dyDescent="0.25">
      <c r="L170" s="48"/>
    </row>
    <row r="171" spans="12:12" x14ac:dyDescent="0.25">
      <c r="L171" s="48"/>
    </row>
    <row r="172" spans="12:12" x14ac:dyDescent="0.25">
      <c r="L172" s="48"/>
    </row>
    <row r="173" spans="12:12" x14ac:dyDescent="0.25">
      <c r="L173" s="48"/>
    </row>
    <row r="174" spans="12:12" x14ac:dyDescent="0.25">
      <c r="L174" s="48"/>
    </row>
    <row r="175" spans="12:12" x14ac:dyDescent="0.25">
      <c r="L175" s="48"/>
    </row>
    <row r="176" spans="12:12" x14ac:dyDescent="0.25">
      <c r="L176" s="48"/>
    </row>
    <row r="177" spans="12:12" x14ac:dyDescent="0.25">
      <c r="L177" s="48"/>
    </row>
    <row r="178" spans="12:12" x14ac:dyDescent="0.25">
      <c r="L178" s="48"/>
    </row>
    <row r="179" spans="12:12" x14ac:dyDescent="0.25">
      <c r="L179" s="48"/>
    </row>
    <row r="180" spans="12:12" x14ac:dyDescent="0.25">
      <c r="L180" s="48"/>
    </row>
    <row r="181" spans="12:12" x14ac:dyDescent="0.25">
      <c r="L181" s="48"/>
    </row>
    <row r="182" spans="12:12" x14ac:dyDescent="0.25">
      <c r="L182" s="48"/>
    </row>
    <row r="183" spans="12:12" x14ac:dyDescent="0.25">
      <c r="L183" s="48"/>
    </row>
    <row r="184" spans="12:12" x14ac:dyDescent="0.25">
      <c r="L184" s="48"/>
    </row>
    <row r="185" spans="12:12" x14ac:dyDescent="0.25">
      <c r="L185" s="48"/>
    </row>
    <row r="186" spans="12:12" x14ac:dyDescent="0.25">
      <c r="L186" s="48"/>
    </row>
    <row r="187" spans="12:12" x14ac:dyDescent="0.25">
      <c r="L187" s="48"/>
    </row>
    <row r="188" spans="12:12" x14ac:dyDescent="0.25">
      <c r="L188" s="48"/>
    </row>
    <row r="189" spans="12:12" x14ac:dyDescent="0.25">
      <c r="L189" s="48"/>
    </row>
    <row r="190" spans="12:12" x14ac:dyDescent="0.25">
      <c r="L190" s="48"/>
    </row>
    <row r="191" spans="12:12" x14ac:dyDescent="0.25">
      <c r="L191" s="48"/>
    </row>
    <row r="192" spans="12:12" x14ac:dyDescent="0.25">
      <c r="L192" s="48"/>
    </row>
    <row r="193" spans="12:12" x14ac:dyDescent="0.25">
      <c r="L193" s="48"/>
    </row>
    <row r="194" spans="12:12" x14ac:dyDescent="0.25">
      <c r="L194" s="48"/>
    </row>
    <row r="195" spans="12:12" x14ac:dyDescent="0.25">
      <c r="L195" s="48"/>
    </row>
    <row r="196" spans="12:12" x14ac:dyDescent="0.25">
      <c r="L196" s="48"/>
    </row>
    <row r="197" spans="12:12" x14ac:dyDescent="0.25">
      <c r="L197" s="48"/>
    </row>
    <row r="198" spans="12:12" x14ac:dyDescent="0.25">
      <c r="L198" s="48"/>
    </row>
    <row r="199" spans="12:12" x14ac:dyDescent="0.25">
      <c r="L199" s="48"/>
    </row>
    <row r="200" spans="12:12" x14ac:dyDescent="0.25">
      <c r="L200" s="48"/>
    </row>
    <row r="201" spans="12:12" x14ac:dyDescent="0.25">
      <c r="L201" s="48"/>
    </row>
    <row r="202" spans="12:12" x14ac:dyDescent="0.25">
      <c r="L202" s="48"/>
    </row>
    <row r="203" spans="12:12" x14ac:dyDescent="0.25">
      <c r="L203" s="48"/>
    </row>
    <row r="204" spans="12:12" x14ac:dyDescent="0.25">
      <c r="L204" s="48"/>
    </row>
    <row r="205" spans="12:12" x14ac:dyDescent="0.25">
      <c r="L205" s="48"/>
    </row>
    <row r="206" spans="12:12" x14ac:dyDescent="0.25">
      <c r="L206" s="48"/>
    </row>
    <row r="207" spans="12:12" x14ac:dyDescent="0.25">
      <c r="L207" s="48"/>
    </row>
    <row r="208" spans="12:12" x14ac:dyDescent="0.25">
      <c r="L208" s="48"/>
    </row>
    <row r="209" spans="12:12" x14ac:dyDescent="0.25">
      <c r="L209" s="48"/>
    </row>
    <row r="210" spans="12:12" x14ac:dyDescent="0.25">
      <c r="L210" s="48"/>
    </row>
    <row r="211" spans="12:12" x14ac:dyDescent="0.25">
      <c r="L211" s="48"/>
    </row>
    <row r="212" spans="12:12" x14ac:dyDescent="0.25">
      <c r="L212" s="48"/>
    </row>
    <row r="213" spans="12:12" x14ac:dyDescent="0.25">
      <c r="L213" s="48"/>
    </row>
    <row r="214" spans="12:12" x14ac:dyDescent="0.25">
      <c r="L214" s="48"/>
    </row>
    <row r="215" spans="12:12" x14ac:dyDescent="0.25">
      <c r="L215" s="48"/>
    </row>
    <row r="216" spans="12:12" x14ac:dyDescent="0.25">
      <c r="L216" s="48"/>
    </row>
    <row r="217" spans="12:12" x14ac:dyDescent="0.25">
      <c r="L217" s="48"/>
    </row>
    <row r="218" spans="12:12" x14ac:dyDescent="0.25">
      <c r="L218" s="48"/>
    </row>
    <row r="219" spans="12:12" x14ac:dyDescent="0.25">
      <c r="L219" s="48"/>
    </row>
    <row r="220" spans="12:12" x14ac:dyDescent="0.25">
      <c r="L220" s="48"/>
    </row>
    <row r="221" spans="12:12" x14ac:dyDescent="0.25">
      <c r="L221" s="48"/>
    </row>
    <row r="222" spans="12:12" x14ac:dyDescent="0.25">
      <c r="L222" s="48"/>
    </row>
    <row r="223" spans="12:12" x14ac:dyDescent="0.25">
      <c r="L223" s="48"/>
    </row>
    <row r="224" spans="12:12" x14ac:dyDescent="0.25">
      <c r="L224" s="48"/>
    </row>
    <row r="225" spans="12:12" x14ac:dyDescent="0.25">
      <c r="L225" s="48"/>
    </row>
    <row r="226" spans="12:12" x14ac:dyDescent="0.25">
      <c r="L226" s="48"/>
    </row>
    <row r="227" spans="12:12" x14ac:dyDescent="0.25">
      <c r="L227" s="48"/>
    </row>
    <row r="228" spans="12:12" x14ac:dyDescent="0.25">
      <c r="L228" s="48"/>
    </row>
    <row r="229" spans="12:12" x14ac:dyDescent="0.25">
      <c r="L229" s="48"/>
    </row>
    <row r="230" spans="12:12" x14ac:dyDescent="0.25">
      <c r="L230" s="48"/>
    </row>
    <row r="231" spans="12:12" x14ac:dyDescent="0.25">
      <c r="L231" s="48"/>
    </row>
    <row r="232" spans="12:12" x14ac:dyDescent="0.25">
      <c r="L232" s="48"/>
    </row>
    <row r="233" spans="12:12" x14ac:dyDescent="0.25">
      <c r="L233" s="48"/>
    </row>
    <row r="234" spans="12:12" x14ac:dyDescent="0.25">
      <c r="L234" s="48"/>
    </row>
    <row r="235" spans="12:12" x14ac:dyDescent="0.25">
      <c r="L235" s="48"/>
    </row>
    <row r="236" spans="12:12" x14ac:dyDescent="0.25">
      <c r="L236" s="48"/>
    </row>
    <row r="237" spans="12:12" x14ac:dyDescent="0.25">
      <c r="L237" s="48"/>
    </row>
    <row r="238" spans="12:12" x14ac:dyDescent="0.25">
      <c r="L238" s="48"/>
    </row>
    <row r="239" spans="12:12" x14ac:dyDescent="0.25">
      <c r="L239" s="48"/>
    </row>
    <row r="240" spans="12:12" x14ac:dyDescent="0.25">
      <c r="L240" s="48"/>
    </row>
    <row r="241" spans="12:12" x14ac:dyDescent="0.25">
      <c r="L241" s="48"/>
    </row>
    <row r="242" spans="12:12" x14ac:dyDescent="0.25">
      <c r="L242" s="48"/>
    </row>
    <row r="243" spans="12:12" x14ac:dyDescent="0.25">
      <c r="L243" s="48"/>
    </row>
    <row r="244" spans="12:12" x14ac:dyDescent="0.25">
      <c r="L244" s="48"/>
    </row>
    <row r="245" spans="12:12" x14ac:dyDescent="0.25">
      <c r="L245" s="48"/>
    </row>
    <row r="246" spans="12:12" x14ac:dyDescent="0.25">
      <c r="L246" s="48"/>
    </row>
    <row r="247" spans="12:12" x14ac:dyDescent="0.25">
      <c r="L247" s="48"/>
    </row>
    <row r="248" spans="12:12" x14ac:dyDescent="0.25">
      <c r="L248" s="48"/>
    </row>
    <row r="249" spans="12:12" x14ac:dyDescent="0.25">
      <c r="L249" s="48"/>
    </row>
    <row r="250" spans="12:12" x14ac:dyDescent="0.25">
      <c r="L250" s="48"/>
    </row>
    <row r="251" spans="12:12" x14ac:dyDescent="0.25">
      <c r="L251" s="48"/>
    </row>
    <row r="252" spans="12:12" x14ac:dyDescent="0.25">
      <c r="L252" s="48"/>
    </row>
    <row r="253" spans="12:12" x14ac:dyDescent="0.25">
      <c r="L253" s="48"/>
    </row>
    <row r="254" spans="12:12" x14ac:dyDescent="0.25">
      <c r="L254" s="48"/>
    </row>
    <row r="255" spans="12:12" x14ac:dyDescent="0.25">
      <c r="L255" s="48"/>
    </row>
  </sheetData>
  <mergeCells count="2">
    <mergeCell ref="R3:S3"/>
    <mergeCell ref="U3:V3"/>
  </mergeCells>
  <conditionalFormatting sqref="W10:Y10 AJ6:AJ15 N6:N14 AM6:AO14 S10:T13 Q6:R14 Z6:Z15 AB6:AB15 W12:Y13 W11 Y11">
    <cfRule type="expression" dxfId="4186" priority="204">
      <formula>$L6="API sand"</formula>
    </cfRule>
  </conditionalFormatting>
  <conditionalFormatting sqref="R18:S20 R29:S36 S21:S28 AD21:AD28 AB18:AB35 AK6:AL14 N6:N14">
    <cfRule type="expression" dxfId="4185" priority="203">
      <formula>$M6="API sand"</formula>
    </cfRule>
  </conditionalFormatting>
  <conditionalFormatting sqref="R18:T20 R29:T36 S21:T28 AD21:AD28 AB18:AB35 AK6:AL14 N6:N14">
    <cfRule type="expression" dxfId="4184" priority="202">
      <formula>$M6="API clay"</formula>
    </cfRule>
  </conditionalFormatting>
  <conditionalFormatting sqref="U18:W36 AM6:AN14 N6:P14 AC6:AI13 AA6:AA14 U6:V14">
    <cfRule type="expression" dxfId="4183" priority="199">
      <formula>$L6="Stiff clay w/o free water"</formula>
    </cfRule>
    <cfRule type="expression" dxfId="4182" priority="201">
      <formula>$L6="API clay"</formula>
    </cfRule>
  </conditionalFormatting>
  <conditionalFormatting sqref="U18:Y36 AM6:AN14 N6:P14 AC6:AI13 AA6:AA14 U6:V14">
    <cfRule type="expression" dxfId="4181" priority="200">
      <formula>$L6="Kirsch soft clay"</formula>
    </cfRule>
  </conditionalFormatting>
  <conditionalFormatting sqref="U18:Y36 AM6:AN14 N6:P14 AC6:AI13 AA6:AA14 U6:V14">
    <cfRule type="expression" dxfId="4180" priority="198">
      <formula>$L6="Kirsch stiff clay"</formula>
    </cfRule>
  </conditionalFormatting>
  <conditionalFormatting sqref="W10:Y10 AJ6:AJ15 N6:N14 AM6:AO14 S10:T13 Q6:R14 Z6:Z15 AB6:AB15 W12:Y13 W11 Y11">
    <cfRule type="expression" dxfId="4179" priority="197">
      <formula>$L6="Kirsch sand"</formula>
    </cfRule>
  </conditionalFormatting>
  <conditionalFormatting sqref="AC18:AI18 AC19:AD19 AI19 AM6:AN14 N6:N14">
    <cfRule type="expression" dxfId="4178" priority="196">
      <formula>$L6="Modified Weak rock"</formula>
    </cfRule>
  </conditionalFormatting>
  <conditionalFormatting sqref="U18:V36 AM6:AN14 N6:P14 AC6:AI13 AA6:AA14 U6:V14">
    <cfRule type="expression" dxfId="4177" priority="195">
      <formula>$L6="Reese stiff clay"</formula>
    </cfRule>
  </conditionalFormatting>
  <conditionalFormatting sqref="N18:N36 Q18:Q36 AM18:AN36">
    <cfRule type="expression" dxfId="4176" priority="194">
      <formula>$L18="API sand"</formula>
    </cfRule>
  </conditionalFormatting>
  <conditionalFormatting sqref="N18:N36 AB36 AJ18:AL36 Z18:Z36">
    <cfRule type="expression" dxfId="4175" priority="193">
      <formula>$M18="API sand"</formula>
    </cfRule>
  </conditionalFormatting>
  <conditionalFormatting sqref="Z36:AB36 AK18:AL36 N18:N36 Z18:AA35">
    <cfRule type="expression" dxfId="4174" priority="192">
      <formula>$M18="API clay"</formula>
    </cfRule>
  </conditionalFormatting>
  <conditionalFormatting sqref="N18:P18 AM18:AN36 N29:P36 N19:N28 P19:P28">
    <cfRule type="expression" dxfId="4173" priority="189">
      <formula>$L18="Stiff clay w/o free water"</formula>
    </cfRule>
    <cfRule type="expression" dxfId="4172" priority="191">
      <formula>$L18="API clay"</formula>
    </cfRule>
  </conditionalFormatting>
  <conditionalFormatting sqref="N18:P18 AM18:AN36 N29:P36 N19:N28 P19:P28">
    <cfRule type="expression" dxfId="4171" priority="190">
      <formula>$L18="Kirsch soft clay"</formula>
    </cfRule>
  </conditionalFormatting>
  <conditionalFormatting sqref="N18:P18 AM18:AN36 N29:P36 N19:N28 P19:P28">
    <cfRule type="expression" dxfId="4170" priority="188">
      <formula>$L18="Kirsch stiff clay"</formula>
    </cfRule>
  </conditionalFormatting>
  <conditionalFormatting sqref="N18:N36 Q18:Q36 X18:Y36 AM18:AN36">
    <cfRule type="expression" dxfId="4169" priority="187">
      <formula>$L18="Kirsch sand"</formula>
    </cfRule>
  </conditionalFormatting>
  <conditionalFormatting sqref="N18:N36 AM18:AN36 AC20:AD36 AI20:AI36">
    <cfRule type="expression" dxfId="4168" priority="186">
      <formula>$L18="Modified Weak rock"</formula>
    </cfRule>
  </conditionalFormatting>
  <conditionalFormatting sqref="N18:P18 AM18:AN36 N29:P36 N19:N28 P19:P28">
    <cfRule type="expression" dxfId="4167" priority="185">
      <formula>$L18="Reese stiff clay"</formula>
    </cfRule>
  </conditionalFormatting>
  <conditionalFormatting sqref="AM6:AN14 N6:P14 AC6:AI13 AA6:AA14 U6:V14">
    <cfRule type="expression" dxfId="4166" priority="184">
      <formula>$L6="PISA clay"</formula>
    </cfRule>
  </conditionalFormatting>
  <conditionalFormatting sqref="AM6:AN14 N6:N14">
    <cfRule type="expression" dxfId="4165" priority="183">
      <formula>$L6="PISA sand"</formula>
    </cfRule>
  </conditionalFormatting>
  <conditionalFormatting sqref="O19:O21">
    <cfRule type="expression" dxfId="4164" priority="182">
      <formula>$L19="API sand"</formula>
    </cfRule>
  </conditionalFormatting>
  <conditionalFormatting sqref="O19:O21">
    <cfRule type="expression" dxfId="4163" priority="181">
      <formula>$L19="Kirsch sand"</formula>
    </cfRule>
  </conditionalFormatting>
  <conditionalFormatting sqref="O22:O28">
    <cfRule type="expression" dxfId="4162" priority="180">
      <formula>$L22="API sand"</formula>
    </cfRule>
  </conditionalFormatting>
  <conditionalFormatting sqref="O22:O28">
    <cfRule type="expression" dxfId="4161" priority="179">
      <formula>$L22="Kirsch sand"</formula>
    </cfRule>
  </conditionalFormatting>
  <conditionalFormatting sqref="S6:T9 W6:Y9">
    <cfRule type="expression" dxfId="4160" priority="178">
      <formula>$L6="API sand"</formula>
    </cfRule>
  </conditionalFormatting>
  <conditionalFormatting sqref="S6:T9 W6:Y9">
    <cfRule type="expression" dxfId="4159" priority="177">
      <formula>$L6="Kirsch sand"</formula>
    </cfRule>
  </conditionalFormatting>
  <conditionalFormatting sqref="AE37:AH37">
    <cfRule type="expression" dxfId="4158" priority="205">
      <formula>$L19="Modified Weak rock"</formula>
    </cfRule>
  </conditionalFormatting>
  <conditionalFormatting sqref="S14:T14 W14:Y14">
    <cfRule type="expression" dxfId="4157" priority="176">
      <formula>$L14="API sand"</formula>
    </cfRule>
  </conditionalFormatting>
  <conditionalFormatting sqref="S14:T14 W14:Y14">
    <cfRule type="expression" dxfId="4156" priority="175">
      <formula>$L14="Kirsch sand"</formula>
    </cfRule>
  </conditionalFormatting>
  <conditionalFormatting sqref="AD14:AI14">
    <cfRule type="expression" dxfId="4155" priority="172">
      <formula>$L14="Stiff clay w/o free water"</formula>
    </cfRule>
    <cfRule type="expression" dxfId="4154" priority="174">
      <formula>$L14="API clay"</formula>
    </cfRule>
  </conditionalFormatting>
  <conditionalFormatting sqref="AD14:AI14">
    <cfRule type="expression" dxfId="4153" priority="173">
      <formula>$L14="Kirsch soft clay"</formula>
    </cfRule>
  </conditionalFormatting>
  <conditionalFormatting sqref="AD14:AI14">
    <cfRule type="expression" dxfId="4152" priority="171">
      <formula>$L14="Kirsch stiff clay"</formula>
    </cfRule>
  </conditionalFormatting>
  <conditionalFormatting sqref="AD14:AI14">
    <cfRule type="expression" dxfId="4151" priority="170">
      <formula>$L14="Reese stiff clay"</formula>
    </cfRule>
  </conditionalFormatting>
  <conditionalFormatting sqref="AD14:AI14">
    <cfRule type="expression" dxfId="4150" priority="169">
      <formula>$L14="PISA clay"</formula>
    </cfRule>
  </conditionalFormatting>
  <conditionalFormatting sqref="AM15:AN15">
    <cfRule type="expression" dxfId="4149" priority="168">
      <formula>$L15="API sand"</formula>
    </cfRule>
  </conditionalFormatting>
  <conditionalFormatting sqref="AK15:AL15">
    <cfRule type="expression" dxfId="4148" priority="167">
      <formula>$M15="API sand"</formula>
    </cfRule>
  </conditionalFormatting>
  <conditionalFormatting sqref="AK15:AL15">
    <cfRule type="expression" dxfId="4147" priority="166">
      <formula>$M15="API clay"</formula>
    </cfRule>
  </conditionalFormatting>
  <conditionalFormatting sqref="AM15:AN15">
    <cfRule type="expression" dxfId="4146" priority="163">
      <formula>$L15="Stiff clay w/o free water"</formula>
    </cfRule>
    <cfRule type="expression" dxfId="4145" priority="165">
      <formula>$L15="API clay"</formula>
    </cfRule>
  </conditionalFormatting>
  <conditionalFormatting sqref="AM15:AN15">
    <cfRule type="expression" dxfId="4144" priority="164">
      <formula>$L15="Kirsch soft clay"</formula>
    </cfRule>
  </conditionalFormatting>
  <conditionalFormatting sqref="AM15:AN15">
    <cfRule type="expression" dxfId="4143" priority="162">
      <formula>$L15="Kirsch stiff clay"</formula>
    </cfRule>
  </conditionalFormatting>
  <conditionalFormatting sqref="AM15:AN15">
    <cfRule type="expression" dxfId="4142" priority="161">
      <formula>$L15="Kirsch sand"</formula>
    </cfRule>
  </conditionalFormatting>
  <conditionalFormatting sqref="AM15:AN15">
    <cfRule type="expression" dxfId="4141" priority="160">
      <formula>$L15="Modified Weak rock"</formula>
    </cfRule>
  </conditionalFormatting>
  <conditionalFormatting sqref="AM15:AN15">
    <cfRule type="expression" dxfId="4140" priority="159">
      <formula>$L15="Reese stiff clay"</formula>
    </cfRule>
  </conditionalFormatting>
  <conditionalFormatting sqref="AM15:AN15">
    <cfRule type="expression" dxfId="4139" priority="158">
      <formula>$L15="PISA clay"</formula>
    </cfRule>
  </conditionalFormatting>
  <conditionalFormatting sqref="AM15:AN15">
    <cfRule type="expression" dxfId="4138" priority="157">
      <formula>$L15="PISA sand"</formula>
    </cfRule>
  </conditionalFormatting>
  <conditionalFormatting sqref="N15 Q15 S15:T15 W15 Y15">
    <cfRule type="expression" dxfId="4137" priority="156">
      <formula>$L15="API sand"</formula>
    </cfRule>
  </conditionalFormatting>
  <conditionalFormatting sqref="N15">
    <cfRule type="expression" dxfId="4136" priority="155">
      <formula>$M15="API sand"</formula>
    </cfRule>
  </conditionalFormatting>
  <conditionalFormatting sqref="N15">
    <cfRule type="expression" dxfId="4135" priority="154">
      <formula>$M15="API clay"</formula>
    </cfRule>
  </conditionalFormatting>
  <conditionalFormatting sqref="N15:P15">
    <cfRule type="expression" dxfId="4134" priority="151">
      <formula>$L15="Stiff clay w/o free water"</formula>
    </cfRule>
    <cfRule type="expression" dxfId="4133" priority="153">
      <formula>$L15="API clay"</formula>
    </cfRule>
  </conditionalFormatting>
  <conditionalFormatting sqref="N15:P15">
    <cfRule type="expression" dxfId="4132" priority="152">
      <formula>$L15="Kirsch soft clay"</formula>
    </cfRule>
  </conditionalFormatting>
  <conditionalFormatting sqref="N15:P15">
    <cfRule type="expression" dxfId="4131" priority="150">
      <formula>$L15="Kirsch stiff clay"</formula>
    </cfRule>
  </conditionalFormatting>
  <conditionalFormatting sqref="N15 Q15 S15:T15 W15 Y15">
    <cfRule type="expression" dxfId="4130" priority="149">
      <formula>$L15="Kirsch sand"</formula>
    </cfRule>
  </conditionalFormatting>
  <conditionalFormatting sqref="N15">
    <cfRule type="expression" dxfId="4129" priority="148">
      <formula>$L15="Modified Weak rock"</formula>
    </cfRule>
  </conditionalFormatting>
  <conditionalFormatting sqref="N15:P15">
    <cfRule type="expression" dxfId="4128" priority="147">
      <formula>$L15="Reese stiff clay"</formula>
    </cfRule>
  </conditionalFormatting>
  <conditionalFormatting sqref="N15:P15">
    <cfRule type="expression" dxfId="4127" priority="146">
      <formula>$L15="PISA clay"</formula>
    </cfRule>
  </conditionalFormatting>
  <conditionalFormatting sqref="N15">
    <cfRule type="expression" dxfId="4126" priority="145">
      <formula>$L15="PISA sand"</formula>
    </cfRule>
  </conditionalFormatting>
  <conditionalFormatting sqref="R15">
    <cfRule type="expression" dxfId="4125" priority="144">
      <formula>$L15="API sand"</formula>
    </cfRule>
  </conditionalFormatting>
  <conditionalFormatting sqref="R15">
    <cfRule type="expression" dxfId="4124" priority="143">
      <formula>$L15="Kirsch sand"</formula>
    </cfRule>
  </conditionalFormatting>
  <conditionalFormatting sqref="AD15:AI15">
    <cfRule type="expression" dxfId="4123" priority="140">
      <formula>$L15="Stiff clay w/o free water"</formula>
    </cfRule>
    <cfRule type="expression" dxfId="4122" priority="142">
      <formula>$L15="API clay"</formula>
    </cfRule>
  </conditionalFormatting>
  <conditionalFormatting sqref="AD15:AI15">
    <cfRule type="expression" dxfId="4121" priority="141">
      <formula>$L15="Kirsch soft clay"</formula>
    </cfRule>
  </conditionalFormatting>
  <conditionalFormatting sqref="AD15:AI15">
    <cfRule type="expression" dxfId="4120" priority="139">
      <formula>$L15="Kirsch stiff clay"</formula>
    </cfRule>
  </conditionalFormatting>
  <conditionalFormatting sqref="AD15:AI15">
    <cfRule type="expression" dxfId="4119" priority="138">
      <formula>$L15="Reese stiff clay"</formula>
    </cfRule>
  </conditionalFormatting>
  <conditionalFormatting sqref="AD15:AI15">
    <cfRule type="expression" dxfId="4118" priority="137">
      <formula>$L15="PISA clay"</formula>
    </cfRule>
  </conditionalFormatting>
  <conditionalFormatting sqref="AA15">
    <cfRule type="expression" dxfId="4117" priority="134">
      <formula>$L15="Stiff clay w/o free water"</formula>
    </cfRule>
    <cfRule type="expression" dxfId="4116" priority="136">
      <formula>$L15="API clay"</formula>
    </cfRule>
  </conditionalFormatting>
  <conditionalFormatting sqref="AA15">
    <cfRule type="expression" dxfId="4115" priority="135">
      <formula>$L15="Kirsch soft clay"</formula>
    </cfRule>
  </conditionalFormatting>
  <conditionalFormatting sqref="AA15">
    <cfRule type="expression" dxfId="4114" priority="133">
      <formula>$L15="Kirsch stiff clay"</formula>
    </cfRule>
  </conditionalFormatting>
  <conditionalFormatting sqref="AA15">
    <cfRule type="expression" dxfId="4113" priority="132">
      <formula>$L15="Reese stiff clay"</formula>
    </cfRule>
  </conditionalFormatting>
  <conditionalFormatting sqref="AA15">
    <cfRule type="expression" dxfId="4112" priority="131">
      <formula>$L15="PISA clay"</formula>
    </cfRule>
  </conditionalFormatting>
  <conditionalFormatting sqref="AC15">
    <cfRule type="expression" dxfId="4111" priority="128">
      <formula>$L15="Stiff clay w/o free water"</formula>
    </cfRule>
    <cfRule type="expression" dxfId="4110" priority="130">
      <formula>$L15="API clay"</formula>
    </cfRule>
  </conditionalFormatting>
  <conditionalFormatting sqref="AC15">
    <cfRule type="expression" dxfId="4109" priority="129">
      <formula>$L15="Kirsch soft clay"</formula>
    </cfRule>
  </conditionalFormatting>
  <conditionalFormatting sqref="AC15">
    <cfRule type="expression" dxfId="4108" priority="127">
      <formula>$L15="Kirsch stiff clay"</formula>
    </cfRule>
  </conditionalFormatting>
  <conditionalFormatting sqref="AC15">
    <cfRule type="expression" dxfId="4107" priority="126">
      <formula>$L15="Reese stiff clay"</formula>
    </cfRule>
  </conditionalFormatting>
  <conditionalFormatting sqref="AC15">
    <cfRule type="expression" dxfId="4106" priority="125">
      <formula>$L15="PISA clay"</formula>
    </cfRule>
  </conditionalFormatting>
  <conditionalFormatting sqref="X15">
    <cfRule type="expression" dxfId="4105" priority="124">
      <formula>$L15="API sand"</formula>
    </cfRule>
  </conditionalFormatting>
  <conditionalFormatting sqref="X15">
    <cfRule type="expression" dxfId="4104" priority="123">
      <formula>$L15="Kirsch sand"</formula>
    </cfRule>
  </conditionalFormatting>
  <conditionalFormatting sqref="AM16:AN16">
    <cfRule type="expression" dxfId="4103" priority="122">
      <formula>$L16="API sand"</formula>
    </cfRule>
  </conditionalFormatting>
  <conditionalFormatting sqref="AK16:AL16">
    <cfRule type="expression" dxfId="4102" priority="121">
      <formula>$M16="API sand"</formula>
    </cfRule>
  </conditionalFormatting>
  <conditionalFormatting sqref="AK16:AL16">
    <cfRule type="expression" dxfId="4101" priority="120">
      <formula>$M16="API clay"</formula>
    </cfRule>
  </conditionalFormatting>
  <conditionalFormatting sqref="AM16:AN16">
    <cfRule type="expression" dxfId="4100" priority="117">
      <formula>$L16="Stiff clay w/o free water"</formula>
    </cfRule>
    <cfRule type="expression" dxfId="4099" priority="119">
      <formula>$L16="API clay"</formula>
    </cfRule>
  </conditionalFormatting>
  <conditionalFormatting sqref="AM16:AN16">
    <cfRule type="expression" dxfId="4098" priority="118">
      <formula>$L16="Kirsch soft clay"</formula>
    </cfRule>
  </conditionalFormatting>
  <conditionalFormatting sqref="AM16:AN16">
    <cfRule type="expression" dxfId="4097" priority="116">
      <formula>$L16="Kirsch stiff clay"</formula>
    </cfRule>
  </conditionalFormatting>
  <conditionalFormatting sqref="AM16:AN16">
    <cfRule type="expression" dxfId="4096" priority="115">
      <formula>$L16="Kirsch sand"</formula>
    </cfRule>
  </conditionalFormatting>
  <conditionalFormatting sqref="AM16:AN16">
    <cfRule type="expression" dxfId="4095" priority="114">
      <formula>$L16="Modified Weak rock"</formula>
    </cfRule>
  </conditionalFormatting>
  <conditionalFormatting sqref="AM16:AN16">
    <cfRule type="expression" dxfId="4094" priority="113">
      <formula>$L16="Reese stiff clay"</formula>
    </cfRule>
  </conditionalFormatting>
  <conditionalFormatting sqref="AM16:AN16">
    <cfRule type="expression" dxfId="4093" priority="112">
      <formula>$L16="PISA clay"</formula>
    </cfRule>
  </conditionalFormatting>
  <conditionalFormatting sqref="AM16:AN16">
    <cfRule type="expression" dxfId="4092" priority="111">
      <formula>$L16="PISA sand"</formula>
    </cfRule>
  </conditionalFormatting>
  <conditionalFormatting sqref="N16 Q16 S16:T16 W16:Y16">
    <cfRule type="expression" dxfId="4091" priority="110">
      <formula>$L16="API sand"</formula>
    </cfRule>
  </conditionalFormatting>
  <conditionalFormatting sqref="N16">
    <cfRule type="expression" dxfId="4090" priority="109">
      <formula>$M16="API sand"</formula>
    </cfRule>
  </conditionalFormatting>
  <conditionalFormatting sqref="N16">
    <cfRule type="expression" dxfId="4089" priority="108">
      <formula>$M16="API clay"</formula>
    </cfRule>
  </conditionalFormatting>
  <conditionalFormatting sqref="N16:P16">
    <cfRule type="expression" dxfId="4088" priority="105">
      <formula>$L16="Stiff clay w/o free water"</formula>
    </cfRule>
    <cfRule type="expression" dxfId="4087" priority="107">
      <formula>$L16="API clay"</formula>
    </cfRule>
  </conditionalFormatting>
  <conditionalFormatting sqref="N16:P16">
    <cfRule type="expression" dxfId="4086" priority="106">
      <formula>$L16="Kirsch soft clay"</formula>
    </cfRule>
  </conditionalFormatting>
  <conditionalFormatting sqref="N16:P16">
    <cfRule type="expression" dxfId="4085" priority="104">
      <formula>$L16="Kirsch stiff clay"</formula>
    </cfRule>
  </conditionalFormatting>
  <conditionalFormatting sqref="N16 Q16 S16:T16 W16:Y16">
    <cfRule type="expression" dxfId="4084" priority="103">
      <formula>$L16="Kirsch sand"</formula>
    </cfRule>
  </conditionalFormatting>
  <conditionalFormatting sqref="N16">
    <cfRule type="expression" dxfId="4083" priority="102">
      <formula>$L16="Modified Weak rock"</formula>
    </cfRule>
  </conditionalFormatting>
  <conditionalFormatting sqref="N16:P16">
    <cfRule type="expression" dxfId="4082" priority="101">
      <formula>$L16="Reese stiff clay"</formula>
    </cfRule>
  </conditionalFormatting>
  <conditionalFormatting sqref="N16:P16">
    <cfRule type="expression" dxfId="4081" priority="100">
      <formula>$L16="PISA clay"</formula>
    </cfRule>
  </conditionalFormatting>
  <conditionalFormatting sqref="N16">
    <cfRule type="expression" dxfId="4080" priority="99">
      <formula>$L16="PISA sand"</formula>
    </cfRule>
  </conditionalFormatting>
  <conditionalFormatting sqref="R16">
    <cfRule type="expression" dxfId="4079" priority="98">
      <formula>$L16="API sand"</formula>
    </cfRule>
  </conditionalFormatting>
  <conditionalFormatting sqref="R16">
    <cfRule type="expression" dxfId="4078" priority="97">
      <formula>$L16="Kirsch sand"</formula>
    </cfRule>
  </conditionalFormatting>
  <conditionalFormatting sqref="AC16:AI16">
    <cfRule type="expression" dxfId="4077" priority="94">
      <formula>$L16="Stiff clay w/o free water"</formula>
    </cfRule>
    <cfRule type="expression" dxfId="4076" priority="96">
      <formula>$L16="API clay"</formula>
    </cfRule>
  </conditionalFormatting>
  <conditionalFormatting sqref="AC16:AI16">
    <cfRule type="expression" dxfId="4075" priority="95">
      <formula>$L16="Kirsch soft clay"</formula>
    </cfRule>
  </conditionalFormatting>
  <conditionalFormatting sqref="AC16:AI16">
    <cfRule type="expression" dxfId="4074" priority="93">
      <formula>$L16="Kirsch stiff clay"</formula>
    </cfRule>
  </conditionalFormatting>
  <conditionalFormatting sqref="AC16:AI16">
    <cfRule type="expression" dxfId="4073" priority="92">
      <formula>$L16="Reese stiff clay"</formula>
    </cfRule>
  </conditionalFormatting>
  <conditionalFormatting sqref="AC16:AI16">
    <cfRule type="expression" dxfId="4072" priority="91">
      <formula>$L16="PISA clay"</formula>
    </cfRule>
  </conditionalFormatting>
  <conditionalFormatting sqref="AA16">
    <cfRule type="expression" dxfId="4071" priority="88">
      <formula>$L16="Stiff clay w/o free water"</formula>
    </cfRule>
    <cfRule type="expression" dxfId="4070" priority="90">
      <formula>$L16="API clay"</formula>
    </cfRule>
  </conditionalFormatting>
  <conditionalFormatting sqref="AA16">
    <cfRule type="expression" dxfId="4069" priority="89">
      <formula>$L16="Kirsch soft clay"</formula>
    </cfRule>
  </conditionalFormatting>
  <conditionalFormatting sqref="AA16">
    <cfRule type="expression" dxfId="4068" priority="87">
      <formula>$L16="Kirsch stiff clay"</formula>
    </cfRule>
  </conditionalFormatting>
  <conditionalFormatting sqref="AA16">
    <cfRule type="expression" dxfId="4067" priority="86">
      <formula>$L16="Reese stiff clay"</formula>
    </cfRule>
  </conditionalFormatting>
  <conditionalFormatting sqref="AA16">
    <cfRule type="expression" dxfId="4066" priority="85">
      <formula>$L16="PISA clay"</formula>
    </cfRule>
  </conditionalFormatting>
  <conditionalFormatting sqref="AM17:AN17">
    <cfRule type="expression" dxfId="4065" priority="84">
      <formula>$L17="API sand"</formula>
    </cfRule>
  </conditionalFormatting>
  <conditionalFormatting sqref="AK17:AL17">
    <cfRule type="expression" dxfId="4064" priority="83">
      <formula>$M17="API sand"</formula>
    </cfRule>
  </conditionalFormatting>
  <conditionalFormatting sqref="AK17:AL17">
    <cfRule type="expression" dxfId="4063" priority="82">
      <formula>$M17="API clay"</formula>
    </cfRule>
  </conditionalFormatting>
  <conditionalFormatting sqref="AM17:AN17">
    <cfRule type="expression" dxfId="4062" priority="79">
      <formula>$L17="Stiff clay w/o free water"</formula>
    </cfRule>
    <cfRule type="expression" dxfId="4061" priority="81">
      <formula>$L17="API clay"</formula>
    </cfRule>
  </conditionalFormatting>
  <conditionalFormatting sqref="AM17:AN17">
    <cfRule type="expression" dxfId="4060" priority="80">
      <formula>$L17="Kirsch soft clay"</formula>
    </cfRule>
  </conditionalFormatting>
  <conditionalFormatting sqref="AM17:AN17">
    <cfRule type="expression" dxfId="4059" priority="78">
      <formula>$L17="Kirsch stiff clay"</formula>
    </cfRule>
  </conditionalFormatting>
  <conditionalFormatting sqref="AM17:AN17">
    <cfRule type="expression" dxfId="4058" priority="77">
      <formula>$L17="Kirsch sand"</formula>
    </cfRule>
  </conditionalFormatting>
  <conditionalFormatting sqref="AM17:AN17">
    <cfRule type="expression" dxfId="4057" priority="76">
      <formula>$L17="Modified Weak rock"</formula>
    </cfRule>
  </conditionalFormatting>
  <conditionalFormatting sqref="AM17:AN17">
    <cfRule type="expression" dxfId="4056" priority="75">
      <formula>$L17="Reese stiff clay"</formula>
    </cfRule>
  </conditionalFormatting>
  <conditionalFormatting sqref="AM17:AN17">
    <cfRule type="expression" dxfId="4055" priority="74">
      <formula>$L17="PISA clay"</formula>
    </cfRule>
  </conditionalFormatting>
  <conditionalFormatting sqref="AM17:AN17">
    <cfRule type="expression" dxfId="4054" priority="73">
      <formula>$L17="PISA sand"</formula>
    </cfRule>
  </conditionalFormatting>
  <conditionalFormatting sqref="N17 Q17 S17:T17 W17 Y17">
    <cfRule type="expression" dxfId="4053" priority="72">
      <formula>$L17="API sand"</formula>
    </cfRule>
  </conditionalFormatting>
  <conditionalFormatting sqref="N17">
    <cfRule type="expression" dxfId="4052" priority="71">
      <formula>$M17="API sand"</formula>
    </cfRule>
  </conditionalFormatting>
  <conditionalFormatting sqref="N17">
    <cfRule type="expression" dxfId="4051" priority="70">
      <formula>$M17="API clay"</formula>
    </cfRule>
  </conditionalFormatting>
  <conditionalFormatting sqref="N17:P17">
    <cfRule type="expression" dxfId="4050" priority="67">
      <formula>$L17="Stiff clay w/o free water"</formula>
    </cfRule>
    <cfRule type="expression" dxfId="4049" priority="69">
      <formula>$L17="API clay"</formula>
    </cfRule>
  </conditionalFormatting>
  <conditionalFormatting sqref="N17:P17">
    <cfRule type="expression" dxfId="4048" priority="68">
      <formula>$L17="Kirsch soft clay"</formula>
    </cfRule>
  </conditionalFormatting>
  <conditionalFormatting sqref="N17:P17">
    <cfRule type="expression" dxfId="4047" priority="66">
      <formula>$L17="Kirsch stiff clay"</formula>
    </cfRule>
  </conditionalFormatting>
  <conditionalFormatting sqref="N17 Q17 S17:T17 W17 Y17">
    <cfRule type="expression" dxfId="4046" priority="65">
      <formula>$L17="Kirsch sand"</formula>
    </cfRule>
  </conditionalFormatting>
  <conditionalFormatting sqref="N17">
    <cfRule type="expression" dxfId="4045" priority="64">
      <formula>$L17="Modified Weak rock"</formula>
    </cfRule>
  </conditionalFormatting>
  <conditionalFormatting sqref="N17:P17">
    <cfRule type="expression" dxfId="4044" priority="63">
      <formula>$L17="Reese stiff clay"</formula>
    </cfRule>
  </conditionalFormatting>
  <conditionalFormatting sqref="N17:P17">
    <cfRule type="expression" dxfId="4043" priority="62">
      <formula>$L17="PISA clay"</formula>
    </cfRule>
  </conditionalFormatting>
  <conditionalFormatting sqref="N17">
    <cfRule type="expression" dxfId="4042" priority="61">
      <formula>$L17="PISA sand"</formula>
    </cfRule>
  </conditionalFormatting>
  <conditionalFormatting sqref="R17">
    <cfRule type="expression" dxfId="4041" priority="60">
      <formula>$L17="API sand"</formula>
    </cfRule>
  </conditionalFormatting>
  <conditionalFormatting sqref="R17">
    <cfRule type="expression" dxfId="4040" priority="59">
      <formula>$L17="Kirsch sand"</formula>
    </cfRule>
  </conditionalFormatting>
  <conditionalFormatting sqref="AD17:AI17">
    <cfRule type="expression" dxfId="4039" priority="56">
      <formula>$L17="Stiff clay w/o free water"</formula>
    </cfRule>
    <cfRule type="expression" dxfId="4038" priority="58">
      <formula>$L17="API clay"</formula>
    </cfRule>
  </conditionalFormatting>
  <conditionalFormatting sqref="AD17:AI17">
    <cfRule type="expression" dxfId="4037" priority="57">
      <formula>$L17="Kirsch soft clay"</formula>
    </cfRule>
  </conditionalFormatting>
  <conditionalFormatting sqref="AD17:AI17">
    <cfRule type="expression" dxfId="4036" priority="55">
      <formula>$L17="Kirsch stiff clay"</formula>
    </cfRule>
  </conditionalFormatting>
  <conditionalFormatting sqref="AD17:AI17">
    <cfRule type="expression" dxfId="4035" priority="54">
      <formula>$L17="Reese stiff clay"</formula>
    </cfRule>
  </conditionalFormatting>
  <conditionalFormatting sqref="AD17:AI17">
    <cfRule type="expression" dxfId="4034" priority="53">
      <formula>$L17="PISA clay"</formula>
    </cfRule>
  </conditionalFormatting>
  <conditionalFormatting sqref="AA17">
    <cfRule type="expression" dxfId="4033" priority="50">
      <formula>$L17="Stiff clay w/o free water"</formula>
    </cfRule>
    <cfRule type="expression" dxfId="4032" priority="52">
      <formula>$L17="API clay"</formula>
    </cfRule>
  </conditionalFormatting>
  <conditionalFormatting sqref="AA17">
    <cfRule type="expression" dxfId="4031" priority="51">
      <formula>$L17="Kirsch soft clay"</formula>
    </cfRule>
  </conditionalFormatting>
  <conditionalFormatting sqref="AA17">
    <cfRule type="expression" dxfId="4030" priority="49">
      <formula>$L17="Kirsch stiff clay"</formula>
    </cfRule>
  </conditionalFormatting>
  <conditionalFormatting sqref="AA17">
    <cfRule type="expression" dxfId="4029" priority="48">
      <formula>$L17="Reese stiff clay"</formula>
    </cfRule>
  </conditionalFormatting>
  <conditionalFormatting sqref="AA17">
    <cfRule type="expression" dxfId="4028" priority="47">
      <formula>$L17="PISA clay"</formula>
    </cfRule>
  </conditionalFormatting>
  <conditionalFormatting sqref="AC17">
    <cfRule type="expression" dxfId="4027" priority="44">
      <formula>$L17="Stiff clay w/o free water"</formula>
    </cfRule>
    <cfRule type="expression" dxfId="4026" priority="46">
      <formula>$L17="API clay"</formula>
    </cfRule>
  </conditionalFormatting>
  <conditionalFormatting sqref="AC17">
    <cfRule type="expression" dxfId="4025" priority="45">
      <formula>$L17="Kirsch soft clay"</formula>
    </cfRule>
  </conditionalFormatting>
  <conditionalFormatting sqref="AC17">
    <cfRule type="expression" dxfId="4024" priority="43">
      <formula>$L17="Kirsch stiff clay"</formula>
    </cfRule>
  </conditionalFormatting>
  <conditionalFormatting sqref="AC17">
    <cfRule type="expression" dxfId="4023" priority="42">
      <formula>$L17="Reese stiff clay"</formula>
    </cfRule>
  </conditionalFormatting>
  <conditionalFormatting sqref="AC17">
    <cfRule type="expression" dxfId="4022" priority="41">
      <formula>$L17="PISA clay"</formula>
    </cfRule>
  </conditionalFormatting>
  <conditionalFormatting sqref="X17">
    <cfRule type="expression" dxfId="4021" priority="40">
      <formula>$L17="API sand"</formula>
    </cfRule>
  </conditionalFormatting>
  <conditionalFormatting sqref="X17">
    <cfRule type="expression" dxfId="4020" priority="39">
      <formula>$L17="Kirsch sand"</formula>
    </cfRule>
  </conditionalFormatting>
  <conditionalFormatting sqref="Z16:Z17">
    <cfRule type="expression" dxfId="4019" priority="38">
      <formula>$L16="API sand"</formula>
    </cfRule>
  </conditionalFormatting>
  <conditionalFormatting sqref="Z16:Z17">
    <cfRule type="expression" dxfId="4018" priority="37">
      <formula>$L16="Kirsch sand"</formula>
    </cfRule>
  </conditionalFormatting>
  <conditionalFormatting sqref="AB16:AB17">
    <cfRule type="expression" dxfId="4017" priority="36">
      <formula>$L16="API sand"</formula>
    </cfRule>
  </conditionalFormatting>
  <conditionalFormatting sqref="AB16:AB17">
    <cfRule type="expression" dxfId="4016" priority="35">
      <formula>$L16="Kirsch sand"</formula>
    </cfRule>
  </conditionalFormatting>
  <conditionalFormatting sqref="AJ16:AJ17">
    <cfRule type="expression" dxfId="4015" priority="34">
      <formula>$L16="API sand"</formula>
    </cfRule>
  </conditionalFormatting>
  <conditionalFormatting sqref="AJ16:AJ17">
    <cfRule type="expression" dxfId="4014" priority="33">
      <formula>$L16="Kirsch sand"</formula>
    </cfRule>
  </conditionalFormatting>
  <conditionalFormatting sqref="U15:V15">
    <cfRule type="expression" dxfId="4013" priority="30">
      <formula>$L15="Stiff clay w/o free water"</formula>
    </cfRule>
    <cfRule type="expression" dxfId="4012" priority="32">
      <formula>$L15="API clay"</formula>
    </cfRule>
  </conditionalFormatting>
  <conditionalFormatting sqref="U15:V15">
    <cfRule type="expression" dxfId="4011" priority="31">
      <formula>$L15="Kirsch soft clay"</formula>
    </cfRule>
  </conditionalFormatting>
  <conditionalFormatting sqref="U15:V15">
    <cfRule type="expression" dxfId="4010" priority="29">
      <formula>$L15="Kirsch stiff clay"</formula>
    </cfRule>
  </conditionalFormatting>
  <conditionalFormatting sqref="U15:V15">
    <cfRule type="expression" dxfId="4009" priority="28">
      <formula>$L15="Reese stiff clay"</formula>
    </cfRule>
  </conditionalFormatting>
  <conditionalFormatting sqref="U15:V15">
    <cfRule type="expression" dxfId="4008" priority="27">
      <formula>$L15="PISA clay"</formula>
    </cfRule>
  </conditionalFormatting>
  <conditionalFormatting sqref="U16:V16">
    <cfRule type="expression" dxfId="4007" priority="24">
      <formula>$L16="Stiff clay w/o free water"</formula>
    </cfRule>
    <cfRule type="expression" dxfId="4006" priority="26">
      <formula>$L16="API clay"</formula>
    </cfRule>
  </conditionalFormatting>
  <conditionalFormatting sqref="U16:V16">
    <cfRule type="expression" dxfId="4005" priority="25">
      <formula>$L16="Kirsch soft clay"</formula>
    </cfRule>
  </conditionalFormatting>
  <conditionalFormatting sqref="U16:V16">
    <cfRule type="expression" dxfId="4004" priority="23">
      <formula>$L16="Kirsch stiff clay"</formula>
    </cfRule>
  </conditionalFormatting>
  <conditionalFormatting sqref="U16:V16">
    <cfRule type="expression" dxfId="4003" priority="22">
      <formula>$L16="Reese stiff clay"</formula>
    </cfRule>
  </conditionalFormatting>
  <conditionalFormatting sqref="U16:V16">
    <cfRule type="expression" dxfId="4002" priority="21">
      <formula>$L16="PISA clay"</formula>
    </cfRule>
  </conditionalFormatting>
  <conditionalFormatting sqref="U17:V17">
    <cfRule type="expression" dxfId="4001" priority="18">
      <formula>$L17="Stiff clay w/o free water"</formula>
    </cfRule>
    <cfRule type="expression" dxfId="4000" priority="20">
      <formula>$L17="API clay"</formula>
    </cfRule>
  </conditionalFormatting>
  <conditionalFormatting sqref="U17:V17">
    <cfRule type="expression" dxfId="3999" priority="19">
      <formula>$L17="Kirsch soft clay"</formula>
    </cfRule>
  </conditionalFormatting>
  <conditionalFormatting sqref="U17:V17">
    <cfRule type="expression" dxfId="3998" priority="17">
      <formula>$L17="Kirsch stiff clay"</formula>
    </cfRule>
  </conditionalFormatting>
  <conditionalFormatting sqref="U17:V17">
    <cfRule type="expression" dxfId="3997" priority="16">
      <formula>$L17="Reese stiff clay"</formula>
    </cfRule>
  </conditionalFormatting>
  <conditionalFormatting sqref="U17:V17">
    <cfRule type="expression" dxfId="3996" priority="15">
      <formula>$L17="PISA clay"</formula>
    </cfRule>
  </conditionalFormatting>
  <conditionalFormatting sqref="AO15">
    <cfRule type="expression" dxfId="3995" priority="14">
      <formula>$L15="API sand"</formula>
    </cfRule>
  </conditionalFormatting>
  <conditionalFormatting sqref="AO15">
    <cfRule type="expression" dxfId="3994" priority="13">
      <formula>$L15="Kirsch sand"</formula>
    </cfRule>
  </conditionalFormatting>
  <conditionalFormatting sqref="AO16">
    <cfRule type="expression" dxfId="3993" priority="12">
      <formula>$L16="API sand"</formula>
    </cfRule>
  </conditionalFormatting>
  <conditionalFormatting sqref="AO16">
    <cfRule type="expression" dxfId="3992" priority="11">
      <formula>$L16="Kirsch sand"</formula>
    </cfRule>
  </conditionalFormatting>
  <conditionalFormatting sqref="AO17">
    <cfRule type="expression" dxfId="3991" priority="10">
      <formula>$L17="API sand"</formula>
    </cfRule>
  </conditionalFormatting>
  <conditionalFormatting sqref="AO17">
    <cfRule type="expression" dxfId="3990" priority="9">
      <formula>$L17="Kirsch sand"</formula>
    </cfRule>
  </conditionalFormatting>
  <conditionalFormatting sqref="AC14">
    <cfRule type="expression" dxfId="3989" priority="6">
      <formula>$L14="Stiff clay w/o free water"</formula>
    </cfRule>
    <cfRule type="expression" dxfId="3988" priority="8">
      <formula>$L14="API clay"</formula>
    </cfRule>
  </conditionalFormatting>
  <conditionalFormatting sqref="AC14">
    <cfRule type="expression" dxfId="3987" priority="7">
      <formula>$L14="Kirsch soft clay"</formula>
    </cfRule>
  </conditionalFormatting>
  <conditionalFormatting sqref="AC14">
    <cfRule type="expression" dxfId="3986" priority="5">
      <formula>$L14="Kirsch stiff clay"</formula>
    </cfRule>
  </conditionalFormatting>
  <conditionalFormatting sqref="AC14">
    <cfRule type="expression" dxfId="3985" priority="4">
      <formula>$L14="Reese stiff clay"</formula>
    </cfRule>
  </conditionalFormatting>
  <conditionalFormatting sqref="AC14">
    <cfRule type="expression" dxfId="3984" priority="3">
      <formula>$L14="PISA clay"</formula>
    </cfRule>
  </conditionalFormatting>
  <conditionalFormatting sqref="X11">
    <cfRule type="expression" dxfId="3983" priority="2">
      <formula>$L11="API sand"</formula>
    </cfRule>
  </conditionalFormatting>
  <conditionalFormatting sqref="X11">
    <cfRule type="expression" dxfId="3982" priority="1">
      <formula>$L11="Kirsch sand"</formula>
    </cfRule>
  </conditionalFormatting>
  <dataValidations count="3">
    <dataValidation type="list" showInputMessage="1" showErrorMessage="1" sqref="M6:M17" xr:uid="{29B37991-9890-4272-ABFE-549ADDDA2ADD}">
      <formula1>"Zero soil,API sand,API clay"</formula1>
    </dataValidation>
    <dataValidation type="list" showInputMessage="1" showErrorMessage="1" sqref="L6:L255" xr:uid="{41B09CF0-2C99-4385-9A58-DA691EA51850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18:M36" xr:uid="{5CB61DA1-FC26-4D2A-9FDD-7D8A9BBD3CAC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4A37C-7816-41EE-A8C6-02E5304D8438}">
  <sheetPr>
    <tabColor theme="7" tint="0.59999389629810485"/>
  </sheetPr>
  <dimension ref="A1:AS255"/>
  <sheetViews>
    <sheetView zoomScale="70" zoomScaleNormal="70" workbookViewId="0">
      <selection activeCell="L26" sqref="L26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27.710937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43" width="9.28515625" style="33"/>
    <col min="44" max="16384" width="9.140625" style="33"/>
  </cols>
  <sheetData>
    <row r="1" spans="1:45" x14ac:dyDescent="0.25">
      <c r="A1" s="34" t="str">
        <f ca="1">TRIM(MID(CELL("filename",A1),FIND("]",CELL("filename",A1),1)+1,255))</f>
        <v>EW69_Ak_Pisa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09"/>
      <c r="R3" s="155"/>
      <c r="S3" s="155"/>
      <c r="T3" s="109"/>
      <c r="U3" s="155"/>
      <c r="V3" s="155"/>
      <c r="W3" s="109"/>
      <c r="X3" s="69"/>
      <c r="Y3" s="109"/>
      <c r="Z3" s="109"/>
      <c r="AA3" s="109"/>
      <c r="AB3" s="109"/>
      <c r="AC3" s="69"/>
      <c r="AD3" s="39"/>
      <c r="AE3" s="39"/>
      <c r="AF3" s="39"/>
      <c r="AG3" s="39"/>
      <c r="AH3" s="39"/>
      <c r="AI3" s="39"/>
      <c r="AJ3" s="109"/>
      <c r="AK3" s="109"/>
      <c r="AL3" s="109"/>
      <c r="AM3" s="109"/>
      <c r="AN3" s="109"/>
      <c r="AO3" s="109"/>
      <c r="AP3" s="109"/>
    </row>
    <row r="4" spans="1:45" x14ac:dyDescent="0.25">
      <c r="A4" s="40" t="s">
        <v>60</v>
      </c>
      <c r="B4" s="33">
        <f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0" t="s">
        <v>38</v>
      </c>
      <c r="K5" s="110" t="s">
        <v>30</v>
      </c>
      <c r="L5" s="110" t="s">
        <v>31</v>
      </c>
      <c r="M5" s="110" t="s">
        <v>31</v>
      </c>
      <c r="N5" s="110" t="s">
        <v>32</v>
      </c>
      <c r="O5" s="110" t="s">
        <v>33</v>
      </c>
      <c r="P5" s="110" t="s">
        <v>35</v>
      </c>
      <c r="Q5" s="110" t="s">
        <v>36</v>
      </c>
      <c r="R5" s="110" t="s">
        <v>36</v>
      </c>
      <c r="S5" s="110" t="s">
        <v>34</v>
      </c>
      <c r="T5" s="110" t="s">
        <v>33</v>
      </c>
      <c r="U5" s="110" t="s">
        <v>34</v>
      </c>
      <c r="V5" s="110" t="s">
        <v>62</v>
      </c>
      <c r="W5" s="110" t="s">
        <v>34</v>
      </c>
      <c r="X5" s="110" t="s">
        <v>33</v>
      </c>
      <c r="Y5" s="110" t="s">
        <v>35</v>
      </c>
      <c r="Z5" s="110" t="s">
        <v>33</v>
      </c>
      <c r="AA5" s="110" t="s">
        <v>34</v>
      </c>
      <c r="AB5" s="110" t="s">
        <v>33</v>
      </c>
      <c r="AC5" s="110" t="s">
        <v>33</v>
      </c>
      <c r="AD5" s="110" t="s">
        <v>35</v>
      </c>
      <c r="AE5" s="110" t="s">
        <v>34</v>
      </c>
      <c r="AF5" s="110" t="s">
        <v>33</v>
      </c>
      <c r="AG5" s="110" t="s">
        <v>35</v>
      </c>
      <c r="AH5" s="110" t="s">
        <v>34</v>
      </c>
      <c r="AI5" s="110" t="s">
        <v>34</v>
      </c>
      <c r="AJ5" s="110" t="s">
        <v>34</v>
      </c>
      <c r="AK5" s="110" t="s">
        <v>34</v>
      </c>
      <c r="AL5" s="110" t="s">
        <v>34</v>
      </c>
      <c r="AM5" s="110" t="s">
        <v>34</v>
      </c>
      <c r="AN5" s="110" t="s">
        <v>34</v>
      </c>
      <c r="AO5" s="110" t="s">
        <v>34</v>
      </c>
      <c r="AP5" s="110" t="s">
        <v>34</v>
      </c>
      <c r="AQ5" s="110" t="s">
        <v>103</v>
      </c>
      <c r="AR5" s="110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255</v>
      </c>
      <c r="J6" s="139">
        <v>1</v>
      </c>
      <c r="K6" s="145">
        <v>0</v>
      </c>
      <c r="L6" s="146" t="s">
        <v>275</v>
      </c>
      <c r="M6" s="143" t="s">
        <v>65</v>
      </c>
      <c r="N6" s="139">
        <v>10.199999999999999</v>
      </c>
      <c r="O6" s="138">
        <v>0</v>
      </c>
      <c r="P6" s="138">
        <v>40</v>
      </c>
      <c r="Q6" s="139">
        <v>0</v>
      </c>
      <c r="R6" s="139" t="e">
        <f>IF(Q6&lt;&gt;0,Q6-5,NA())</f>
        <v>#N/A</v>
      </c>
      <c r="S6" s="139">
        <v>3</v>
      </c>
      <c r="T6" s="139">
        <v>0</v>
      </c>
      <c r="U6" s="140">
        <v>1.7999999999999999E-2</v>
      </c>
      <c r="V6" s="140">
        <v>0</v>
      </c>
      <c r="W6" s="139">
        <v>0.25</v>
      </c>
      <c r="X6" s="148">
        <v>12800</v>
      </c>
      <c r="Y6" s="139">
        <v>0</v>
      </c>
      <c r="Z6" s="139">
        <v>0</v>
      </c>
      <c r="AA6" s="139">
        <v>1</v>
      </c>
      <c r="AB6" s="139">
        <v>0</v>
      </c>
      <c r="AC6" s="138">
        <v>4000</v>
      </c>
      <c r="AD6" s="138">
        <v>20000</v>
      </c>
      <c r="AE6" s="138">
        <v>0.3</v>
      </c>
      <c r="AF6" s="138">
        <v>0</v>
      </c>
      <c r="AG6" s="138">
        <v>0</v>
      </c>
      <c r="AH6" s="138">
        <v>0</v>
      </c>
      <c r="AI6" s="138">
        <v>0</v>
      </c>
      <c r="AJ6" s="139">
        <v>0</v>
      </c>
      <c r="AK6" s="139">
        <v>1</v>
      </c>
      <c r="AL6" s="139">
        <v>1</v>
      </c>
      <c r="AM6" s="139">
        <v>1</v>
      </c>
      <c r="AN6" s="139">
        <v>1</v>
      </c>
      <c r="AO6" s="139">
        <v>1</v>
      </c>
      <c r="AP6" s="139">
        <v>1</v>
      </c>
      <c r="AQ6" s="139">
        <v>0</v>
      </c>
      <c r="AR6" s="139">
        <v>0</v>
      </c>
      <c r="AS6" s="141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 t="s">
        <v>257</v>
      </c>
      <c r="J7" s="139">
        <v>2</v>
      </c>
      <c r="K7" s="145">
        <v>-0.65</v>
      </c>
      <c r="L7" s="146" t="str">
        <f>"EW_sand_Ruled"&amp;"_"&amp;AR7</f>
        <v>EW_sand_Ruled_75</v>
      </c>
      <c r="M7" s="143" t="s">
        <v>64</v>
      </c>
      <c r="N7" s="139">
        <v>9.4</v>
      </c>
      <c r="O7" s="138">
        <v>0</v>
      </c>
      <c r="P7" s="138">
        <v>0</v>
      </c>
      <c r="Q7" s="139">
        <v>40</v>
      </c>
      <c r="R7" s="139">
        <f>IF(Q7&lt;&gt;0,Q7-5,NA())</f>
        <v>35</v>
      </c>
      <c r="S7" s="139">
        <v>2.6</v>
      </c>
      <c r="T7" s="139">
        <v>0</v>
      </c>
      <c r="U7" s="140">
        <v>0</v>
      </c>
      <c r="V7" s="140">
        <v>0</v>
      </c>
      <c r="W7" s="139">
        <v>0</v>
      </c>
      <c r="X7" s="148">
        <v>26200</v>
      </c>
      <c r="Y7" s="139">
        <v>0</v>
      </c>
      <c r="Z7" s="139">
        <f t="shared" ref="Z7:Z15" si="0">VLOOKUP(R7,$AE$39:$AF$59,2)</f>
        <v>114.99999999999996</v>
      </c>
      <c r="AA7" s="139">
        <v>1</v>
      </c>
      <c r="AB7" s="139">
        <f t="shared" ref="AB7:AB15" si="1">VLOOKUP(R7,$AE$39:$AG$59,3)</f>
        <v>12000</v>
      </c>
      <c r="AC7" s="138">
        <v>24000</v>
      </c>
      <c r="AD7" s="138">
        <v>12957.746478873238</v>
      </c>
      <c r="AE7" s="138">
        <v>0.3</v>
      </c>
      <c r="AF7" s="138">
        <v>0</v>
      </c>
      <c r="AG7" s="138">
        <v>0</v>
      </c>
      <c r="AH7" s="138">
        <v>0</v>
      </c>
      <c r="AI7" s="138">
        <v>0</v>
      </c>
      <c r="AJ7" s="139">
        <f t="shared" ref="AJ7:AJ15" si="2">VLOOKUP(R7,$AE$39:$AH$59,4)</f>
        <v>50.000000000000007</v>
      </c>
      <c r="AK7" s="139">
        <v>1</v>
      </c>
      <c r="AL7" s="139">
        <v>1</v>
      </c>
      <c r="AM7" s="139">
        <v>1</v>
      </c>
      <c r="AN7" s="139">
        <v>1</v>
      </c>
      <c r="AO7" s="139">
        <v>1</v>
      </c>
      <c r="AP7" s="139">
        <v>1</v>
      </c>
      <c r="AQ7" s="139">
        <v>0</v>
      </c>
      <c r="AR7" s="139">
        <v>75</v>
      </c>
      <c r="AS7" s="141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259</v>
      </c>
      <c r="J8" s="139">
        <v>3</v>
      </c>
      <c r="K8" s="145">
        <v>-4.2</v>
      </c>
      <c r="L8" s="146" t="str">
        <f t="shared" ref="L8:L15" si="3">"EW_sand_Ruled"&amp;"_"&amp;AR8</f>
        <v>EW_sand_Ruled_56</v>
      </c>
      <c r="M8" s="143" t="s">
        <v>64</v>
      </c>
      <c r="N8" s="139">
        <v>10</v>
      </c>
      <c r="O8" s="138">
        <v>0</v>
      </c>
      <c r="P8" s="138">
        <v>0</v>
      </c>
      <c r="Q8" s="139">
        <v>37</v>
      </c>
      <c r="R8" s="139">
        <f t="shared" ref="R8:R16" si="4">IF(Q8&lt;&gt;0,Q8-5,NA())</f>
        <v>32</v>
      </c>
      <c r="S8" s="139">
        <v>1.2</v>
      </c>
      <c r="T8" s="139">
        <v>0</v>
      </c>
      <c r="U8" s="140">
        <v>0</v>
      </c>
      <c r="V8" s="140">
        <v>0</v>
      </c>
      <c r="W8" s="139">
        <v>0</v>
      </c>
      <c r="X8" s="148">
        <v>15900</v>
      </c>
      <c r="Y8" s="139">
        <v>0</v>
      </c>
      <c r="Z8" s="139">
        <f t="shared" si="0"/>
        <v>103.59999999999997</v>
      </c>
      <c r="AA8" s="139">
        <v>1</v>
      </c>
      <c r="AB8" s="139">
        <f t="shared" si="1"/>
        <v>10560</v>
      </c>
      <c r="AC8" s="138">
        <v>61000</v>
      </c>
      <c r="AD8" s="138">
        <v>2222.2222222222222</v>
      </c>
      <c r="AE8" s="138">
        <v>0.3</v>
      </c>
      <c r="AF8" s="138">
        <v>0</v>
      </c>
      <c r="AG8" s="138">
        <v>0</v>
      </c>
      <c r="AH8" s="138">
        <v>0</v>
      </c>
      <c r="AI8" s="138">
        <v>0</v>
      </c>
      <c r="AJ8" s="139">
        <f t="shared" si="2"/>
        <v>44.000000000000007</v>
      </c>
      <c r="AK8" s="139">
        <v>1</v>
      </c>
      <c r="AL8" s="139">
        <v>1</v>
      </c>
      <c r="AM8" s="139">
        <v>1</v>
      </c>
      <c r="AN8" s="139">
        <v>1</v>
      </c>
      <c r="AO8" s="139">
        <v>1</v>
      </c>
      <c r="AP8" s="139">
        <v>1</v>
      </c>
      <c r="AQ8" s="139">
        <v>0</v>
      </c>
      <c r="AR8" s="139">
        <v>56</v>
      </c>
      <c r="AS8" s="141">
        <v>0.4</v>
      </c>
    </row>
    <row r="9" spans="1:45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261</v>
      </c>
      <c r="J9" s="139">
        <v>4</v>
      </c>
      <c r="K9" s="145">
        <v>-6</v>
      </c>
      <c r="L9" s="146" t="str">
        <f t="shared" si="3"/>
        <v>EW_sand_Ruled_68</v>
      </c>
      <c r="M9" s="143" t="s">
        <v>64</v>
      </c>
      <c r="N9" s="139">
        <v>9.9</v>
      </c>
      <c r="O9" s="138">
        <v>0</v>
      </c>
      <c r="P9" s="138">
        <v>0</v>
      </c>
      <c r="Q9" s="139">
        <v>39</v>
      </c>
      <c r="R9" s="139">
        <f t="shared" si="4"/>
        <v>34</v>
      </c>
      <c r="S9" s="139">
        <v>1.2</v>
      </c>
      <c r="T9" s="139">
        <v>0</v>
      </c>
      <c r="U9" s="140">
        <v>0</v>
      </c>
      <c r="V9" s="140">
        <v>0</v>
      </c>
      <c r="W9" s="139">
        <v>0</v>
      </c>
      <c r="X9" s="148">
        <v>2900</v>
      </c>
      <c r="Y9" s="139">
        <v>0</v>
      </c>
      <c r="Z9" s="139">
        <f t="shared" si="0"/>
        <v>111.19999999999996</v>
      </c>
      <c r="AA9" s="139">
        <v>1</v>
      </c>
      <c r="AB9" s="139">
        <f t="shared" si="1"/>
        <v>11520</v>
      </c>
      <c r="AC9" s="138">
        <v>74000</v>
      </c>
      <c r="AD9" s="138">
        <v>7000</v>
      </c>
      <c r="AE9" s="138">
        <v>0.3</v>
      </c>
      <c r="AF9" s="138">
        <v>0</v>
      </c>
      <c r="AG9" s="138">
        <v>0</v>
      </c>
      <c r="AH9" s="138">
        <v>0</v>
      </c>
      <c r="AI9" s="138">
        <v>0</v>
      </c>
      <c r="AJ9" s="139">
        <f t="shared" si="2"/>
        <v>48.000000000000007</v>
      </c>
      <c r="AK9" s="139">
        <v>1</v>
      </c>
      <c r="AL9" s="139">
        <v>1</v>
      </c>
      <c r="AM9" s="139">
        <v>1</v>
      </c>
      <c r="AN9" s="139">
        <v>1</v>
      </c>
      <c r="AO9" s="139">
        <v>1</v>
      </c>
      <c r="AP9" s="139">
        <v>1</v>
      </c>
      <c r="AQ9" s="139">
        <v>0</v>
      </c>
      <c r="AR9" s="139">
        <v>68</v>
      </c>
      <c r="AS9" s="141">
        <v>0.4</v>
      </c>
    </row>
    <row r="10" spans="1:45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261</v>
      </c>
      <c r="J10" s="139">
        <v>5</v>
      </c>
      <c r="K10" s="145">
        <v>-9</v>
      </c>
      <c r="L10" s="146" t="str">
        <f t="shared" si="3"/>
        <v>EW_sand_Ruled_79</v>
      </c>
      <c r="M10" s="143" t="s">
        <v>64</v>
      </c>
      <c r="N10" s="139">
        <v>9.9</v>
      </c>
      <c r="O10" s="138">
        <v>0</v>
      </c>
      <c r="P10" s="138">
        <v>0</v>
      </c>
      <c r="Q10" s="139">
        <v>40</v>
      </c>
      <c r="R10" s="139">
        <f t="shared" si="4"/>
        <v>35</v>
      </c>
      <c r="S10" s="139">
        <v>1.2</v>
      </c>
      <c r="T10" s="139">
        <v>0</v>
      </c>
      <c r="U10" s="140">
        <v>0</v>
      </c>
      <c r="V10" s="140">
        <v>0</v>
      </c>
      <c r="W10" s="139">
        <v>0</v>
      </c>
      <c r="X10" s="148">
        <v>13700</v>
      </c>
      <c r="Y10" s="139">
        <v>0</v>
      </c>
      <c r="Z10" s="139">
        <f t="shared" si="0"/>
        <v>114.99999999999996</v>
      </c>
      <c r="AA10" s="139">
        <v>1</v>
      </c>
      <c r="AB10" s="139">
        <f t="shared" si="1"/>
        <v>12000</v>
      </c>
      <c r="AC10" s="138">
        <v>108000</v>
      </c>
      <c r="AD10" s="138">
        <v>2307.6923076923076</v>
      </c>
      <c r="AE10" s="138">
        <v>0.3</v>
      </c>
      <c r="AF10" s="138">
        <v>0</v>
      </c>
      <c r="AG10" s="138">
        <v>0</v>
      </c>
      <c r="AH10" s="138">
        <v>0</v>
      </c>
      <c r="AI10" s="138">
        <v>0</v>
      </c>
      <c r="AJ10" s="139">
        <f t="shared" si="2"/>
        <v>50.000000000000007</v>
      </c>
      <c r="AK10" s="139">
        <v>1</v>
      </c>
      <c r="AL10" s="139">
        <v>1</v>
      </c>
      <c r="AM10" s="139">
        <v>1</v>
      </c>
      <c r="AN10" s="139">
        <v>1</v>
      </c>
      <c r="AO10" s="139">
        <v>1</v>
      </c>
      <c r="AP10" s="139">
        <v>1</v>
      </c>
      <c r="AQ10" s="139">
        <v>0</v>
      </c>
      <c r="AR10" s="139">
        <v>79</v>
      </c>
      <c r="AS10" s="141">
        <v>0.4</v>
      </c>
    </row>
    <row r="11" spans="1:45" x14ac:dyDescent="0.25">
      <c r="A11" s="33" t="s">
        <v>70</v>
      </c>
      <c r="B11" s="57">
        <v>0.5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264</v>
      </c>
      <c r="J11" s="139">
        <v>6</v>
      </c>
      <c r="K11" s="145">
        <v>-12.9</v>
      </c>
      <c r="L11" s="146" t="str">
        <f t="shared" si="3"/>
        <v>EW_sand_Ruled_59</v>
      </c>
      <c r="M11" s="143" t="s">
        <v>64</v>
      </c>
      <c r="N11" s="139">
        <v>8.5</v>
      </c>
      <c r="O11" s="138">
        <v>0</v>
      </c>
      <c r="P11" s="138">
        <v>0</v>
      </c>
      <c r="Q11" s="139">
        <v>26</v>
      </c>
      <c r="R11" s="139">
        <f t="shared" si="4"/>
        <v>21</v>
      </c>
      <c r="S11" s="139">
        <v>0.9</v>
      </c>
      <c r="T11" s="139">
        <v>0</v>
      </c>
      <c r="U11" s="140">
        <v>0</v>
      </c>
      <c r="V11" s="140">
        <v>0</v>
      </c>
      <c r="W11" s="139">
        <v>0</v>
      </c>
      <c r="X11" s="148">
        <v>25400</v>
      </c>
      <c r="Y11" s="139">
        <v>0</v>
      </c>
      <c r="Z11" s="139">
        <f t="shared" si="0"/>
        <v>69.799999999999983</v>
      </c>
      <c r="AA11" s="139">
        <v>1</v>
      </c>
      <c r="AB11" s="139">
        <f t="shared" si="1"/>
        <v>3280</v>
      </c>
      <c r="AC11" s="138">
        <v>97000</v>
      </c>
      <c r="AD11" s="138">
        <v>1322.3140495867769</v>
      </c>
      <c r="AE11" s="138">
        <v>0.3</v>
      </c>
      <c r="AF11" s="138">
        <v>0</v>
      </c>
      <c r="AG11" s="138">
        <v>0</v>
      </c>
      <c r="AH11" s="138">
        <v>0</v>
      </c>
      <c r="AI11" s="138">
        <v>0</v>
      </c>
      <c r="AJ11" s="139">
        <f>VLOOKUP(R11,$AE$39:$AH$59,4)</f>
        <v>13.600000000000003</v>
      </c>
      <c r="AK11" s="139">
        <v>1</v>
      </c>
      <c r="AL11" s="139">
        <v>1</v>
      </c>
      <c r="AM11" s="139">
        <v>1</v>
      </c>
      <c r="AN11" s="139">
        <v>1</v>
      </c>
      <c r="AO11" s="139">
        <v>1</v>
      </c>
      <c r="AP11" s="139">
        <v>1</v>
      </c>
      <c r="AQ11" s="139">
        <v>0</v>
      </c>
      <c r="AR11" s="139">
        <v>59</v>
      </c>
      <c r="AS11" s="141">
        <v>0.2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 t="s">
        <v>266</v>
      </c>
      <c r="J12" s="139">
        <v>7</v>
      </c>
      <c r="K12" s="145">
        <v>-25</v>
      </c>
      <c r="L12" s="146" t="s">
        <v>275</v>
      </c>
      <c r="M12" s="143" t="s">
        <v>65</v>
      </c>
      <c r="N12" s="139">
        <v>8.5</v>
      </c>
      <c r="O12" s="138">
        <v>168</v>
      </c>
      <c r="P12" s="138">
        <v>10.992366412213739</v>
      </c>
      <c r="Q12" s="139">
        <v>0</v>
      </c>
      <c r="R12" s="139" t="e">
        <f t="shared" si="4"/>
        <v>#N/A</v>
      </c>
      <c r="S12" s="139">
        <v>1.9</v>
      </c>
      <c r="T12" s="139">
        <v>0</v>
      </c>
      <c r="U12" s="140">
        <v>1.7999999999999999E-2</v>
      </c>
      <c r="V12" s="140">
        <v>0</v>
      </c>
      <c r="W12" s="139">
        <v>0.25</v>
      </c>
      <c r="X12" s="148">
        <v>17300</v>
      </c>
      <c r="Y12" s="139">
        <v>0</v>
      </c>
      <c r="Z12" s="139">
        <v>0</v>
      </c>
      <c r="AA12" s="139">
        <v>1</v>
      </c>
      <c r="AB12" s="139">
        <v>0</v>
      </c>
      <c r="AC12" s="138">
        <v>218000</v>
      </c>
      <c r="AD12" s="138">
        <v>14274.809160305342</v>
      </c>
      <c r="AE12" s="138">
        <v>0.3</v>
      </c>
      <c r="AF12" s="138">
        <v>0</v>
      </c>
      <c r="AG12" s="138">
        <v>0</v>
      </c>
      <c r="AH12" s="138">
        <v>0</v>
      </c>
      <c r="AI12" s="138">
        <v>0</v>
      </c>
      <c r="AJ12" s="139">
        <v>0</v>
      </c>
      <c r="AK12" s="139">
        <v>1</v>
      </c>
      <c r="AL12" s="139">
        <v>1</v>
      </c>
      <c r="AM12" s="139">
        <v>1</v>
      </c>
      <c r="AN12" s="139">
        <v>1</v>
      </c>
      <c r="AO12" s="139">
        <v>1</v>
      </c>
      <c r="AP12" s="139">
        <v>1</v>
      </c>
      <c r="AQ12" s="139">
        <v>0</v>
      </c>
      <c r="AR12" s="139">
        <v>0</v>
      </c>
      <c r="AS12" s="141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268</v>
      </c>
      <c r="J13" s="139">
        <v>8</v>
      </c>
      <c r="K13" s="145">
        <v>-38.1</v>
      </c>
      <c r="L13" s="146" t="str">
        <f t="shared" si="3"/>
        <v>EW_sand_Ruled_80</v>
      </c>
      <c r="M13" s="143" t="s">
        <v>64</v>
      </c>
      <c r="N13" s="139">
        <v>9</v>
      </c>
      <c r="O13" s="138">
        <v>0</v>
      </c>
      <c r="P13" s="138">
        <v>0</v>
      </c>
      <c r="Q13" s="139">
        <v>28</v>
      </c>
      <c r="R13" s="139">
        <f t="shared" si="4"/>
        <v>23</v>
      </c>
      <c r="S13" s="139">
        <v>1</v>
      </c>
      <c r="T13" s="139">
        <v>0</v>
      </c>
      <c r="U13" s="140">
        <v>0</v>
      </c>
      <c r="V13" s="140">
        <v>0</v>
      </c>
      <c r="W13" s="139">
        <v>0</v>
      </c>
      <c r="X13" s="148">
        <v>31000</v>
      </c>
      <c r="Y13" s="139">
        <v>0</v>
      </c>
      <c r="Z13" s="139">
        <f t="shared" si="0"/>
        <v>75.399999999999977</v>
      </c>
      <c r="AA13" s="139">
        <v>1</v>
      </c>
      <c r="AB13" s="139">
        <f t="shared" si="1"/>
        <v>4040</v>
      </c>
      <c r="AC13" s="138">
        <v>188000</v>
      </c>
      <c r="AD13" s="138">
        <v>2881.3559322033907</v>
      </c>
      <c r="AE13" s="138">
        <v>0.3</v>
      </c>
      <c r="AF13" s="138">
        <v>0</v>
      </c>
      <c r="AG13" s="138">
        <v>0</v>
      </c>
      <c r="AH13" s="138">
        <v>0</v>
      </c>
      <c r="AI13" s="138">
        <v>0</v>
      </c>
      <c r="AJ13" s="139">
        <f t="shared" si="2"/>
        <v>16.800000000000004</v>
      </c>
      <c r="AK13" s="139">
        <v>1</v>
      </c>
      <c r="AL13" s="139">
        <v>1</v>
      </c>
      <c r="AM13" s="139">
        <v>1</v>
      </c>
      <c r="AN13" s="139">
        <v>1</v>
      </c>
      <c r="AO13" s="139">
        <v>1</v>
      </c>
      <c r="AP13" s="139">
        <v>1</v>
      </c>
      <c r="AQ13" s="139">
        <v>0</v>
      </c>
      <c r="AR13" s="139">
        <v>80</v>
      </c>
      <c r="AS13" s="141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268</v>
      </c>
      <c r="J14" s="139">
        <v>9</v>
      </c>
      <c r="K14" s="145">
        <v>-44</v>
      </c>
      <c r="L14" s="146" t="str">
        <f t="shared" si="3"/>
        <v>EW_sand_Ruled_80</v>
      </c>
      <c r="M14" s="143" t="s">
        <v>64</v>
      </c>
      <c r="N14" s="139">
        <v>9</v>
      </c>
      <c r="O14" s="138">
        <v>0</v>
      </c>
      <c r="P14" s="138">
        <v>0</v>
      </c>
      <c r="Q14" s="139">
        <v>28</v>
      </c>
      <c r="R14" s="139">
        <f t="shared" si="4"/>
        <v>23</v>
      </c>
      <c r="S14" s="139">
        <v>1</v>
      </c>
      <c r="T14" s="139">
        <v>0</v>
      </c>
      <c r="U14" s="140">
        <v>0</v>
      </c>
      <c r="V14" s="140">
        <v>0</v>
      </c>
      <c r="W14" s="139">
        <v>0</v>
      </c>
      <c r="X14" s="148">
        <v>69900</v>
      </c>
      <c r="Y14" s="139">
        <v>0</v>
      </c>
      <c r="Z14" s="139">
        <f t="shared" si="0"/>
        <v>75.399999999999977</v>
      </c>
      <c r="AA14" s="139">
        <v>1</v>
      </c>
      <c r="AB14" s="139">
        <f t="shared" si="1"/>
        <v>4040</v>
      </c>
      <c r="AC14" s="138">
        <v>182000</v>
      </c>
      <c r="AD14" s="138">
        <v>15625.000000000009</v>
      </c>
      <c r="AE14" s="138">
        <v>0.3</v>
      </c>
      <c r="AF14" s="138">
        <v>0</v>
      </c>
      <c r="AG14" s="138">
        <v>0</v>
      </c>
      <c r="AH14" s="138">
        <v>0</v>
      </c>
      <c r="AI14" s="138">
        <v>0</v>
      </c>
      <c r="AJ14" s="139">
        <f t="shared" si="2"/>
        <v>16.800000000000004</v>
      </c>
      <c r="AK14" s="139">
        <v>1</v>
      </c>
      <c r="AL14" s="139">
        <v>1</v>
      </c>
      <c r="AM14" s="139">
        <v>1</v>
      </c>
      <c r="AN14" s="139">
        <v>1</v>
      </c>
      <c r="AO14" s="139">
        <v>1</v>
      </c>
      <c r="AP14" s="139">
        <v>1</v>
      </c>
      <c r="AQ14" s="139">
        <v>0</v>
      </c>
      <c r="AR14" s="139">
        <v>80</v>
      </c>
      <c r="AS14" s="141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271</v>
      </c>
      <c r="J15" s="139">
        <v>10</v>
      </c>
      <c r="K15" s="145">
        <v>-48.8</v>
      </c>
      <c r="L15" s="146" t="str">
        <f t="shared" si="3"/>
        <v>EW_sand_Ruled_68</v>
      </c>
      <c r="M15" s="143" t="s">
        <v>64</v>
      </c>
      <c r="N15" s="139">
        <v>9.8000000000000007</v>
      </c>
      <c r="O15" s="138">
        <v>0</v>
      </c>
      <c r="P15" s="138">
        <v>0</v>
      </c>
      <c r="Q15" s="139">
        <v>28</v>
      </c>
      <c r="R15" s="139">
        <f t="shared" si="4"/>
        <v>23</v>
      </c>
      <c r="S15" s="139">
        <v>0.9</v>
      </c>
      <c r="T15" s="139">
        <v>0</v>
      </c>
      <c r="U15" s="140">
        <v>0</v>
      </c>
      <c r="V15" s="140">
        <v>0</v>
      </c>
      <c r="W15" s="139">
        <v>0</v>
      </c>
      <c r="X15" s="148">
        <v>40800</v>
      </c>
      <c r="Y15" s="139">
        <v>0</v>
      </c>
      <c r="Z15" s="139">
        <f t="shared" si="0"/>
        <v>75.399999999999977</v>
      </c>
      <c r="AA15" s="139">
        <v>1</v>
      </c>
      <c r="AB15" s="139">
        <f t="shared" si="1"/>
        <v>4040</v>
      </c>
      <c r="AC15" s="138">
        <v>196000</v>
      </c>
      <c r="AD15" s="138">
        <v>2574.8502994011974</v>
      </c>
      <c r="AE15" s="138">
        <v>0.3</v>
      </c>
      <c r="AF15" s="138">
        <v>0</v>
      </c>
      <c r="AG15" s="138">
        <v>0</v>
      </c>
      <c r="AH15" s="138">
        <v>0</v>
      </c>
      <c r="AI15" s="138">
        <v>0</v>
      </c>
      <c r="AJ15" s="139">
        <f t="shared" si="2"/>
        <v>16.800000000000004</v>
      </c>
      <c r="AK15" s="139">
        <v>1</v>
      </c>
      <c r="AL15" s="139">
        <v>1</v>
      </c>
      <c r="AM15" s="139">
        <v>1</v>
      </c>
      <c r="AN15" s="139">
        <v>1</v>
      </c>
      <c r="AO15" s="139">
        <v>1</v>
      </c>
      <c r="AP15" s="139">
        <v>1</v>
      </c>
      <c r="AQ15" s="139">
        <v>0</v>
      </c>
      <c r="AR15" s="139">
        <v>68</v>
      </c>
      <c r="AS15" s="141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273</v>
      </c>
      <c r="J16" s="139">
        <v>11</v>
      </c>
      <c r="K16" s="145">
        <v>-65.5</v>
      </c>
      <c r="L16" s="146" t="s">
        <v>275</v>
      </c>
      <c r="M16" s="143" t="s">
        <v>65</v>
      </c>
      <c r="N16" s="148">
        <v>9.8000000000000007</v>
      </c>
      <c r="O16" s="138">
        <v>488</v>
      </c>
      <c r="P16" s="138">
        <v>5.5172413793103452</v>
      </c>
      <c r="Q16" s="139">
        <v>0</v>
      </c>
      <c r="R16" s="139" t="e">
        <f t="shared" si="4"/>
        <v>#N/A</v>
      </c>
      <c r="S16" s="139">
        <v>1.8</v>
      </c>
      <c r="T16" s="139">
        <v>0</v>
      </c>
      <c r="U16" s="140">
        <v>1.7999999999999999E-2</v>
      </c>
      <c r="V16" s="140">
        <v>0</v>
      </c>
      <c r="W16" s="139">
        <v>0.25</v>
      </c>
      <c r="X16" s="148">
        <v>101700</v>
      </c>
      <c r="Y16" s="139">
        <v>0</v>
      </c>
      <c r="Z16" s="139">
        <v>0</v>
      </c>
      <c r="AA16" s="139">
        <v>1</v>
      </c>
      <c r="AB16" s="139">
        <v>0</v>
      </c>
      <c r="AC16" s="138">
        <v>761000</v>
      </c>
      <c r="AD16" s="138">
        <v>10482.758620689654</v>
      </c>
      <c r="AE16" s="138">
        <v>0.3</v>
      </c>
      <c r="AF16" s="138">
        <v>0</v>
      </c>
      <c r="AG16" s="138">
        <v>0</v>
      </c>
      <c r="AH16" s="138">
        <v>0</v>
      </c>
      <c r="AI16" s="138">
        <v>0</v>
      </c>
      <c r="AJ16" s="139">
        <v>0</v>
      </c>
      <c r="AK16" s="139">
        <v>1</v>
      </c>
      <c r="AL16" s="139">
        <v>1</v>
      </c>
      <c r="AM16" s="139">
        <v>1</v>
      </c>
      <c r="AN16" s="139">
        <v>1</v>
      </c>
      <c r="AO16" s="139">
        <v>1</v>
      </c>
      <c r="AP16" s="139">
        <v>1</v>
      </c>
      <c r="AQ16" s="139">
        <v>0</v>
      </c>
      <c r="AR16" s="139">
        <v>0</v>
      </c>
      <c r="AS16" s="141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0"/>
      <c r="E17" s="110"/>
      <c r="J17" s="139"/>
      <c r="K17" s="145"/>
      <c r="L17" s="147"/>
      <c r="M17" s="144"/>
      <c r="N17" s="139"/>
      <c r="O17" s="63"/>
      <c r="P17" s="63"/>
      <c r="Q17" s="47"/>
      <c r="R17" s="47"/>
      <c r="S17" s="47"/>
      <c r="T17" s="47"/>
      <c r="U17" s="75"/>
      <c r="V17" s="75"/>
      <c r="W17" s="47"/>
      <c r="X17" s="47"/>
      <c r="Y17" s="47"/>
      <c r="Z17" s="47"/>
      <c r="AA17" s="47"/>
      <c r="AB17" s="47"/>
      <c r="AC17" s="63"/>
      <c r="AD17" s="63"/>
      <c r="AE17" s="63"/>
      <c r="AF17" s="63"/>
      <c r="AG17" s="63"/>
      <c r="AH17" s="63"/>
      <c r="AI17" s="63"/>
      <c r="AJ17" s="47"/>
      <c r="AK17" s="47"/>
      <c r="AL17" s="47"/>
      <c r="AM17" s="47"/>
      <c r="AN17" s="47"/>
      <c r="AO17" s="47"/>
      <c r="AP17" s="47"/>
      <c r="AQ17" s="47"/>
      <c r="AR17" s="47"/>
      <c r="AS17" s="33"/>
    </row>
    <row r="18" spans="1:45" ht="22.5" customHeight="1" x14ac:dyDescent="0.25">
      <c r="A18" s="35" t="s">
        <v>25</v>
      </c>
      <c r="B18" s="65" t="s">
        <v>26</v>
      </c>
      <c r="C18" s="65" t="s">
        <v>27</v>
      </c>
      <c r="D18" s="66"/>
      <c r="E18" s="66"/>
      <c r="J18" s="139"/>
      <c r="K18" s="145"/>
      <c r="L18" s="147"/>
      <c r="M18" s="144"/>
      <c r="N18" s="139"/>
      <c r="O18" s="138"/>
      <c r="P18" s="148"/>
      <c r="Q18" s="139"/>
      <c r="R18" s="139"/>
      <c r="S18" s="139"/>
      <c r="T18" s="139"/>
      <c r="U18" s="139"/>
      <c r="V18" s="140"/>
      <c r="W18" s="148"/>
      <c r="X18" s="139"/>
      <c r="Y18" s="139"/>
      <c r="Z18" s="139"/>
      <c r="AA18" s="139"/>
      <c r="AB18" s="139"/>
      <c r="AC18" s="139"/>
      <c r="AD18" s="139"/>
      <c r="AE18" s="138"/>
      <c r="AF18" s="138"/>
      <c r="AG18" s="138"/>
      <c r="AH18" s="138"/>
      <c r="AI18" s="138"/>
      <c r="AJ18" s="139"/>
      <c r="AK18" s="139"/>
      <c r="AL18" s="139"/>
      <c r="AM18" s="139"/>
      <c r="AN18" s="139"/>
      <c r="AO18" s="139"/>
      <c r="AP18" s="139"/>
      <c r="AQ18" s="139"/>
      <c r="AR18" s="139"/>
      <c r="AS18" s="141"/>
    </row>
    <row r="19" spans="1:45" x14ac:dyDescent="0.25">
      <c r="A19" s="110" t="s">
        <v>38</v>
      </c>
      <c r="B19" s="110" t="s">
        <v>30</v>
      </c>
      <c r="C19" s="110" t="s">
        <v>59</v>
      </c>
      <c r="D19" s="43"/>
      <c r="E19" s="35"/>
      <c r="J19" s="146"/>
      <c r="K19" s="146"/>
      <c r="L19" s="144"/>
      <c r="M19" s="144"/>
      <c r="N19" s="139"/>
      <c r="O19" s="139"/>
      <c r="P19" s="139"/>
      <c r="Q19" s="139"/>
      <c r="R19" s="142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41"/>
      <c r="AF19" s="141"/>
      <c r="AG19" s="141"/>
      <c r="AH19" s="141"/>
      <c r="AI19" s="139"/>
      <c r="AJ19" s="139"/>
      <c r="AK19" s="139"/>
      <c r="AL19" s="139"/>
      <c r="AM19" s="139"/>
      <c r="AN19" s="139"/>
      <c r="AO19" s="139"/>
      <c r="AP19" s="139"/>
      <c r="AQ19" s="141"/>
      <c r="AR19" s="141"/>
      <c r="AS19" s="141"/>
    </row>
    <row r="20" spans="1:45" x14ac:dyDescent="0.25">
      <c r="A20" s="66">
        <v>1</v>
      </c>
      <c r="B20" s="66">
        <v>0</v>
      </c>
      <c r="C20" s="67">
        <v>0.09</v>
      </c>
      <c r="D20" s="43"/>
      <c r="J20" s="146"/>
      <c r="K20" s="146"/>
      <c r="L20" s="144"/>
      <c r="M20" s="144"/>
      <c r="N20" s="139"/>
      <c r="O20" s="139"/>
      <c r="P20" s="139"/>
      <c r="Q20" s="139"/>
      <c r="R20" s="142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41"/>
      <c r="AF20" s="141"/>
      <c r="AG20" s="141"/>
      <c r="AH20" s="141"/>
      <c r="AI20" s="139"/>
      <c r="AJ20" s="139"/>
      <c r="AK20" s="139"/>
      <c r="AL20" s="139"/>
      <c r="AM20" s="139"/>
      <c r="AN20" s="139"/>
      <c r="AO20" s="139"/>
      <c r="AP20" s="139"/>
      <c r="AQ20" s="141"/>
      <c r="AR20" s="141"/>
      <c r="AS20" s="141"/>
    </row>
    <row r="21" spans="1:45" x14ac:dyDescent="0.25">
      <c r="A21" s="66"/>
      <c r="B21" s="66"/>
      <c r="C21" s="67"/>
      <c r="D21" s="43"/>
      <c r="J21" s="146"/>
      <c r="K21" s="146"/>
      <c r="L21" s="144"/>
      <c r="M21" s="144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42"/>
      <c r="AE21" s="141"/>
      <c r="AF21" s="141"/>
      <c r="AG21" s="141"/>
      <c r="AH21" s="141"/>
      <c r="AI21" s="139"/>
      <c r="AJ21" s="139"/>
      <c r="AK21" s="139"/>
      <c r="AL21" s="139"/>
      <c r="AM21" s="139"/>
      <c r="AN21" s="139"/>
      <c r="AO21" s="139"/>
      <c r="AP21" s="139"/>
      <c r="AQ21" s="141"/>
      <c r="AR21" s="141"/>
      <c r="AS21" s="141"/>
    </row>
    <row r="22" spans="1:45" x14ac:dyDescent="0.25">
      <c r="A22" s="66"/>
      <c r="B22" s="66"/>
      <c r="C22" s="67"/>
      <c r="D22" s="35"/>
      <c r="J22" s="146"/>
      <c r="K22" s="146"/>
      <c r="L22" s="144"/>
      <c r="M22" s="144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42"/>
      <c r="AE22" s="141"/>
      <c r="AF22" s="141"/>
      <c r="AG22" s="141"/>
      <c r="AH22" s="141"/>
      <c r="AI22" s="139"/>
      <c r="AJ22" s="139"/>
      <c r="AK22" s="139"/>
      <c r="AL22" s="139"/>
      <c r="AM22" s="139"/>
      <c r="AN22" s="139"/>
      <c r="AO22" s="139"/>
      <c r="AP22" s="139"/>
      <c r="AQ22" s="141"/>
      <c r="AR22" s="141"/>
      <c r="AS22" s="141"/>
    </row>
    <row r="23" spans="1:45" x14ac:dyDescent="0.25">
      <c r="A23" s="66"/>
      <c r="B23" s="66"/>
      <c r="C23" s="67"/>
      <c r="D23" s="35"/>
      <c r="J23" s="146"/>
      <c r="K23" s="146"/>
      <c r="L23" s="144"/>
      <c r="M23" s="144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42"/>
      <c r="AE23" s="141"/>
      <c r="AF23" s="141"/>
      <c r="AG23" s="141"/>
      <c r="AH23" s="141"/>
      <c r="AI23" s="139"/>
      <c r="AJ23" s="139"/>
      <c r="AK23" s="139"/>
      <c r="AL23" s="139"/>
      <c r="AM23" s="139"/>
      <c r="AN23" s="139"/>
      <c r="AO23" s="139"/>
      <c r="AP23" s="139"/>
      <c r="AQ23" s="141"/>
      <c r="AR23" s="141"/>
      <c r="AS23" s="141"/>
    </row>
    <row r="24" spans="1:45" x14ac:dyDescent="0.25">
      <c r="A24" s="66"/>
      <c r="B24" s="66"/>
      <c r="C24" s="67"/>
      <c r="D24" s="35"/>
      <c r="J24" s="146"/>
      <c r="K24" s="146"/>
      <c r="L24" s="144"/>
      <c r="M24" s="144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42"/>
      <c r="AE24" s="141"/>
      <c r="AF24" s="141"/>
      <c r="AG24" s="141"/>
      <c r="AH24" s="141"/>
      <c r="AI24" s="139"/>
      <c r="AJ24" s="139"/>
      <c r="AK24" s="139"/>
      <c r="AL24" s="139"/>
      <c r="AM24" s="139"/>
      <c r="AN24" s="139"/>
      <c r="AO24" s="139"/>
      <c r="AP24" s="139"/>
      <c r="AQ24" s="141"/>
      <c r="AR24" s="141"/>
      <c r="AS24" s="141"/>
    </row>
    <row r="25" spans="1:45" x14ac:dyDescent="0.25">
      <c r="A25" s="66"/>
      <c r="B25" s="66"/>
      <c r="C25" s="67"/>
      <c r="D25" s="35"/>
      <c r="J25" s="146"/>
      <c r="K25" s="146"/>
      <c r="L25" s="144"/>
      <c r="M25" s="144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42"/>
      <c r="AE25" s="141"/>
      <c r="AF25" s="141"/>
      <c r="AG25" s="141"/>
      <c r="AH25" s="141"/>
      <c r="AI25" s="139"/>
      <c r="AJ25" s="139"/>
      <c r="AK25" s="139"/>
      <c r="AL25" s="139"/>
      <c r="AM25" s="139"/>
      <c r="AN25" s="139"/>
      <c r="AO25" s="139"/>
      <c r="AP25" s="139"/>
      <c r="AQ25" s="141"/>
      <c r="AR25" s="141"/>
      <c r="AS25" s="141"/>
    </row>
    <row r="26" spans="1:45" x14ac:dyDescent="0.25">
      <c r="A26" s="66"/>
      <c r="B26" s="66"/>
      <c r="C26" s="67"/>
      <c r="D26" s="35"/>
      <c r="J26" s="146"/>
      <c r="K26" s="146"/>
      <c r="L26" s="144"/>
      <c r="M26" s="144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42"/>
      <c r="AE26" s="141"/>
      <c r="AF26" s="141"/>
      <c r="AG26" s="141"/>
      <c r="AH26" s="141"/>
      <c r="AI26" s="139"/>
      <c r="AJ26" s="139"/>
      <c r="AK26" s="139"/>
      <c r="AL26" s="139"/>
      <c r="AM26" s="139"/>
      <c r="AN26" s="139"/>
      <c r="AO26" s="139"/>
      <c r="AP26" s="139"/>
      <c r="AQ26" s="141"/>
      <c r="AR26" s="141"/>
      <c r="AS26" s="141"/>
    </row>
    <row r="27" spans="1:45" x14ac:dyDescent="0.25">
      <c r="A27" s="66"/>
      <c r="B27" s="66"/>
      <c r="C27" s="67"/>
      <c r="D27" s="35"/>
      <c r="E27" s="33" t="s">
        <v>181</v>
      </c>
      <c r="J27" s="146"/>
      <c r="K27" s="146"/>
      <c r="L27" s="144"/>
      <c r="M27" s="144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42"/>
      <c r="AE27" s="141"/>
      <c r="AF27" s="141"/>
      <c r="AG27" s="141"/>
      <c r="AH27" s="141"/>
      <c r="AI27" s="139"/>
      <c r="AJ27" s="139"/>
      <c r="AK27" s="139"/>
      <c r="AL27" s="139"/>
      <c r="AM27" s="139"/>
      <c r="AN27" s="139"/>
      <c r="AO27" s="139"/>
      <c r="AP27" s="139"/>
      <c r="AQ27" s="141"/>
      <c r="AR27" s="141"/>
      <c r="AS27" s="141"/>
    </row>
    <row r="28" spans="1:45" x14ac:dyDescent="0.25">
      <c r="A28" s="66"/>
      <c r="B28" s="66"/>
      <c r="C28" s="67"/>
      <c r="D28" s="35"/>
      <c r="J28" s="146"/>
      <c r="K28" s="146"/>
      <c r="L28" s="144"/>
      <c r="M28" s="144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42"/>
      <c r="AE28" s="141"/>
      <c r="AF28" s="141"/>
      <c r="AG28" s="141"/>
      <c r="AH28" s="141"/>
      <c r="AI28" s="139"/>
      <c r="AJ28" s="139"/>
      <c r="AK28" s="139"/>
      <c r="AL28" s="139"/>
      <c r="AM28" s="139"/>
      <c r="AN28" s="139"/>
      <c r="AO28" s="139"/>
      <c r="AP28" s="139"/>
      <c r="AQ28" s="141"/>
      <c r="AR28" s="141"/>
      <c r="AS28" s="141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</row>
    <row r="42" spans="1:42" x14ac:dyDescent="0.25">
      <c r="L42" s="49"/>
      <c r="AE42" s="33">
        <v>18</v>
      </c>
      <c r="AF42" s="33">
        <f t="shared" si="5"/>
        <v>59.399999999999991</v>
      </c>
      <c r="AG42" s="33">
        <f t="shared" si="6"/>
        <v>2500</v>
      </c>
      <c r="AH42" s="33">
        <f t="shared" si="7"/>
        <v>10.400000000000002</v>
      </c>
    </row>
    <row r="43" spans="1:42" x14ac:dyDescent="0.25">
      <c r="L43" s="49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</row>
    <row r="44" spans="1:42" x14ac:dyDescent="0.25">
      <c r="L44" s="49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2" x14ac:dyDescent="0.25">
      <c r="L47" s="49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2" x14ac:dyDescent="0.25">
      <c r="L48" s="49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9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9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9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9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9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9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9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T17 AJ17 R17 AB17 Y17:Z17 AM17:AQ17 AM29:AP36">
    <cfRule type="expression" dxfId="3981" priority="146">
      <formula>$L17="API sand"</formula>
    </cfRule>
  </conditionalFormatting>
  <conditionalFormatting sqref="R29:S36 AB29:AB35 AK17:AL17">
    <cfRule type="expression" dxfId="3980" priority="145">
      <formula>$M17="API sand"</formula>
    </cfRule>
  </conditionalFormatting>
  <conditionalFormatting sqref="R29:T36 AB29:AB35 AK17:AL17">
    <cfRule type="expression" dxfId="3979" priority="144">
      <formula>$M17="API clay"</formula>
    </cfRule>
  </conditionalFormatting>
  <conditionalFormatting sqref="U29:W36 AA17 AE17:AI17 V17 AM17:AP17 AM29:AP36">
    <cfRule type="expression" dxfId="3978" priority="141">
      <formula>$L17="Stiff clay w/o free water"</formula>
    </cfRule>
    <cfRule type="expression" dxfId="3977" priority="143">
      <formula>$L17="API clay"</formula>
    </cfRule>
  </conditionalFormatting>
  <conditionalFormatting sqref="U29:Y36 AA17 AE17:AI17 V17 AM17:AP17 AM29:AP36">
    <cfRule type="expression" dxfId="3976" priority="142">
      <formula>$L17="Kirsch soft clay"</formula>
    </cfRule>
  </conditionalFormatting>
  <conditionalFormatting sqref="U29:Y36 AA17 AE17:AI17 V17 AM17:AP17 AM29:AP36">
    <cfRule type="expression" dxfId="3975" priority="140">
      <formula>$L17="Kirsch stiff clay"</formula>
    </cfRule>
  </conditionalFormatting>
  <conditionalFormatting sqref="T17 AJ17 R17 AB17 Y17:Z17 AM17:AQ17 AM29:AP36">
    <cfRule type="expression" dxfId="3974" priority="139">
      <formula>$L17="Kirsch sand"</formula>
    </cfRule>
  </conditionalFormatting>
  <conditionalFormatting sqref="AM17:AP17 AM29:AP36">
    <cfRule type="expression" dxfId="3973" priority="138">
      <formula>$L17="Modified Weak rock"</formula>
    </cfRule>
  </conditionalFormatting>
  <conditionalFormatting sqref="U29:V36 AA17 AE17:AI17 V17 AM17:AP17 AM29:AP36">
    <cfRule type="expression" dxfId="3972" priority="137">
      <formula>$L17="Reese stiff clay"</formula>
    </cfRule>
  </conditionalFormatting>
  <conditionalFormatting sqref="N30:N36 Q29:Q36">
    <cfRule type="expression" dxfId="3971" priority="136">
      <formula>$L29="API sand"</formula>
    </cfRule>
  </conditionalFormatting>
  <conditionalFormatting sqref="N30:N36 AB36 AJ29:AL36 Z29:Z36">
    <cfRule type="expression" dxfId="3970" priority="135">
      <formula>$M29="API sand"</formula>
    </cfRule>
  </conditionalFormatting>
  <conditionalFormatting sqref="Z36:AB36 AK29:AL36 N30:N36 Z29:AA35">
    <cfRule type="expression" dxfId="3969" priority="134">
      <formula>$M29="API clay"</formula>
    </cfRule>
  </conditionalFormatting>
  <conditionalFormatting sqref="N30:P36 O29:P29">
    <cfRule type="expression" dxfId="3968" priority="131">
      <formula>$L29="Stiff clay w/o free water"</formula>
    </cfRule>
    <cfRule type="expression" dxfId="3967" priority="133">
      <formula>$L29="API clay"</formula>
    </cfRule>
  </conditionalFormatting>
  <conditionalFormatting sqref="N30:P36 O29:P29">
    <cfRule type="expression" dxfId="3966" priority="132">
      <formula>$L29="Kirsch soft clay"</formula>
    </cfRule>
  </conditionalFormatting>
  <conditionalFormatting sqref="N30:P36 O29:P29">
    <cfRule type="expression" dxfId="3965" priority="130">
      <formula>$L29="Kirsch stiff clay"</formula>
    </cfRule>
  </conditionalFormatting>
  <conditionalFormatting sqref="N30:N36 Q29:Q36 X29:Y36">
    <cfRule type="expression" dxfId="3964" priority="129">
      <formula>$L29="Kirsch sand"</formula>
    </cfRule>
  </conditionalFormatting>
  <conditionalFormatting sqref="N30:N36 AC29:AD36 AI29:AI36">
    <cfRule type="expression" dxfId="3963" priority="128">
      <formula>$L29="Modified Weak rock"</formula>
    </cfRule>
  </conditionalFormatting>
  <conditionalFormatting sqref="N30:P36 O29:P29">
    <cfRule type="expression" dxfId="3962" priority="127">
      <formula>$L29="Reese stiff clay"</formula>
    </cfRule>
  </conditionalFormatting>
  <conditionalFormatting sqref="AA17 AE17:AI17 V17 AM17:AP17">
    <cfRule type="expression" dxfId="3961" priority="126">
      <formula>$L17="PISA clay"</formula>
    </cfRule>
  </conditionalFormatting>
  <conditionalFormatting sqref="AM17:AP17">
    <cfRule type="expression" dxfId="3960" priority="125">
      <formula>$L17="PISA sand"</formula>
    </cfRule>
  </conditionalFormatting>
  <conditionalFormatting sqref="AE37:AH37">
    <cfRule type="expression" dxfId="3959" priority="147">
      <formula>$L19="Modified Weak rock"</formula>
    </cfRule>
  </conditionalFormatting>
  <conditionalFormatting sqref="Q17 S17 W17">
    <cfRule type="expression" dxfId="3958" priority="66">
      <formula>$L17="API sand"</formula>
    </cfRule>
  </conditionalFormatting>
  <conditionalFormatting sqref="O17:P17">
    <cfRule type="expression" dxfId="3957" priority="61">
      <formula>$L17="Stiff clay w/o free water"</formula>
    </cfRule>
    <cfRule type="expression" dxfId="3956" priority="63">
      <formula>$L17="API clay"</formula>
    </cfRule>
  </conditionalFormatting>
  <conditionalFormatting sqref="O17:P17">
    <cfRule type="expression" dxfId="3955" priority="62">
      <formula>$L17="Kirsch soft clay"</formula>
    </cfRule>
  </conditionalFormatting>
  <conditionalFormatting sqref="O17:P17">
    <cfRule type="expression" dxfId="3954" priority="60">
      <formula>$L17="Kirsch stiff clay"</formula>
    </cfRule>
  </conditionalFormatting>
  <conditionalFormatting sqref="Q17 S17 W17">
    <cfRule type="expression" dxfId="3953" priority="59">
      <formula>$L17="Kirsch sand"</formula>
    </cfRule>
  </conditionalFormatting>
  <conditionalFormatting sqref="O17:P17">
    <cfRule type="expression" dxfId="3952" priority="57">
      <formula>$L17="Reese stiff clay"</formula>
    </cfRule>
  </conditionalFormatting>
  <conditionalFormatting sqref="O17:P17">
    <cfRule type="expression" dxfId="3951" priority="56">
      <formula>$L17="PISA clay"</formula>
    </cfRule>
  </conditionalFormatting>
  <conditionalFormatting sqref="AD17">
    <cfRule type="expression" dxfId="3950" priority="52">
      <formula>$L17="Stiff clay w/o free water"</formula>
    </cfRule>
    <cfRule type="expression" dxfId="3949" priority="54">
      <formula>$L17="API clay"</formula>
    </cfRule>
  </conditionalFormatting>
  <conditionalFormatting sqref="AD17">
    <cfRule type="expression" dxfId="3948" priority="53">
      <formula>$L17="Kirsch soft clay"</formula>
    </cfRule>
  </conditionalFormatting>
  <conditionalFormatting sqref="AD17">
    <cfRule type="expression" dxfId="3947" priority="51">
      <formula>$L17="Kirsch stiff clay"</formula>
    </cfRule>
  </conditionalFormatting>
  <conditionalFormatting sqref="AD17">
    <cfRule type="expression" dxfId="3946" priority="50">
      <formula>$L17="Reese stiff clay"</formula>
    </cfRule>
  </conditionalFormatting>
  <conditionalFormatting sqref="AD17">
    <cfRule type="expression" dxfId="3945" priority="49">
      <formula>$L17="PISA clay"</formula>
    </cfRule>
  </conditionalFormatting>
  <conditionalFormatting sqref="AC17">
    <cfRule type="expression" dxfId="3944" priority="46">
      <formula>$L17="Stiff clay w/o free water"</formula>
    </cfRule>
    <cfRule type="expression" dxfId="3943" priority="48">
      <formula>$L17="API clay"</formula>
    </cfRule>
  </conditionalFormatting>
  <conditionalFormatting sqref="AC17">
    <cfRule type="expression" dxfId="3942" priority="47">
      <formula>$L17="Kirsch soft clay"</formula>
    </cfRule>
  </conditionalFormatting>
  <conditionalFormatting sqref="AC17">
    <cfRule type="expression" dxfId="3941" priority="45">
      <formula>$L17="Kirsch stiff clay"</formula>
    </cfRule>
  </conditionalFormatting>
  <conditionalFormatting sqref="AC17">
    <cfRule type="expression" dxfId="3940" priority="44">
      <formula>$L17="Reese stiff clay"</formula>
    </cfRule>
  </conditionalFormatting>
  <conditionalFormatting sqref="AC17">
    <cfRule type="expression" dxfId="3939" priority="43">
      <formula>$L17="PISA clay"</formula>
    </cfRule>
  </conditionalFormatting>
  <conditionalFormatting sqref="X17">
    <cfRule type="expression" dxfId="3938" priority="42">
      <formula>$L17="API sand"</formula>
    </cfRule>
  </conditionalFormatting>
  <conditionalFormatting sqref="X17">
    <cfRule type="expression" dxfId="3937" priority="41">
      <formula>$L17="Kirsch sand"</formula>
    </cfRule>
  </conditionalFormatting>
  <conditionalFormatting sqref="U17">
    <cfRule type="expression" dxfId="3936" priority="32">
      <formula>$L17="Stiff clay w/o free water"</formula>
    </cfRule>
    <cfRule type="expression" dxfId="3935" priority="34">
      <formula>$L17="API clay"</formula>
    </cfRule>
  </conditionalFormatting>
  <conditionalFormatting sqref="U17">
    <cfRule type="expression" dxfId="3934" priority="33">
      <formula>$L17="Kirsch soft clay"</formula>
    </cfRule>
  </conditionalFormatting>
  <conditionalFormatting sqref="U17">
    <cfRule type="expression" dxfId="3933" priority="31">
      <formula>$L17="Kirsch stiff clay"</formula>
    </cfRule>
  </conditionalFormatting>
  <conditionalFormatting sqref="U17">
    <cfRule type="expression" dxfId="3932" priority="30">
      <formula>$L17="Reese stiff clay"</formula>
    </cfRule>
  </conditionalFormatting>
  <conditionalFormatting sqref="U17">
    <cfRule type="expression" dxfId="3931" priority="29">
      <formula>$L17="PISA clay"</formula>
    </cfRule>
  </conditionalFormatting>
  <conditionalFormatting sqref="AR17">
    <cfRule type="expression" dxfId="3930" priority="20">
      <formula>$L17="API sand"</formula>
    </cfRule>
  </conditionalFormatting>
  <conditionalFormatting sqref="AR17">
    <cfRule type="expression" dxfId="3929" priority="19">
      <formula>$L17="Kirsch sand"</formula>
    </cfRule>
  </conditionalFormatting>
  <dataValidations count="3">
    <dataValidation type="list" showInputMessage="1" showErrorMessage="1" sqref="M18:M36" xr:uid="{7CFCC843-76A8-4FA5-9E28-B4C5C777B852}">
      <formula1>"',API sand,API clay"</formula1>
    </dataValidation>
    <dataValidation type="list" showInputMessage="1" showErrorMessage="1" sqref="L19:L255" xr:uid="{2A0B7D60-65D1-439D-B430-03D09E714164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7" xr:uid="{5CD4E006-0AD7-40AD-8A7D-62E435CF30D6}">
      <formula1>"Zero soil,API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DB1E8-6F8F-43E6-8467-44443D2D0EAD}">
  <sheetPr>
    <tabColor theme="7" tint="0.39997558519241921"/>
  </sheetPr>
  <dimension ref="A1:AS255"/>
  <sheetViews>
    <sheetView topLeftCell="Z1" zoomScaleNormal="100" workbookViewId="0">
      <selection activeCell="AG7" sqref="AG7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EW69_Ak_kirsch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03"/>
      <c r="R3" s="155"/>
      <c r="S3" s="155"/>
      <c r="T3" s="103"/>
      <c r="U3" s="155"/>
      <c r="V3" s="155"/>
      <c r="W3" s="103"/>
      <c r="X3" s="69"/>
      <c r="Y3" s="103"/>
      <c r="Z3" s="103"/>
      <c r="AA3" s="103"/>
      <c r="AB3" s="103"/>
      <c r="AC3" s="69"/>
      <c r="AD3" s="39"/>
      <c r="AE3" s="39"/>
      <c r="AF3" s="39"/>
      <c r="AG3" s="39"/>
      <c r="AH3" s="39"/>
      <c r="AI3" s="39"/>
      <c r="AJ3" s="103"/>
      <c r="AK3" s="103"/>
      <c r="AL3" s="103"/>
      <c r="AM3" s="103"/>
      <c r="AN3" s="103"/>
      <c r="AO3" s="103"/>
      <c r="AP3" s="103"/>
    </row>
    <row r="4" spans="1:45" x14ac:dyDescent="0.25">
      <c r="A4" s="40" t="s">
        <v>60</v>
      </c>
      <c r="B4" s="33">
        <f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04" t="s">
        <v>38</v>
      </c>
      <c r="K5" s="104" t="s">
        <v>30</v>
      </c>
      <c r="L5" s="104" t="s">
        <v>31</v>
      </c>
      <c r="M5" s="104" t="s">
        <v>31</v>
      </c>
      <c r="N5" s="104" t="s">
        <v>32</v>
      </c>
      <c r="O5" s="104" t="s">
        <v>33</v>
      </c>
      <c r="P5" s="104" t="s">
        <v>35</v>
      </c>
      <c r="Q5" s="104" t="s">
        <v>36</v>
      </c>
      <c r="R5" s="104" t="s">
        <v>36</v>
      </c>
      <c r="S5" s="104" t="s">
        <v>34</v>
      </c>
      <c r="T5" s="104" t="s">
        <v>33</v>
      </c>
      <c r="U5" s="104" t="s">
        <v>34</v>
      </c>
      <c r="V5" s="104" t="s">
        <v>62</v>
      </c>
      <c r="W5" s="104" t="s">
        <v>34</v>
      </c>
      <c r="X5" s="104" t="s">
        <v>33</v>
      </c>
      <c r="Y5" s="104" t="s">
        <v>35</v>
      </c>
      <c r="Z5" s="104" t="s">
        <v>33</v>
      </c>
      <c r="AA5" s="104" t="s">
        <v>34</v>
      </c>
      <c r="AB5" s="104" t="s">
        <v>33</v>
      </c>
      <c r="AC5" s="104" t="s">
        <v>33</v>
      </c>
      <c r="AD5" s="104" t="s">
        <v>35</v>
      </c>
      <c r="AE5" s="104" t="s">
        <v>34</v>
      </c>
      <c r="AF5" s="104" t="s">
        <v>33</v>
      </c>
      <c r="AG5" s="104" t="s">
        <v>35</v>
      </c>
      <c r="AH5" s="104" t="s">
        <v>34</v>
      </c>
      <c r="AI5" s="104" t="s">
        <v>34</v>
      </c>
      <c r="AJ5" s="104" t="s">
        <v>34</v>
      </c>
      <c r="AK5" s="104" t="s">
        <v>34</v>
      </c>
      <c r="AL5" s="104" t="s">
        <v>34</v>
      </c>
      <c r="AM5" s="104" t="s">
        <v>34</v>
      </c>
      <c r="AN5" s="104" t="s">
        <v>34</v>
      </c>
      <c r="AO5" s="104" t="s">
        <v>34</v>
      </c>
      <c r="AP5" s="104" t="s">
        <v>34</v>
      </c>
      <c r="AQ5" s="104" t="s">
        <v>103</v>
      </c>
      <c r="AR5" s="104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255</v>
      </c>
      <c r="J6" s="47">
        <v>1</v>
      </c>
      <c r="K6" s="19">
        <v>0</v>
      </c>
      <c r="L6" s="111" t="s">
        <v>107</v>
      </c>
      <c r="M6" s="105" t="s">
        <v>65</v>
      </c>
      <c r="N6" s="47">
        <v>10.199999999999999</v>
      </c>
      <c r="O6" s="63">
        <v>0</v>
      </c>
      <c r="P6" s="63">
        <v>40</v>
      </c>
      <c r="Q6" s="47">
        <v>0</v>
      </c>
      <c r="R6" s="47" t="e">
        <f>IF(Q6&lt;&gt;0,Q6-5,NA())</f>
        <v>#N/A</v>
      </c>
      <c r="S6" s="47">
        <v>3</v>
      </c>
      <c r="T6" s="47">
        <v>0</v>
      </c>
      <c r="U6" s="75">
        <v>1.7999999999999999E-2</v>
      </c>
      <c r="V6" s="75">
        <v>0</v>
      </c>
      <c r="W6" s="47">
        <v>0.25</v>
      </c>
      <c r="X6" s="47">
        <v>12800</v>
      </c>
      <c r="Y6" s="47">
        <v>0</v>
      </c>
      <c r="Z6" s="47">
        <v>0</v>
      </c>
      <c r="AA6" s="47">
        <v>1</v>
      </c>
      <c r="AB6" s="47">
        <v>0</v>
      </c>
      <c r="AC6" s="63">
        <v>4000</v>
      </c>
      <c r="AD6" s="63">
        <v>20000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v>0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0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 t="s">
        <v>257</v>
      </c>
      <c r="J7" s="47">
        <v>2</v>
      </c>
      <c r="K7" s="19">
        <v>-0.65</v>
      </c>
      <c r="L7" s="40" t="s">
        <v>106</v>
      </c>
      <c r="M7" s="105" t="s">
        <v>64</v>
      </c>
      <c r="N7" s="47">
        <v>9.4</v>
      </c>
      <c r="O7" s="63">
        <v>0</v>
      </c>
      <c r="P7" s="63">
        <v>0</v>
      </c>
      <c r="Q7" s="47">
        <v>40</v>
      </c>
      <c r="R7" s="47">
        <f>IF(Q7&lt;&gt;0,Q7-5,NA())</f>
        <v>35</v>
      </c>
      <c r="S7" s="47">
        <v>2.6</v>
      </c>
      <c r="T7" s="47">
        <v>0</v>
      </c>
      <c r="U7" s="75">
        <v>0</v>
      </c>
      <c r="V7" s="75">
        <v>0</v>
      </c>
      <c r="W7" s="47">
        <v>0</v>
      </c>
      <c r="X7" s="47">
        <v>26200</v>
      </c>
      <c r="Y7" s="47">
        <v>0</v>
      </c>
      <c r="Z7" s="47">
        <f t="shared" ref="Z7:Z15" si="0">VLOOKUP(R7,$AE$39:$AF$59,2)</f>
        <v>114.99999999999996</v>
      </c>
      <c r="AA7" s="47">
        <v>1</v>
      </c>
      <c r="AB7" s="47">
        <f>VLOOKUP(R7,$AE$39:$AG$59,3)</f>
        <v>12000</v>
      </c>
      <c r="AC7" s="63">
        <v>24000</v>
      </c>
      <c r="AD7" s="63">
        <v>12957.746478873238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ref="AJ7:AJ15" si="1">VLOOKUP(R7,$AE$39:$AH$59,4)</f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259</v>
      </c>
      <c r="J8" s="47">
        <v>3</v>
      </c>
      <c r="K8" s="19">
        <v>-4.2</v>
      </c>
      <c r="L8" s="40" t="s">
        <v>106</v>
      </c>
      <c r="M8" s="105" t="s">
        <v>64</v>
      </c>
      <c r="N8" s="47">
        <v>10</v>
      </c>
      <c r="O8" s="63">
        <v>0</v>
      </c>
      <c r="P8" s="63">
        <v>0</v>
      </c>
      <c r="Q8" s="47">
        <v>37</v>
      </c>
      <c r="R8" s="47">
        <f t="shared" ref="R8:R16" si="2">IF(Q8&lt;&gt;0,Q8-5,NA())</f>
        <v>32</v>
      </c>
      <c r="S8" s="47">
        <v>1.2</v>
      </c>
      <c r="T8" s="47">
        <v>0</v>
      </c>
      <c r="U8" s="75">
        <v>0</v>
      </c>
      <c r="V8" s="75">
        <v>0</v>
      </c>
      <c r="W8" s="47">
        <v>0</v>
      </c>
      <c r="X8" s="47">
        <v>15900</v>
      </c>
      <c r="Y8" s="47">
        <v>0</v>
      </c>
      <c r="Z8" s="47">
        <f t="shared" si="0"/>
        <v>103.59999999999997</v>
      </c>
      <c r="AA8" s="47">
        <v>1</v>
      </c>
      <c r="AB8" s="47">
        <f t="shared" ref="AB8:AB15" si="3">VLOOKUP(R8,$AE$39:$AG$59,3)</f>
        <v>10560</v>
      </c>
      <c r="AC8" s="63">
        <v>61000</v>
      </c>
      <c r="AD8" s="63">
        <v>2222.2222222222222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1"/>
        <v>44.000000000000007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75</v>
      </c>
      <c r="AS8" s="33">
        <v>0.4</v>
      </c>
    </row>
    <row r="9" spans="1:45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261</v>
      </c>
      <c r="J9" s="47">
        <v>4</v>
      </c>
      <c r="K9" s="19">
        <v>-6</v>
      </c>
      <c r="L9" s="40" t="s">
        <v>106</v>
      </c>
      <c r="M9" s="105" t="s">
        <v>64</v>
      </c>
      <c r="N9" s="47">
        <v>9.9</v>
      </c>
      <c r="O9" s="63">
        <v>0</v>
      </c>
      <c r="P9" s="63">
        <v>0</v>
      </c>
      <c r="Q9" s="47">
        <v>39</v>
      </c>
      <c r="R9" s="47">
        <f t="shared" si="2"/>
        <v>34</v>
      </c>
      <c r="S9" s="47">
        <v>1.2</v>
      </c>
      <c r="T9" s="47">
        <v>0</v>
      </c>
      <c r="U9" s="75">
        <v>0</v>
      </c>
      <c r="V9" s="75">
        <v>0</v>
      </c>
      <c r="W9" s="47">
        <v>0</v>
      </c>
      <c r="X9" s="47">
        <v>2900</v>
      </c>
      <c r="Y9" s="47">
        <v>0</v>
      </c>
      <c r="Z9" s="47">
        <f t="shared" si="0"/>
        <v>111.19999999999996</v>
      </c>
      <c r="AA9" s="47">
        <v>1</v>
      </c>
      <c r="AB9" s="47">
        <f t="shared" si="3"/>
        <v>11520</v>
      </c>
      <c r="AC9" s="63">
        <v>74000</v>
      </c>
      <c r="AD9" s="63">
        <v>7000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1"/>
        <v>48.000000000000007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56</v>
      </c>
      <c r="AS9" s="33">
        <v>0.4</v>
      </c>
    </row>
    <row r="10" spans="1:45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261</v>
      </c>
      <c r="J10" s="47">
        <v>5</v>
      </c>
      <c r="K10" s="19">
        <v>-9</v>
      </c>
      <c r="L10" s="40" t="s">
        <v>106</v>
      </c>
      <c r="M10" s="105" t="s">
        <v>64</v>
      </c>
      <c r="N10" s="47">
        <v>9.9</v>
      </c>
      <c r="O10" s="63">
        <v>0</v>
      </c>
      <c r="P10" s="63">
        <v>0</v>
      </c>
      <c r="Q10" s="47">
        <v>40</v>
      </c>
      <c r="R10" s="47">
        <f t="shared" si="2"/>
        <v>35</v>
      </c>
      <c r="S10" s="47">
        <v>1.2</v>
      </c>
      <c r="T10" s="47">
        <v>0</v>
      </c>
      <c r="U10" s="75">
        <v>0</v>
      </c>
      <c r="V10" s="75">
        <v>0</v>
      </c>
      <c r="W10" s="47">
        <v>0</v>
      </c>
      <c r="X10" s="47">
        <v>13700</v>
      </c>
      <c r="Y10" s="47">
        <v>0</v>
      </c>
      <c r="Z10" s="47">
        <f t="shared" si="0"/>
        <v>114.99999999999996</v>
      </c>
      <c r="AA10" s="47">
        <v>1</v>
      </c>
      <c r="AB10" s="47">
        <f t="shared" si="3"/>
        <v>12000</v>
      </c>
      <c r="AC10" s="63">
        <v>108000</v>
      </c>
      <c r="AD10" s="63">
        <v>2307.6923076923076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1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68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264</v>
      </c>
      <c r="J11" s="47">
        <v>6</v>
      </c>
      <c r="K11" s="19">
        <v>-12.9</v>
      </c>
      <c r="L11" s="40" t="s">
        <v>106</v>
      </c>
      <c r="M11" s="105" t="s">
        <v>64</v>
      </c>
      <c r="N11" s="47">
        <v>8.5</v>
      </c>
      <c r="O11" s="63">
        <v>0</v>
      </c>
      <c r="P11" s="63">
        <v>0</v>
      </c>
      <c r="Q11" s="47">
        <v>26</v>
      </c>
      <c r="R11" s="47">
        <f t="shared" si="2"/>
        <v>21</v>
      </c>
      <c r="S11" s="47">
        <v>0.9</v>
      </c>
      <c r="T11" s="47">
        <v>0</v>
      </c>
      <c r="U11" s="75">
        <v>0</v>
      </c>
      <c r="V11" s="75">
        <v>0</v>
      </c>
      <c r="W11" s="47">
        <v>0</v>
      </c>
      <c r="X11" s="47">
        <v>25400</v>
      </c>
      <c r="Y11" s="47">
        <v>0</v>
      </c>
      <c r="Z11" s="47">
        <f t="shared" si="0"/>
        <v>69.799999999999983</v>
      </c>
      <c r="AA11" s="47">
        <v>1</v>
      </c>
      <c r="AB11" s="47">
        <f t="shared" si="3"/>
        <v>3280</v>
      </c>
      <c r="AC11" s="63">
        <v>97000</v>
      </c>
      <c r="AD11" s="63">
        <v>1322.3140495867769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>VLOOKUP(R11,$AE$39:$AH$59,4)</f>
        <v>13.600000000000003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79</v>
      </c>
      <c r="AS11" s="33">
        <v>0.2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 t="s">
        <v>266</v>
      </c>
      <c r="J12" s="47">
        <v>7</v>
      </c>
      <c r="K12" s="19">
        <v>-25</v>
      </c>
      <c r="L12" s="111" t="s">
        <v>107</v>
      </c>
      <c r="M12" s="105" t="s">
        <v>65</v>
      </c>
      <c r="N12" s="47">
        <v>8.5</v>
      </c>
      <c r="O12" s="63">
        <v>168</v>
      </c>
      <c r="P12" s="63">
        <v>10.992366412213739</v>
      </c>
      <c r="Q12" s="47">
        <v>0</v>
      </c>
      <c r="R12" s="47" t="e">
        <f t="shared" si="2"/>
        <v>#N/A</v>
      </c>
      <c r="S12" s="47">
        <v>1.9</v>
      </c>
      <c r="T12" s="47">
        <v>0</v>
      </c>
      <c r="U12" s="75">
        <v>1.7999999999999999E-2</v>
      </c>
      <c r="V12" s="75">
        <v>0</v>
      </c>
      <c r="W12" s="47">
        <v>0.25</v>
      </c>
      <c r="X12" s="47">
        <v>17300</v>
      </c>
      <c r="Y12" s="47">
        <v>0</v>
      </c>
      <c r="Z12" s="47">
        <v>0</v>
      </c>
      <c r="AA12" s="47">
        <v>1</v>
      </c>
      <c r="AB12" s="47">
        <v>0</v>
      </c>
      <c r="AC12" s="63">
        <v>218000</v>
      </c>
      <c r="AD12" s="63">
        <v>14274.809160305342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v>0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59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268</v>
      </c>
      <c r="J13" s="47">
        <v>8</v>
      </c>
      <c r="K13" s="19">
        <v>-38.1</v>
      </c>
      <c r="L13" s="40" t="s">
        <v>106</v>
      </c>
      <c r="M13" s="105" t="s">
        <v>64</v>
      </c>
      <c r="N13" s="47">
        <v>9</v>
      </c>
      <c r="O13" s="63">
        <v>0</v>
      </c>
      <c r="P13" s="63">
        <v>0</v>
      </c>
      <c r="Q13" s="47">
        <v>28</v>
      </c>
      <c r="R13" s="47">
        <f t="shared" si="2"/>
        <v>23</v>
      </c>
      <c r="S13" s="47">
        <v>1</v>
      </c>
      <c r="T13" s="47">
        <v>0</v>
      </c>
      <c r="U13" s="75">
        <v>0</v>
      </c>
      <c r="V13" s="75">
        <v>0</v>
      </c>
      <c r="W13" s="47">
        <v>0</v>
      </c>
      <c r="X13" s="47">
        <v>31000</v>
      </c>
      <c r="Y13" s="47">
        <v>0</v>
      </c>
      <c r="Z13" s="47">
        <f t="shared" si="0"/>
        <v>75.399999999999977</v>
      </c>
      <c r="AA13" s="47">
        <v>1</v>
      </c>
      <c r="AB13" s="47">
        <f t="shared" si="3"/>
        <v>4040</v>
      </c>
      <c r="AC13" s="63">
        <v>188000</v>
      </c>
      <c r="AD13" s="63">
        <v>2881.3559322033907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1"/>
        <v>16.800000000000004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268</v>
      </c>
      <c r="J14" s="47">
        <v>9</v>
      </c>
      <c r="K14" s="19">
        <v>-44</v>
      </c>
      <c r="L14" s="40" t="s">
        <v>106</v>
      </c>
      <c r="M14" s="105" t="s">
        <v>64</v>
      </c>
      <c r="N14" s="47">
        <v>9</v>
      </c>
      <c r="O14" s="63">
        <v>0</v>
      </c>
      <c r="P14" s="63">
        <v>0</v>
      </c>
      <c r="Q14" s="47">
        <v>28</v>
      </c>
      <c r="R14" s="47">
        <f t="shared" si="2"/>
        <v>23</v>
      </c>
      <c r="S14" s="47">
        <v>1</v>
      </c>
      <c r="T14" s="47">
        <v>0</v>
      </c>
      <c r="U14" s="75">
        <v>0</v>
      </c>
      <c r="V14" s="75">
        <v>0</v>
      </c>
      <c r="W14" s="47">
        <v>0</v>
      </c>
      <c r="X14" s="47">
        <v>69900</v>
      </c>
      <c r="Y14" s="47">
        <v>0</v>
      </c>
      <c r="Z14" s="47">
        <f t="shared" si="0"/>
        <v>75.399999999999977</v>
      </c>
      <c r="AA14" s="47">
        <v>1</v>
      </c>
      <c r="AB14" s="47">
        <f t="shared" si="3"/>
        <v>4040</v>
      </c>
      <c r="AC14" s="63">
        <v>182000</v>
      </c>
      <c r="AD14" s="63">
        <v>15625.000000000009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1"/>
        <v>16.800000000000004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80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271</v>
      </c>
      <c r="J15" s="47">
        <v>10</v>
      </c>
      <c r="K15" s="19">
        <v>-48.8</v>
      </c>
      <c r="L15" s="40" t="s">
        <v>106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28</v>
      </c>
      <c r="R15" s="47">
        <f t="shared" si="2"/>
        <v>23</v>
      </c>
      <c r="S15" s="47">
        <v>0.9</v>
      </c>
      <c r="T15" s="47">
        <v>0</v>
      </c>
      <c r="U15" s="75">
        <v>0</v>
      </c>
      <c r="V15" s="75">
        <v>0</v>
      </c>
      <c r="W15" s="47">
        <v>0</v>
      </c>
      <c r="X15" s="47">
        <v>40800</v>
      </c>
      <c r="Y15" s="47">
        <v>0</v>
      </c>
      <c r="Z15" s="47">
        <f t="shared" si="0"/>
        <v>75.399999999999977</v>
      </c>
      <c r="AA15" s="47">
        <v>1</v>
      </c>
      <c r="AB15" s="47">
        <f t="shared" si="3"/>
        <v>4040</v>
      </c>
      <c r="AC15" s="63">
        <v>196000</v>
      </c>
      <c r="AD15" s="63">
        <v>2574.8502994011974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1"/>
        <v>16.800000000000004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80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273</v>
      </c>
      <c r="J16" s="47">
        <v>11</v>
      </c>
      <c r="K16" s="19">
        <v>-65.5</v>
      </c>
      <c r="L16" s="111" t="s">
        <v>107</v>
      </c>
      <c r="M16" s="105" t="s">
        <v>65</v>
      </c>
      <c r="N16" s="47">
        <v>9.8000000000000007</v>
      </c>
      <c r="O16" s="63">
        <v>488</v>
      </c>
      <c r="P16" s="63">
        <v>5.5172413793103452</v>
      </c>
      <c r="Q16" s="47">
        <v>0</v>
      </c>
      <c r="R16" s="47" t="e">
        <f t="shared" si="2"/>
        <v>#N/A</v>
      </c>
      <c r="S16" s="47">
        <v>1.8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101700</v>
      </c>
      <c r="Y16" s="47">
        <v>0</v>
      </c>
      <c r="Z16" s="47">
        <v>0</v>
      </c>
      <c r="AA16" s="47">
        <v>1</v>
      </c>
      <c r="AB16" s="47">
        <v>0</v>
      </c>
      <c r="AC16" s="63">
        <v>761000</v>
      </c>
      <c r="AD16" s="63">
        <v>10482.758620689654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>
        <v>0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68</v>
      </c>
      <c r="AS16" s="33">
        <v>0.4</v>
      </c>
    </row>
    <row r="17" spans="1:44" s="56" customFormat="1" x14ac:dyDescent="0.25">
      <c r="A17" s="33" t="s">
        <v>98</v>
      </c>
      <c r="B17" s="57">
        <v>0.53</v>
      </c>
      <c r="C17" s="45"/>
      <c r="D17" s="104"/>
      <c r="E17" s="104"/>
      <c r="J17" s="47"/>
      <c r="K17" s="19"/>
      <c r="L17"/>
      <c r="M17" s="49"/>
      <c r="N17" s="47"/>
      <c r="O17" s="63"/>
      <c r="P17" s="63"/>
      <c r="Q17" s="47"/>
      <c r="R17" s="47"/>
      <c r="S17" s="47"/>
      <c r="T17" s="47"/>
      <c r="U17" s="75"/>
      <c r="V17" s="75"/>
      <c r="W17" s="47"/>
      <c r="X17" s="47"/>
      <c r="Y17" s="47"/>
      <c r="Z17" s="47"/>
      <c r="AA17" s="47"/>
      <c r="AB17" s="47"/>
      <c r="AC17" s="63"/>
      <c r="AD17" s="63"/>
      <c r="AE17" s="63"/>
      <c r="AF17" s="63"/>
      <c r="AG17" s="63"/>
      <c r="AH17" s="63"/>
      <c r="AI17" s="63"/>
      <c r="AJ17" s="47"/>
      <c r="AK17" s="47"/>
      <c r="AL17" s="47"/>
      <c r="AM17" s="47"/>
      <c r="AN17" s="47"/>
      <c r="AO17" s="47"/>
      <c r="AP17" s="47"/>
      <c r="AQ17" s="47"/>
      <c r="AR17" s="47"/>
    </row>
    <row r="18" spans="1:44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/>
      <c r="M18" s="49"/>
      <c r="N18" s="47"/>
      <c r="O18" s="63"/>
      <c r="P18" s="47"/>
      <c r="Q18" s="47"/>
      <c r="R18" s="47"/>
      <c r="S18" s="47"/>
      <c r="T18" s="47"/>
      <c r="U18" s="47"/>
      <c r="V18" s="75"/>
      <c r="W18" s="47"/>
      <c r="X18" s="47"/>
      <c r="Y18" s="47"/>
      <c r="Z18" s="47"/>
      <c r="AA18" s="47"/>
      <c r="AB18" s="47"/>
      <c r="AC18" s="47"/>
      <c r="AD18" s="47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4" x14ac:dyDescent="0.25">
      <c r="A19" s="104" t="s">
        <v>38</v>
      </c>
      <c r="B19" s="104" t="s">
        <v>30</v>
      </c>
      <c r="C19" s="104" t="s">
        <v>59</v>
      </c>
      <c r="D19" s="43"/>
      <c r="E19" s="35"/>
      <c r="L19" s="49"/>
      <c r="M19" s="49" t="s">
        <v>94</v>
      </c>
      <c r="N19" s="47"/>
      <c r="O19" s="47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  <c r="AO19" s="47"/>
      <c r="AP19" s="47"/>
    </row>
    <row r="20" spans="1:44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4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4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4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4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4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4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4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4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4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4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4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4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4">AF40+3.8</f>
        <v>55.599999999999994</v>
      </c>
      <c r="AG41" s="33">
        <f t="shared" ref="AG41:AG43" si="5">AG40+200</f>
        <v>2300</v>
      </c>
      <c r="AH41" s="33">
        <f t="shared" ref="AH41:AH44" si="6">AH40+0.8</f>
        <v>9.6000000000000014</v>
      </c>
    </row>
    <row r="42" spans="1:42" x14ac:dyDescent="0.25">
      <c r="L42" s="49"/>
      <c r="AE42" s="33">
        <v>18</v>
      </c>
      <c r="AF42" s="33">
        <f t="shared" si="4"/>
        <v>59.399999999999991</v>
      </c>
      <c r="AG42" s="33">
        <f t="shared" si="5"/>
        <v>2500</v>
      </c>
      <c r="AH42" s="33">
        <f t="shared" si="6"/>
        <v>10.400000000000002</v>
      </c>
    </row>
    <row r="43" spans="1:42" x14ac:dyDescent="0.25">
      <c r="L43" s="49"/>
      <c r="AE43" s="33">
        <v>19</v>
      </c>
      <c r="AF43" s="33">
        <f t="shared" si="4"/>
        <v>63.199999999999989</v>
      </c>
      <c r="AG43" s="33">
        <f t="shared" si="5"/>
        <v>2700</v>
      </c>
      <c r="AH43" s="33">
        <f t="shared" si="6"/>
        <v>11.200000000000003</v>
      </c>
    </row>
    <row r="44" spans="1:42" x14ac:dyDescent="0.25">
      <c r="L44" s="49"/>
      <c r="AE44" s="33">
        <v>20</v>
      </c>
      <c r="AF44" s="33">
        <f t="shared" si="4"/>
        <v>66.999999999999986</v>
      </c>
      <c r="AG44" s="33">
        <f>AG43+200</f>
        <v>2900</v>
      </c>
      <c r="AH44" s="33">
        <f t="shared" si="6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7">AF45+2.8</f>
        <v>72.59999999999998</v>
      </c>
      <c r="AG46" s="33">
        <f t="shared" ref="AG46:AG48" si="8">AG45+380</f>
        <v>3660</v>
      </c>
      <c r="AH46" s="33">
        <f t="shared" ref="AH46:AH49" si="9">AH45+1.6</f>
        <v>15.200000000000003</v>
      </c>
    </row>
    <row r="47" spans="1:42" x14ac:dyDescent="0.25">
      <c r="L47" s="49"/>
      <c r="AE47" s="33">
        <v>23</v>
      </c>
      <c r="AF47" s="33">
        <f t="shared" si="7"/>
        <v>75.399999999999977</v>
      </c>
      <c r="AG47" s="33">
        <f t="shared" si="8"/>
        <v>4040</v>
      </c>
      <c r="AH47" s="33">
        <f t="shared" si="9"/>
        <v>16.800000000000004</v>
      </c>
    </row>
    <row r="48" spans="1:42" x14ac:dyDescent="0.25">
      <c r="L48" s="49"/>
      <c r="AE48" s="33">
        <v>24</v>
      </c>
      <c r="AF48" s="33">
        <f t="shared" si="7"/>
        <v>78.199999999999974</v>
      </c>
      <c r="AG48" s="33">
        <f t="shared" si="8"/>
        <v>4420</v>
      </c>
      <c r="AH48" s="33">
        <f t="shared" si="9"/>
        <v>18.400000000000006</v>
      </c>
    </row>
    <row r="49" spans="12:34" x14ac:dyDescent="0.25">
      <c r="L49" s="49"/>
      <c r="AE49" s="33">
        <v>25</v>
      </c>
      <c r="AF49" s="33">
        <f t="shared" si="7"/>
        <v>80.999999999999972</v>
      </c>
      <c r="AG49" s="33">
        <v>4800</v>
      </c>
      <c r="AH49" s="33">
        <f t="shared" si="9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0">AF50+3</f>
        <v>86.999999999999972</v>
      </c>
      <c r="AG51" s="33">
        <f t="shared" ref="AG51:AG54" si="11">AG50+960</f>
        <v>6720</v>
      </c>
      <c r="AH51" s="33">
        <f t="shared" ref="AH51:AH54" si="12">AH50+4</f>
        <v>28.000000000000007</v>
      </c>
    </row>
    <row r="52" spans="12:34" x14ac:dyDescent="0.25">
      <c r="L52" s="49"/>
      <c r="AE52" s="33">
        <v>28</v>
      </c>
      <c r="AF52" s="33">
        <f t="shared" si="10"/>
        <v>89.999999999999972</v>
      </c>
      <c r="AG52" s="33">
        <f t="shared" si="11"/>
        <v>7680</v>
      </c>
      <c r="AH52" s="33">
        <f t="shared" si="12"/>
        <v>32.000000000000007</v>
      </c>
    </row>
    <row r="53" spans="12:34" x14ac:dyDescent="0.25">
      <c r="L53" s="49"/>
      <c r="AE53" s="33">
        <v>29</v>
      </c>
      <c r="AF53" s="33">
        <f t="shared" si="10"/>
        <v>92.999999999999972</v>
      </c>
      <c r="AG53" s="33">
        <f t="shared" si="11"/>
        <v>8640</v>
      </c>
      <c r="AH53" s="33">
        <f t="shared" si="12"/>
        <v>36.000000000000007</v>
      </c>
    </row>
    <row r="54" spans="12:34" x14ac:dyDescent="0.25">
      <c r="L54" s="49"/>
      <c r="AE54" s="33">
        <v>30</v>
      </c>
      <c r="AF54" s="33">
        <f t="shared" si="10"/>
        <v>95.999999999999972</v>
      </c>
      <c r="AG54" s="33">
        <f t="shared" si="11"/>
        <v>9600</v>
      </c>
      <c r="AH54" s="33">
        <f t="shared" si="12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3">AF55+3.8</f>
        <v>103.59999999999997</v>
      </c>
      <c r="AG56" s="33">
        <f t="shared" ref="AG56:AG59" si="14">AG55+480</f>
        <v>10560</v>
      </c>
      <c r="AH56" s="33">
        <f t="shared" ref="AH56:AH59" si="15">AH55+2</f>
        <v>44.000000000000007</v>
      </c>
    </row>
    <row r="57" spans="12:34" x14ac:dyDescent="0.25">
      <c r="L57" s="49"/>
      <c r="AE57" s="33">
        <v>33</v>
      </c>
      <c r="AF57" s="33">
        <f t="shared" si="13"/>
        <v>107.39999999999996</v>
      </c>
      <c r="AG57" s="33">
        <f t="shared" si="14"/>
        <v>11040</v>
      </c>
      <c r="AH57" s="33">
        <f t="shared" si="15"/>
        <v>46.000000000000007</v>
      </c>
    </row>
    <row r="58" spans="12:34" x14ac:dyDescent="0.25">
      <c r="L58" s="49"/>
      <c r="AE58" s="33">
        <v>34</v>
      </c>
      <c r="AF58" s="33">
        <f t="shared" si="13"/>
        <v>111.19999999999996</v>
      </c>
      <c r="AG58" s="33">
        <f t="shared" si="14"/>
        <v>11520</v>
      </c>
      <c r="AH58" s="33">
        <f t="shared" si="15"/>
        <v>48.000000000000007</v>
      </c>
    </row>
    <row r="59" spans="12:34" x14ac:dyDescent="0.25">
      <c r="L59" s="49"/>
      <c r="AE59" s="33">
        <v>35</v>
      </c>
      <c r="AF59" s="33">
        <f t="shared" si="13"/>
        <v>114.99999999999996</v>
      </c>
      <c r="AG59" s="33">
        <f t="shared" si="14"/>
        <v>12000</v>
      </c>
      <c r="AH59" s="33">
        <f t="shared" si="15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W10:Y10 N6:N14 S10:T12 Q6:R6 W12:Y12 W11 Y11 Q7:Q14 S13 T17:T18 W13:X13 Y17:Y18 AJ6:AJ18 R7:R18 AB6:AB18 Z6:Z18 AM6:AQ18 AM19:AP36">
    <cfRule type="expression" dxfId="3928" priority="146">
      <formula>$L6="API sand"</formula>
    </cfRule>
  </conditionalFormatting>
  <conditionalFormatting sqref="R19:S20 R29:S36 S21:S28 AD21:AD28 AB19:AB35 N6:N14 S18 AK6:AL18">
    <cfRule type="expression" dxfId="3927" priority="145">
      <formula>$M6="API sand"</formula>
    </cfRule>
  </conditionalFormatting>
  <conditionalFormatting sqref="R19:T20 R29:T36 S21:T28 AD21:AD28 AB19:AB35 N6:N14 S18 AK6:AL18">
    <cfRule type="expression" dxfId="3926" priority="144">
      <formula>$M6="API clay"</formula>
    </cfRule>
  </conditionalFormatting>
  <conditionalFormatting sqref="U19:W36 N6:P14 U7:V7 AC6:AI6 U18 W18 AA6:AA18 AC7:AD13 AE7:AI18 V8:V18 V6 AM6:AP36">
    <cfRule type="expression" dxfId="3925" priority="141">
      <formula>$L6="Stiff clay w/o free water"</formula>
    </cfRule>
    <cfRule type="expression" dxfId="3924" priority="143">
      <formula>$L6="API clay"</formula>
    </cfRule>
  </conditionalFormatting>
  <conditionalFormatting sqref="U19:Y36 N6:P14 U7:V7 AC6:AI6 U18 W18:X18 AA6:AA18 AC7:AD13 AE7:AI18 V8:V18 V6 AM6:AP36">
    <cfRule type="expression" dxfId="3923" priority="142">
      <formula>$L6="Kirsch soft clay"</formula>
    </cfRule>
  </conditionalFormatting>
  <conditionalFormatting sqref="U19:Y36 N6:P14 U7:V7 AC6:AI6 U18 W18:X18 AA6:AA18 AC7:AD13 AE7:AI18 V8:V18 V6 AM6:AP36">
    <cfRule type="expression" dxfId="3922" priority="140">
      <formula>$L6="Kirsch stiff clay"</formula>
    </cfRule>
  </conditionalFormatting>
  <conditionalFormatting sqref="W10:Y10 N6:N14 S10:T12 Q6:R6 W12:Y12 W11 Y11 Q7:Q14 S13 T17:T18 W13:X13 Y17:Y18 AJ6:AJ18 R7:R18 AB6:AB18 Z6:Z18 AM6:AQ18 AM19:AP36">
    <cfRule type="expression" dxfId="3921" priority="139">
      <formula>$L6="Kirsch sand"</formula>
    </cfRule>
  </conditionalFormatting>
  <conditionalFormatting sqref="AC18:AD19 AI19 N6:N14 AM6:AP36">
    <cfRule type="expression" dxfId="3920" priority="138">
      <formula>$L6="Modified Weak rock"</formula>
    </cfRule>
  </conditionalFormatting>
  <conditionalFormatting sqref="U19:V36 N6:P14 U7:V7 AC6:AI6 U18 AA6:AA18 AC7:AD13 AE7:AI18 V8:V18 V6 AM6:AP36">
    <cfRule type="expression" dxfId="3919" priority="137">
      <formula>$L6="Reese stiff clay"</formula>
    </cfRule>
  </conditionalFormatting>
  <conditionalFormatting sqref="N18:N36 Q18:Q36">
    <cfRule type="expression" dxfId="3918" priority="136">
      <formula>$L18="API sand"</formula>
    </cfRule>
  </conditionalFormatting>
  <conditionalFormatting sqref="N18:N36 AB36 AJ19:AL36 Z19:Z36">
    <cfRule type="expression" dxfId="3917" priority="135">
      <formula>$M18="API sand"</formula>
    </cfRule>
  </conditionalFormatting>
  <conditionalFormatting sqref="Z36:AB36 AK19:AL36 N18:N36 Z19:AA35">
    <cfRule type="expression" dxfId="3916" priority="134">
      <formula>$M18="API clay"</formula>
    </cfRule>
  </conditionalFormatting>
  <conditionalFormatting sqref="N18:P18 N29:P36 N19:N28 P19:P28">
    <cfRule type="expression" dxfId="3915" priority="131">
      <formula>$L18="Stiff clay w/o free water"</formula>
    </cfRule>
    <cfRule type="expression" dxfId="3914" priority="133">
      <formula>$L18="API clay"</formula>
    </cfRule>
  </conditionalFormatting>
  <conditionalFormatting sqref="N18:P18 N29:P36 N19:N28 P19:P28">
    <cfRule type="expression" dxfId="3913" priority="132">
      <formula>$L18="Kirsch soft clay"</formula>
    </cfRule>
  </conditionalFormatting>
  <conditionalFormatting sqref="N18:P18 N29:P36 N19:N28 P19:P28">
    <cfRule type="expression" dxfId="3912" priority="130">
      <formula>$L18="Kirsch stiff clay"</formula>
    </cfRule>
  </conditionalFormatting>
  <conditionalFormatting sqref="N18:N36 Q18:Q36 X19:Y36 X18">
    <cfRule type="expression" dxfId="3911" priority="129">
      <formula>$L18="Kirsch sand"</formula>
    </cfRule>
  </conditionalFormatting>
  <conditionalFormatting sqref="N18:N36 AC20:AD36 AI20:AI36">
    <cfRule type="expression" dxfId="3910" priority="128">
      <formula>$L18="Modified Weak rock"</formula>
    </cfRule>
  </conditionalFormatting>
  <conditionalFormatting sqref="N18:P18 N29:P36 N19:N28 P19:P28">
    <cfRule type="expression" dxfId="3909" priority="127">
      <formula>$L18="Reese stiff clay"</formula>
    </cfRule>
  </conditionalFormatting>
  <conditionalFormatting sqref="N6:P14 U7:V7 AC6:AI6 AA6:AA18 AC7:AD13 AE7:AI18 V8:V18 V6 AM6:AP18">
    <cfRule type="expression" dxfId="3908" priority="126">
      <formula>$L6="PISA clay"</formula>
    </cfRule>
  </conditionalFormatting>
  <conditionalFormatting sqref="N6:N14 AM6:AP18">
    <cfRule type="expression" dxfId="3907" priority="125">
      <formula>$L6="PISA sand"</formula>
    </cfRule>
  </conditionalFormatting>
  <conditionalFormatting sqref="O19:O21">
    <cfRule type="expression" dxfId="3906" priority="124">
      <formula>$L19="API sand"</formula>
    </cfRule>
  </conditionalFormatting>
  <conditionalFormatting sqref="O19:O21">
    <cfRule type="expression" dxfId="3905" priority="123">
      <formula>$L19="Kirsch sand"</formula>
    </cfRule>
  </conditionalFormatting>
  <conditionalFormatting sqref="O22:O28">
    <cfRule type="expression" dxfId="3904" priority="122">
      <formula>$L22="API sand"</formula>
    </cfRule>
  </conditionalFormatting>
  <conditionalFormatting sqref="O22:O28">
    <cfRule type="expression" dxfId="3903" priority="121">
      <formula>$L22="Kirsch sand"</formula>
    </cfRule>
  </conditionalFormatting>
  <conditionalFormatting sqref="S6:T9 W6:Y9 T13:T16 Y13:Y16">
    <cfRule type="expression" dxfId="3902" priority="120">
      <formula>$L6="API sand"</formula>
    </cfRule>
  </conditionalFormatting>
  <conditionalFormatting sqref="S6:T9 W6:Y9 T13:T16 Y13:Y16">
    <cfRule type="expression" dxfId="3901" priority="119">
      <formula>$L6="Kirsch sand"</formula>
    </cfRule>
  </conditionalFormatting>
  <conditionalFormatting sqref="AE37:AH37">
    <cfRule type="expression" dxfId="3900" priority="147">
      <formula>$L19="Modified Weak rock"</formula>
    </cfRule>
  </conditionalFormatting>
  <conditionalFormatting sqref="S14 W14:X14">
    <cfRule type="expression" dxfId="3899" priority="118">
      <formula>$L14="API sand"</formula>
    </cfRule>
  </conditionalFormatting>
  <conditionalFormatting sqref="S14 W14:X14">
    <cfRule type="expression" dxfId="3898" priority="117">
      <formula>$L14="Kirsch sand"</formula>
    </cfRule>
  </conditionalFormatting>
  <conditionalFormatting sqref="AD14">
    <cfRule type="expression" dxfId="3897" priority="114">
      <formula>$L14="Stiff clay w/o free water"</formula>
    </cfRule>
    <cfRule type="expression" dxfId="3896" priority="116">
      <formula>$L14="API clay"</formula>
    </cfRule>
  </conditionalFormatting>
  <conditionalFormatting sqref="AD14">
    <cfRule type="expression" dxfId="3895" priority="115">
      <formula>$L14="Kirsch soft clay"</formula>
    </cfRule>
  </conditionalFormatting>
  <conditionalFormatting sqref="AD14">
    <cfRule type="expression" dxfId="3894" priority="113">
      <formula>$L14="Kirsch stiff clay"</formula>
    </cfRule>
  </conditionalFormatting>
  <conditionalFormatting sqref="AD14">
    <cfRule type="expression" dxfId="3893" priority="112">
      <formula>$L14="Reese stiff clay"</formula>
    </cfRule>
  </conditionalFormatting>
  <conditionalFormatting sqref="AD14">
    <cfRule type="expression" dxfId="3892" priority="111">
      <formula>$L14="PISA clay"</formula>
    </cfRule>
  </conditionalFormatting>
  <conditionalFormatting sqref="N15 Q15 S15 W15">
    <cfRule type="expression" dxfId="3891" priority="110">
      <formula>$L15="API sand"</formula>
    </cfRule>
  </conditionalFormatting>
  <conditionalFormatting sqref="N15">
    <cfRule type="expression" dxfId="3890" priority="109">
      <formula>$M15="API sand"</formula>
    </cfRule>
  </conditionalFormatting>
  <conditionalFormatting sqref="N15">
    <cfRule type="expression" dxfId="3889" priority="108">
      <formula>$M15="API clay"</formula>
    </cfRule>
  </conditionalFormatting>
  <conditionalFormatting sqref="N15:P15">
    <cfRule type="expression" dxfId="3888" priority="105">
      <formula>$L15="Stiff clay w/o free water"</formula>
    </cfRule>
    <cfRule type="expression" dxfId="3887" priority="107">
      <formula>$L15="API clay"</formula>
    </cfRule>
  </conditionalFormatting>
  <conditionalFormatting sqref="N15:P15">
    <cfRule type="expression" dxfId="3886" priority="106">
      <formula>$L15="Kirsch soft clay"</formula>
    </cfRule>
  </conditionalFormatting>
  <conditionalFormatting sqref="N15:P15">
    <cfRule type="expression" dxfId="3885" priority="104">
      <formula>$L15="Kirsch stiff clay"</formula>
    </cfRule>
  </conditionalFormatting>
  <conditionalFormatting sqref="N15 Q15 S15 W15">
    <cfRule type="expression" dxfId="3884" priority="103">
      <formula>$L15="Kirsch sand"</formula>
    </cfRule>
  </conditionalFormatting>
  <conditionalFormatting sqref="N15">
    <cfRule type="expression" dxfId="3883" priority="102">
      <formula>$L15="Modified Weak rock"</formula>
    </cfRule>
  </conditionalFormatting>
  <conditionalFormatting sqref="N15:P15">
    <cfRule type="expression" dxfId="3882" priority="101">
      <formula>$L15="Reese stiff clay"</formula>
    </cfRule>
  </conditionalFormatting>
  <conditionalFormatting sqref="N15:P15">
    <cfRule type="expression" dxfId="3881" priority="100">
      <formula>$L15="PISA clay"</formula>
    </cfRule>
  </conditionalFormatting>
  <conditionalFormatting sqref="N15">
    <cfRule type="expression" dxfId="3880" priority="99">
      <formula>$L15="PISA sand"</formula>
    </cfRule>
  </conditionalFormatting>
  <conditionalFormatting sqref="AD15">
    <cfRule type="expression" dxfId="3879" priority="96">
      <formula>$L15="Stiff clay w/o free water"</formula>
    </cfRule>
    <cfRule type="expression" dxfId="3878" priority="98">
      <formula>$L15="API clay"</formula>
    </cfRule>
  </conditionalFormatting>
  <conditionalFormatting sqref="AD15">
    <cfRule type="expression" dxfId="3877" priority="97">
      <formula>$L15="Kirsch soft clay"</formula>
    </cfRule>
  </conditionalFormatting>
  <conditionalFormatting sqref="AD15">
    <cfRule type="expression" dxfId="3876" priority="95">
      <formula>$L15="Kirsch stiff clay"</formula>
    </cfRule>
  </conditionalFormatting>
  <conditionalFormatting sqref="AD15">
    <cfRule type="expression" dxfId="3875" priority="94">
      <formula>$L15="Reese stiff clay"</formula>
    </cfRule>
  </conditionalFormatting>
  <conditionalFormatting sqref="AD15">
    <cfRule type="expression" dxfId="3874" priority="93">
      <formula>$L15="PISA clay"</formula>
    </cfRule>
  </conditionalFormatting>
  <conditionalFormatting sqref="AC15">
    <cfRule type="expression" dxfId="3873" priority="90">
      <formula>$L15="Stiff clay w/o free water"</formula>
    </cfRule>
    <cfRule type="expression" dxfId="3872" priority="92">
      <formula>$L15="API clay"</formula>
    </cfRule>
  </conditionalFormatting>
  <conditionalFormatting sqref="AC15">
    <cfRule type="expression" dxfId="3871" priority="91">
      <formula>$L15="Kirsch soft clay"</formula>
    </cfRule>
  </conditionalFormatting>
  <conditionalFormatting sqref="AC15">
    <cfRule type="expression" dxfId="3870" priority="89">
      <formula>$L15="Kirsch stiff clay"</formula>
    </cfRule>
  </conditionalFormatting>
  <conditionalFormatting sqref="AC15">
    <cfRule type="expression" dxfId="3869" priority="88">
      <formula>$L15="Reese stiff clay"</formula>
    </cfRule>
  </conditionalFormatting>
  <conditionalFormatting sqref="AC15">
    <cfRule type="expression" dxfId="3868" priority="87">
      <formula>$L15="PISA clay"</formula>
    </cfRule>
  </conditionalFormatting>
  <conditionalFormatting sqref="X15">
    <cfRule type="expression" dxfId="3867" priority="86">
      <formula>$L15="API sand"</formula>
    </cfRule>
  </conditionalFormatting>
  <conditionalFormatting sqref="X15">
    <cfRule type="expression" dxfId="3866" priority="85">
      <formula>$L15="Kirsch sand"</formula>
    </cfRule>
  </conditionalFormatting>
  <conditionalFormatting sqref="N16 Q16 S16 W16:X16">
    <cfRule type="expression" dxfId="3865" priority="84">
      <formula>$L16="API sand"</formula>
    </cfRule>
  </conditionalFormatting>
  <conditionalFormatting sqref="N16">
    <cfRule type="expression" dxfId="3864" priority="83">
      <formula>$M16="API sand"</formula>
    </cfRule>
  </conditionalFormatting>
  <conditionalFormatting sqref="N16">
    <cfRule type="expression" dxfId="3863" priority="82">
      <formula>$M16="API clay"</formula>
    </cfRule>
  </conditionalFormatting>
  <conditionalFormatting sqref="N16:P16">
    <cfRule type="expression" dxfId="3862" priority="79">
      <formula>$L16="Stiff clay w/o free water"</formula>
    </cfRule>
    <cfRule type="expression" dxfId="3861" priority="81">
      <formula>$L16="API clay"</formula>
    </cfRule>
  </conditionalFormatting>
  <conditionalFormatting sqref="N16:P16">
    <cfRule type="expression" dxfId="3860" priority="80">
      <formula>$L16="Kirsch soft clay"</formula>
    </cfRule>
  </conditionalFormatting>
  <conditionalFormatting sqref="N16:P16">
    <cfRule type="expression" dxfId="3859" priority="78">
      <formula>$L16="Kirsch stiff clay"</formula>
    </cfRule>
  </conditionalFormatting>
  <conditionalFormatting sqref="N16 Q16 S16 W16:X16">
    <cfRule type="expression" dxfId="3858" priority="77">
      <formula>$L16="Kirsch sand"</formula>
    </cfRule>
  </conditionalFormatting>
  <conditionalFormatting sqref="N16">
    <cfRule type="expression" dxfId="3857" priority="76">
      <formula>$L16="Modified Weak rock"</formula>
    </cfRule>
  </conditionalFormatting>
  <conditionalFormatting sqref="N16:P16">
    <cfRule type="expression" dxfId="3856" priority="75">
      <formula>$L16="Reese stiff clay"</formula>
    </cfRule>
  </conditionalFormatting>
  <conditionalFormatting sqref="N16:P16">
    <cfRule type="expression" dxfId="3855" priority="74">
      <formula>$L16="PISA clay"</formula>
    </cfRule>
  </conditionalFormatting>
  <conditionalFormatting sqref="N16">
    <cfRule type="expression" dxfId="3854" priority="73">
      <formula>$L16="PISA sand"</formula>
    </cfRule>
  </conditionalFormatting>
  <conditionalFormatting sqref="AC16:AD16">
    <cfRule type="expression" dxfId="3853" priority="70">
      <formula>$L16="Stiff clay w/o free water"</formula>
    </cfRule>
    <cfRule type="expression" dxfId="3852" priority="72">
      <formula>$L16="API clay"</formula>
    </cfRule>
  </conditionalFormatting>
  <conditionalFormatting sqref="AC16:AD16">
    <cfRule type="expression" dxfId="3851" priority="71">
      <formula>$L16="Kirsch soft clay"</formula>
    </cfRule>
  </conditionalFormatting>
  <conditionalFormatting sqref="AC16:AD16">
    <cfRule type="expression" dxfId="3850" priority="69">
      <formula>$L16="Kirsch stiff clay"</formula>
    </cfRule>
  </conditionalFormatting>
  <conditionalFormatting sqref="AC16:AD16">
    <cfRule type="expression" dxfId="3849" priority="68">
      <formula>$L16="Reese stiff clay"</formula>
    </cfRule>
  </conditionalFormatting>
  <conditionalFormatting sqref="AC16:AD16">
    <cfRule type="expression" dxfId="3848" priority="67">
      <formula>$L16="PISA clay"</formula>
    </cfRule>
  </conditionalFormatting>
  <conditionalFormatting sqref="N17 Q17 S17 W17">
    <cfRule type="expression" dxfId="3847" priority="66">
      <formula>$L17="API sand"</formula>
    </cfRule>
  </conditionalFormatting>
  <conditionalFormatting sqref="N17">
    <cfRule type="expression" dxfId="3846" priority="65">
      <formula>$M17="API sand"</formula>
    </cfRule>
  </conditionalFormatting>
  <conditionalFormatting sqref="N17">
    <cfRule type="expression" dxfId="3845" priority="64">
      <formula>$M17="API clay"</formula>
    </cfRule>
  </conditionalFormatting>
  <conditionalFormatting sqref="N17:P17">
    <cfRule type="expression" dxfId="3844" priority="61">
      <formula>$L17="Stiff clay w/o free water"</formula>
    </cfRule>
    <cfRule type="expression" dxfId="3843" priority="63">
      <formula>$L17="API clay"</formula>
    </cfRule>
  </conditionalFormatting>
  <conditionalFormatting sqref="N17:P17">
    <cfRule type="expression" dxfId="3842" priority="62">
      <formula>$L17="Kirsch soft clay"</formula>
    </cfRule>
  </conditionalFormatting>
  <conditionalFormatting sqref="N17:P17">
    <cfRule type="expression" dxfId="3841" priority="60">
      <formula>$L17="Kirsch stiff clay"</formula>
    </cfRule>
  </conditionalFormatting>
  <conditionalFormatting sqref="N17 Q17 S17 W17">
    <cfRule type="expression" dxfId="3840" priority="59">
      <formula>$L17="Kirsch sand"</formula>
    </cfRule>
  </conditionalFormatting>
  <conditionalFormatting sqref="N17">
    <cfRule type="expression" dxfId="3839" priority="58">
      <formula>$L17="Modified Weak rock"</formula>
    </cfRule>
  </conditionalFormatting>
  <conditionalFormatting sqref="N17:P17">
    <cfRule type="expression" dxfId="3838" priority="57">
      <formula>$L17="Reese stiff clay"</formula>
    </cfRule>
  </conditionalFormatting>
  <conditionalFormatting sqref="N17:P17">
    <cfRule type="expression" dxfId="3837" priority="56">
      <formula>$L17="PISA clay"</formula>
    </cfRule>
  </conditionalFormatting>
  <conditionalFormatting sqref="N17">
    <cfRule type="expression" dxfId="3836" priority="55">
      <formula>$L17="PISA sand"</formula>
    </cfRule>
  </conditionalFormatting>
  <conditionalFormatting sqref="AD17">
    <cfRule type="expression" dxfId="3835" priority="52">
      <formula>$L17="Stiff clay w/o free water"</formula>
    </cfRule>
    <cfRule type="expression" dxfId="3834" priority="54">
      <formula>$L17="API clay"</formula>
    </cfRule>
  </conditionalFormatting>
  <conditionalFormatting sqref="AD17">
    <cfRule type="expression" dxfId="3833" priority="53">
      <formula>$L17="Kirsch soft clay"</formula>
    </cfRule>
  </conditionalFormatting>
  <conditionalFormatting sqref="AD17">
    <cfRule type="expression" dxfId="3832" priority="51">
      <formula>$L17="Kirsch stiff clay"</formula>
    </cfRule>
  </conditionalFormatting>
  <conditionalFormatting sqref="AD17">
    <cfRule type="expression" dxfId="3831" priority="50">
      <formula>$L17="Reese stiff clay"</formula>
    </cfRule>
  </conditionalFormatting>
  <conditionalFormatting sqref="AD17">
    <cfRule type="expression" dxfId="3830" priority="49">
      <formula>$L17="PISA clay"</formula>
    </cfRule>
  </conditionalFormatting>
  <conditionalFormatting sqref="AC17">
    <cfRule type="expression" dxfId="3829" priority="46">
      <formula>$L17="Stiff clay w/o free water"</formula>
    </cfRule>
    <cfRule type="expression" dxfId="3828" priority="48">
      <formula>$L17="API clay"</formula>
    </cfRule>
  </conditionalFormatting>
  <conditionalFormatting sqref="AC17">
    <cfRule type="expression" dxfId="3827" priority="47">
      <formula>$L17="Kirsch soft clay"</formula>
    </cfRule>
  </conditionalFormatting>
  <conditionalFormatting sqref="AC17">
    <cfRule type="expression" dxfId="3826" priority="45">
      <formula>$L17="Kirsch stiff clay"</formula>
    </cfRule>
  </conditionalFormatting>
  <conditionalFormatting sqref="AC17">
    <cfRule type="expression" dxfId="3825" priority="44">
      <formula>$L17="Reese stiff clay"</formula>
    </cfRule>
  </conditionalFormatting>
  <conditionalFormatting sqref="AC17">
    <cfRule type="expression" dxfId="3824" priority="43">
      <formula>$L17="PISA clay"</formula>
    </cfRule>
  </conditionalFormatting>
  <conditionalFormatting sqref="X17">
    <cfRule type="expression" dxfId="3823" priority="42">
      <formula>$L17="API sand"</formula>
    </cfRule>
  </conditionalFormatting>
  <conditionalFormatting sqref="X17">
    <cfRule type="expression" dxfId="3822" priority="41">
      <formula>$L17="Kirsch sand"</formula>
    </cfRule>
  </conditionalFormatting>
  <conditionalFormatting sqref="U16">
    <cfRule type="expression" dxfId="3821" priority="38">
      <formula>$L16="Stiff clay w/o free water"</formula>
    </cfRule>
    <cfRule type="expression" dxfId="3820" priority="40">
      <formula>$L16="API clay"</formula>
    </cfRule>
  </conditionalFormatting>
  <conditionalFormatting sqref="U16">
    <cfRule type="expression" dxfId="3819" priority="39">
      <formula>$L16="Kirsch soft clay"</formula>
    </cfRule>
  </conditionalFormatting>
  <conditionalFormatting sqref="U16">
    <cfRule type="expression" dxfId="3818" priority="37">
      <formula>$L16="Kirsch stiff clay"</formula>
    </cfRule>
  </conditionalFormatting>
  <conditionalFormatting sqref="U16">
    <cfRule type="expression" dxfId="3817" priority="36">
      <formula>$L16="Reese stiff clay"</formula>
    </cfRule>
  </conditionalFormatting>
  <conditionalFormatting sqref="U16">
    <cfRule type="expression" dxfId="3816" priority="35">
      <formula>$L16="PISA clay"</formula>
    </cfRule>
  </conditionalFormatting>
  <conditionalFormatting sqref="U17">
    <cfRule type="expression" dxfId="3815" priority="32">
      <formula>$L17="Stiff clay w/o free water"</formula>
    </cfRule>
    <cfRule type="expression" dxfId="3814" priority="34">
      <formula>$L17="API clay"</formula>
    </cfRule>
  </conditionalFormatting>
  <conditionalFormatting sqref="U17">
    <cfRule type="expression" dxfId="3813" priority="33">
      <formula>$L17="Kirsch soft clay"</formula>
    </cfRule>
  </conditionalFormatting>
  <conditionalFormatting sqref="U17">
    <cfRule type="expression" dxfId="3812" priority="31">
      <formula>$L17="Kirsch stiff clay"</formula>
    </cfRule>
  </conditionalFormatting>
  <conditionalFormatting sqref="U17">
    <cfRule type="expression" dxfId="3811" priority="30">
      <formula>$L17="Reese stiff clay"</formula>
    </cfRule>
  </conditionalFormatting>
  <conditionalFormatting sqref="U17">
    <cfRule type="expression" dxfId="3810" priority="29">
      <formula>$L17="PISA clay"</formula>
    </cfRule>
  </conditionalFormatting>
  <conditionalFormatting sqref="AC14">
    <cfRule type="expression" dxfId="3809" priority="26">
      <formula>$L14="Stiff clay w/o free water"</formula>
    </cfRule>
    <cfRule type="expression" dxfId="3808" priority="28">
      <formula>$L14="API clay"</formula>
    </cfRule>
  </conditionalFormatting>
  <conditionalFormatting sqref="AC14">
    <cfRule type="expression" dxfId="3807" priority="27">
      <formula>$L14="Kirsch soft clay"</formula>
    </cfRule>
  </conditionalFormatting>
  <conditionalFormatting sqref="AC14">
    <cfRule type="expression" dxfId="3806" priority="25">
      <formula>$L14="Kirsch stiff clay"</formula>
    </cfRule>
  </conditionalFormatting>
  <conditionalFormatting sqref="AC14">
    <cfRule type="expression" dxfId="3805" priority="24">
      <formula>$L14="Reese stiff clay"</formula>
    </cfRule>
  </conditionalFormatting>
  <conditionalFormatting sqref="AC14">
    <cfRule type="expression" dxfId="3804" priority="23">
      <formula>$L14="PISA clay"</formula>
    </cfRule>
  </conditionalFormatting>
  <conditionalFormatting sqref="X11">
    <cfRule type="expression" dxfId="3803" priority="22">
      <formula>$L11="API sand"</formula>
    </cfRule>
  </conditionalFormatting>
  <conditionalFormatting sqref="X11">
    <cfRule type="expression" dxfId="3802" priority="21">
      <formula>$L11="Kirsch sand"</formula>
    </cfRule>
  </conditionalFormatting>
  <conditionalFormatting sqref="AR6:AR18">
    <cfRule type="expression" dxfId="3801" priority="20">
      <formula>$L6="API sand"</formula>
    </cfRule>
  </conditionalFormatting>
  <conditionalFormatting sqref="AR6:AR18">
    <cfRule type="expression" dxfId="3800" priority="19">
      <formula>$L6="Kirsch sand"</formula>
    </cfRule>
  </conditionalFormatting>
  <conditionalFormatting sqref="U8:U11 U13:U15">
    <cfRule type="expression" dxfId="3799" priority="16">
      <formula>$L8="Stiff clay w/o free water"</formula>
    </cfRule>
    <cfRule type="expression" dxfId="3798" priority="18">
      <formula>$L8="API clay"</formula>
    </cfRule>
  </conditionalFormatting>
  <conditionalFormatting sqref="U8:U11 U13:U15">
    <cfRule type="expression" dxfId="3797" priority="17">
      <formula>$L8="Kirsch soft clay"</formula>
    </cfRule>
  </conditionalFormatting>
  <conditionalFormatting sqref="U8:U11 U13:U15">
    <cfRule type="expression" dxfId="3796" priority="15">
      <formula>$L8="Kirsch stiff clay"</formula>
    </cfRule>
  </conditionalFormatting>
  <conditionalFormatting sqref="U8:U11 U13:U15">
    <cfRule type="expression" dxfId="3795" priority="14">
      <formula>$L8="Reese stiff clay"</formula>
    </cfRule>
  </conditionalFormatting>
  <conditionalFormatting sqref="U8:U11 U13:U15">
    <cfRule type="expression" dxfId="3794" priority="13">
      <formula>$L8="PISA clay"</formula>
    </cfRule>
  </conditionalFormatting>
  <conditionalFormatting sqref="U12">
    <cfRule type="expression" dxfId="3793" priority="10">
      <formula>$L12="Stiff clay w/o free water"</formula>
    </cfRule>
    <cfRule type="expression" dxfId="3792" priority="12">
      <formula>$L12="API clay"</formula>
    </cfRule>
  </conditionalFormatting>
  <conditionalFormatting sqref="U12">
    <cfRule type="expression" dxfId="3791" priority="11">
      <formula>$L12="Kirsch soft clay"</formula>
    </cfRule>
  </conditionalFormatting>
  <conditionalFormatting sqref="U12">
    <cfRule type="expression" dxfId="3790" priority="9">
      <formula>$L12="Kirsch stiff clay"</formula>
    </cfRule>
  </conditionalFormatting>
  <conditionalFormatting sqref="U12">
    <cfRule type="expression" dxfId="3789" priority="8">
      <formula>$L12="Reese stiff clay"</formula>
    </cfRule>
  </conditionalFormatting>
  <conditionalFormatting sqref="U12">
    <cfRule type="expression" dxfId="3788" priority="7">
      <formula>$L12="PISA clay"</formula>
    </cfRule>
  </conditionalFormatting>
  <conditionalFormatting sqref="U6">
    <cfRule type="expression" dxfId="3787" priority="4">
      <formula>$L6="Stiff clay w/o free water"</formula>
    </cfRule>
    <cfRule type="expression" dxfId="3786" priority="6">
      <formula>$L6="API clay"</formula>
    </cfRule>
  </conditionalFormatting>
  <conditionalFormatting sqref="U6">
    <cfRule type="expression" dxfId="3785" priority="5">
      <formula>$L6="Kirsch soft clay"</formula>
    </cfRule>
  </conditionalFormatting>
  <conditionalFormatting sqref="U6">
    <cfRule type="expression" dxfId="3784" priority="3">
      <formula>$L6="Kirsch stiff clay"</formula>
    </cfRule>
  </conditionalFormatting>
  <conditionalFormatting sqref="U6">
    <cfRule type="expression" dxfId="3783" priority="2">
      <formula>$L6="Reese stiff clay"</formula>
    </cfRule>
  </conditionalFormatting>
  <conditionalFormatting sqref="U6">
    <cfRule type="expression" dxfId="3782" priority="1">
      <formula>$L6="PISA clay"</formula>
    </cfRule>
  </conditionalFormatting>
  <dataValidations count="3">
    <dataValidation type="list" showInputMessage="1" showErrorMessage="1" sqref="M6:M17" xr:uid="{0B0B2231-77D6-4AFA-900F-A2FEEFE6F15C}">
      <formula1>"Zero soil,API sand,API clay"</formula1>
    </dataValidation>
    <dataValidation type="list" showInputMessage="1" showErrorMessage="1" sqref="L19:L255 L6 L12 L16" xr:uid="{57A6693E-DEF5-4163-8ECA-8832B59EA20D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18:M36" xr:uid="{389841BA-599D-415A-B2D2-5CD2111C5695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00BC7-406C-4376-9FED-5A3E68961829}">
  <sheetPr>
    <tabColor theme="7" tint="0.39997558519241921"/>
  </sheetPr>
  <dimension ref="A1:AS255"/>
  <sheetViews>
    <sheetView topLeftCell="H1" zoomScaleNormal="100" workbookViewId="0">
      <selection activeCell="S6" sqref="S6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EW69_Ak_kirsch (2015)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20"/>
      <c r="R3" s="155"/>
      <c r="S3" s="155"/>
      <c r="T3" s="120"/>
      <c r="U3" s="155"/>
      <c r="V3" s="155"/>
      <c r="W3" s="120"/>
      <c r="X3" s="69"/>
      <c r="Y3" s="120"/>
      <c r="Z3" s="120"/>
      <c r="AA3" s="120"/>
      <c r="AB3" s="120"/>
      <c r="AC3" s="69"/>
      <c r="AD3" s="39"/>
      <c r="AE3" s="39"/>
      <c r="AF3" s="39"/>
      <c r="AG3" s="39"/>
      <c r="AH3" s="39"/>
      <c r="AI3" s="39"/>
      <c r="AJ3" s="120"/>
      <c r="AK3" s="120"/>
      <c r="AL3" s="120"/>
      <c r="AM3" s="120"/>
      <c r="AN3" s="120"/>
      <c r="AO3" s="120"/>
      <c r="AP3" s="120"/>
    </row>
    <row r="4" spans="1:45" x14ac:dyDescent="0.25">
      <c r="A4" s="40" t="s">
        <v>60</v>
      </c>
      <c r="B4" s="33">
        <f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21" t="s">
        <v>38</v>
      </c>
      <c r="K5" s="121" t="s">
        <v>30</v>
      </c>
      <c r="L5" s="121" t="s">
        <v>31</v>
      </c>
      <c r="M5" s="121" t="s">
        <v>31</v>
      </c>
      <c r="N5" s="121" t="s">
        <v>32</v>
      </c>
      <c r="O5" s="121" t="s">
        <v>33</v>
      </c>
      <c r="P5" s="121" t="s">
        <v>35</v>
      </c>
      <c r="Q5" s="121" t="s">
        <v>36</v>
      </c>
      <c r="R5" s="121" t="s">
        <v>36</v>
      </c>
      <c r="S5" s="121" t="s">
        <v>34</v>
      </c>
      <c r="T5" s="121" t="s">
        <v>33</v>
      </c>
      <c r="U5" s="121" t="s">
        <v>34</v>
      </c>
      <c r="V5" s="121" t="s">
        <v>62</v>
      </c>
      <c r="W5" s="121" t="s">
        <v>34</v>
      </c>
      <c r="X5" s="121" t="s">
        <v>33</v>
      </c>
      <c r="Y5" s="121" t="s">
        <v>35</v>
      </c>
      <c r="Z5" s="121" t="s">
        <v>33</v>
      </c>
      <c r="AA5" s="121" t="s">
        <v>34</v>
      </c>
      <c r="AB5" s="121" t="s">
        <v>33</v>
      </c>
      <c r="AC5" s="121" t="s">
        <v>33</v>
      </c>
      <c r="AD5" s="121" t="s">
        <v>35</v>
      </c>
      <c r="AE5" s="121" t="s">
        <v>34</v>
      </c>
      <c r="AF5" s="121" t="s">
        <v>33</v>
      </c>
      <c r="AG5" s="121" t="s">
        <v>35</v>
      </c>
      <c r="AH5" s="121" t="s">
        <v>34</v>
      </c>
      <c r="AI5" s="121" t="s">
        <v>34</v>
      </c>
      <c r="AJ5" s="121" t="s">
        <v>34</v>
      </c>
      <c r="AK5" s="121" t="s">
        <v>34</v>
      </c>
      <c r="AL5" s="121" t="s">
        <v>34</v>
      </c>
      <c r="AM5" s="121" t="s">
        <v>34</v>
      </c>
      <c r="AN5" s="121" t="s">
        <v>34</v>
      </c>
      <c r="AO5" s="121" t="s">
        <v>34</v>
      </c>
      <c r="AP5" s="121" t="s">
        <v>34</v>
      </c>
      <c r="AQ5" s="121" t="s">
        <v>103</v>
      </c>
      <c r="AR5" s="121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255</v>
      </c>
      <c r="J6" s="47">
        <v>1</v>
      </c>
      <c r="K6" s="19">
        <v>0</v>
      </c>
      <c r="L6" s="111" t="s">
        <v>107</v>
      </c>
      <c r="M6" s="105" t="s">
        <v>65</v>
      </c>
      <c r="N6" s="47">
        <v>10.199999999999999</v>
      </c>
      <c r="O6" s="63">
        <v>0</v>
      </c>
      <c r="P6" s="63">
        <v>40</v>
      </c>
      <c r="Q6" s="47">
        <v>0</v>
      </c>
      <c r="R6" s="47" t="e">
        <f>IF(Q6&lt;&gt;0,Q6-5,NA())</f>
        <v>#N/A</v>
      </c>
      <c r="S6" s="47">
        <v>3</v>
      </c>
      <c r="T6" s="47">
        <v>0</v>
      </c>
      <c r="U6" s="75">
        <v>1.7999999999999999E-2</v>
      </c>
      <c r="V6" s="75">
        <v>0</v>
      </c>
      <c r="W6" s="47">
        <v>0.25</v>
      </c>
      <c r="X6" s="47">
        <v>12800</v>
      </c>
      <c r="Y6" s="47">
        <v>0</v>
      </c>
      <c r="Z6" s="47">
        <v>0</v>
      </c>
      <c r="AA6" s="47">
        <v>1</v>
      </c>
      <c r="AB6" s="47">
        <v>0</v>
      </c>
      <c r="AC6" s="63">
        <v>4000</v>
      </c>
      <c r="AD6" s="63">
        <v>20000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v>0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0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 t="s">
        <v>257</v>
      </c>
      <c r="J7" s="47">
        <v>2</v>
      </c>
      <c r="K7" s="19">
        <v>-0.65</v>
      </c>
      <c r="L7" s="40" t="s">
        <v>307</v>
      </c>
      <c r="M7" s="105" t="s">
        <v>64</v>
      </c>
      <c r="N7" s="47">
        <v>9.4</v>
      </c>
      <c r="O7" s="63">
        <v>0</v>
      </c>
      <c r="P7" s="63">
        <v>0</v>
      </c>
      <c r="Q7" s="47">
        <v>40</v>
      </c>
      <c r="R7" s="47">
        <f>IF(Q7&lt;&gt;0,Q7-5,NA())</f>
        <v>35</v>
      </c>
      <c r="S7" s="47">
        <v>2.6</v>
      </c>
      <c r="T7" s="47">
        <v>0</v>
      </c>
      <c r="U7" s="75">
        <v>0</v>
      </c>
      <c r="V7" s="75">
        <v>0</v>
      </c>
      <c r="W7" s="47">
        <v>0</v>
      </c>
      <c r="X7" s="47">
        <v>26200</v>
      </c>
      <c r="Y7" s="47">
        <v>0</v>
      </c>
      <c r="Z7" s="47">
        <f t="shared" ref="Z7:Z15" si="0">VLOOKUP(R7,$AE$39:$AF$59,2)</f>
        <v>114.99999999999996</v>
      </c>
      <c r="AA7" s="47">
        <v>1</v>
      </c>
      <c r="AB7" s="47">
        <f t="shared" ref="AB7:AB15" si="1">VLOOKUP(R7,$AE$39:$AG$59,3)</f>
        <v>12000</v>
      </c>
      <c r="AC7" s="63">
        <v>24000</v>
      </c>
      <c r="AD7" s="63">
        <v>12957.746478873238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ref="AJ7:AJ15" si="2">VLOOKUP(R7,$AE$39:$AH$59,4)</f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259</v>
      </c>
      <c r="J8" s="47">
        <v>3</v>
      </c>
      <c r="K8" s="19">
        <v>-4.2</v>
      </c>
      <c r="L8" s="40" t="s">
        <v>307</v>
      </c>
      <c r="M8" s="105" t="s">
        <v>64</v>
      </c>
      <c r="N8" s="47">
        <v>10</v>
      </c>
      <c r="O8" s="63">
        <v>0</v>
      </c>
      <c r="P8" s="63">
        <v>0</v>
      </c>
      <c r="Q8" s="47">
        <v>37</v>
      </c>
      <c r="R8" s="47">
        <f t="shared" ref="R8:R16" si="3">IF(Q8&lt;&gt;0,Q8-5,NA())</f>
        <v>32</v>
      </c>
      <c r="S8" s="47">
        <v>1.2</v>
      </c>
      <c r="T8" s="47">
        <v>0</v>
      </c>
      <c r="U8" s="75">
        <v>0</v>
      </c>
      <c r="V8" s="75">
        <v>0</v>
      </c>
      <c r="W8" s="47">
        <v>0</v>
      </c>
      <c r="X8" s="47">
        <v>15900</v>
      </c>
      <c r="Y8" s="47">
        <v>0</v>
      </c>
      <c r="Z8" s="47">
        <f t="shared" si="0"/>
        <v>103.59999999999997</v>
      </c>
      <c r="AA8" s="47">
        <v>1</v>
      </c>
      <c r="AB8" s="47">
        <f t="shared" si="1"/>
        <v>10560</v>
      </c>
      <c r="AC8" s="63">
        <v>61000</v>
      </c>
      <c r="AD8" s="63">
        <v>2222.2222222222222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2"/>
        <v>44.000000000000007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75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261</v>
      </c>
      <c r="J9" s="47">
        <v>4</v>
      </c>
      <c r="K9" s="19">
        <v>-6</v>
      </c>
      <c r="L9" s="40" t="s">
        <v>307</v>
      </c>
      <c r="M9" s="105" t="s">
        <v>64</v>
      </c>
      <c r="N9" s="47">
        <v>9.9</v>
      </c>
      <c r="O9" s="63">
        <v>0</v>
      </c>
      <c r="P9" s="63">
        <v>0</v>
      </c>
      <c r="Q9" s="47">
        <v>39</v>
      </c>
      <c r="R9" s="47">
        <f t="shared" si="3"/>
        <v>34</v>
      </c>
      <c r="S9" s="47">
        <v>1.2</v>
      </c>
      <c r="T9" s="47">
        <v>0</v>
      </c>
      <c r="U9" s="75">
        <v>0</v>
      </c>
      <c r="V9" s="75">
        <v>0</v>
      </c>
      <c r="W9" s="47">
        <v>0</v>
      </c>
      <c r="X9" s="47">
        <v>2900</v>
      </c>
      <c r="Y9" s="47">
        <v>0</v>
      </c>
      <c r="Z9" s="47">
        <f t="shared" si="0"/>
        <v>111.19999999999996</v>
      </c>
      <c r="AA9" s="47">
        <v>1</v>
      </c>
      <c r="AB9" s="47">
        <f t="shared" si="1"/>
        <v>11520</v>
      </c>
      <c r="AC9" s="63">
        <v>74000</v>
      </c>
      <c r="AD9" s="63">
        <v>7000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2"/>
        <v>48.000000000000007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56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261</v>
      </c>
      <c r="J10" s="47">
        <v>5</v>
      </c>
      <c r="K10" s="19">
        <v>-9</v>
      </c>
      <c r="L10" s="40" t="s">
        <v>307</v>
      </c>
      <c r="M10" s="105" t="s">
        <v>64</v>
      </c>
      <c r="N10" s="47">
        <v>9.9</v>
      </c>
      <c r="O10" s="63">
        <v>0</v>
      </c>
      <c r="P10" s="63">
        <v>0</v>
      </c>
      <c r="Q10" s="47">
        <v>40</v>
      </c>
      <c r="R10" s="47">
        <f t="shared" si="3"/>
        <v>35</v>
      </c>
      <c r="S10" s="47">
        <v>1.2</v>
      </c>
      <c r="T10" s="47">
        <v>0</v>
      </c>
      <c r="U10" s="75">
        <v>0</v>
      </c>
      <c r="V10" s="75">
        <v>0</v>
      </c>
      <c r="W10" s="47">
        <v>0</v>
      </c>
      <c r="X10" s="47">
        <v>13700</v>
      </c>
      <c r="Y10" s="47">
        <v>0</v>
      </c>
      <c r="Z10" s="47">
        <f t="shared" si="0"/>
        <v>114.99999999999996</v>
      </c>
      <c r="AA10" s="47">
        <v>1</v>
      </c>
      <c r="AB10" s="47">
        <f t="shared" si="1"/>
        <v>12000</v>
      </c>
      <c r="AC10" s="63">
        <v>108000</v>
      </c>
      <c r="AD10" s="63">
        <v>2307.6923076923076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2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68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264</v>
      </c>
      <c r="J11" s="47">
        <v>6</v>
      </c>
      <c r="K11" s="19">
        <v>-12.9</v>
      </c>
      <c r="L11" s="40" t="s">
        <v>307</v>
      </c>
      <c r="M11" s="105" t="s">
        <v>64</v>
      </c>
      <c r="N11" s="47">
        <v>8.5</v>
      </c>
      <c r="O11" s="63">
        <v>0</v>
      </c>
      <c r="P11" s="63">
        <v>0</v>
      </c>
      <c r="Q11" s="47">
        <v>26</v>
      </c>
      <c r="R11" s="47">
        <f t="shared" si="3"/>
        <v>21</v>
      </c>
      <c r="S11" s="47">
        <v>0.9</v>
      </c>
      <c r="T11" s="47">
        <v>0</v>
      </c>
      <c r="U11" s="75">
        <v>0</v>
      </c>
      <c r="V11" s="75">
        <v>0</v>
      </c>
      <c r="W11" s="47">
        <v>0</v>
      </c>
      <c r="X11" s="47">
        <v>25400</v>
      </c>
      <c r="Y11" s="47">
        <v>0</v>
      </c>
      <c r="Z11" s="47">
        <f t="shared" si="0"/>
        <v>69.799999999999983</v>
      </c>
      <c r="AA11" s="47">
        <v>1</v>
      </c>
      <c r="AB11" s="47">
        <f t="shared" si="1"/>
        <v>3280</v>
      </c>
      <c r="AC11" s="63">
        <v>97000</v>
      </c>
      <c r="AD11" s="63">
        <v>1322.3140495867769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>VLOOKUP(R11,$AE$39:$AH$59,4)</f>
        <v>13.600000000000003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79</v>
      </c>
      <c r="AS11" s="33">
        <v>0.2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 t="s">
        <v>266</v>
      </c>
      <c r="J12" s="47">
        <v>7</v>
      </c>
      <c r="K12" s="19">
        <v>-25</v>
      </c>
      <c r="L12" s="111" t="s">
        <v>107</v>
      </c>
      <c r="M12" s="105" t="s">
        <v>65</v>
      </c>
      <c r="N12" s="47">
        <v>8.5</v>
      </c>
      <c r="O12" s="63">
        <v>168</v>
      </c>
      <c r="P12" s="63">
        <v>10.992366412213739</v>
      </c>
      <c r="Q12" s="47">
        <v>0</v>
      </c>
      <c r="R12" s="47" t="e">
        <f t="shared" si="3"/>
        <v>#N/A</v>
      </c>
      <c r="S12" s="47">
        <v>1.9</v>
      </c>
      <c r="T12" s="47">
        <v>0</v>
      </c>
      <c r="U12" s="75">
        <v>1.7999999999999999E-2</v>
      </c>
      <c r="V12" s="75">
        <v>0</v>
      </c>
      <c r="W12" s="47">
        <v>0.25</v>
      </c>
      <c r="X12" s="47">
        <v>17300</v>
      </c>
      <c r="Y12" s="47">
        <v>0</v>
      </c>
      <c r="Z12" s="47">
        <v>0</v>
      </c>
      <c r="AA12" s="47">
        <v>1</v>
      </c>
      <c r="AB12" s="47">
        <v>0</v>
      </c>
      <c r="AC12" s="63">
        <v>218000</v>
      </c>
      <c r="AD12" s="63">
        <v>14274.809160305342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v>0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59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268</v>
      </c>
      <c r="J13" s="47">
        <v>8</v>
      </c>
      <c r="K13" s="19">
        <v>-38.1</v>
      </c>
      <c r="L13" s="40" t="s">
        <v>307</v>
      </c>
      <c r="M13" s="105" t="s">
        <v>64</v>
      </c>
      <c r="N13" s="47">
        <v>9</v>
      </c>
      <c r="O13" s="63">
        <v>0</v>
      </c>
      <c r="P13" s="63">
        <v>0</v>
      </c>
      <c r="Q13" s="47">
        <v>28</v>
      </c>
      <c r="R13" s="47">
        <f t="shared" si="3"/>
        <v>23</v>
      </c>
      <c r="S13" s="47">
        <v>1</v>
      </c>
      <c r="T13" s="47">
        <v>0</v>
      </c>
      <c r="U13" s="75">
        <v>0</v>
      </c>
      <c r="V13" s="75">
        <v>0</v>
      </c>
      <c r="W13" s="47">
        <v>0</v>
      </c>
      <c r="X13" s="47">
        <v>31000</v>
      </c>
      <c r="Y13" s="47">
        <v>0</v>
      </c>
      <c r="Z13" s="47">
        <f t="shared" si="0"/>
        <v>75.399999999999977</v>
      </c>
      <c r="AA13" s="47">
        <v>1</v>
      </c>
      <c r="AB13" s="47">
        <f t="shared" si="1"/>
        <v>4040</v>
      </c>
      <c r="AC13" s="63">
        <v>188000</v>
      </c>
      <c r="AD13" s="63">
        <v>2881.3559322033907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2"/>
        <v>16.800000000000004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268</v>
      </c>
      <c r="J14" s="47">
        <v>9</v>
      </c>
      <c r="K14" s="19">
        <v>-44</v>
      </c>
      <c r="L14" s="40" t="s">
        <v>307</v>
      </c>
      <c r="M14" s="105" t="s">
        <v>64</v>
      </c>
      <c r="N14" s="47">
        <v>9</v>
      </c>
      <c r="O14" s="63">
        <v>0</v>
      </c>
      <c r="P14" s="63">
        <v>0</v>
      </c>
      <c r="Q14" s="47">
        <v>28</v>
      </c>
      <c r="R14" s="47">
        <f t="shared" si="3"/>
        <v>23</v>
      </c>
      <c r="S14" s="47">
        <v>1</v>
      </c>
      <c r="T14" s="47">
        <v>0</v>
      </c>
      <c r="U14" s="75">
        <v>0</v>
      </c>
      <c r="V14" s="75">
        <v>0</v>
      </c>
      <c r="W14" s="47">
        <v>0</v>
      </c>
      <c r="X14" s="47">
        <v>69900</v>
      </c>
      <c r="Y14" s="47">
        <v>0</v>
      </c>
      <c r="Z14" s="47">
        <f t="shared" si="0"/>
        <v>75.399999999999977</v>
      </c>
      <c r="AA14" s="47">
        <v>1</v>
      </c>
      <c r="AB14" s="47">
        <f t="shared" si="1"/>
        <v>4040</v>
      </c>
      <c r="AC14" s="63">
        <v>182000</v>
      </c>
      <c r="AD14" s="63">
        <v>15625.000000000009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2"/>
        <v>16.800000000000004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80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271</v>
      </c>
      <c r="J15" s="47">
        <v>10</v>
      </c>
      <c r="K15" s="19">
        <v>-48.8</v>
      </c>
      <c r="L15" s="40" t="s">
        <v>307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28</v>
      </c>
      <c r="R15" s="47">
        <f t="shared" si="3"/>
        <v>23</v>
      </c>
      <c r="S15" s="47">
        <v>0.9</v>
      </c>
      <c r="T15" s="47">
        <v>0</v>
      </c>
      <c r="U15" s="75">
        <v>0</v>
      </c>
      <c r="V15" s="75">
        <v>0</v>
      </c>
      <c r="W15" s="47">
        <v>0</v>
      </c>
      <c r="X15" s="47">
        <v>40800</v>
      </c>
      <c r="Y15" s="47">
        <v>0</v>
      </c>
      <c r="Z15" s="47">
        <f t="shared" si="0"/>
        <v>75.399999999999977</v>
      </c>
      <c r="AA15" s="47">
        <v>1</v>
      </c>
      <c r="AB15" s="47">
        <f t="shared" si="1"/>
        <v>4040</v>
      </c>
      <c r="AC15" s="63">
        <v>196000</v>
      </c>
      <c r="AD15" s="63">
        <v>2574.8502994011974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2"/>
        <v>16.800000000000004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80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273</v>
      </c>
      <c r="J16" s="47">
        <v>11</v>
      </c>
      <c r="K16" s="19">
        <v>-65.5</v>
      </c>
      <c r="L16" s="111" t="s">
        <v>107</v>
      </c>
      <c r="M16" s="105" t="s">
        <v>65</v>
      </c>
      <c r="N16" s="47">
        <v>9.8000000000000007</v>
      </c>
      <c r="O16" s="63">
        <v>488</v>
      </c>
      <c r="P16" s="63">
        <v>5.5172413793103452</v>
      </c>
      <c r="Q16" s="47">
        <v>0</v>
      </c>
      <c r="R16" s="47" t="e">
        <f t="shared" si="3"/>
        <v>#N/A</v>
      </c>
      <c r="S16" s="47">
        <v>1.8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101700</v>
      </c>
      <c r="Y16" s="47">
        <v>0</v>
      </c>
      <c r="Z16" s="47">
        <v>0</v>
      </c>
      <c r="AA16" s="47">
        <v>1</v>
      </c>
      <c r="AB16" s="47">
        <v>0</v>
      </c>
      <c r="AC16" s="63">
        <v>761000</v>
      </c>
      <c r="AD16" s="63">
        <v>10482.758620689654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>
        <v>0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68</v>
      </c>
      <c r="AS16" s="33">
        <v>0.4</v>
      </c>
    </row>
    <row r="17" spans="1:44" s="56" customFormat="1" x14ac:dyDescent="0.25">
      <c r="A17" s="33" t="s">
        <v>98</v>
      </c>
      <c r="B17" s="57">
        <v>0.53</v>
      </c>
      <c r="C17" s="45"/>
      <c r="D17" s="121"/>
      <c r="E17" s="121"/>
      <c r="J17" s="47"/>
      <c r="K17" s="19"/>
      <c r="L17"/>
      <c r="M17" s="49"/>
      <c r="N17" s="47"/>
      <c r="O17" s="63"/>
      <c r="P17" s="63"/>
      <c r="Q17" s="47"/>
      <c r="R17" s="47"/>
      <c r="S17" s="47"/>
      <c r="T17" s="47"/>
      <c r="U17" s="75"/>
      <c r="V17" s="75"/>
      <c r="W17" s="47"/>
      <c r="X17" s="47"/>
      <c r="Y17" s="47"/>
      <c r="Z17" s="47"/>
      <c r="AA17" s="47"/>
      <c r="AB17" s="47"/>
      <c r="AC17" s="63"/>
      <c r="AD17" s="63"/>
      <c r="AE17" s="63"/>
      <c r="AF17" s="63"/>
      <c r="AG17" s="63"/>
      <c r="AH17" s="63"/>
      <c r="AI17" s="63"/>
      <c r="AJ17" s="47"/>
      <c r="AK17" s="47"/>
      <c r="AL17" s="47"/>
      <c r="AM17" s="47"/>
      <c r="AN17" s="47"/>
      <c r="AO17" s="47"/>
      <c r="AP17" s="47"/>
      <c r="AQ17" s="47"/>
      <c r="AR17" s="47"/>
    </row>
    <row r="18" spans="1:44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/>
      <c r="M18" s="49"/>
      <c r="N18" s="47"/>
      <c r="O18" s="63"/>
      <c r="P18" s="47"/>
      <c r="Q18" s="47"/>
      <c r="R18" s="47"/>
      <c r="S18" s="47"/>
      <c r="T18" s="47"/>
      <c r="U18" s="47"/>
      <c r="V18" s="75"/>
      <c r="W18" s="47"/>
      <c r="X18" s="47"/>
      <c r="Y18" s="47"/>
      <c r="Z18" s="47"/>
      <c r="AA18" s="47"/>
      <c r="AB18" s="47"/>
      <c r="AC18" s="47"/>
      <c r="AD18" s="47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4" x14ac:dyDescent="0.25">
      <c r="A19" s="121" t="s">
        <v>38</v>
      </c>
      <c r="B19" s="121" t="s">
        <v>30</v>
      </c>
      <c r="C19" s="121" t="s">
        <v>59</v>
      </c>
      <c r="D19" s="43"/>
      <c r="E19" s="35"/>
      <c r="L19" s="49"/>
      <c r="M19" s="49" t="s">
        <v>94</v>
      </c>
      <c r="N19" s="47"/>
      <c r="O19" s="47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  <c r="AO19" s="47"/>
      <c r="AP19" s="47"/>
    </row>
    <row r="20" spans="1:44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4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4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4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4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4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4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4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4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4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4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4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4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4">AF40+3.8</f>
        <v>55.599999999999994</v>
      </c>
      <c r="AG41" s="33">
        <f t="shared" ref="AG41:AG43" si="5">AG40+200</f>
        <v>2300</v>
      </c>
      <c r="AH41" s="33">
        <f t="shared" ref="AH41:AH44" si="6">AH40+0.8</f>
        <v>9.6000000000000014</v>
      </c>
    </row>
    <row r="42" spans="1:42" x14ac:dyDescent="0.25">
      <c r="L42" s="49"/>
      <c r="AE42" s="33">
        <v>18</v>
      </c>
      <c r="AF42" s="33">
        <f t="shared" si="4"/>
        <v>59.399999999999991</v>
      </c>
      <c r="AG42" s="33">
        <f t="shared" si="5"/>
        <v>2500</v>
      </c>
      <c r="AH42" s="33">
        <f t="shared" si="6"/>
        <v>10.400000000000002</v>
      </c>
    </row>
    <row r="43" spans="1:42" x14ac:dyDescent="0.25">
      <c r="L43" s="49"/>
      <c r="AE43" s="33">
        <v>19</v>
      </c>
      <c r="AF43" s="33">
        <f t="shared" si="4"/>
        <v>63.199999999999989</v>
      </c>
      <c r="AG43" s="33">
        <f t="shared" si="5"/>
        <v>2700</v>
      </c>
      <c r="AH43" s="33">
        <f t="shared" si="6"/>
        <v>11.200000000000003</v>
      </c>
    </row>
    <row r="44" spans="1:42" x14ac:dyDescent="0.25">
      <c r="L44" s="49"/>
      <c r="AE44" s="33">
        <v>20</v>
      </c>
      <c r="AF44" s="33">
        <f t="shared" si="4"/>
        <v>66.999999999999986</v>
      </c>
      <c r="AG44" s="33">
        <f>AG43+200</f>
        <v>2900</v>
      </c>
      <c r="AH44" s="33">
        <f t="shared" si="6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7">AF45+2.8</f>
        <v>72.59999999999998</v>
      </c>
      <c r="AG46" s="33">
        <f t="shared" ref="AG46:AG48" si="8">AG45+380</f>
        <v>3660</v>
      </c>
      <c r="AH46" s="33">
        <f t="shared" ref="AH46:AH49" si="9">AH45+1.6</f>
        <v>15.200000000000003</v>
      </c>
    </row>
    <row r="47" spans="1:42" x14ac:dyDescent="0.25">
      <c r="L47" s="49"/>
      <c r="AE47" s="33">
        <v>23</v>
      </c>
      <c r="AF47" s="33">
        <f t="shared" si="7"/>
        <v>75.399999999999977</v>
      </c>
      <c r="AG47" s="33">
        <f t="shared" si="8"/>
        <v>4040</v>
      </c>
      <c r="AH47" s="33">
        <f t="shared" si="9"/>
        <v>16.800000000000004</v>
      </c>
    </row>
    <row r="48" spans="1:42" x14ac:dyDescent="0.25">
      <c r="L48" s="49"/>
      <c r="AE48" s="33">
        <v>24</v>
      </c>
      <c r="AF48" s="33">
        <f t="shared" si="7"/>
        <v>78.199999999999974</v>
      </c>
      <c r="AG48" s="33">
        <f t="shared" si="8"/>
        <v>4420</v>
      </c>
      <c r="AH48" s="33">
        <f t="shared" si="9"/>
        <v>18.400000000000006</v>
      </c>
    </row>
    <row r="49" spans="12:34" x14ac:dyDescent="0.25">
      <c r="L49" s="49"/>
      <c r="AE49" s="33">
        <v>25</v>
      </c>
      <c r="AF49" s="33">
        <f t="shared" si="7"/>
        <v>80.999999999999972</v>
      </c>
      <c r="AG49" s="33">
        <v>4800</v>
      </c>
      <c r="AH49" s="33">
        <f t="shared" si="9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0">AF50+3</f>
        <v>86.999999999999972</v>
      </c>
      <c r="AG51" s="33">
        <f t="shared" ref="AG51:AG54" si="11">AG50+960</f>
        <v>6720</v>
      </c>
      <c r="AH51" s="33">
        <f t="shared" ref="AH51:AH54" si="12">AH50+4</f>
        <v>28.000000000000007</v>
      </c>
    </row>
    <row r="52" spans="12:34" x14ac:dyDescent="0.25">
      <c r="L52" s="49"/>
      <c r="AE52" s="33">
        <v>28</v>
      </c>
      <c r="AF52" s="33">
        <f t="shared" si="10"/>
        <v>89.999999999999972</v>
      </c>
      <c r="AG52" s="33">
        <f t="shared" si="11"/>
        <v>7680</v>
      </c>
      <c r="AH52" s="33">
        <f t="shared" si="12"/>
        <v>32.000000000000007</v>
      </c>
    </row>
    <row r="53" spans="12:34" x14ac:dyDescent="0.25">
      <c r="L53" s="49"/>
      <c r="AE53" s="33">
        <v>29</v>
      </c>
      <c r="AF53" s="33">
        <f t="shared" si="10"/>
        <v>92.999999999999972</v>
      </c>
      <c r="AG53" s="33">
        <f t="shared" si="11"/>
        <v>8640</v>
      </c>
      <c r="AH53" s="33">
        <f t="shared" si="12"/>
        <v>36.000000000000007</v>
      </c>
    </row>
    <row r="54" spans="12:34" x14ac:dyDescent="0.25">
      <c r="L54" s="49"/>
      <c r="AE54" s="33">
        <v>30</v>
      </c>
      <c r="AF54" s="33">
        <f t="shared" si="10"/>
        <v>95.999999999999972</v>
      </c>
      <c r="AG54" s="33">
        <f t="shared" si="11"/>
        <v>9600</v>
      </c>
      <c r="AH54" s="33">
        <f t="shared" si="12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3">AF55+3.8</f>
        <v>103.59999999999997</v>
      </c>
      <c r="AG56" s="33">
        <f t="shared" ref="AG56:AG59" si="14">AG55+480</f>
        <v>10560</v>
      </c>
      <c r="AH56" s="33">
        <f t="shared" ref="AH56:AH59" si="15">AH55+2</f>
        <v>44.000000000000007</v>
      </c>
    </row>
    <row r="57" spans="12:34" x14ac:dyDescent="0.25">
      <c r="L57" s="49"/>
      <c r="AE57" s="33">
        <v>33</v>
      </c>
      <c r="AF57" s="33">
        <f t="shared" si="13"/>
        <v>107.39999999999996</v>
      </c>
      <c r="AG57" s="33">
        <f t="shared" si="14"/>
        <v>11040</v>
      </c>
      <c r="AH57" s="33">
        <f t="shared" si="15"/>
        <v>46.000000000000007</v>
      </c>
    </row>
    <row r="58" spans="12:34" x14ac:dyDescent="0.25">
      <c r="L58" s="49"/>
      <c r="AE58" s="33">
        <v>34</v>
      </c>
      <c r="AF58" s="33">
        <f t="shared" si="13"/>
        <v>111.19999999999996</v>
      </c>
      <c r="AG58" s="33">
        <f t="shared" si="14"/>
        <v>11520</v>
      </c>
      <c r="AH58" s="33">
        <f t="shared" si="15"/>
        <v>48.000000000000007</v>
      </c>
    </row>
    <row r="59" spans="12:34" x14ac:dyDescent="0.25">
      <c r="L59" s="49"/>
      <c r="AE59" s="33">
        <v>35</v>
      </c>
      <c r="AF59" s="33">
        <f t="shared" si="13"/>
        <v>114.99999999999996</v>
      </c>
      <c r="AG59" s="33">
        <f t="shared" si="14"/>
        <v>12000</v>
      </c>
      <c r="AH59" s="33">
        <f t="shared" si="15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phoneticPr fontId="16" type="noConversion"/>
  <conditionalFormatting sqref="W10:Y10 N6:N14 S10:T12 Q6:R6 W12:Y12 W11 Y11 Q7:Q14 S13 T17:T18 W13:X13 Y17:Y18 AJ6:AJ18 R7:R18 AB6:AB18 Z6:Z18 AM6:AQ18 AM19:AP36">
    <cfRule type="expression" dxfId="3781" priority="146">
      <formula>$L6="API sand"</formula>
    </cfRule>
  </conditionalFormatting>
  <conditionalFormatting sqref="R19:S20 R29:S36 S21:S28 AD21:AD28 AB19:AB35 N6:N14 S18 AK6:AL18">
    <cfRule type="expression" dxfId="3780" priority="145">
      <formula>$M6="API sand"</formula>
    </cfRule>
  </conditionalFormatting>
  <conditionalFormatting sqref="R19:T20 R29:T36 S21:T28 AD21:AD28 AB19:AB35 N6:N14 S18 AK6:AL18">
    <cfRule type="expression" dxfId="3779" priority="144">
      <formula>$M6="API clay"</formula>
    </cfRule>
  </conditionalFormatting>
  <conditionalFormatting sqref="U19:W36 N6:P14 U7:V7 AC6:AI6 U18 W18 AA6:AA18 AC7:AD13 AE7:AI18 V8:V18 V6 AM6:AP36">
    <cfRule type="expression" dxfId="3778" priority="141">
      <formula>$L6="Stiff clay w/o free water"</formula>
    </cfRule>
    <cfRule type="expression" dxfId="3777" priority="143">
      <formula>$L6="API clay"</formula>
    </cfRule>
  </conditionalFormatting>
  <conditionalFormatting sqref="U19:Y36 N6:P14 U7:V7 AC6:AI6 U18 W18:X18 AA6:AA18 AC7:AD13 AE7:AI18 V8:V18 V6 AM6:AP36">
    <cfRule type="expression" dxfId="3776" priority="142">
      <formula>$L6="Kirsch soft clay"</formula>
    </cfRule>
  </conditionalFormatting>
  <conditionalFormatting sqref="U19:Y36 N6:P14 U7:V7 AC6:AI6 U18 W18:X18 AA6:AA18 AC7:AD13 AE7:AI18 V8:V18 V6 AM6:AP36">
    <cfRule type="expression" dxfId="3775" priority="140">
      <formula>$L6="Kirsch stiff clay"</formula>
    </cfRule>
  </conditionalFormatting>
  <conditionalFormatting sqref="W10:Y10 N6:N14 S10:T12 Q6:R6 W12:Y12 W11 Y11 Q7:Q14 S13 T17:T18 W13:X13 Y17:Y18 AJ6:AJ18 R7:R18 AB6:AB18 Z6:Z18 AM6:AQ18 AM19:AP36">
    <cfRule type="expression" dxfId="3774" priority="139">
      <formula>$L6="Kirsch sand"</formula>
    </cfRule>
  </conditionalFormatting>
  <conditionalFormatting sqref="AC18:AD19 AI19 N6:N14 AM6:AP36">
    <cfRule type="expression" dxfId="3773" priority="138">
      <formula>$L6="Modified Weak rock"</formula>
    </cfRule>
  </conditionalFormatting>
  <conditionalFormatting sqref="U19:V36 N6:P14 U7:V7 AC6:AI6 U18 AA6:AA18 AC7:AD13 AE7:AI18 V8:V18 V6 AM6:AP36">
    <cfRule type="expression" dxfId="3772" priority="137">
      <formula>$L6="Reese stiff clay"</formula>
    </cfRule>
  </conditionalFormatting>
  <conditionalFormatting sqref="N18:N36 Q18:Q36">
    <cfRule type="expression" dxfId="3771" priority="136">
      <formula>$L18="API sand"</formula>
    </cfRule>
  </conditionalFormatting>
  <conditionalFormatting sqref="N18:N36 AB36 AJ19:AL36 Z19:Z36">
    <cfRule type="expression" dxfId="3770" priority="135">
      <formula>$M18="API sand"</formula>
    </cfRule>
  </conditionalFormatting>
  <conditionalFormatting sqref="Z36:AB36 AK19:AL36 N18:N36 Z19:AA35">
    <cfRule type="expression" dxfId="3769" priority="134">
      <formula>$M18="API clay"</formula>
    </cfRule>
  </conditionalFormatting>
  <conditionalFormatting sqref="N18:P18 N29:P36 N19:N28 P19:P28">
    <cfRule type="expression" dxfId="3768" priority="131">
      <formula>$L18="Stiff clay w/o free water"</formula>
    </cfRule>
    <cfRule type="expression" dxfId="3767" priority="133">
      <formula>$L18="API clay"</formula>
    </cfRule>
  </conditionalFormatting>
  <conditionalFormatting sqref="N18:P18 N29:P36 N19:N28 P19:P28">
    <cfRule type="expression" dxfId="3766" priority="132">
      <formula>$L18="Kirsch soft clay"</formula>
    </cfRule>
  </conditionalFormatting>
  <conditionalFormatting sqref="N18:P18 N29:P36 N19:N28 P19:P28">
    <cfRule type="expression" dxfId="3765" priority="130">
      <formula>$L18="Kirsch stiff clay"</formula>
    </cfRule>
  </conditionalFormatting>
  <conditionalFormatting sqref="N18:N36 Q18:Q36 X19:Y36 X18">
    <cfRule type="expression" dxfId="3764" priority="129">
      <formula>$L18="Kirsch sand"</formula>
    </cfRule>
  </conditionalFormatting>
  <conditionalFormatting sqref="N18:N36 AC20:AD36 AI20:AI36">
    <cfRule type="expression" dxfId="3763" priority="128">
      <formula>$L18="Modified Weak rock"</formula>
    </cfRule>
  </conditionalFormatting>
  <conditionalFormatting sqref="N18:P18 N29:P36 N19:N28 P19:P28">
    <cfRule type="expression" dxfId="3762" priority="127">
      <formula>$L18="Reese stiff clay"</formula>
    </cfRule>
  </conditionalFormatting>
  <conditionalFormatting sqref="N6:P14 U7:V7 AC6:AI6 AA6:AA18 AC7:AD13 AE7:AI18 V8:V18 V6 AM6:AP18">
    <cfRule type="expression" dxfId="3761" priority="126">
      <formula>$L6="PISA clay"</formula>
    </cfRule>
  </conditionalFormatting>
  <conditionalFormatting sqref="N6:N14 AM6:AP18">
    <cfRule type="expression" dxfId="3760" priority="125">
      <formula>$L6="PISA sand"</formula>
    </cfRule>
  </conditionalFormatting>
  <conditionalFormatting sqref="O19:O21">
    <cfRule type="expression" dxfId="3759" priority="124">
      <formula>$L19="API sand"</formula>
    </cfRule>
  </conditionalFormatting>
  <conditionalFormatting sqref="O19:O21">
    <cfRule type="expression" dxfId="3758" priority="123">
      <formula>$L19="Kirsch sand"</formula>
    </cfRule>
  </conditionalFormatting>
  <conditionalFormatting sqref="O22:O28">
    <cfRule type="expression" dxfId="3757" priority="122">
      <formula>$L22="API sand"</formula>
    </cfRule>
  </conditionalFormatting>
  <conditionalFormatting sqref="O22:O28">
    <cfRule type="expression" dxfId="3756" priority="121">
      <formula>$L22="Kirsch sand"</formula>
    </cfRule>
  </conditionalFormatting>
  <conditionalFormatting sqref="S6:T9 W6:Y9 T13:T16 Y13:Y16">
    <cfRule type="expression" dxfId="3755" priority="120">
      <formula>$L6="API sand"</formula>
    </cfRule>
  </conditionalFormatting>
  <conditionalFormatting sqref="S6:T9 W6:Y9 T13:T16 Y13:Y16">
    <cfRule type="expression" dxfId="3754" priority="119">
      <formula>$L6="Kirsch sand"</formula>
    </cfRule>
  </conditionalFormatting>
  <conditionalFormatting sqref="AE37:AH37">
    <cfRule type="expression" dxfId="3753" priority="147">
      <formula>$L19="Modified Weak rock"</formula>
    </cfRule>
  </conditionalFormatting>
  <conditionalFormatting sqref="S14 W14:X14">
    <cfRule type="expression" dxfId="3752" priority="118">
      <formula>$L14="API sand"</formula>
    </cfRule>
  </conditionalFormatting>
  <conditionalFormatting sqref="S14 W14:X14">
    <cfRule type="expression" dxfId="3751" priority="117">
      <formula>$L14="Kirsch sand"</formula>
    </cfRule>
  </conditionalFormatting>
  <conditionalFormatting sqref="AD14">
    <cfRule type="expression" dxfId="3750" priority="114">
      <formula>$L14="Stiff clay w/o free water"</formula>
    </cfRule>
    <cfRule type="expression" dxfId="3749" priority="116">
      <formula>$L14="API clay"</formula>
    </cfRule>
  </conditionalFormatting>
  <conditionalFormatting sqref="AD14">
    <cfRule type="expression" dxfId="3748" priority="115">
      <formula>$L14="Kirsch soft clay"</formula>
    </cfRule>
  </conditionalFormatting>
  <conditionalFormatting sqref="AD14">
    <cfRule type="expression" dxfId="3747" priority="113">
      <formula>$L14="Kirsch stiff clay"</formula>
    </cfRule>
  </conditionalFormatting>
  <conditionalFormatting sqref="AD14">
    <cfRule type="expression" dxfId="3746" priority="112">
      <formula>$L14="Reese stiff clay"</formula>
    </cfRule>
  </conditionalFormatting>
  <conditionalFormatting sqref="AD14">
    <cfRule type="expression" dxfId="3745" priority="111">
      <formula>$L14="PISA clay"</formula>
    </cfRule>
  </conditionalFormatting>
  <conditionalFormatting sqref="N15 Q15 S15 W15">
    <cfRule type="expression" dxfId="3744" priority="110">
      <formula>$L15="API sand"</formula>
    </cfRule>
  </conditionalFormatting>
  <conditionalFormatting sqref="N15">
    <cfRule type="expression" dxfId="3743" priority="109">
      <formula>$M15="API sand"</formula>
    </cfRule>
  </conditionalFormatting>
  <conditionalFormatting sqref="N15">
    <cfRule type="expression" dxfId="3742" priority="108">
      <formula>$M15="API clay"</formula>
    </cfRule>
  </conditionalFormatting>
  <conditionalFormatting sqref="N15:P15">
    <cfRule type="expression" dxfId="3741" priority="105">
      <formula>$L15="Stiff clay w/o free water"</formula>
    </cfRule>
    <cfRule type="expression" dxfId="3740" priority="107">
      <formula>$L15="API clay"</formula>
    </cfRule>
  </conditionalFormatting>
  <conditionalFormatting sqref="N15:P15">
    <cfRule type="expression" dxfId="3739" priority="106">
      <formula>$L15="Kirsch soft clay"</formula>
    </cfRule>
  </conditionalFormatting>
  <conditionalFormatting sqref="N15:P15">
    <cfRule type="expression" dxfId="3738" priority="104">
      <formula>$L15="Kirsch stiff clay"</formula>
    </cfRule>
  </conditionalFormatting>
  <conditionalFormatting sqref="N15 Q15 S15 W15">
    <cfRule type="expression" dxfId="3737" priority="103">
      <formula>$L15="Kirsch sand"</formula>
    </cfRule>
  </conditionalFormatting>
  <conditionalFormatting sqref="N15">
    <cfRule type="expression" dxfId="3736" priority="102">
      <formula>$L15="Modified Weak rock"</formula>
    </cfRule>
  </conditionalFormatting>
  <conditionalFormatting sqref="N15:P15">
    <cfRule type="expression" dxfId="3735" priority="101">
      <formula>$L15="Reese stiff clay"</formula>
    </cfRule>
  </conditionalFormatting>
  <conditionalFormatting sqref="N15:P15">
    <cfRule type="expression" dxfId="3734" priority="100">
      <formula>$L15="PISA clay"</formula>
    </cfRule>
  </conditionalFormatting>
  <conditionalFormatting sqref="N15">
    <cfRule type="expression" dxfId="3733" priority="99">
      <formula>$L15="PISA sand"</formula>
    </cfRule>
  </conditionalFormatting>
  <conditionalFormatting sqref="AD15">
    <cfRule type="expression" dxfId="3732" priority="96">
      <formula>$L15="Stiff clay w/o free water"</formula>
    </cfRule>
    <cfRule type="expression" dxfId="3731" priority="98">
      <formula>$L15="API clay"</formula>
    </cfRule>
  </conditionalFormatting>
  <conditionalFormatting sqref="AD15">
    <cfRule type="expression" dxfId="3730" priority="97">
      <formula>$L15="Kirsch soft clay"</formula>
    </cfRule>
  </conditionalFormatting>
  <conditionalFormatting sqref="AD15">
    <cfRule type="expression" dxfId="3729" priority="95">
      <formula>$L15="Kirsch stiff clay"</formula>
    </cfRule>
  </conditionalFormatting>
  <conditionalFormatting sqref="AD15">
    <cfRule type="expression" dxfId="3728" priority="94">
      <formula>$L15="Reese stiff clay"</formula>
    </cfRule>
  </conditionalFormatting>
  <conditionalFormatting sqref="AD15">
    <cfRule type="expression" dxfId="3727" priority="93">
      <formula>$L15="PISA clay"</formula>
    </cfRule>
  </conditionalFormatting>
  <conditionalFormatting sqref="AC15">
    <cfRule type="expression" dxfId="3726" priority="90">
      <formula>$L15="Stiff clay w/o free water"</formula>
    </cfRule>
    <cfRule type="expression" dxfId="3725" priority="92">
      <formula>$L15="API clay"</formula>
    </cfRule>
  </conditionalFormatting>
  <conditionalFormatting sqref="AC15">
    <cfRule type="expression" dxfId="3724" priority="91">
      <formula>$L15="Kirsch soft clay"</formula>
    </cfRule>
  </conditionalFormatting>
  <conditionalFormatting sqref="AC15">
    <cfRule type="expression" dxfId="3723" priority="89">
      <formula>$L15="Kirsch stiff clay"</formula>
    </cfRule>
  </conditionalFormatting>
  <conditionalFormatting sqref="AC15">
    <cfRule type="expression" dxfId="3722" priority="88">
      <formula>$L15="Reese stiff clay"</formula>
    </cfRule>
  </conditionalFormatting>
  <conditionalFormatting sqref="AC15">
    <cfRule type="expression" dxfId="3721" priority="87">
      <formula>$L15="PISA clay"</formula>
    </cfRule>
  </conditionalFormatting>
  <conditionalFormatting sqref="X15">
    <cfRule type="expression" dxfId="3720" priority="86">
      <formula>$L15="API sand"</formula>
    </cfRule>
  </conditionalFormatting>
  <conditionalFormatting sqref="X15">
    <cfRule type="expression" dxfId="3719" priority="85">
      <formula>$L15="Kirsch sand"</formula>
    </cfRule>
  </conditionalFormatting>
  <conditionalFormatting sqref="N16 Q16 S16 W16:X16">
    <cfRule type="expression" dxfId="3718" priority="84">
      <formula>$L16="API sand"</formula>
    </cfRule>
  </conditionalFormatting>
  <conditionalFormatting sqref="N16">
    <cfRule type="expression" dxfId="3717" priority="83">
      <formula>$M16="API sand"</formula>
    </cfRule>
  </conditionalFormatting>
  <conditionalFormatting sqref="N16">
    <cfRule type="expression" dxfId="3716" priority="82">
      <formula>$M16="API clay"</formula>
    </cfRule>
  </conditionalFormatting>
  <conditionalFormatting sqref="N16:P16">
    <cfRule type="expression" dxfId="3715" priority="79">
      <formula>$L16="Stiff clay w/o free water"</formula>
    </cfRule>
    <cfRule type="expression" dxfId="3714" priority="81">
      <formula>$L16="API clay"</formula>
    </cfRule>
  </conditionalFormatting>
  <conditionalFormatting sqref="N16:P16">
    <cfRule type="expression" dxfId="3713" priority="80">
      <formula>$L16="Kirsch soft clay"</formula>
    </cfRule>
  </conditionalFormatting>
  <conditionalFormatting sqref="N16:P16">
    <cfRule type="expression" dxfId="3712" priority="78">
      <formula>$L16="Kirsch stiff clay"</formula>
    </cfRule>
  </conditionalFormatting>
  <conditionalFormatting sqref="N16 Q16 S16 W16:X16">
    <cfRule type="expression" dxfId="3711" priority="77">
      <formula>$L16="Kirsch sand"</formula>
    </cfRule>
  </conditionalFormatting>
  <conditionalFormatting sqref="N16">
    <cfRule type="expression" dxfId="3710" priority="76">
      <formula>$L16="Modified Weak rock"</formula>
    </cfRule>
  </conditionalFormatting>
  <conditionalFormatting sqref="N16:P16">
    <cfRule type="expression" dxfId="3709" priority="75">
      <formula>$L16="Reese stiff clay"</formula>
    </cfRule>
  </conditionalFormatting>
  <conditionalFormatting sqref="N16:P16">
    <cfRule type="expression" dxfId="3708" priority="74">
      <formula>$L16="PISA clay"</formula>
    </cfRule>
  </conditionalFormatting>
  <conditionalFormatting sqref="N16">
    <cfRule type="expression" dxfId="3707" priority="73">
      <formula>$L16="PISA sand"</formula>
    </cfRule>
  </conditionalFormatting>
  <conditionalFormatting sqref="AC16:AD16">
    <cfRule type="expression" dxfId="3706" priority="70">
      <formula>$L16="Stiff clay w/o free water"</formula>
    </cfRule>
    <cfRule type="expression" dxfId="3705" priority="72">
      <formula>$L16="API clay"</formula>
    </cfRule>
  </conditionalFormatting>
  <conditionalFormatting sqref="AC16:AD16">
    <cfRule type="expression" dxfId="3704" priority="71">
      <formula>$L16="Kirsch soft clay"</formula>
    </cfRule>
  </conditionalFormatting>
  <conditionalFormatting sqref="AC16:AD16">
    <cfRule type="expression" dxfId="3703" priority="69">
      <formula>$L16="Kirsch stiff clay"</formula>
    </cfRule>
  </conditionalFormatting>
  <conditionalFormatting sqref="AC16:AD16">
    <cfRule type="expression" dxfId="3702" priority="68">
      <formula>$L16="Reese stiff clay"</formula>
    </cfRule>
  </conditionalFormatting>
  <conditionalFormatting sqref="AC16:AD16">
    <cfRule type="expression" dxfId="3701" priority="67">
      <formula>$L16="PISA clay"</formula>
    </cfRule>
  </conditionalFormatting>
  <conditionalFormatting sqref="N17 Q17 S17 W17">
    <cfRule type="expression" dxfId="3700" priority="66">
      <formula>$L17="API sand"</formula>
    </cfRule>
  </conditionalFormatting>
  <conditionalFormatting sqref="N17">
    <cfRule type="expression" dxfId="3699" priority="65">
      <formula>$M17="API sand"</formula>
    </cfRule>
  </conditionalFormatting>
  <conditionalFormatting sqref="N17">
    <cfRule type="expression" dxfId="3698" priority="64">
      <formula>$M17="API clay"</formula>
    </cfRule>
  </conditionalFormatting>
  <conditionalFormatting sqref="N17:P17">
    <cfRule type="expression" dxfId="3697" priority="61">
      <formula>$L17="Stiff clay w/o free water"</formula>
    </cfRule>
    <cfRule type="expression" dxfId="3696" priority="63">
      <formula>$L17="API clay"</formula>
    </cfRule>
  </conditionalFormatting>
  <conditionalFormatting sqref="N17:P17">
    <cfRule type="expression" dxfId="3695" priority="62">
      <formula>$L17="Kirsch soft clay"</formula>
    </cfRule>
  </conditionalFormatting>
  <conditionalFormatting sqref="N17:P17">
    <cfRule type="expression" dxfId="3694" priority="60">
      <formula>$L17="Kirsch stiff clay"</formula>
    </cfRule>
  </conditionalFormatting>
  <conditionalFormatting sqref="N17 Q17 S17 W17">
    <cfRule type="expression" dxfId="3693" priority="59">
      <formula>$L17="Kirsch sand"</formula>
    </cfRule>
  </conditionalFormatting>
  <conditionalFormatting sqref="N17">
    <cfRule type="expression" dxfId="3692" priority="58">
      <formula>$L17="Modified Weak rock"</formula>
    </cfRule>
  </conditionalFormatting>
  <conditionalFormatting sqref="N17:P17">
    <cfRule type="expression" dxfId="3691" priority="57">
      <formula>$L17="Reese stiff clay"</formula>
    </cfRule>
  </conditionalFormatting>
  <conditionalFormatting sqref="N17:P17">
    <cfRule type="expression" dxfId="3690" priority="56">
      <formula>$L17="PISA clay"</formula>
    </cfRule>
  </conditionalFormatting>
  <conditionalFormatting sqref="N17">
    <cfRule type="expression" dxfId="3689" priority="55">
      <formula>$L17="PISA sand"</formula>
    </cfRule>
  </conditionalFormatting>
  <conditionalFormatting sqref="AD17">
    <cfRule type="expression" dxfId="3688" priority="52">
      <formula>$L17="Stiff clay w/o free water"</formula>
    </cfRule>
    <cfRule type="expression" dxfId="3687" priority="54">
      <formula>$L17="API clay"</formula>
    </cfRule>
  </conditionalFormatting>
  <conditionalFormatting sqref="AD17">
    <cfRule type="expression" dxfId="3686" priority="53">
      <formula>$L17="Kirsch soft clay"</formula>
    </cfRule>
  </conditionalFormatting>
  <conditionalFormatting sqref="AD17">
    <cfRule type="expression" dxfId="3685" priority="51">
      <formula>$L17="Kirsch stiff clay"</formula>
    </cfRule>
  </conditionalFormatting>
  <conditionalFormatting sqref="AD17">
    <cfRule type="expression" dxfId="3684" priority="50">
      <formula>$L17="Reese stiff clay"</formula>
    </cfRule>
  </conditionalFormatting>
  <conditionalFormatting sqref="AD17">
    <cfRule type="expression" dxfId="3683" priority="49">
      <formula>$L17="PISA clay"</formula>
    </cfRule>
  </conditionalFormatting>
  <conditionalFormatting sqref="AC17">
    <cfRule type="expression" dxfId="3682" priority="46">
      <formula>$L17="Stiff clay w/o free water"</formula>
    </cfRule>
    <cfRule type="expression" dxfId="3681" priority="48">
      <formula>$L17="API clay"</formula>
    </cfRule>
  </conditionalFormatting>
  <conditionalFormatting sqref="AC17">
    <cfRule type="expression" dxfId="3680" priority="47">
      <formula>$L17="Kirsch soft clay"</formula>
    </cfRule>
  </conditionalFormatting>
  <conditionalFormatting sqref="AC17">
    <cfRule type="expression" dxfId="3679" priority="45">
      <formula>$L17="Kirsch stiff clay"</formula>
    </cfRule>
  </conditionalFormatting>
  <conditionalFormatting sqref="AC17">
    <cfRule type="expression" dxfId="3678" priority="44">
      <formula>$L17="Reese stiff clay"</formula>
    </cfRule>
  </conditionalFormatting>
  <conditionalFormatting sqref="AC17">
    <cfRule type="expression" dxfId="3677" priority="43">
      <formula>$L17="PISA clay"</formula>
    </cfRule>
  </conditionalFormatting>
  <conditionalFormatting sqref="X17">
    <cfRule type="expression" dxfId="3676" priority="42">
      <formula>$L17="API sand"</formula>
    </cfRule>
  </conditionalFormatting>
  <conditionalFormatting sqref="X17">
    <cfRule type="expression" dxfId="3675" priority="41">
      <formula>$L17="Kirsch sand"</formula>
    </cfRule>
  </conditionalFormatting>
  <conditionalFormatting sqref="U16">
    <cfRule type="expression" dxfId="3674" priority="38">
      <formula>$L16="Stiff clay w/o free water"</formula>
    </cfRule>
    <cfRule type="expression" dxfId="3673" priority="40">
      <formula>$L16="API clay"</formula>
    </cfRule>
  </conditionalFormatting>
  <conditionalFormatting sqref="U16">
    <cfRule type="expression" dxfId="3672" priority="39">
      <formula>$L16="Kirsch soft clay"</formula>
    </cfRule>
  </conditionalFormatting>
  <conditionalFormatting sqref="U16">
    <cfRule type="expression" dxfId="3671" priority="37">
      <formula>$L16="Kirsch stiff clay"</formula>
    </cfRule>
  </conditionalFormatting>
  <conditionalFormatting sqref="U16">
    <cfRule type="expression" dxfId="3670" priority="36">
      <formula>$L16="Reese stiff clay"</formula>
    </cfRule>
  </conditionalFormatting>
  <conditionalFormatting sqref="U16">
    <cfRule type="expression" dxfId="3669" priority="35">
      <formula>$L16="PISA clay"</formula>
    </cfRule>
  </conditionalFormatting>
  <conditionalFormatting sqref="U17">
    <cfRule type="expression" dxfId="3668" priority="32">
      <formula>$L17="Stiff clay w/o free water"</formula>
    </cfRule>
    <cfRule type="expression" dxfId="3667" priority="34">
      <formula>$L17="API clay"</formula>
    </cfRule>
  </conditionalFormatting>
  <conditionalFormatting sqref="U17">
    <cfRule type="expression" dxfId="3666" priority="33">
      <formula>$L17="Kirsch soft clay"</formula>
    </cfRule>
  </conditionalFormatting>
  <conditionalFormatting sqref="U17">
    <cfRule type="expression" dxfId="3665" priority="31">
      <formula>$L17="Kirsch stiff clay"</formula>
    </cfRule>
  </conditionalFormatting>
  <conditionalFormatting sqref="U17">
    <cfRule type="expression" dxfId="3664" priority="30">
      <formula>$L17="Reese stiff clay"</formula>
    </cfRule>
  </conditionalFormatting>
  <conditionalFormatting sqref="U17">
    <cfRule type="expression" dxfId="3663" priority="29">
      <formula>$L17="PISA clay"</formula>
    </cfRule>
  </conditionalFormatting>
  <conditionalFormatting sqref="AC14">
    <cfRule type="expression" dxfId="3662" priority="26">
      <formula>$L14="Stiff clay w/o free water"</formula>
    </cfRule>
    <cfRule type="expression" dxfId="3661" priority="28">
      <formula>$L14="API clay"</formula>
    </cfRule>
  </conditionalFormatting>
  <conditionalFormatting sqref="AC14">
    <cfRule type="expression" dxfId="3660" priority="27">
      <formula>$L14="Kirsch soft clay"</formula>
    </cfRule>
  </conditionalFormatting>
  <conditionalFormatting sqref="AC14">
    <cfRule type="expression" dxfId="3659" priority="25">
      <formula>$L14="Kirsch stiff clay"</formula>
    </cfRule>
  </conditionalFormatting>
  <conditionalFormatting sqref="AC14">
    <cfRule type="expression" dxfId="3658" priority="24">
      <formula>$L14="Reese stiff clay"</formula>
    </cfRule>
  </conditionalFormatting>
  <conditionalFormatting sqref="AC14">
    <cfRule type="expression" dxfId="3657" priority="23">
      <formula>$L14="PISA clay"</formula>
    </cfRule>
  </conditionalFormatting>
  <conditionalFormatting sqref="X11">
    <cfRule type="expression" dxfId="3656" priority="22">
      <formula>$L11="API sand"</formula>
    </cfRule>
  </conditionalFormatting>
  <conditionalFormatting sqref="X11">
    <cfRule type="expression" dxfId="3655" priority="21">
      <formula>$L11="Kirsch sand"</formula>
    </cfRule>
  </conditionalFormatting>
  <conditionalFormatting sqref="AR6:AR18">
    <cfRule type="expression" dxfId="3654" priority="20">
      <formula>$L6="API sand"</formula>
    </cfRule>
  </conditionalFormatting>
  <conditionalFormatting sqref="AR6:AR18">
    <cfRule type="expression" dxfId="3653" priority="19">
      <formula>$L6="Kirsch sand"</formula>
    </cfRule>
  </conditionalFormatting>
  <conditionalFormatting sqref="U8:U11 U13:U15">
    <cfRule type="expression" dxfId="3652" priority="16">
      <formula>$L8="Stiff clay w/o free water"</formula>
    </cfRule>
    <cfRule type="expression" dxfId="3651" priority="18">
      <formula>$L8="API clay"</formula>
    </cfRule>
  </conditionalFormatting>
  <conditionalFormatting sqref="U8:U11 U13:U15">
    <cfRule type="expression" dxfId="3650" priority="17">
      <formula>$L8="Kirsch soft clay"</formula>
    </cfRule>
  </conditionalFormatting>
  <conditionalFormatting sqref="U8:U11 U13:U15">
    <cfRule type="expression" dxfId="3649" priority="15">
      <formula>$L8="Kirsch stiff clay"</formula>
    </cfRule>
  </conditionalFormatting>
  <conditionalFormatting sqref="U8:U11 U13:U15">
    <cfRule type="expression" dxfId="3648" priority="14">
      <formula>$L8="Reese stiff clay"</formula>
    </cfRule>
  </conditionalFormatting>
  <conditionalFormatting sqref="U8:U11 U13:U15">
    <cfRule type="expression" dxfId="3647" priority="13">
      <formula>$L8="PISA clay"</formula>
    </cfRule>
  </conditionalFormatting>
  <conditionalFormatting sqref="U12">
    <cfRule type="expression" dxfId="3646" priority="10">
      <formula>$L12="Stiff clay w/o free water"</formula>
    </cfRule>
    <cfRule type="expression" dxfId="3645" priority="12">
      <formula>$L12="API clay"</formula>
    </cfRule>
  </conditionalFormatting>
  <conditionalFormatting sqref="U12">
    <cfRule type="expression" dxfId="3644" priority="11">
      <formula>$L12="Kirsch soft clay"</formula>
    </cfRule>
  </conditionalFormatting>
  <conditionalFormatting sqref="U12">
    <cfRule type="expression" dxfId="3643" priority="9">
      <formula>$L12="Kirsch stiff clay"</formula>
    </cfRule>
  </conditionalFormatting>
  <conditionalFormatting sqref="U12">
    <cfRule type="expression" dxfId="3642" priority="8">
      <formula>$L12="Reese stiff clay"</formula>
    </cfRule>
  </conditionalFormatting>
  <conditionalFormatting sqref="U12">
    <cfRule type="expression" dxfId="3641" priority="7">
      <formula>$L12="PISA clay"</formula>
    </cfRule>
  </conditionalFormatting>
  <conditionalFormatting sqref="U6">
    <cfRule type="expression" dxfId="3640" priority="4">
      <formula>$L6="Stiff clay w/o free water"</formula>
    </cfRule>
    <cfRule type="expression" dxfId="3639" priority="6">
      <formula>$L6="API clay"</formula>
    </cfRule>
  </conditionalFormatting>
  <conditionalFormatting sqref="U6">
    <cfRule type="expression" dxfId="3638" priority="5">
      <formula>$L6="Kirsch soft clay"</formula>
    </cfRule>
  </conditionalFormatting>
  <conditionalFormatting sqref="U6">
    <cfRule type="expression" dxfId="3637" priority="3">
      <formula>$L6="Kirsch stiff clay"</formula>
    </cfRule>
  </conditionalFormatting>
  <conditionalFormatting sqref="U6">
    <cfRule type="expression" dxfId="3636" priority="2">
      <formula>$L6="Reese stiff clay"</formula>
    </cfRule>
  </conditionalFormatting>
  <conditionalFormatting sqref="U6">
    <cfRule type="expression" dxfId="3635" priority="1">
      <formula>$L6="PISA clay"</formula>
    </cfRule>
  </conditionalFormatting>
  <dataValidations count="3">
    <dataValidation type="list" showInputMessage="1" showErrorMessage="1" sqref="M18:M36" xr:uid="{66F977C8-34C2-4387-B29B-16F46AC08C5E}">
      <formula1>"',API sand,API clay"</formula1>
    </dataValidation>
    <dataValidation type="list" showInputMessage="1" showErrorMessage="1" sqref="L19:L255 L6 L12 L16" xr:uid="{1332AD7E-7E5A-4B61-BB34-D312ED5B20E0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7" xr:uid="{592CC12A-CF9A-4E29-BFC5-420535ACAD6B}">
      <formula1>"Zero soil,API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CEF5A-16AE-4359-9BDD-FA4B6D25E858}">
  <sheetPr>
    <tabColor rgb="FFFF99FF"/>
  </sheetPr>
  <dimension ref="A1:AS255"/>
  <sheetViews>
    <sheetView topLeftCell="I1" zoomScale="85" zoomScaleNormal="85" workbookViewId="0">
      <selection activeCell="M12" sqref="M12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Ak_Pisa_BH-46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8"/>
      <c r="R3" s="155"/>
      <c r="S3" s="155"/>
      <c r="T3" s="118"/>
      <c r="U3" s="155"/>
      <c r="V3" s="155"/>
      <c r="W3" s="118"/>
      <c r="X3" s="69"/>
      <c r="Y3" s="118"/>
      <c r="Z3" s="118"/>
      <c r="AA3" s="118"/>
      <c r="AB3" s="118"/>
      <c r="AC3" s="69"/>
      <c r="AD3" s="39"/>
      <c r="AE3" s="39"/>
      <c r="AF3" s="39"/>
      <c r="AG3" s="39"/>
      <c r="AH3" s="39"/>
      <c r="AI3" s="39"/>
      <c r="AJ3" s="118"/>
      <c r="AK3" s="118"/>
      <c r="AL3" s="118"/>
      <c r="AM3" s="118"/>
      <c r="AN3" s="118"/>
      <c r="AO3" s="118"/>
      <c r="AP3" s="118"/>
    </row>
    <row r="4" spans="1:45" x14ac:dyDescent="0.25">
      <c r="A4" s="40" t="s">
        <v>60</v>
      </c>
      <c r="B4" s="33">
        <f>COUNTIF(J:J,"&gt;0")</f>
        <v>19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9" t="s">
        <v>38</v>
      </c>
      <c r="K5" s="119" t="s">
        <v>30</v>
      </c>
      <c r="L5" s="119" t="s">
        <v>31</v>
      </c>
      <c r="M5" s="119" t="s">
        <v>31</v>
      </c>
      <c r="N5" s="119" t="s">
        <v>32</v>
      </c>
      <c r="O5" s="119" t="s">
        <v>33</v>
      </c>
      <c r="P5" s="119" t="s">
        <v>35</v>
      </c>
      <c r="Q5" s="119" t="s">
        <v>36</v>
      </c>
      <c r="R5" s="119" t="s">
        <v>36</v>
      </c>
      <c r="S5" s="119" t="s">
        <v>34</v>
      </c>
      <c r="T5" s="119" t="s">
        <v>33</v>
      </c>
      <c r="U5" s="119" t="s">
        <v>34</v>
      </c>
      <c r="V5" s="119" t="s">
        <v>62</v>
      </c>
      <c r="W5" s="119" t="s">
        <v>34</v>
      </c>
      <c r="X5" s="119" t="s">
        <v>33</v>
      </c>
      <c r="Y5" s="119" t="s">
        <v>35</v>
      </c>
      <c r="Z5" s="119" t="s">
        <v>33</v>
      </c>
      <c r="AA5" s="119" t="s">
        <v>34</v>
      </c>
      <c r="AB5" s="119" t="s">
        <v>33</v>
      </c>
      <c r="AC5" s="119" t="s">
        <v>33</v>
      </c>
      <c r="AD5" s="119" t="s">
        <v>35</v>
      </c>
      <c r="AE5" s="119" t="s">
        <v>34</v>
      </c>
      <c r="AF5" s="119" t="s">
        <v>33</v>
      </c>
      <c r="AG5" s="119" t="s">
        <v>35</v>
      </c>
      <c r="AH5" s="119" t="s">
        <v>34</v>
      </c>
      <c r="AI5" s="119" t="s">
        <v>34</v>
      </c>
      <c r="AJ5" s="119" t="s">
        <v>34</v>
      </c>
      <c r="AK5" s="119" t="s">
        <v>34</v>
      </c>
      <c r="AL5" s="119" t="s">
        <v>34</v>
      </c>
      <c r="AM5" s="119" t="s">
        <v>34</v>
      </c>
      <c r="AN5" s="119" t="s">
        <v>34</v>
      </c>
      <c r="AO5" s="119" t="s">
        <v>34</v>
      </c>
      <c r="AP5" s="119" t="s">
        <v>34</v>
      </c>
      <c r="AQ5" s="119" t="s">
        <v>103</v>
      </c>
      <c r="AR5" s="119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 t="shared" ref="L6:L14" si="0">"EW_sand_Ruled"&amp;"_"&amp;AR6</f>
        <v>EW_sand_Ruled_100</v>
      </c>
      <c r="M6" s="117" t="s">
        <v>64</v>
      </c>
      <c r="N6" s="50">
        <v>9.6999999999999993</v>
      </c>
      <c r="O6" s="51">
        <v>0</v>
      </c>
      <c r="P6" s="51">
        <v>0</v>
      </c>
      <c r="Q6" s="50">
        <v>45</v>
      </c>
      <c r="R6" s="50">
        <f t="shared" ref="R6:R24" si="1">IF(Q6&lt;&gt;0,Q6-5,NA())</f>
        <v>40</v>
      </c>
      <c r="S6" s="50">
        <v>0.4</v>
      </c>
      <c r="T6" s="50">
        <v>0</v>
      </c>
      <c r="U6" s="52">
        <v>0</v>
      </c>
      <c r="V6" s="52">
        <v>0</v>
      </c>
      <c r="W6" s="50">
        <v>0</v>
      </c>
      <c r="X6" s="50">
        <v>100</v>
      </c>
      <c r="Y6" s="50">
        <v>150000</v>
      </c>
      <c r="Z6" s="50">
        <f t="shared" ref="Z6:Z9" si="2">VLOOKUP(R6,$AE$39:$AF$59,2)</f>
        <v>114.99999999999996</v>
      </c>
      <c r="AA6" s="50">
        <v>1</v>
      </c>
      <c r="AB6" s="50">
        <f t="shared" ref="AB6:AB9" si="3">VLOOKUP(R6,$AE$39:$AG$59,3)</f>
        <v>12000</v>
      </c>
      <c r="AC6" s="51">
        <v>8000</v>
      </c>
      <c r="AD6" s="51">
        <v>20000</v>
      </c>
      <c r="AE6" s="51">
        <v>0.3</v>
      </c>
      <c r="AF6" s="51">
        <v>0</v>
      </c>
      <c r="AG6" s="51">
        <v>0</v>
      </c>
      <c r="AH6" s="51">
        <v>0</v>
      </c>
      <c r="AI6" s="51">
        <v>0</v>
      </c>
      <c r="AJ6" s="50">
        <f t="shared" ref="AJ6:AJ9" si="4">VLOOKUP(R6,$AE$39:$AH$59,4)</f>
        <v>50.000000000000007</v>
      </c>
      <c r="AK6" s="50">
        <v>1</v>
      </c>
      <c r="AL6" s="50">
        <v>1</v>
      </c>
      <c r="AM6" s="50">
        <v>1</v>
      </c>
      <c r="AN6" s="50">
        <v>1</v>
      </c>
      <c r="AO6" s="50">
        <v>1</v>
      </c>
      <c r="AP6" s="50">
        <v>1</v>
      </c>
      <c r="AQ6" s="50">
        <v>0</v>
      </c>
      <c r="AR6" s="50">
        <v>100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19">
        <v>-0.1</v>
      </c>
      <c r="L7" s="33" t="str">
        <f t="shared" si="0"/>
        <v>EW_sand_Ruled_100</v>
      </c>
      <c r="M7" s="117" t="s">
        <v>64</v>
      </c>
      <c r="N7" s="50">
        <v>9.6999999999999993</v>
      </c>
      <c r="O7" s="51">
        <v>0</v>
      </c>
      <c r="P7" s="51">
        <v>0</v>
      </c>
      <c r="Q7" s="50">
        <v>45</v>
      </c>
      <c r="R7" s="50">
        <f t="shared" si="1"/>
        <v>40</v>
      </c>
      <c r="S7" s="50">
        <v>0.4</v>
      </c>
      <c r="T7" s="50">
        <v>0</v>
      </c>
      <c r="U7" s="52">
        <v>0</v>
      </c>
      <c r="V7" s="52">
        <v>0</v>
      </c>
      <c r="W7" s="50">
        <v>0</v>
      </c>
      <c r="X7" s="50">
        <v>15000</v>
      </c>
      <c r="Y7" s="50">
        <v>55000</v>
      </c>
      <c r="Z7" s="50">
        <f t="shared" si="2"/>
        <v>114.99999999999996</v>
      </c>
      <c r="AA7" s="50">
        <v>1</v>
      </c>
      <c r="AB7" s="50">
        <f t="shared" si="3"/>
        <v>12000</v>
      </c>
      <c r="AC7" s="51">
        <v>10000</v>
      </c>
      <c r="AD7" s="51">
        <v>25000</v>
      </c>
      <c r="AE7" s="51">
        <v>0.3</v>
      </c>
      <c r="AF7" s="51">
        <v>0</v>
      </c>
      <c r="AG7" s="51">
        <v>0</v>
      </c>
      <c r="AH7" s="51">
        <v>0</v>
      </c>
      <c r="AI7" s="51">
        <v>0</v>
      </c>
      <c r="AJ7" s="50">
        <f t="shared" si="4"/>
        <v>50.000000000000007</v>
      </c>
      <c r="AK7" s="50">
        <v>1</v>
      </c>
      <c r="AL7" s="50">
        <v>1</v>
      </c>
      <c r="AM7" s="50">
        <v>1</v>
      </c>
      <c r="AN7" s="50">
        <v>1</v>
      </c>
      <c r="AO7" s="50">
        <v>1</v>
      </c>
      <c r="AP7" s="50">
        <v>1</v>
      </c>
      <c r="AQ7" s="50">
        <v>0</v>
      </c>
      <c r="AR7" s="50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">
        <v>279</v>
      </c>
      <c r="J8" s="47">
        <v>3</v>
      </c>
      <c r="K8" s="19">
        <v>-0.5</v>
      </c>
      <c r="L8" s="33" t="str">
        <f t="shared" si="0"/>
        <v>EW_sand_Ruled_100</v>
      </c>
      <c r="M8" s="117" t="s">
        <v>64</v>
      </c>
      <c r="N8" s="50">
        <v>9.6999999999999993</v>
      </c>
      <c r="O8" s="51">
        <v>0</v>
      </c>
      <c r="P8" s="51">
        <v>0</v>
      </c>
      <c r="Q8" s="50">
        <v>45</v>
      </c>
      <c r="R8" s="50">
        <f t="shared" si="1"/>
        <v>40</v>
      </c>
      <c r="S8" s="50">
        <v>0.4</v>
      </c>
      <c r="T8" s="50">
        <v>0</v>
      </c>
      <c r="U8" s="52">
        <v>0</v>
      </c>
      <c r="V8" s="52">
        <v>0</v>
      </c>
      <c r="W8" s="50">
        <v>0</v>
      </c>
      <c r="X8" s="50">
        <v>37000</v>
      </c>
      <c r="Y8" s="50">
        <v>56000</v>
      </c>
      <c r="Z8" s="50">
        <f t="shared" si="2"/>
        <v>114.99999999999996</v>
      </c>
      <c r="AA8" s="50">
        <v>1</v>
      </c>
      <c r="AB8" s="50">
        <f t="shared" si="3"/>
        <v>12000</v>
      </c>
      <c r="AC8" s="51">
        <v>20000</v>
      </c>
      <c r="AD8" s="51">
        <v>22000</v>
      </c>
      <c r="AE8" s="51">
        <v>0.3</v>
      </c>
      <c r="AF8" s="51">
        <v>0</v>
      </c>
      <c r="AG8" s="51">
        <v>0</v>
      </c>
      <c r="AH8" s="51">
        <v>0</v>
      </c>
      <c r="AI8" s="51">
        <v>0</v>
      </c>
      <c r="AJ8" s="50">
        <f t="shared" si="4"/>
        <v>50.000000000000007</v>
      </c>
      <c r="AK8" s="50">
        <v>1</v>
      </c>
      <c r="AL8" s="50">
        <v>1</v>
      </c>
      <c r="AM8" s="50">
        <v>1</v>
      </c>
      <c r="AN8" s="50">
        <v>1</v>
      </c>
      <c r="AO8" s="50">
        <v>1</v>
      </c>
      <c r="AP8" s="50">
        <v>1</v>
      </c>
      <c r="AQ8" s="50">
        <v>0</v>
      </c>
      <c r="AR8" s="50">
        <v>100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279</v>
      </c>
      <c r="J9" s="47">
        <v>4</v>
      </c>
      <c r="K9" s="19">
        <v>-1</v>
      </c>
      <c r="L9" s="33" t="str">
        <f t="shared" si="0"/>
        <v>EW_sand_Ruled_100</v>
      </c>
      <c r="M9" s="117" t="s">
        <v>64</v>
      </c>
      <c r="N9" s="50">
        <v>9.6999999999999993</v>
      </c>
      <c r="O9" s="51">
        <v>0</v>
      </c>
      <c r="P9" s="51">
        <v>0</v>
      </c>
      <c r="Q9" s="50">
        <v>45</v>
      </c>
      <c r="R9" s="50">
        <f t="shared" si="1"/>
        <v>40</v>
      </c>
      <c r="S9" s="50">
        <v>0.4</v>
      </c>
      <c r="T9" s="50">
        <v>0</v>
      </c>
      <c r="U9" s="52">
        <v>0</v>
      </c>
      <c r="V9" s="52">
        <v>0</v>
      </c>
      <c r="W9" s="50">
        <v>0</v>
      </c>
      <c r="X9" s="50">
        <v>65000</v>
      </c>
      <c r="Y9" s="50">
        <v>0</v>
      </c>
      <c r="Z9" s="50">
        <f t="shared" si="2"/>
        <v>114.99999999999996</v>
      </c>
      <c r="AA9" s="50">
        <v>1</v>
      </c>
      <c r="AB9" s="50">
        <f t="shared" si="3"/>
        <v>12000</v>
      </c>
      <c r="AC9" s="51">
        <v>31000</v>
      </c>
      <c r="AD9" s="51">
        <v>11000</v>
      </c>
      <c r="AE9" s="51">
        <v>0.3</v>
      </c>
      <c r="AF9" s="51">
        <v>0</v>
      </c>
      <c r="AG9" s="51">
        <v>0</v>
      </c>
      <c r="AH9" s="51">
        <v>0</v>
      </c>
      <c r="AI9" s="51">
        <v>0</v>
      </c>
      <c r="AJ9" s="50">
        <f t="shared" si="4"/>
        <v>50.000000000000007</v>
      </c>
      <c r="AK9" s="50">
        <v>1</v>
      </c>
      <c r="AL9" s="50">
        <v>1</v>
      </c>
      <c r="AM9" s="50">
        <v>1</v>
      </c>
      <c r="AN9" s="50">
        <v>1</v>
      </c>
      <c r="AO9" s="50">
        <v>1</v>
      </c>
      <c r="AP9" s="50">
        <v>1</v>
      </c>
      <c r="AQ9" s="50">
        <v>0</v>
      </c>
      <c r="AR9" s="50">
        <v>100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56" t="s">
        <v>261</v>
      </c>
      <c r="J10" s="47">
        <v>5</v>
      </c>
      <c r="K10" s="19">
        <v>-2</v>
      </c>
      <c r="L10" s="33" t="str">
        <f t="shared" si="0"/>
        <v>EW_sand_Ruled_85</v>
      </c>
      <c r="M10" s="117" t="s">
        <v>64</v>
      </c>
      <c r="N10" s="50">
        <v>9.9</v>
      </c>
      <c r="O10" s="51">
        <v>0</v>
      </c>
      <c r="P10" s="51">
        <v>0</v>
      </c>
      <c r="Q10" s="50">
        <v>44</v>
      </c>
      <c r="R10" s="50">
        <f t="shared" si="1"/>
        <v>39</v>
      </c>
      <c r="S10" s="50">
        <v>2.5</v>
      </c>
      <c r="T10" s="50">
        <v>0</v>
      </c>
      <c r="U10" s="52">
        <v>0</v>
      </c>
      <c r="V10" s="52">
        <v>0</v>
      </c>
      <c r="W10" s="50">
        <v>0</v>
      </c>
      <c r="X10" s="50">
        <v>27000</v>
      </c>
      <c r="Y10" s="50">
        <v>2000</v>
      </c>
      <c r="Z10" s="50">
        <f t="shared" ref="Z10:Z24" si="5">VLOOKUP(R10,$AE$39:$AF$59,2)</f>
        <v>114.99999999999996</v>
      </c>
      <c r="AA10" s="50">
        <v>1</v>
      </c>
      <c r="AB10" s="50">
        <f t="shared" ref="AB10:AB24" si="6">VLOOKUP(R10,$AE$39:$AG$59,3)</f>
        <v>12000</v>
      </c>
      <c r="AC10" s="51">
        <v>33200</v>
      </c>
      <c r="AD10" s="51">
        <v>3266.66</v>
      </c>
      <c r="AE10" s="51">
        <v>0.3</v>
      </c>
      <c r="AF10" s="51">
        <v>0</v>
      </c>
      <c r="AG10" s="51">
        <v>0</v>
      </c>
      <c r="AH10" s="51">
        <v>0</v>
      </c>
      <c r="AI10" s="51">
        <v>0</v>
      </c>
      <c r="AJ10" s="50">
        <f t="shared" ref="AJ10:AJ24" si="7">VLOOKUP(R10,$AE$39:$AH$59,4)</f>
        <v>50.000000000000007</v>
      </c>
      <c r="AK10" s="50">
        <v>1</v>
      </c>
      <c r="AL10" s="50">
        <v>1</v>
      </c>
      <c r="AM10" s="50">
        <v>1</v>
      </c>
      <c r="AN10" s="50">
        <v>1</v>
      </c>
      <c r="AO10" s="50">
        <v>1</v>
      </c>
      <c r="AP10" s="50">
        <v>1</v>
      </c>
      <c r="AQ10" s="50">
        <v>0</v>
      </c>
      <c r="AR10" s="50">
        <v>85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56" t="s">
        <v>261</v>
      </c>
      <c r="J11" s="47">
        <v>6</v>
      </c>
      <c r="K11" s="19">
        <v>-5</v>
      </c>
      <c r="L11" s="33" t="str">
        <f t="shared" si="0"/>
        <v>EW_sand_Ruled_85</v>
      </c>
      <c r="M11" s="117" t="s">
        <v>64</v>
      </c>
      <c r="N11" s="50">
        <v>9.9</v>
      </c>
      <c r="O11" s="51">
        <v>0</v>
      </c>
      <c r="P11" s="51">
        <v>0</v>
      </c>
      <c r="Q11" s="50">
        <v>44</v>
      </c>
      <c r="R11" s="50">
        <f t="shared" si="1"/>
        <v>39</v>
      </c>
      <c r="S11" s="50">
        <v>2.5</v>
      </c>
      <c r="T11" s="50">
        <v>0</v>
      </c>
      <c r="U11" s="52">
        <v>0</v>
      </c>
      <c r="V11" s="52">
        <v>0</v>
      </c>
      <c r="W11" s="50">
        <v>0</v>
      </c>
      <c r="X11" s="50">
        <v>33000</v>
      </c>
      <c r="Y11" s="50">
        <v>2000</v>
      </c>
      <c r="Z11" s="50">
        <f t="shared" si="5"/>
        <v>114.99999999999996</v>
      </c>
      <c r="AA11" s="50">
        <v>1</v>
      </c>
      <c r="AB11" s="50">
        <f t="shared" si="6"/>
        <v>12000</v>
      </c>
      <c r="AC11" s="51">
        <v>43000</v>
      </c>
      <c r="AD11" s="51">
        <v>4000</v>
      </c>
      <c r="AE11" s="51">
        <v>0.3</v>
      </c>
      <c r="AF11" s="51">
        <v>0</v>
      </c>
      <c r="AG11" s="51">
        <v>0</v>
      </c>
      <c r="AH11" s="51">
        <v>0</v>
      </c>
      <c r="AI11" s="51">
        <v>0</v>
      </c>
      <c r="AJ11" s="50">
        <f t="shared" si="7"/>
        <v>50.000000000000007</v>
      </c>
      <c r="AK11" s="50">
        <v>1</v>
      </c>
      <c r="AL11" s="50">
        <v>1</v>
      </c>
      <c r="AM11" s="50">
        <v>1</v>
      </c>
      <c r="AN11" s="50">
        <v>1</v>
      </c>
      <c r="AO11" s="50">
        <v>1</v>
      </c>
      <c r="AP11" s="50">
        <v>1</v>
      </c>
      <c r="AQ11" s="50">
        <v>0</v>
      </c>
      <c r="AR11" s="50">
        <v>85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 t="s">
        <v>261</v>
      </c>
      <c r="J12" s="47">
        <v>7</v>
      </c>
      <c r="K12" s="19">
        <v>-6</v>
      </c>
      <c r="L12" s="33" t="str">
        <f t="shared" si="0"/>
        <v>EW_sand_Ruled_85</v>
      </c>
      <c r="M12" s="117" t="s">
        <v>64</v>
      </c>
      <c r="N12" s="50">
        <v>9.9</v>
      </c>
      <c r="O12" s="51">
        <v>0</v>
      </c>
      <c r="P12" s="51">
        <v>0</v>
      </c>
      <c r="Q12" s="50">
        <v>44</v>
      </c>
      <c r="R12" s="50">
        <f t="shared" si="1"/>
        <v>39</v>
      </c>
      <c r="S12" s="50">
        <v>2.2000000000000002</v>
      </c>
      <c r="T12" s="50">
        <v>0</v>
      </c>
      <c r="U12" s="52">
        <v>0</v>
      </c>
      <c r="V12" s="52">
        <v>0</v>
      </c>
      <c r="W12" s="50">
        <v>0</v>
      </c>
      <c r="X12" s="50">
        <v>35000</v>
      </c>
      <c r="Y12" s="50">
        <v>2500</v>
      </c>
      <c r="Z12" s="50">
        <f t="shared" si="5"/>
        <v>114.99999999999996</v>
      </c>
      <c r="AA12" s="50">
        <v>1</v>
      </c>
      <c r="AB12" s="50">
        <f t="shared" si="6"/>
        <v>12000</v>
      </c>
      <c r="AC12" s="51">
        <v>47000</v>
      </c>
      <c r="AD12" s="51">
        <v>3000</v>
      </c>
      <c r="AE12" s="51">
        <v>0.3</v>
      </c>
      <c r="AF12" s="51">
        <v>0</v>
      </c>
      <c r="AG12" s="51">
        <v>0</v>
      </c>
      <c r="AH12" s="51">
        <v>0</v>
      </c>
      <c r="AI12" s="51">
        <v>0</v>
      </c>
      <c r="AJ12" s="50">
        <f t="shared" si="7"/>
        <v>50.000000000000007</v>
      </c>
      <c r="AK12" s="50">
        <v>1</v>
      </c>
      <c r="AL12" s="50">
        <v>1</v>
      </c>
      <c r="AM12" s="50">
        <v>1</v>
      </c>
      <c r="AN12" s="50">
        <v>1</v>
      </c>
      <c r="AO12" s="50">
        <v>1</v>
      </c>
      <c r="AP12" s="50">
        <v>1</v>
      </c>
      <c r="AQ12" s="50">
        <v>0</v>
      </c>
      <c r="AR12" s="50">
        <v>85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56" t="s">
        <v>261</v>
      </c>
      <c r="J13" s="47">
        <v>8</v>
      </c>
      <c r="K13" s="19">
        <v>-8</v>
      </c>
      <c r="L13" s="33" t="str">
        <f t="shared" si="0"/>
        <v>EW_sand_Ruled_85</v>
      </c>
      <c r="M13" s="117" t="s">
        <v>64</v>
      </c>
      <c r="N13" s="50">
        <v>9.9</v>
      </c>
      <c r="O13" s="51">
        <v>0</v>
      </c>
      <c r="P13" s="51">
        <v>0</v>
      </c>
      <c r="Q13" s="50">
        <v>44</v>
      </c>
      <c r="R13" s="50">
        <f t="shared" si="1"/>
        <v>39</v>
      </c>
      <c r="S13" s="50">
        <v>1.9</v>
      </c>
      <c r="T13" s="50">
        <v>0</v>
      </c>
      <c r="U13" s="52">
        <v>0</v>
      </c>
      <c r="V13" s="52">
        <v>0</v>
      </c>
      <c r="W13" s="50">
        <v>0</v>
      </c>
      <c r="X13" s="50">
        <v>40000</v>
      </c>
      <c r="Y13" s="50">
        <v>2000</v>
      </c>
      <c r="Z13" s="50">
        <f t="shared" si="5"/>
        <v>114.99999999999996</v>
      </c>
      <c r="AA13" s="50">
        <v>1</v>
      </c>
      <c r="AB13" s="50">
        <f t="shared" si="6"/>
        <v>12000</v>
      </c>
      <c r="AC13" s="51">
        <v>53000</v>
      </c>
      <c r="AD13" s="51">
        <v>3500</v>
      </c>
      <c r="AE13" s="51">
        <v>0.3</v>
      </c>
      <c r="AF13" s="51">
        <v>0</v>
      </c>
      <c r="AG13" s="51">
        <v>0</v>
      </c>
      <c r="AH13" s="51">
        <v>0</v>
      </c>
      <c r="AI13" s="51">
        <v>0</v>
      </c>
      <c r="AJ13" s="50">
        <f t="shared" si="7"/>
        <v>50.000000000000007</v>
      </c>
      <c r="AK13" s="50">
        <v>1</v>
      </c>
      <c r="AL13" s="50">
        <v>1</v>
      </c>
      <c r="AM13" s="50">
        <v>1</v>
      </c>
      <c r="AN13" s="50">
        <v>1</v>
      </c>
      <c r="AO13" s="50">
        <v>1</v>
      </c>
      <c r="AP13" s="50">
        <v>1</v>
      </c>
      <c r="AQ13" s="50">
        <v>0</v>
      </c>
      <c r="AR13" s="50">
        <v>85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261</v>
      </c>
      <c r="J14" s="47">
        <v>9</v>
      </c>
      <c r="K14" s="19">
        <v>-10</v>
      </c>
      <c r="L14" s="33" t="str">
        <f t="shared" si="0"/>
        <v>EW_sand_Ruled_85</v>
      </c>
      <c r="M14" s="117" t="s">
        <v>64</v>
      </c>
      <c r="N14" s="50">
        <v>9.9</v>
      </c>
      <c r="O14" s="51">
        <v>0</v>
      </c>
      <c r="P14" s="51">
        <v>0</v>
      </c>
      <c r="Q14" s="50">
        <v>44</v>
      </c>
      <c r="R14" s="50">
        <f t="shared" si="1"/>
        <v>39</v>
      </c>
      <c r="S14" s="50">
        <v>1.7</v>
      </c>
      <c r="T14" s="50">
        <v>0</v>
      </c>
      <c r="U14" s="52">
        <v>0</v>
      </c>
      <c r="V14" s="52">
        <v>0</v>
      </c>
      <c r="W14" s="50">
        <v>0</v>
      </c>
      <c r="X14" s="50">
        <v>44000</v>
      </c>
      <c r="Y14" s="50">
        <v>2000</v>
      </c>
      <c r="Z14" s="50">
        <f t="shared" si="5"/>
        <v>114.99999999999996</v>
      </c>
      <c r="AA14" s="50">
        <v>1</v>
      </c>
      <c r="AB14" s="50">
        <f t="shared" si="6"/>
        <v>12000</v>
      </c>
      <c r="AC14" s="51">
        <v>60000</v>
      </c>
      <c r="AD14" s="51">
        <v>2461.54</v>
      </c>
      <c r="AE14" s="51">
        <v>0.3</v>
      </c>
      <c r="AF14" s="51">
        <v>0</v>
      </c>
      <c r="AG14" s="51">
        <v>0</v>
      </c>
      <c r="AH14" s="51">
        <v>0</v>
      </c>
      <c r="AI14" s="51">
        <v>0</v>
      </c>
      <c r="AJ14" s="50">
        <f t="shared" si="7"/>
        <v>50.000000000000007</v>
      </c>
      <c r="AK14" s="50">
        <v>1</v>
      </c>
      <c r="AL14" s="50">
        <v>1</v>
      </c>
      <c r="AM14" s="50">
        <v>1</v>
      </c>
      <c r="AN14" s="50">
        <v>1</v>
      </c>
      <c r="AO14" s="50">
        <v>1</v>
      </c>
      <c r="AP14" s="50">
        <v>1</v>
      </c>
      <c r="AQ14" s="50">
        <v>0</v>
      </c>
      <c r="AR14" s="50">
        <v>85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287</v>
      </c>
      <c r="J15" s="47">
        <v>10</v>
      </c>
      <c r="K15" s="19">
        <v>-11.3</v>
      </c>
      <c r="L15" s="116" t="s">
        <v>275</v>
      </c>
      <c r="M15" s="117" t="s">
        <v>65</v>
      </c>
      <c r="N15" s="50">
        <v>8.4</v>
      </c>
      <c r="O15" s="51">
        <v>171</v>
      </c>
      <c r="P15" s="51">
        <v>17.14</v>
      </c>
      <c r="Q15" s="50">
        <v>0</v>
      </c>
      <c r="R15" s="50" t="e">
        <f t="shared" si="1"/>
        <v>#N/A</v>
      </c>
      <c r="S15" s="50">
        <v>1.6</v>
      </c>
      <c r="T15" s="50">
        <v>0</v>
      </c>
      <c r="U15" s="52">
        <v>1.7999999999999999E-2</v>
      </c>
      <c r="V15" s="52">
        <v>0</v>
      </c>
      <c r="W15" s="50">
        <v>0.5</v>
      </c>
      <c r="X15" s="50">
        <v>26600</v>
      </c>
      <c r="Y15" s="50">
        <v>2000</v>
      </c>
      <c r="Z15" s="50" t="e">
        <f t="shared" si="5"/>
        <v>#N/A</v>
      </c>
      <c r="AA15" s="50">
        <v>1</v>
      </c>
      <c r="AB15" s="50" t="e">
        <f t="shared" si="6"/>
        <v>#N/A</v>
      </c>
      <c r="AC15" s="51">
        <v>105000</v>
      </c>
      <c r="AD15" s="51">
        <v>8571.43</v>
      </c>
      <c r="AE15" s="51">
        <v>0.3</v>
      </c>
      <c r="AF15" s="51">
        <v>0</v>
      </c>
      <c r="AG15" s="51">
        <v>0</v>
      </c>
      <c r="AH15" s="51">
        <v>0</v>
      </c>
      <c r="AI15" s="51">
        <v>0</v>
      </c>
      <c r="AJ15" s="50" t="e">
        <f t="shared" si="7"/>
        <v>#N/A</v>
      </c>
      <c r="AK15" s="50">
        <v>1</v>
      </c>
      <c r="AL15" s="50">
        <v>1</v>
      </c>
      <c r="AM15" s="50">
        <v>1</v>
      </c>
      <c r="AN15" s="50">
        <v>1</v>
      </c>
      <c r="AO15" s="50">
        <v>1</v>
      </c>
      <c r="AP15" s="50">
        <v>1</v>
      </c>
      <c r="AQ15" s="50">
        <v>0</v>
      </c>
      <c r="AR15" s="50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287</v>
      </c>
      <c r="J16" s="47">
        <v>11</v>
      </c>
      <c r="K16" s="19">
        <v>-12</v>
      </c>
      <c r="L16" s="116" t="s">
        <v>275</v>
      </c>
      <c r="M16" s="117" t="s">
        <v>65</v>
      </c>
      <c r="N16" s="50">
        <v>8.4</v>
      </c>
      <c r="O16" s="51">
        <v>183</v>
      </c>
      <c r="P16" s="51">
        <v>17</v>
      </c>
      <c r="Q16" s="50">
        <v>0</v>
      </c>
      <c r="R16" s="50" t="e">
        <f t="shared" si="1"/>
        <v>#N/A</v>
      </c>
      <c r="S16" s="50">
        <v>1.6</v>
      </c>
      <c r="T16" s="50">
        <v>0</v>
      </c>
      <c r="U16" s="52">
        <v>1.7999999999999999E-2</v>
      </c>
      <c r="V16" s="52">
        <v>0</v>
      </c>
      <c r="W16" s="50">
        <v>0.5</v>
      </c>
      <c r="X16" s="50">
        <v>28000</v>
      </c>
      <c r="Y16" s="50">
        <v>2000</v>
      </c>
      <c r="Z16" s="50" t="e">
        <f t="shared" si="5"/>
        <v>#N/A</v>
      </c>
      <c r="AA16" s="50">
        <v>1</v>
      </c>
      <c r="AB16" s="50" t="e">
        <f t="shared" si="6"/>
        <v>#N/A</v>
      </c>
      <c r="AC16" s="51">
        <v>111000</v>
      </c>
      <c r="AD16" s="51">
        <v>9000</v>
      </c>
      <c r="AE16" s="51">
        <v>0.3</v>
      </c>
      <c r="AF16" s="51">
        <v>0</v>
      </c>
      <c r="AG16" s="51">
        <v>0</v>
      </c>
      <c r="AH16" s="51">
        <v>0</v>
      </c>
      <c r="AI16" s="51">
        <v>0</v>
      </c>
      <c r="AJ16" s="50" t="e">
        <f t="shared" si="7"/>
        <v>#N/A</v>
      </c>
      <c r="AK16" s="50">
        <v>1</v>
      </c>
      <c r="AL16" s="50">
        <v>1</v>
      </c>
      <c r="AM16" s="50">
        <v>1</v>
      </c>
      <c r="AN16" s="50">
        <v>1</v>
      </c>
      <c r="AO16" s="50">
        <v>1</v>
      </c>
      <c r="AP16" s="50">
        <v>1</v>
      </c>
      <c r="AQ16" s="50">
        <v>0</v>
      </c>
      <c r="AR16" s="50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9"/>
      <c r="E17" s="119"/>
      <c r="I17" s="56" t="s">
        <v>287</v>
      </c>
      <c r="J17" s="47">
        <v>12</v>
      </c>
      <c r="K17" s="56">
        <v>-13</v>
      </c>
      <c r="L17" s="116" t="s">
        <v>275</v>
      </c>
      <c r="M17" s="117" t="s">
        <v>65</v>
      </c>
      <c r="N17" s="50">
        <v>8.4</v>
      </c>
      <c r="O17" s="51">
        <v>200</v>
      </c>
      <c r="P17" s="51">
        <v>0</v>
      </c>
      <c r="Q17" s="50">
        <v>0</v>
      </c>
      <c r="R17" s="50" t="e">
        <f t="shared" si="1"/>
        <v>#N/A</v>
      </c>
      <c r="S17" s="50">
        <v>1.6</v>
      </c>
      <c r="T17" s="50">
        <v>0</v>
      </c>
      <c r="U17" s="52">
        <v>1.7999999999999999E-2</v>
      </c>
      <c r="V17" s="52">
        <v>0</v>
      </c>
      <c r="W17" s="50">
        <v>0.5</v>
      </c>
      <c r="X17" s="50">
        <v>30000</v>
      </c>
      <c r="Y17" s="50">
        <v>0</v>
      </c>
      <c r="Z17" s="50" t="e">
        <f t="shared" si="5"/>
        <v>#N/A</v>
      </c>
      <c r="AA17" s="50">
        <v>1</v>
      </c>
      <c r="AB17" s="50" t="e">
        <f t="shared" si="6"/>
        <v>#N/A</v>
      </c>
      <c r="AC17" s="51">
        <v>120000</v>
      </c>
      <c r="AD17" s="51">
        <v>0</v>
      </c>
      <c r="AE17" s="51">
        <v>0.3</v>
      </c>
      <c r="AF17" s="51">
        <v>0</v>
      </c>
      <c r="AG17" s="51">
        <v>0</v>
      </c>
      <c r="AH17" s="51">
        <v>0</v>
      </c>
      <c r="AI17" s="51">
        <v>0</v>
      </c>
      <c r="AJ17" s="50" t="e">
        <f t="shared" si="7"/>
        <v>#N/A</v>
      </c>
      <c r="AK17" s="50">
        <v>1</v>
      </c>
      <c r="AL17" s="50">
        <v>1</v>
      </c>
      <c r="AM17" s="50">
        <v>1</v>
      </c>
      <c r="AN17" s="50">
        <v>1</v>
      </c>
      <c r="AO17" s="50">
        <v>1</v>
      </c>
      <c r="AP17" s="50">
        <v>1</v>
      </c>
      <c r="AQ17" s="50">
        <v>0</v>
      </c>
      <c r="AR17" s="50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289</v>
      </c>
      <c r="J18" s="47">
        <v>13</v>
      </c>
      <c r="K18" s="19">
        <v>-16.600000000000001</v>
      </c>
      <c r="L18" s="33" t="str">
        <f t="shared" ref="L18:L24" si="8">"EW_sand_Ruled"&amp;"_"&amp;AR18</f>
        <v>EW_sand_Ruled_65</v>
      </c>
      <c r="M18" s="117" t="s">
        <v>64</v>
      </c>
      <c r="N18" s="50">
        <v>9</v>
      </c>
      <c r="O18" s="51">
        <v>0</v>
      </c>
      <c r="P18" s="51">
        <v>0</v>
      </c>
      <c r="Q18" s="50">
        <v>42</v>
      </c>
      <c r="R18" s="50">
        <f t="shared" si="1"/>
        <v>37</v>
      </c>
      <c r="S18" s="50">
        <v>2.4500000000000002</v>
      </c>
      <c r="T18" s="50">
        <v>0</v>
      </c>
      <c r="U18" s="52">
        <v>0</v>
      </c>
      <c r="V18" s="52">
        <v>0</v>
      </c>
      <c r="W18" s="50">
        <v>0</v>
      </c>
      <c r="X18" s="50">
        <v>27600</v>
      </c>
      <c r="Y18" s="50">
        <v>1670</v>
      </c>
      <c r="Z18" s="50">
        <f t="shared" si="5"/>
        <v>114.99999999999996</v>
      </c>
      <c r="AA18" s="50">
        <v>1</v>
      </c>
      <c r="AB18" s="50">
        <f t="shared" si="6"/>
        <v>12000</v>
      </c>
      <c r="AC18" s="51">
        <v>77500</v>
      </c>
      <c r="AD18" s="51">
        <v>1554.87</v>
      </c>
      <c r="AE18" s="51">
        <v>0.3</v>
      </c>
      <c r="AF18" s="51">
        <v>0</v>
      </c>
      <c r="AG18" s="51">
        <v>0</v>
      </c>
      <c r="AH18" s="51">
        <v>0</v>
      </c>
      <c r="AI18" s="51">
        <v>0</v>
      </c>
      <c r="AJ18" s="50">
        <f t="shared" si="7"/>
        <v>50.000000000000007</v>
      </c>
      <c r="AK18" s="50">
        <v>1</v>
      </c>
      <c r="AL18" s="50">
        <v>1</v>
      </c>
      <c r="AM18" s="50">
        <v>1</v>
      </c>
      <c r="AN18" s="50">
        <v>1</v>
      </c>
      <c r="AO18" s="50">
        <v>1</v>
      </c>
      <c r="AP18" s="50">
        <v>1</v>
      </c>
      <c r="AQ18" s="50">
        <v>0</v>
      </c>
      <c r="AR18" s="50">
        <v>65</v>
      </c>
      <c r="AS18" s="33">
        <v>0.4</v>
      </c>
    </row>
    <row r="19" spans="1:45" x14ac:dyDescent="0.25">
      <c r="A19" s="119" t="s">
        <v>38</v>
      </c>
      <c r="B19" s="119" t="s">
        <v>30</v>
      </c>
      <c r="C19" s="119" t="s">
        <v>59</v>
      </c>
      <c r="D19" s="43"/>
      <c r="E19" s="35"/>
      <c r="I19" s="33" t="s">
        <v>289</v>
      </c>
      <c r="J19" s="47">
        <v>14</v>
      </c>
      <c r="K19" s="33">
        <v>-33</v>
      </c>
      <c r="L19" s="33" t="str">
        <f t="shared" si="8"/>
        <v>EW_sand_Ruled_45</v>
      </c>
      <c r="M19" s="117" t="s">
        <v>64</v>
      </c>
      <c r="N19" s="50">
        <v>9</v>
      </c>
      <c r="O19" s="51">
        <v>0</v>
      </c>
      <c r="P19" s="51">
        <v>0</v>
      </c>
      <c r="Q19" s="50">
        <v>39</v>
      </c>
      <c r="R19" s="50">
        <f t="shared" si="1"/>
        <v>34</v>
      </c>
      <c r="S19" s="50">
        <v>2</v>
      </c>
      <c r="T19" s="50">
        <v>0</v>
      </c>
      <c r="U19" s="52">
        <v>0</v>
      </c>
      <c r="V19" s="52">
        <v>0</v>
      </c>
      <c r="W19" s="50">
        <v>0</v>
      </c>
      <c r="X19" s="50">
        <v>25000</v>
      </c>
      <c r="Y19" s="50">
        <v>0</v>
      </c>
      <c r="Z19" s="50">
        <f t="shared" si="5"/>
        <v>111.19999999999996</v>
      </c>
      <c r="AA19" s="50">
        <v>1</v>
      </c>
      <c r="AB19" s="50">
        <f t="shared" si="6"/>
        <v>11520</v>
      </c>
      <c r="AC19" s="51">
        <v>103000</v>
      </c>
      <c r="AD19" s="51">
        <v>1666.67</v>
      </c>
      <c r="AE19" s="51">
        <v>0.3</v>
      </c>
      <c r="AF19" s="51">
        <v>0</v>
      </c>
      <c r="AG19" s="51">
        <v>0</v>
      </c>
      <c r="AH19" s="51">
        <v>0</v>
      </c>
      <c r="AI19" s="51">
        <v>0</v>
      </c>
      <c r="AJ19" s="50">
        <f t="shared" si="7"/>
        <v>48.000000000000007</v>
      </c>
      <c r="AK19" s="50">
        <v>1</v>
      </c>
      <c r="AL19" s="50">
        <v>1</v>
      </c>
      <c r="AM19" s="50">
        <v>1</v>
      </c>
      <c r="AN19" s="50">
        <v>1</v>
      </c>
      <c r="AO19" s="50">
        <v>1</v>
      </c>
      <c r="AP19" s="50">
        <v>1</v>
      </c>
      <c r="AQ19" s="50">
        <v>0</v>
      </c>
      <c r="AR19" s="50">
        <v>45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289</v>
      </c>
      <c r="J20" s="47">
        <v>15</v>
      </c>
      <c r="K20" s="33">
        <v>-36</v>
      </c>
      <c r="L20" s="33" t="str">
        <f t="shared" si="8"/>
        <v>EW_sand_Ruled_65</v>
      </c>
      <c r="M20" s="117" t="s">
        <v>64</v>
      </c>
      <c r="N20" s="50">
        <v>9</v>
      </c>
      <c r="O20" s="51">
        <v>0</v>
      </c>
      <c r="P20" s="51">
        <v>0</v>
      </c>
      <c r="Q20" s="50">
        <v>42</v>
      </c>
      <c r="R20" s="50">
        <f t="shared" si="1"/>
        <v>37</v>
      </c>
      <c r="S20" s="50">
        <v>2</v>
      </c>
      <c r="T20" s="50">
        <v>0</v>
      </c>
      <c r="U20" s="52">
        <v>0</v>
      </c>
      <c r="V20" s="52">
        <v>0</v>
      </c>
      <c r="W20" s="50">
        <v>0</v>
      </c>
      <c r="X20" s="50">
        <v>75000</v>
      </c>
      <c r="Y20" s="50">
        <v>0</v>
      </c>
      <c r="Z20" s="50">
        <f t="shared" si="5"/>
        <v>114.99999999999996</v>
      </c>
      <c r="AA20" s="50">
        <v>1</v>
      </c>
      <c r="AB20" s="50">
        <f t="shared" si="6"/>
        <v>12000</v>
      </c>
      <c r="AC20" s="51">
        <v>108000</v>
      </c>
      <c r="AD20" s="51">
        <v>1571.43</v>
      </c>
      <c r="AE20" s="51">
        <v>0.3</v>
      </c>
      <c r="AF20" s="51">
        <v>0</v>
      </c>
      <c r="AG20" s="51">
        <v>0</v>
      </c>
      <c r="AH20" s="51">
        <v>0</v>
      </c>
      <c r="AI20" s="51">
        <v>0</v>
      </c>
      <c r="AJ20" s="50">
        <f t="shared" si="7"/>
        <v>50.000000000000007</v>
      </c>
      <c r="AK20" s="50">
        <v>1</v>
      </c>
      <c r="AL20" s="50">
        <v>1</v>
      </c>
      <c r="AM20" s="50">
        <v>1</v>
      </c>
      <c r="AN20" s="50">
        <v>1</v>
      </c>
      <c r="AO20" s="50">
        <v>1</v>
      </c>
      <c r="AP20" s="50">
        <v>1</v>
      </c>
      <c r="AQ20" s="50">
        <v>0</v>
      </c>
      <c r="AR20" s="50">
        <v>65</v>
      </c>
      <c r="AS20" s="33">
        <v>0.4</v>
      </c>
    </row>
    <row r="21" spans="1:45" x14ac:dyDescent="0.25">
      <c r="A21" s="66"/>
      <c r="B21" s="66"/>
      <c r="C21" s="67"/>
      <c r="D21" s="43"/>
      <c r="I21" s="33" t="s">
        <v>289</v>
      </c>
      <c r="J21" s="47">
        <v>16</v>
      </c>
      <c r="K21" s="33">
        <v>-43</v>
      </c>
      <c r="L21" s="33" t="str">
        <f t="shared" si="8"/>
        <v>EW_sand_Ruled_65</v>
      </c>
      <c r="M21" s="117" t="s">
        <v>64</v>
      </c>
      <c r="N21" s="50">
        <v>9</v>
      </c>
      <c r="O21" s="51">
        <v>0</v>
      </c>
      <c r="P21" s="51">
        <v>0</v>
      </c>
      <c r="Q21" s="50">
        <v>42</v>
      </c>
      <c r="R21" s="50">
        <f t="shared" si="1"/>
        <v>37</v>
      </c>
      <c r="S21" s="50">
        <v>2</v>
      </c>
      <c r="T21" s="50">
        <v>0</v>
      </c>
      <c r="U21" s="52">
        <v>0</v>
      </c>
      <c r="V21" s="52">
        <v>0</v>
      </c>
      <c r="W21" s="50">
        <v>0</v>
      </c>
      <c r="X21" s="50">
        <v>75000</v>
      </c>
      <c r="Y21" s="50">
        <v>-27500</v>
      </c>
      <c r="Z21" s="50">
        <f t="shared" si="5"/>
        <v>114.99999999999996</v>
      </c>
      <c r="AA21" s="50">
        <v>1</v>
      </c>
      <c r="AB21" s="50">
        <f t="shared" si="6"/>
        <v>12000</v>
      </c>
      <c r="AC21" s="51">
        <v>119000</v>
      </c>
      <c r="AD21" s="51">
        <v>1500</v>
      </c>
      <c r="AE21" s="51">
        <v>0.3</v>
      </c>
      <c r="AF21" s="51">
        <v>0</v>
      </c>
      <c r="AG21" s="51">
        <v>0</v>
      </c>
      <c r="AH21" s="51">
        <v>0</v>
      </c>
      <c r="AI21" s="51">
        <v>0</v>
      </c>
      <c r="AJ21" s="50">
        <f t="shared" si="7"/>
        <v>50.000000000000007</v>
      </c>
      <c r="AK21" s="50">
        <v>1</v>
      </c>
      <c r="AL21" s="50">
        <v>1</v>
      </c>
      <c r="AM21" s="50">
        <v>1</v>
      </c>
      <c r="AN21" s="50">
        <v>1</v>
      </c>
      <c r="AO21" s="50">
        <v>1</v>
      </c>
      <c r="AP21" s="50">
        <v>1</v>
      </c>
      <c r="AQ21" s="50">
        <v>0</v>
      </c>
      <c r="AR21" s="50">
        <v>65</v>
      </c>
      <c r="AS21" s="33">
        <v>0.4</v>
      </c>
    </row>
    <row r="22" spans="1:45" x14ac:dyDescent="0.25">
      <c r="A22" s="66"/>
      <c r="B22" s="66"/>
      <c r="C22" s="67"/>
      <c r="D22" s="35"/>
      <c r="I22" s="33" t="s">
        <v>289</v>
      </c>
      <c r="J22" s="47">
        <v>17</v>
      </c>
      <c r="K22" s="19">
        <v>-45</v>
      </c>
      <c r="L22" s="33" t="str">
        <f t="shared" si="8"/>
        <v>EW_sand_Ruled_40</v>
      </c>
      <c r="M22" s="117" t="s">
        <v>64</v>
      </c>
      <c r="N22" s="50">
        <v>9</v>
      </c>
      <c r="O22" s="51">
        <v>0</v>
      </c>
      <c r="P22" s="51">
        <v>0</v>
      </c>
      <c r="Q22" s="50">
        <v>38</v>
      </c>
      <c r="R22" s="50">
        <f t="shared" si="1"/>
        <v>33</v>
      </c>
      <c r="S22" s="50">
        <v>2</v>
      </c>
      <c r="T22" s="50">
        <v>0</v>
      </c>
      <c r="U22" s="52">
        <v>0</v>
      </c>
      <c r="V22" s="52">
        <v>0</v>
      </c>
      <c r="W22" s="50">
        <v>0</v>
      </c>
      <c r="X22" s="50">
        <v>20000</v>
      </c>
      <c r="Y22" s="50">
        <v>0</v>
      </c>
      <c r="Z22" s="50">
        <f t="shared" si="5"/>
        <v>107.39999999999996</v>
      </c>
      <c r="AA22" s="50">
        <v>1</v>
      </c>
      <c r="AB22" s="50">
        <f t="shared" si="6"/>
        <v>11040</v>
      </c>
      <c r="AC22" s="51">
        <v>122000</v>
      </c>
      <c r="AD22" s="51">
        <v>1500</v>
      </c>
      <c r="AE22" s="51">
        <v>0.3</v>
      </c>
      <c r="AF22" s="51">
        <v>0</v>
      </c>
      <c r="AG22" s="51">
        <v>0</v>
      </c>
      <c r="AH22" s="51">
        <v>0</v>
      </c>
      <c r="AI22" s="51">
        <v>0</v>
      </c>
      <c r="AJ22" s="50">
        <f t="shared" si="7"/>
        <v>46.000000000000007</v>
      </c>
      <c r="AK22" s="50">
        <v>1</v>
      </c>
      <c r="AL22" s="50">
        <v>1</v>
      </c>
      <c r="AM22" s="50">
        <v>1</v>
      </c>
      <c r="AN22" s="50">
        <v>1</v>
      </c>
      <c r="AO22" s="50">
        <v>1</v>
      </c>
      <c r="AP22" s="50">
        <v>1</v>
      </c>
      <c r="AQ22" s="50">
        <v>0</v>
      </c>
      <c r="AR22" s="50">
        <v>40</v>
      </c>
      <c r="AS22" s="33">
        <v>0.4</v>
      </c>
    </row>
    <row r="23" spans="1:45" x14ac:dyDescent="0.25">
      <c r="A23" s="66"/>
      <c r="B23" s="66"/>
      <c r="C23" s="67"/>
      <c r="D23" s="35"/>
      <c r="I23" s="33" t="s">
        <v>289</v>
      </c>
      <c r="J23" s="47">
        <v>18</v>
      </c>
      <c r="K23" s="33">
        <v>-47</v>
      </c>
      <c r="L23" s="33" t="str">
        <f t="shared" si="8"/>
        <v>EW_sand_Ruled_80</v>
      </c>
      <c r="M23" s="117" t="s">
        <v>64</v>
      </c>
      <c r="N23" s="50">
        <v>9</v>
      </c>
      <c r="O23" s="51">
        <v>0</v>
      </c>
      <c r="P23" s="51">
        <v>0</v>
      </c>
      <c r="Q23" s="50">
        <v>43</v>
      </c>
      <c r="R23" s="50">
        <f t="shared" si="1"/>
        <v>38</v>
      </c>
      <c r="S23" s="50">
        <v>2</v>
      </c>
      <c r="T23" s="50">
        <v>0</v>
      </c>
      <c r="U23" s="52">
        <v>0</v>
      </c>
      <c r="V23" s="52">
        <v>0</v>
      </c>
      <c r="W23" s="50">
        <v>0</v>
      </c>
      <c r="X23" s="50">
        <v>75000</v>
      </c>
      <c r="Y23" s="50">
        <v>0</v>
      </c>
      <c r="Z23" s="50">
        <f t="shared" si="5"/>
        <v>114.99999999999996</v>
      </c>
      <c r="AA23" s="50">
        <v>1</v>
      </c>
      <c r="AB23" s="50">
        <f t="shared" si="6"/>
        <v>12000</v>
      </c>
      <c r="AC23" s="51">
        <v>125000</v>
      </c>
      <c r="AD23" s="51">
        <v>1666.67</v>
      </c>
      <c r="AE23" s="51">
        <v>0.3</v>
      </c>
      <c r="AF23" s="51">
        <v>0</v>
      </c>
      <c r="AG23" s="51">
        <v>0</v>
      </c>
      <c r="AH23" s="51">
        <v>0</v>
      </c>
      <c r="AI23" s="51">
        <v>0</v>
      </c>
      <c r="AJ23" s="50">
        <f t="shared" si="7"/>
        <v>50.000000000000007</v>
      </c>
      <c r="AK23" s="50">
        <v>1</v>
      </c>
      <c r="AL23" s="50">
        <v>1</v>
      </c>
      <c r="AM23" s="50">
        <v>1</v>
      </c>
      <c r="AN23" s="50">
        <v>1</v>
      </c>
      <c r="AO23" s="50">
        <v>1</v>
      </c>
      <c r="AP23" s="50">
        <v>1</v>
      </c>
      <c r="AQ23" s="50">
        <v>0</v>
      </c>
      <c r="AR23" s="50">
        <v>80</v>
      </c>
      <c r="AS23" s="33">
        <v>0.4</v>
      </c>
    </row>
    <row r="24" spans="1:45" x14ac:dyDescent="0.25">
      <c r="A24" s="66"/>
      <c r="B24" s="66"/>
      <c r="C24" s="67"/>
      <c r="D24" s="35"/>
      <c r="I24" s="33" t="s">
        <v>289</v>
      </c>
      <c r="J24" s="47">
        <v>19</v>
      </c>
      <c r="K24" s="33">
        <v>-50</v>
      </c>
      <c r="L24" s="33" t="str">
        <f t="shared" si="8"/>
        <v>EW_sand_Ruled_80</v>
      </c>
      <c r="M24" s="117" t="s">
        <v>64</v>
      </c>
      <c r="N24" s="50">
        <v>9</v>
      </c>
      <c r="O24" s="51">
        <v>0</v>
      </c>
      <c r="P24" s="51">
        <v>0</v>
      </c>
      <c r="Q24" s="50">
        <v>43</v>
      </c>
      <c r="R24" s="50">
        <f t="shared" si="1"/>
        <v>38</v>
      </c>
      <c r="S24" s="50">
        <v>2</v>
      </c>
      <c r="T24" s="50">
        <v>0</v>
      </c>
      <c r="U24" s="52">
        <v>0</v>
      </c>
      <c r="V24" s="52">
        <v>0</v>
      </c>
      <c r="W24" s="50">
        <v>0</v>
      </c>
      <c r="X24" s="50">
        <v>75000</v>
      </c>
      <c r="Y24" s="50">
        <v>0</v>
      </c>
      <c r="Z24" s="50">
        <f t="shared" si="5"/>
        <v>114.99999999999996</v>
      </c>
      <c r="AA24" s="50">
        <v>1</v>
      </c>
      <c r="AB24" s="50">
        <f t="shared" si="6"/>
        <v>12000</v>
      </c>
      <c r="AC24" s="51">
        <v>130000</v>
      </c>
      <c r="AD24" s="51">
        <v>0</v>
      </c>
      <c r="AE24" s="51">
        <v>0.3</v>
      </c>
      <c r="AF24" s="51">
        <v>0</v>
      </c>
      <c r="AG24" s="51">
        <v>0</v>
      </c>
      <c r="AH24" s="51">
        <v>0</v>
      </c>
      <c r="AI24" s="51">
        <v>0</v>
      </c>
      <c r="AJ24" s="50">
        <f t="shared" si="7"/>
        <v>50.000000000000007</v>
      </c>
      <c r="AK24" s="50">
        <v>1</v>
      </c>
      <c r="AL24" s="50">
        <v>1</v>
      </c>
      <c r="AM24" s="50">
        <v>1</v>
      </c>
      <c r="AN24" s="50">
        <v>1</v>
      </c>
      <c r="AO24" s="50">
        <v>1</v>
      </c>
      <c r="AP24" s="50">
        <v>1</v>
      </c>
      <c r="AQ24" s="50">
        <v>0</v>
      </c>
      <c r="AR24" s="50">
        <v>80</v>
      </c>
      <c r="AS24" s="33">
        <v>0.4</v>
      </c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9">AF40+3.8</f>
        <v>55.599999999999994</v>
      </c>
      <c r="AG41" s="33">
        <f t="shared" ref="AG41:AG43" si="10">AG40+200</f>
        <v>2300</v>
      </c>
      <c r="AH41" s="33">
        <f t="shared" ref="AH41:AH44" si="11">AH40+0.8</f>
        <v>9.6000000000000014</v>
      </c>
    </row>
    <row r="42" spans="1:42" x14ac:dyDescent="0.25">
      <c r="L42" s="49"/>
      <c r="AE42" s="33">
        <v>18</v>
      </c>
      <c r="AF42" s="33">
        <f t="shared" si="9"/>
        <v>59.399999999999991</v>
      </c>
      <c r="AG42" s="33">
        <f t="shared" si="10"/>
        <v>2500</v>
      </c>
      <c r="AH42" s="33">
        <f t="shared" si="11"/>
        <v>10.400000000000002</v>
      </c>
    </row>
    <row r="43" spans="1:42" x14ac:dyDescent="0.25">
      <c r="L43" s="49"/>
      <c r="AE43" s="33">
        <v>19</v>
      </c>
      <c r="AF43" s="33">
        <f t="shared" si="9"/>
        <v>63.199999999999989</v>
      </c>
      <c r="AG43" s="33">
        <f t="shared" si="10"/>
        <v>2700</v>
      </c>
      <c r="AH43" s="33">
        <f t="shared" si="11"/>
        <v>11.200000000000003</v>
      </c>
    </row>
    <row r="44" spans="1:42" x14ac:dyDescent="0.25">
      <c r="L44" s="49"/>
      <c r="AE44" s="33">
        <v>20</v>
      </c>
      <c r="AF44" s="33">
        <f t="shared" si="9"/>
        <v>66.999999999999986</v>
      </c>
      <c r="AG44" s="33">
        <f>AG43+200</f>
        <v>2900</v>
      </c>
      <c r="AH44" s="33">
        <f t="shared" si="11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2">AF45+2.8</f>
        <v>72.59999999999998</v>
      </c>
      <c r="AG46" s="33">
        <f t="shared" ref="AG46:AG48" si="13">AG45+380</f>
        <v>3660</v>
      </c>
      <c r="AH46" s="33">
        <f t="shared" ref="AH46:AH49" si="14">AH45+1.6</f>
        <v>15.200000000000003</v>
      </c>
    </row>
    <row r="47" spans="1:42" x14ac:dyDescent="0.25">
      <c r="L47" s="49"/>
      <c r="AE47" s="33">
        <v>23</v>
      </c>
      <c r="AF47" s="33">
        <f t="shared" si="12"/>
        <v>75.399999999999977</v>
      </c>
      <c r="AG47" s="33">
        <f t="shared" si="13"/>
        <v>4040</v>
      </c>
      <c r="AH47" s="33">
        <f t="shared" si="14"/>
        <v>16.800000000000004</v>
      </c>
    </row>
    <row r="48" spans="1:42" x14ac:dyDescent="0.25">
      <c r="L48" s="49"/>
      <c r="AE48" s="33">
        <v>24</v>
      </c>
      <c r="AF48" s="33">
        <f t="shared" si="12"/>
        <v>78.199999999999974</v>
      </c>
      <c r="AG48" s="33">
        <f t="shared" si="13"/>
        <v>4420</v>
      </c>
      <c r="AH48" s="33">
        <f t="shared" si="14"/>
        <v>18.400000000000006</v>
      </c>
    </row>
    <row r="49" spans="12:34" x14ac:dyDescent="0.25">
      <c r="L49" s="49"/>
      <c r="AE49" s="33">
        <v>25</v>
      </c>
      <c r="AF49" s="33">
        <f t="shared" si="12"/>
        <v>80.999999999999972</v>
      </c>
      <c r="AG49" s="33">
        <v>4800</v>
      </c>
      <c r="AH49" s="33">
        <f t="shared" si="14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5">AF50+3</f>
        <v>86.999999999999972</v>
      </c>
      <c r="AG51" s="33">
        <f t="shared" ref="AG51:AG54" si="16">AG50+960</f>
        <v>6720</v>
      </c>
      <c r="AH51" s="33">
        <f t="shared" ref="AH51:AH54" si="17">AH50+4</f>
        <v>28.000000000000007</v>
      </c>
    </row>
    <row r="52" spans="12:34" x14ac:dyDescent="0.25">
      <c r="L52" s="49"/>
      <c r="AE52" s="33">
        <v>28</v>
      </c>
      <c r="AF52" s="33">
        <f t="shared" si="15"/>
        <v>89.999999999999972</v>
      </c>
      <c r="AG52" s="33">
        <f t="shared" si="16"/>
        <v>7680</v>
      </c>
      <c r="AH52" s="33">
        <f t="shared" si="17"/>
        <v>32.000000000000007</v>
      </c>
    </row>
    <row r="53" spans="12:34" x14ac:dyDescent="0.25">
      <c r="L53" s="49"/>
      <c r="AE53" s="33">
        <v>29</v>
      </c>
      <c r="AF53" s="33">
        <f t="shared" si="15"/>
        <v>92.999999999999972</v>
      </c>
      <c r="AG53" s="33">
        <f t="shared" si="16"/>
        <v>8640</v>
      </c>
      <c r="AH53" s="33">
        <f t="shared" si="17"/>
        <v>36.000000000000007</v>
      </c>
    </row>
    <row r="54" spans="12:34" x14ac:dyDescent="0.25">
      <c r="L54" s="49"/>
      <c r="AE54" s="33">
        <v>30</v>
      </c>
      <c r="AF54" s="33">
        <f t="shared" si="15"/>
        <v>95.999999999999972</v>
      </c>
      <c r="AG54" s="33">
        <f t="shared" si="16"/>
        <v>9600</v>
      </c>
      <c r="AH54" s="33">
        <f t="shared" si="17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8">AF55+3.8</f>
        <v>103.59999999999997</v>
      </c>
      <c r="AG56" s="33">
        <f t="shared" ref="AG56:AG59" si="19">AG55+480</f>
        <v>10560</v>
      </c>
      <c r="AH56" s="33">
        <f t="shared" ref="AH56:AH59" si="20">AH55+2</f>
        <v>44.000000000000007</v>
      </c>
    </row>
    <row r="57" spans="12:34" x14ac:dyDescent="0.25">
      <c r="L57" s="49"/>
      <c r="AE57" s="33">
        <v>33</v>
      </c>
      <c r="AF57" s="33">
        <f t="shared" si="18"/>
        <v>107.39999999999996</v>
      </c>
      <c r="AG57" s="33">
        <f t="shared" si="19"/>
        <v>11040</v>
      </c>
      <c r="AH57" s="33">
        <f t="shared" si="20"/>
        <v>46.000000000000007</v>
      </c>
    </row>
    <row r="58" spans="12:34" x14ac:dyDescent="0.25">
      <c r="L58" s="49"/>
      <c r="AE58" s="33">
        <v>34</v>
      </c>
      <c r="AF58" s="33">
        <f t="shared" si="18"/>
        <v>111.19999999999996</v>
      </c>
      <c r="AG58" s="33">
        <f t="shared" si="19"/>
        <v>11520</v>
      </c>
      <c r="AH58" s="33">
        <f t="shared" si="20"/>
        <v>48.000000000000007</v>
      </c>
    </row>
    <row r="59" spans="12:34" x14ac:dyDescent="0.25">
      <c r="L59" s="49"/>
      <c r="AE59" s="33">
        <v>35</v>
      </c>
      <c r="AF59" s="33">
        <f t="shared" si="18"/>
        <v>114.99999999999996</v>
      </c>
      <c r="AG59" s="33">
        <f t="shared" si="19"/>
        <v>12000</v>
      </c>
      <c r="AH59" s="33">
        <f t="shared" si="20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5:AP36 Q25:Q36 O25:O28 N25:N36">
    <cfRule type="expression" dxfId="3634" priority="17">
      <formula>$L25="API sand"</formula>
    </cfRule>
  </conditionalFormatting>
  <conditionalFormatting sqref="R29:S36 S25:S28 AD25:AD28 AB25:AB35 AJ25:AL36 Z25:Z36 N25:N36">
    <cfRule type="expression" dxfId="3633" priority="16">
      <formula>$M25="API sand"</formula>
    </cfRule>
  </conditionalFormatting>
  <conditionalFormatting sqref="R29:T36 S25:T28 AD25:AD28 Z25:AB35 N25:N36 AK25:AL36">
    <cfRule type="expression" dxfId="3632" priority="15">
      <formula>$M25="API clay"</formula>
    </cfRule>
  </conditionalFormatting>
  <conditionalFormatting sqref="U25:W36 N25:N28 P25:P28 AM25:AP36">
    <cfRule type="expression" dxfId="3631" priority="12">
      <formula>$L25="Stiff clay w/o free water"</formula>
    </cfRule>
    <cfRule type="expression" dxfId="3630" priority="14">
      <formula>$L25="API clay"</formula>
    </cfRule>
  </conditionalFormatting>
  <conditionalFormatting sqref="U25:Y36 N25:N28 P25:P28 AM25:AP36">
    <cfRule type="expression" dxfId="3629" priority="13">
      <formula>$L25="Kirsch soft clay"</formula>
    </cfRule>
  </conditionalFormatting>
  <conditionalFormatting sqref="U25:Y36 N25:N28 P25:P28 AM25:AP36">
    <cfRule type="expression" dxfId="3628" priority="11">
      <formula>$L25="Kirsch stiff clay"</formula>
    </cfRule>
  </conditionalFormatting>
  <conditionalFormatting sqref="AM25:AP36 Q25:Q36 X25:Y36 O25:O28 N25:N36">
    <cfRule type="expression" dxfId="3627" priority="10">
      <formula>$L25="Kirsch sand"</formula>
    </cfRule>
  </conditionalFormatting>
  <conditionalFormatting sqref="AC25:AD36 AI25:AI36 N25:N36 AM25:AP36">
    <cfRule type="expression" dxfId="3626" priority="9">
      <formula>$L25="Modified Weak rock"</formula>
    </cfRule>
  </conditionalFormatting>
  <conditionalFormatting sqref="N25:N28 P25:P28 AM25:AP36 U25:V36">
    <cfRule type="expression" dxfId="3625" priority="8">
      <formula>$L25="Reese stiff clay"</formula>
    </cfRule>
  </conditionalFormatting>
  <conditionalFormatting sqref="AB36">
    <cfRule type="expression" dxfId="3624" priority="7">
      <formula>$M36="API sand"</formula>
    </cfRule>
  </conditionalFormatting>
  <conditionalFormatting sqref="Z36:AB36">
    <cfRule type="expression" dxfId="3623" priority="6">
      <formula>$M36="API clay"</formula>
    </cfRule>
  </conditionalFormatting>
  <conditionalFormatting sqref="N29:P36">
    <cfRule type="expression" dxfId="3622" priority="3">
      <formula>$L29="Stiff clay w/o free water"</formula>
    </cfRule>
    <cfRule type="expression" dxfId="3621" priority="5">
      <formula>$L29="API clay"</formula>
    </cfRule>
  </conditionalFormatting>
  <conditionalFormatting sqref="N29:P36">
    <cfRule type="expression" dxfId="3620" priority="4">
      <formula>$L29="Kirsch soft clay"</formula>
    </cfRule>
  </conditionalFormatting>
  <conditionalFormatting sqref="N29:P36">
    <cfRule type="expression" dxfId="3619" priority="2">
      <formula>$L29="Kirsch stiff clay"</formula>
    </cfRule>
  </conditionalFormatting>
  <conditionalFormatting sqref="N29:P36">
    <cfRule type="expression" dxfId="3618" priority="1">
      <formula>$L29="Reese stiff clay"</formula>
    </cfRule>
  </conditionalFormatting>
  <conditionalFormatting sqref="AE37:AH37">
    <cfRule type="expression" dxfId="3617" priority="18">
      <formula>$L19="Modified Weak rock"</formula>
    </cfRule>
  </conditionalFormatting>
  <dataValidations count="4">
    <dataValidation type="list" showInputMessage="1" showErrorMessage="1" sqref="M6:M24" xr:uid="{9544761D-64D7-4730-AC4F-09AA12502115}">
      <formula1>"Zero soil,API sand,API clay"</formula1>
    </dataValidation>
    <dataValidation type="list" showInputMessage="1" showErrorMessage="1" sqref="L25:L255" xr:uid="{F3720F6A-49AD-4310-A003-7077BD018F68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15:M36" xr:uid="{C46AD86C-1D3B-41D4-8249-04989D39D1DC}">
      <formula1>"',API sand,API clay"</formula1>
    </dataValidation>
    <dataValidation showInputMessage="1" showErrorMessage="1" sqref="L15:L17" xr:uid="{9DDED0E4-2744-41B5-8EC1-97272BB76F94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92CEE-C01B-492E-98DA-6EF0E6FD53F3}">
  <sheetPr>
    <tabColor rgb="FFFF0000"/>
  </sheetPr>
  <dimension ref="A1:AS255"/>
  <sheetViews>
    <sheetView topLeftCell="I1" zoomScale="85" zoomScaleNormal="85" workbookViewId="0">
      <selection activeCell="N26" sqref="N26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Ak_kirsch_BH-46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2"/>
      <c r="R3" s="155"/>
      <c r="S3" s="155"/>
      <c r="T3" s="112"/>
      <c r="U3" s="155"/>
      <c r="V3" s="155"/>
      <c r="W3" s="112"/>
      <c r="X3" s="69"/>
      <c r="Y3" s="112"/>
      <c r="Z3" s="112"/>
      <c r="AA3" s="112"/>
      <c r="AB3" s="112"/>
      <c r="AC3" s="69"/>
      <c r="AD3" s="39"/>
      <c r="AE3" s="39"/>
      <c r="AF3" s="39"/>
      <c r="AG3" s="39"/>
      <c r="AH3" s="39"/>
      <c r="AI3" s="39"/>
      <c r="AJ3" s="112"/>
      <c r="AK3" s="112"/>
      <c r="AL3" s="112"/>
      <c r="AM3" s="112"/>
      <c r="AN3" s="112"/>
      <c r="AO3" s="112"/>
      <c r="AP3" s="112"/>
    </row>
    <row r="4" spans="1:45" x14ac:dyDescent="0.25">
      <c r="A4" s="40" t="s">
        <v>60</v>
      </c>
      <c r="B4" s="33">
        <f>COUNTIF(J:J,"&gt;0")</f>
        <v>19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3" t="s">
        <v>38</v>
      </c>
      <c r="K5" s="113" t="s">
        <v>30</v>
      </c>
      <c r="L5" s="113" t="s">
        <v>31</v>
      </c>
      <c r="M5" s="113" t="s">
        <v>31</v>
      </c>
      <c r="N5" s="113" t="s">
        <v>32</v>
      </c>
      <c r="O5" s="113" t="s">
        <v>33</v>
      </c>
      <c r="P5" s="113" t="s">
        <v>35</v>
      </c>
      <c r="Q5" s="113" t="s">
        <v>36</v>
      </c>
      <c r="R5" s="113" t="s">
        <v>36</v>
      </c>
      <c r="S5" s="113" t="s">
        <v>34</v>
      </c>
      <c r="T5" s="113" t="s">
        <v>33</v>
      </c>
      <c r="U5" s="113" t="s">
        <v>34</v>
      </c>
      <c r="V5" s="113" t="s">
        <v>62</v>
      </c>
      <c r="W5" s="113" t="s">
        <v>34</v>
      </c>
      <c r="X5" s="113" t="s">
        <v>33</v>
      </c>
      <c r="Y5" s="113" t="s">
        <v>35</v>
      </c>
      <c r="Z5" s="113" t="s">
        <v>33</v>
      </c>
      <c r="AA5" s="113" t="s">
        <v>34</v>
      </c>
      <c r="AB5" s="113" t="s">
        <v>33</v>
      </c>
      <c r="AC5" s="113" t="s">
        <v>33</v>
      </c>
      <c r="AD5" s="113" t="s">
        <v>35</v>
      </c>
      <c r="AE5" s="113" t="s">
        <v>34</v>
      </c>
      <c r="AF5" s="113" t="s">
        <v>33</v>
      </c>
      <c r="AG5" s="113" t="s">
        <v>35</v>
      </c>
      <c r="AH5" s="113" t="s">
        <v>34</v>
      </c>
      <c r="AI5" s="113" t="s">
        <v>34</v>
      </c>
      <c r="AJ5" s="113" t="s">
        <v>34</v>
      </c>
      <c r="AK5" s="113" t="s">
        <v>34</v>
      </c>
      <c r="AL5" s="113" t="s">
        <v>34</v>
      </c>
      <c r="AM5" s="113" t="s">
        <v>34</v>
      </c>
      <c r="AN5" s="113" t="s">
        <v>34</v>
      </c>
      <c r="AO5" s="113" t="s">
        <v>34</v>
      </c>
      <c r="AP5" s="113" t="s">
        <v>34</v>
      </c>
      <c r="AQ5" s="113" t="s">
        <v>103</v>
      </c>
      <c r="AR5" s="113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17" t="s">
        <v>64</v>
      </c>
      <c r="N6" s="50">
        <v>9.6999999999999993</v>
      </c>
      <c r="O6" s="51">
        <v>0</v>
      </c>
      <c r="P6" s="51">
        <v>0</v>
      </c>
      <c r="Q6" s="50">
        <v>45</v>
      </c>
      <c r="R6" s="50">
        <f t="shared" ref="R6:R14" si="0">IF(Q6&lt;&gt;0,Q6-5,NA())</f>
        <v>40</v>
      </c>
      <c r="S6" s="50">
        <v>0.4</v>
      </c>
      <c r="T6" s="50">
        <v>0</v>
      </c>
      <c r="U6" s="52">
        <v>0</v>
      </c>
      <c r="V6" s="52">
        <v>0</v>
      </c>
      <c r="W6" s="50">
        <v>0</v>
      </c>
      <c r="X6" s="50">
        <v>100</v>
      </c>
      <c r="Y6" s="50">
        <v>150000</v>
      </c>
      <c r="Z6" s="50">
        <f t="shared" ref="Z6:Z9" si="1">VLOOKUP(R6,$AE$39:$AF$59,2)</f>
        <v>114.99999999999996</v>
      </c>
      <c r="AA6" s="50">
        <v>1</v>
      </c>
      <c r="AB6" s="50">
        <f t="shared" ref="AB6:AB9" si="2">VLOOKUP(R6,$AE$39:$AG$59,3)</f>
        <v>12000</v>
      </c>
      <c r="AC6" s="51">
        <v>8000</v>
      </c>
      <c r="AD6" s="51">
        <v>20000</v>
      </c>
      <c r="AE6" s="51">
        <v>0.3</v>
      </c>
      <c r="AF6" s="51">
        <v>0</v>
      </c>
      <c r="AG6" s="51">
        <v>0</v>
      </c>
      <c r="AH6" s="51">
        <v>0</v>
      </c>
      <c r="AI6" s="51">
        <v>0</v>
      </c>
      <c r="AJ6" s="50">
        <f t="shared" ref="AJ6:AJ9" si="3">VLOOKUP(R6,$AE$39:$AH$59,4)</f>
        <v>50.000000000000007</v>
      </c>
      <c r="AK6" s="50">
        <v>1</v>
      </c>
      <c r="AL6" s="50">
        <v>1</v>
      </c>
      <c r="AM6" s="50">
        <v>1</v>
      </c>
      <c r="AN6" s="50">
        <v>1</v>
      </c>
      <c r="AO6" s="50">
        <v>1</v>
      </c>
      <c r="AP6" s="50">
        <v>1</v>
      </c>
      <c r="AQ6" s="50">
        <v>0</v>
      </c>
      <c r="AR6" s="50">
        <v>100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19">
        <v>-0.1</v>
      </c>
      <c r="L7" s="116" t="s">
        <v>106</v>
      </c>
      <c r="M7" s="117" t="s">
        <v>64</v>
      </c>
      <c r="N7" s="50">
        <v>9.6999999999999993</v>
      </c>
      <c r="O7" s="51">
        <v>0</v>
      </c>
      <c r="P7" s="51">
        <v>0</v>
      </c>
      <c r="Q7" s="50">
        <v>45</v>
      </c>
      <c r="R7" s="50">
        <f t="shared" si="0"/>
        <v>40</v>
      </c>
      <c r="S7" s="50">
        <v>0.4</v>
      </c>
      <c r="T7" s="50">
        <v>0</v>
      </c>
      <c r="U7" s="52">
        <v>0</v>
      </c>
      <c r="V7" s="52">
        <v>0</v>
      </c>
      <c r="W7" s="50">
        <v>0</v>
      </c>
      <c r="X7" s="50">
        <v>15000</v>
      </c>
      <c r="Y7" s="50">
        <v>55000</v>
      </c>
      <c r="Z7" s="50">
        <f t="shared" si="1"/>
        <v>114.99999999999996</v>
      </c>
      <c r="AA7" s="50">
        <v>1</v>
      </c>
      <c r="AB7" s="50">
        <f t="shared" si="2"/>
        <v>12000</v>
      </c>
      <c r="AC7" s="51">
        <v>10000</v>
      </c>
      <c r="AD7" s="51">
        <v>25000</v>
      </c>
      <c r="AE7" s="51">
        <v>0.3</v>
      </c>
      <c r="AF7" s="51">
        <v>0</v>
      </c>
      <c r="AG7" s="51">
        <v>0</v>
      </c>
      <c r="AH7" s="51">
        <v>0</v>
      </c>
      <c r="AI7" s="51">
        <v>0</v>
      </c>
      <c r="AJ7" s="50">
        <f t="shared" si="3"/>
        <v>50.000000000000007</v>
      </c>
      <c r="AK7" s="50">
        <v>1</v>
      </c>
      <c r="AL7" s="50">
        <v>1</v>
      </c>
      <c r="AM7" s="50">
        <v>1</v>
      </c>
      <c r="AN7" s="50">
        <v>1</v>
      </c>
      <c r="AO7" s="50">
        <v>1</v>
      </c>
      <c r="AP7" s="50">
        <v>1</v>
      </c>
      <c r="AQ7" s="50">
        <v>0</v>
      </c>
      <c r="AR7" s="50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">
        <v>279</v>
      </c>
      <c r="J8" s="47">
        <v>3</v>
      </c>
      <c r="K8" s="19">
        <v>-0.5</v>
      </c>
      <c r="L8" s="116" t="s">
        <v>106</v>
      </c>
      <c r="M8" s="117" t="s">
        <v>64</v>
      </c>
      <c r="N8" s="50">
        <v>9.6999999999999993</v>
      </c>
      <c r="O8" s="51">
        <v>0</v>
      </c>
      <c r="P8" s="51">
        <v>0</v>
      </c>
      <c r="Q8" s="50">
        <v>45</v>
      </c>
      <c r="R8" s="50">
        <f t="shared" si="0"/>
        <v>40</v>
      </c>
      <c r="S8" s="50">
        <v>0.4</v>
      </c>
      <c r="T8" s="50">
        <v>0</v>
      </c>
      <c r="U8" s="52">
        <v>0</v>
      </c>
      <c r="V8" s="52">
        <v>0</v>
      </c>
      <c r="W8" s="50">
        <v>0</v>
      </c>
      <c r="X8" s="50">
        <v>37000</v>
      </c>
      <c r="Y8" s="50">
        <v>56000</v>
      </c>
      <c r="Z8" s="50">
        <f t="shared" si="1"/>
        <v>114.99999999999996</v>
      </c>
      <c r="AA8" s="50">
        <v>1</v>
      </c>
      <c r="AB8" s="50">
        <f t="shared" si="2"/>
        <v>12000</v>
      </c>
      <c r="AC8" s="51">
        <v>20000</v>
      </c>
      <c r="AD8" s="51">
        <v>22000</v>
      </c>
      <c r="AE8" s="51">
        <v>0.3</v>
      </c>
      <c r="AF8" s="51">
        <v>0</v>
      </c>
      <c r="AG8" s="51">
        <v>0</v>
      </c>
      <c r="AH8" s="51">
        <v>0</v>
      </c>
      <c r="AI8" s="51">
        <v>0</v>
      </c>
      <c r="AJ8" s="50">
        <f t="shared" si="3"/>
        <v>50.000000000000007</v>
      </c>
      <c r="AK8" s="50">
        <v>1</v>
      </c>
      <c r="AL8" s="50">
        <v>1</v>
      </c>
      <c r="AM8" s="50">
        <v>1</v>
      </c>
      <c r="AN8" s="50">
        <v>1</v>
      </c>
      <c r="AO8" s="50">
        <v>1</v>
      </c>
      <c r="AP8" s="50">
        <v>1</v>
      </c>
      <c r="AQ8" s="50">
        <v>0</v>
      </c>
      <c r="AR8" s="50">
        <v>100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279</v>
      </c>
      <c r="J9" s="47">
        <v>4</v>
      </c>
      <c r="K9" s="19">
        <v>-1</v>
      </c>
      <c r="L9" s="116" t="s">
        <v>106</v>
      </c>
      <c r="M9" s="117" t="s">
        <v>64</v>
      </c>
      <c r="N9" s="50">
        <v>9.6999999999999993</v>
      </c>
      <c r="O9" s="51">
        <v>0</v>
      </c>
      <c r="P9" s="51">
        <v>0</v>
      </c>
      <c r="Q9" s="50">
        <v>45</v>
      </c>
      <c r="R9" s="50">
        <f t="shared" si="0"/>
        <v>40</v>
      </c>
      <c r="S9" s="50">
        <v>0.4</v>
      </c>
      <c r="T9" s="50">
        <v>0</v>
      </c>
      <c r="U9" s="52">
        <v>0</v>
      </c>
      <c r="V9" s="52">
        <v>0</v>
      </c>
      <c r="W9" s="50">
        <v>0</v>
      </c>
      <c r="X9" s="50">
        <v>65000</v>
      </c>
      <c r="Y9" s="50">
        <v>0</v>
      </c>
      <c r="Z9" s="50">
        <f t="shared" si="1"/>
        <v>114.99999999999996</v>
      </c>
      <c r="AA9" s="50">
        <v>1</v>
      </c>
      <c r="AB9" s="50">
        <f t="shared" si="2"/>
        <v>12000</v>
      </c>
      <c r="AC9" s="51">
        <v>31000</v>
      </c>
      <c r="AD9" s="51">
        <v>11000</v>
      </c>
      <c r="AE9" s="51">
        <v>0.3</v>
      </c>
      <c r="AF9" s="51">
        <v>0</v>
      </c>
      <c r="AG9" s="51">
        <v>0</v>
      </c>
      <c r="AH9" s="51">
        <v>0</v>
      </c>
      <c r="AI9" s="51">
        <v>0</v>
      </c>
      <c r="AJ9" s="50">
        <f t="shared" si="3"/>
        <v>50.000000000000007</v>
      </c>
      <c r="AK9" s="50">
        <v>1</v>
      </c>
      <c r="AL9" s="50">
        <v>1</v>
      </c>
      <c r="AM9" s="50">
        <v>1</v>
      </c>
      <c r="AN9" s="50">
        <v>1</v>
      </c>
      <c r="AO9" s="50">
        <v>1</v>
      </c>
      <c r="AP9" s="50">
        <v>1</v>
      </c>
      <c r="AQ9" s="50">
        <v>0</v>
      </c>
      <c r="AR9" s="50">
        <v>100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56" t="s">
        <v>261</v>
      </c>
      <c r="J10" s="47">
        <v>5</v>
      </c>
      <c r="K10" s="19">
        <v>-2</v>
      </c>
      <c r="L10" s="116" t="s">
        <v>106</v>
      </c>
      <c r="M10" s="117" t="s">
        <v>64</v>
      </c>
      <c r="N10" s="50">
        <v>9.9</v>
      </c>
      <c r="O10" s="51">
        <v>0</v>
      </c>
      <c r="P10" s="51">
        <v>0</v>
      </c>
      <c r="Q10" s="50">
        <v>44</v>
      </c>
      <c r="R10" s="50">
        <f t="shared" si="0"/>
        <v>39</v>
      </c>
      <c r="S10" s="50">
        <v>2.5</v>
      </c>
      <c r="T10" s="50">
        <v>0</v>
      </c>
      <c r="U10" s="52">
        <v>0</v>
      </c>
      <c r="V10" s="52">
        <v>0</v>
      </c>
      <c r="W10" s="50">
        <v>0</v>
      </c>
      <c r="X10" s="50">
        <v>27000</v>
      </c>
      <c r="Y10" s="50">
        <v>2000</v>
      </c>
      <c r="Z10" s="50">
        <f t="shared" ref="Z10" si="4">VLOOKUP(R10,$AE$39:$AF$59,2)</f>
        <v>114.99999999999996</v>
      </c>
      <c r="AA10" s="50">
        <v>1</v>
      </c>
      <c r="AB10" s="50">
        <f t="shared" ref="AB10" si="5">VLOOKUP(R10,$AE$39:$AG$59,3)</f>
        <v>12000</v>
      </c>
      <c r="AC10" s="51">
        <v>33200</v>
      </c>
      <c r="AD10" s="51">
        <v>3266.66</v>
      </c>
      <c r="AE10" s="51">
        <v>0.3</v>
      </c>
      <c r="AF10" s="51">
        <v>0</v>
      </c>
      <c r="AG10" s="51">
        <v>0</v>
      </c>
      <c r="AH10" s="51">
        <v>0</v>
      </c>
      <c r="AI10" s="51">
        <v>0</v>
      </c>
      <c r="AJ10" s="50">
        <f t="shared" ref="AJ10" si="6">VLOOKUP(R10,$AE$39:$AH$59,4)</f>
        <v>50.000000000000007</v>
      </c>
      <c r="AK10" s="50">
        <v>1</v>
      </c>
      <c r="AL10" s="50">
        <v>1</v>
      </c>
      <c r="AM10" s="50">
        <v>1</v>
      </c>
      <c r="AN10" s="50">
        <v>1</v>
      </c>
      <c r="AO10" s="50">
        <v>1</v>
      </c>
      <c r="AP10" s="50">
        <v>1</v>
      </c>
      <c r="AQ10" s="50">
        <v>0</v>
      </c>
      <c r="AR10" s="50">
        <v>85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56" t="s">
        <v>261</v>
      </c>
      <c r="J11" s="47">
        <v>6</v>
      </c>
      <c r="K11" s="19">
        <v>-5</v>
      </c>
      <c r="L11" s="116" t="s">
        <v>106</v>
      </c>
      <c r="M11" s="117" t="s">
        <v>64</v>
      </c>
      <c r="N11" s="50">
        <v>9.9</v>
      </c>
      <c r="O11" s="51">
        <v>0</v>
      </c>
      <c r="P11" s="51">
        <v>0</v>
      </c>
      <c r="Q11" s="50">
        <v>44</v>
      </c>
      <c r="R11" s="50">
        <f t="shared" si="0"/>
        <v>39</v>
      </c>
      <c r="S11" s="50">
        <v>2.5</v>
      </c>
      <c r="T11" s="50">
        <v>0</v>
      </c>
      <c r="U11" s="52">
        <v>0</v>
      </c>
      <c r="V11" s="52">
        <v>0</v>
      </c>
      <c r="W11" s="50">
        <v>0</v>
      </c>
      <c r="X11" s="50">
        <v>33000</v>
      </c>
      <c r="Y11" s="50">
        <v>2000</v>
      </c>
      <c r="Z11" s="50">
        <f t="shared" ref="Z11:Z14" si="7">VLOOKUP(R11,$AE$39:$AF$59,2)</f>
        <v>114.99999999999996</v>
      </c>
      <c r="AA11" s="50">
        <v>1</v>
      </c>
      <c r="AB11" s="50">
        <f t="shared" ref="AB11:AB14" si="8">VLOOKUP(R11,$AE$39:$AG$59,3)</f>
        <v>12000</v>
      </c>
      <c r="AC11" s="51">
        <v>43000</v>
      </c>
      <c r="AD11" s="51">
        <v>4000</v>
      </c>
      <c r="AE11" s="51">
        <v>0.3</v>
      </c>
      <c r="AF11" s="51">
        <v>0</v>
      </c>
      <c r="AG11" s="51">
        <v>0</v>
      </c>
      <c r="AH11" s="51">
        <v>0</v>
      </c>
      <c r="AI11" s="51">
        <v>0</v>
      </c>
      <c r="AJ11" s="50">
        <f t="shared" ref="AJ11:AJ14" si="9">VLOOKUP(R11,$AE$39:$AH$59,4)</f>
        <v>50.000000000000007</v>
      </c>
      <c r="AK11" s="50">
        <v>1</v>
      </c>
      <c r="AL11" s="50">
        <v>1</v>
      </c>
      <c r="AM11" s="50">
        <v>1</v>
      </c>
      <c r="AN11" s="50">
        <v>1</v>
      </c>
      <c r="AO11" s="50">
        <v>1</v>
      </c>
      <c r="AP11" s="50">
        <v>1</v>
      </c>
      <c r="AQ11" s="50">
        <v>0</v>
      </c>
      <c r="AR11" s="50">
        <v>85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 t="s">
        <v>261</v>
      </c>
      <c r="J12" s="47">
        <v>7</v>
      </c>
      <c r="K12" s="19">
        <v>-6</v>
      </c>
      <c r="L12" s="116" t="s">
        <v>106</v>
      </c>
      <c r="M12" s="117" t="s">
        <v>64</v>
      </c>
      <c r="N12" s="50">
        <v>9.9</v>
      </c>
      <c r="O12" s="51">
        <v>0</v>
      </c>
      <c r="P12" s="51">
        <v>0</v>
      </c>
      <c r="Q12" s="50">
        <v>44</v>
      </c>
      <c r="R12" s="50">
        <f t="shared" si="0"/>
        <v>39</v>
      </c>
      <c r="S12" s="50">
        <v>2.2000000000000002</v>
      </c>
      <c r="T12" s="50">
        <v>0</v>
      </c>
      <c r="U12" s="52">
        <v>0</v>
      </c>
      <c r="V12" s="52">
        <v>0</v>
      </c>
      <c r="W12" s="50">
        <v>0</v>
      </c>
      <c r="X12" s="50">
        <v>35000</v>
      </c>
      <c r="Y12" s="50">
        <v>2500</v>
      </c>
      <c r="Z12" s="50">
        <f t="shared" si="7"/>
        <v>114.99999999999996</v>
      </c>
      <c r="AA12" s="50">
        <v>1</v>
      </c>
      <c r="AB12" s="50">
        <f t="shared" si="8"/>
        <v>12000</v>
      </c>
      <c r="AC12" s="51">
        <v>47000</v>
      </c>
      <c r="AD12" s="51">
        <v>3000</v>
      </c>
      <c r="AE12" s="51">
        <v>0.3</v>
      </c>
      <c r="AF12" s="51">
        <v>0</v>
      </c>
      <c r="AG12" s="51">
        <v>0</v>
      </c>
      <c r="AH12" s="51">
        <v>0</v>
      </c>
      <c r="AI12" s="51">
        <v>0</v>
      </c>
      <c r="AJ12" s="50">
        <f t="shared" si="9"/>
        <v>50.000000000000007</v>
      </c>
      <c r="AK12" s="50">
        <v>1</v>
      </c>
      <c r="AL12" s="50">
        <v>1</v>
      </c>
      <c r="AM12" s="50">
        <v>1</v>
      </c>
      <c r="AN12" s="50">
        <v>1</v>
      </c>
      <c r="AO12" s="50">
        <v>1</v>
      </c>
      <c r="AP12" s="50">
        <v>1</v>
      </c>
      <c r="AQ12" s="50">
        <v>0</v>
      </c>
      <c r="AR12" s="50">
        <v>85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56" t="s">
        <v>261</v>
      </c>
      <c r="J13" s="47">
        <v>8</v>
      </c>
      <c r="K13" s="19">
        <v>-8</v>
      </c>
      <c r="L13" s="116" t="s">
        <v>106</v>
      </c>
      <c r="M13" s="117" t="s">
        <v>64</v>
      </c>
      <c r="N13" s="50">
        <v>9.9</v>
      </c>
      <c r="O13" s="51">
        <v>0</v>
      </c>
      <c r="P13" s="51">
        <v>0</v>
      </c>
      <c r="Q13" s="50">
        <v>44</v>
      </c>
      <c r="R13" s="50">
        <f t="shared" si="0"/>
        <v>39</v>
      </c>
      <c r="S13" s="50">
        <v>1.9</v>
      </c>
      <c r="T13" s="50">
        <v>0</v>
      </c>
      <c r="U13" s="52">
        <v>0</v>
      </c>
      <c r="V13" s="52">
        <v>0</v>
      </c>
      <c r="W13" s="50">
        <v>0</v>
      </c>
      <c r="X13" s="50">
        <v>40000</v>
      </c>
      <c r="Y13" s="50">
        <v>2000</v>
      </c>
      <c r="Z13" s="50">
        <f t="shared" si="7"/>
        <v>114.99999999999996</v>
      </c>
      <c r="AA13" s="50">
        <v>1</v>
      </c>
      <c r="AB13" s="50">
        <f t="shared" si="8"/>
        <v>12000</v>
      </c>
      <c r="AC13" s="51">
        <v>53000</v>
      </c>
      <c r="AD13" s="51">
        <v>3500</v>
      </c>
      <c r="AE13" s="51">
        <v>0.3</v>
      </c>
      <c r="AF13" s="51">
        <v>0</v>
      </c>
      <c r="AG13" s="51">
        <v>0</v>
      </c>
      <c r="AH13" s="51">
        <v>0</v>
      </c>
      <c r="AI13" s="51">
        <v>0</v>
      </c>
      <c r="AJ13" s="50">
        <f t="shared" si="9"/>
        <v>50.000000000000007</v>
      </c>
      <c r="AK13" s="50">
        <v>1</v>
      </c>
      <c r="AL13" s="50">
        <v>1</v>
      </c>
      <c r="AM13" s="50">
        <v>1</v>
      </c>
      <c r="AN13" s="50">
        <v>1</v>
      </c>
      <c r="AO13" s="50">
        <v>1</v>
      </c>
      <c r="AP13" s="50">
        <v>1</v>
      </c>
      <c r="AQ13" s="50">
        <v>0</v>
      </c>
      <c r="AR13" s="50">
        <v>85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261</v>
      </c>
      <c r="J14" s="47">
        <v>9</v>
      </c>
      <c r="K14" s="19">
        <v>-10</v>
      </c>
      <c r="L14" s="116" t="s">
        <v>106</v>
      </c>
      <c r="M14" s="117" t="s">
        <v>64</v>
      </c>
      <c r="N14" s="50">
        <v>9.9</v>
      </c>
      <c r="O14" s="51">
        <v>0</v>
      </c>
      <c r="P14" s="51">
        <v>0</v>
      </c>
      <c r="Q14" s="50">
        <v>44</v>
      </c>
      <c r="R14" s="50">
        <f t="shared" si="0"/>
        <v>39</v>
      </c>
      <c r="S14" s="50">
        <v>1.7</v>
      </c>
      <c r="T14" s="50">
        <v>0</v>
      </c>
      <c r="U14" s="52">
        <v>0</v>
      </c>
      <c r="V14" s="52">
        <v>0</v>
      </c>
      <c r="W14" s="50">
        <v>0</v>
      </c>
      <c r="X14" s="50">
        <v>44000</v>
      </c>
      <c r="Y14" s="50">
        <v>2000</v>
      </c>
      <c r="Z14" s="50">
        <f t="shared" si="7"/>
        <v>114.99999999999996</v>
      </c>
      <c r="AA14" s="50">
        <v>1</v>
      </c>
      <c r="AB14" s="50">
        <f t="shared" si="8"/>
        <v>12000</v>
      </c>
      <c r="AC14" s="51">
        <v>60000</v>
      </c>
      <c r="AD14" s="51">
        <v>2461.54</v>
      </c>
      <c r="AE14" s="51">
        <v>0.3</v>
      </c>
      <c r="AF14" s="51">
        <v>0</v>
      </c>
      <c r="AG14" s="51">
        <v>0</v>
      </c>
      <c r="AH14" s="51">
        <v>0</v>
      </c>
      <c r="AI14" s="51">
        <v>0</v>
      </c>
      <c r="AJ14" s="50">
        <f t="shared" si="9"/>
        <v>50.000000000000007</v>
      </c>
      <c r="AK14" s="50">
        <v>1</v>
      </c>
      <c r="AL14" s="50">
        <v>1</v>
      </c>
      <c r="AM14" s="50">
        <v>1</v>
      </c>
      <c r="AN14" s="50">
        <v>1</v>
      </c>
      <c r="AO14" s="50">
        <v>1</v>
      </c>
      <c r="AP14" s="50">
        <v>1</v>
      </c>
      <c r="AQ14" s="50">
        <v>0</v>
      </c>
      <c r="AR14" s="50">
        <v>85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287</v>
      </c>
      <c r="J15" s="47">
        <v>10</v>
      </c>
      <c r="K15" s="19">
        <v>-11.3</v>
      </c>
      <c r="L15" s="116" t="s">
        <v>107</v>
      </c>
      <c r="M15" s="117" t="s">
        <v>65</v>
      </c>
      <c r="N15" s="50">
        <v>8.4</v>
      </c>
      <c r="O15" s="51">
        <v>171</v>
      </c>
      <c r="P15" s="51">
        <v>17.14</v>
      </c>
      <c r="Q15" s="50">
        <v>0</v>
      </c>
      <c r="R15" s="50" t="e">
        <f t="shared" ref="R15" si="10">IF(Q15&lt;&gt;0,Q15-5,NA())</f>
        <v>#N/A</v>
      </c>
      <c r="S15" s="50">
        <v>1.6</v>
      </c>
      <c r="T15" s="50">
        <v>0</v>
      </c>
      <c r="U15" s="52">
        <v>1.7999999999999999E-2</v>
      </c>
      <c r="V15" s="52">
        <v>0</v>
      </c>
      <c r="W15" s="50">
        <v>0.5</v>
      </c>
      <c r="X15" s="50">
        <v>26600</v>
      </c>
      <c r="Y15" s="50">
        <v>2000</v>
      </c>
      <c r="Z15" s="50" t="e">
        <f t="shared" ref="Z15:Z24" si="11">VLOOKUP(R15,$AE$39:$AF$59,2)</f>
        <v>#N/A</v>
      </c>
      <c r="AA15" s="50">
        <v>1</v>
      </c>
      <c r="AB15" s="50" t="e">
        <f t="shared" ref="AB15:AB24" si="12">VLOOKUP(R15,$AE$39:$AG$59,3)</f>
        <v>#N/A</v>
      </c>
      <c r="AC15" s="51">
        <v>105000</v>
      </c>
      <c r="AD15" s="51">
        <v>8571.43</v>
      </c>
      <c r="AE15" s="51">
        <v>0.3</v>
      </c>
      <c r="AF15" s="51">
        <v>0</v>
      </c>
      <c r="AG15" s="51">
        <v>0</v>
      </c>
      <c r="AH15" s="51">
        <v>0</v>
      </c>
      <c r="AI15" s="51">
        <v>0</v>
      </c>
      <c r="AJ15" s="50" t="e">
        <f t="shared" ref="AJ15:AJ24" si="13">VLOOKUP(R15,$AE$39:$AH$59,4)</f>
        <v>#N/A</v>
      </c>
      <c r="AK15" s="50">
        <v>1</v>
      </c>
      <c r="AL15" s="50">
        <v>1</v>
      </c>
      <c r="AM15" s="50">
        <v>1</v>
      </c>
      <c r="AN15" s="50">
        <v>1</v>
      </c>
      <c r="AO15" s="50">
        <v>1</v>
      </c>
      <c r="AP15" s="50">
        <v>1</v>
      </c>
      <c r="AQ15" s="50">
        <v>0</v>
      </c>
      <c r="AR15" s="50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287</v>
      </c>
      <c r="J16" s="47">
        <v>11</v>
      </c>
      <c r="K16" s="19">
        <v>-12</v>
      </c>
      <c r="L16" s="116" t="s">
        <v>107</v>
      </c>
      <c r="M16" s="117" t="s">
        <v>65</v>
      </c>
      <c r="N16" s="50">
        <v>8.4</v>
      </c>
      <c r="O16" s="51">
        <v>183</v>
      </c>
      <c r="P16" s="51">
        <v>17</v>
      </c>
      <c r="Q16" s="50">
        <v>0</v>
      </c>
      <c r="R16" s="50" t="e">
        <f t="shared" ref="R16" si="14">IF(Q16&lt;&gt;0,Q16-5,NA())</f>
        <v>#N/A</v>
      </c>
      <c r="S16" s="50">
        <v>1.6</v>
      </c>
      <c r="T16" s="50">
        <v>0</v>
      </c>
      <c r="U16" s="52">
        <v>1.7999999999999999E-2</v>
      </c>
      <c r="V16" s="52">
        <v>0</v>
      </c>
      <c r="W16" s="50">
        <v>0.5</v>
      </c>
      <c r="X16" s="50">
        <v>28000</v>
      </c>
      <c r="Y16" s="50">
        <v>2000</v>
      </c>
      <c r="Z16" s="50" t="e">
        <f t="shared" si="11"/>
        <v>#N/A</v>
      </c>
      <c r="AA16" s="50">
        <v>1</v>
      </c>
      <c r="AB16" s="50" t="e">
        <f t="shared" si="12"/>
        <v>#N/A</v>
      </c>
      <c r="AC16" s="51">
        <v>111000</v>
      </c>
      <c r="AD16" s="51">
        <v>9000</v>
      </c>
      <c r="AE16" s="51">
        <v>0.3</v>
      </c>
      <c r="AF16" s="51">
        <v>0</v>
      </c>
      <c r="AG16" s="51">
        <v>0</v>
      </c>
      <c r="AH16" s="51">
        <v>0</v>
      </c>
      <c r="AI16" s="51">
        <v>0</v>
      </c>
      <c r="AJ16" s="50" t="e">
        <f t="shared" si="13"/>
        <v>#N/A</v>
      </c>
      <c r="AK16" s="50">
        <v>1</v>
      </c>
      <c r="AL16" s="50">
        <v>1</v>
      </c>
      <c r="AM16" s="50">
        <v>1</v>
      </c>
      <c r="AN16" s="50">
        <v>1</v>
      </c>
      <c r="AO16" s="50">
        <v>1</v>
      </c>
      <c r="AP16" s="50">
        <v>1</v>
      </c>
      <c r="AQ16" s="50">
        <v>0</v>
      </c>
      <c r="AR16" s="50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3"/>
      <c r="E17" s="113"/>
      <c r="I17" s="56" t="s">
        <v>287</v>
      </c>
      <c r="J17" s="47">
        <v>12</v>
      </c>
      <c r="K17" s="56">
        <v>-13</v>
      </c>
      <c r="L17" s="116" t="s">
        <v>107</v>
      </c>
      <c r="M17" s="117" t="s">
        <v>65</v>
      </c>
      <c r="N17" s="50">
        <v>8.4</v>
      </c>
      <c r="O17" s="51">
        <v>200</v>
      </c>
      <c r="P17" s="51">
        <v>0</v>
      </c>
      <c r="Q17" s="50">
        <v>0</v>
      </c>
      <c r="R17" s="50" t="e">
        <f t="shared" ref="R17" si="15">IF(Q17&lt;&gt;0,Q17-5,NA())</f>
        <v>#N/A</v>
      </c>
      <c r="S17" s="50">
        <v>1.6</v>
      </c>
      <c r="T17" s="50">
        <v>0</v>
      </c>
      <c r="U17" s="52">
        <v>1.7999999999999999E-2</v>
      </c>
      <c r="V17" s="52">
        <v>0</v>
      </c>
      <c r="W17" s="50">
        <v>0.5</v>
      </c>
      <c r="X17" s="50">
        <v>30000</v>
      </c>
      <c r="Y17" s="50">
        <v>0</v>
      </c>
      <c r="Z17" s="50" t="e">
        <f t="shared" si="11"/>
        <v>#N/A</v>
      </c>
      <c r="AA17" s="50">
        <v>1</v>
      </c>
      <c r="AB17" s="50" t="e">
        <f t="shared" si="12"/>
        <v>#N/A</v>
      </c>
      <c r="AC17" s="51">
        <v>120000</v>
      </c>
      <c r="AD17" s="51">
        <v>0</v>
      </c>
      <c r="AE17" s="51">
        <v>0.3</v>
      </c>
      <c r="AF17" s="51">
        <v>0</v>
      </c>
      <c r="AG17" s="51">
        <v>0</v>
      </c>
      <c r="AH17" s="51">
        <v>0</v>
      </c>
      <c r="AI17" s="51">
        <v>0</v>
      </c>
      <c r="AJ17" s="50" t="e">
        <f t="shared" si="13"/>
        <v>#N/A</v>
      </c>
      <c r="AK17" s="50">
        <v>1</v>
      </c>
      <c r="AL17" s="50">
        <v>1</v>
      </c>
      <c r="AM17" s="50">
        <v>1</v>
      </c>
      <c r="AN17" s="50">
        <v>1</v>
      </c>
      <c r="AO17" s="50">
        <v>1</v>
      </c>
      <c r="AP17" s="50">
        <v>1</v>
      </c>
      <c r="AQ17" s="50">
        <v>0</v>
      </c>
      <c r="AR17" s="50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289</v>
      </c>
      <c r="J18" s="47">
        <v>13</v>
      </c>
      <c r="K18" s="19">
        <v>-16.600000000000001</v>
      </c>
      <c r="L18" s="116" t="s">
        <v>106</v>
      </c>
      <c r="M18" s="117" t="s">
        <v>64</v>
      </c>
      <c r="N18" s="50">
        <v>9</v>
      </c>
      <c r="O18" s="51">
        <v>0</v>
      </c>
      <c r="P18" s="51">
        <v>0</v>
      </c>
      <c r="Q18" s="50">
        <v>42</v>
      </c>
      <c r="R18" s="50">
        <f t="shared" ref="R18:R24" si="16">IF(Q18&lt;&gt;0,Q18-5,NA())</f>
        <v>37</v>
      </c>
      <c r="S18" s="50">
        <v>2.4500000000000002</v>
      </c>
      <c r="T18" s="50">
        <v>0</v>
      </c>
      <c r="U18" s="52">
        <v>0</v>
      </c>
      <c r="V18" s="52">
        <v>0</v>
      </c>
      <c r="W18" s="50">
        <v>0</v>
      </c>
      <c r="X18" s="50">
        <v>27600</v>
      </c>
      <c r="Y18" s="50">
        <v>1670</v>
      </c>
      <c r="Z18" s="50">
        <f t="shared" si="11"/>
        <v>114.99999999999996</v>
      </c>
      <c r="AA18" s="50">
        <v>1</v>
      </c>
      <c r="AB18" s="50">
        <f t="shared" si="12"/>
        <v>12000</v>
      </c>
      <c r="AC18" s="51">
        <v>77500</v>
      </c>
      <c r="AD18" s="51">
        <v>1554.87</v>
      </c>
      <c r="AE18" s="51">
        <v>0.3</v>
      </c>
      <c r="AF18" s="51">
        <v>0</v>
      </c>
      <c r="AG18" s="51">
        <v>0</v>
      </c>
      <c r="AH18" s="51">
        <v>0</v>
      </c>
      <c r="AI18" s="51">
        <v>0</v>
      </c>
      <c r="AJ18" s="50">
        <f t="shared" si="13"/>
        <v>50.000000000000007</v>
      </c>
      <c r="AK18" s="50">
        <v>1</v>
      </c>
      <c r="AL18" s="50">
        <v>1</v>
      </c>
      <c r="AM18" s="50">
        <v>1</v>
      </c>
      <c r="AN18" s="50">
        <v>1</v>
      </c>
      <c r="AO18" s="50">
        <v>1</v>
      </c>
      <c r="AP18" s="50">
        <v>1</v>
      </c>
      <c r="AQ18" s="50">
        <v>0</v>
      </c>
      <c r="AR18" s="50">
        <v>65</v>
      </c>
      <c r="AS18" s="33">
        <v>0.4</v>
      </c>
    </row>
    <row r="19" spans="1:45" x14ac:dyDescent="0.25">
      <c r="A19" s="113" t="s">
        <v>38</v>
      </c>
      <c r="B19" s="113" t="s">
        <v>30</v>
      </c>
      <c r="C19" s="113" t="s">
        <v>59</v>
      </c>
      <c r="D19" s="43"/>
      <c r="E19" s="35"/>
      <c r="I19" s="33" t="s">
        <v>289</v>
      </c>
      <c r="J19" s="47">
        <v>14</v>
      </c>
      <c r="K19" s="33">
        <v>-33</v>
      </c>
      <c r="L19" s="116" t="s">
        <v>106</v>
      </c>
      <c r="M19" s="117" t="s">
        <v>64</v>
      </c>
      <c r="N19" s="50">
        <v>9</v>
      </c>
      <c r="O19" s="51">
        <v>0</v>
      </c>
      <c r="P19" s="51">
        <v>0</v>
      </c>
      <c r="Q19" s="50">
        <v>39</v>
      </c>
      <c r="R19" s="50">
        <f t="shared" si="16"/>
        <v>34</v>
      </c>
      <c r="S19" s="50">
        <v>2</v>
      </c>
      <c r="T19" s="50">
        <v>0</v>
      </c>
      <c r="U19" s="52">
        <v>0</v>
      </c>
      <c r="V19" s="52">
        <v>0</v>
      </c>
      <c r="W19" s="50">
        <v>0</v>
      </c>
      <c r="X19" s="50">
        <v>25000</v>
      </c>
      <c r="Y19" s="50">
        <v>0</v>
      </c>
      <c r="Z19" s="50">
        <f t="shared" si="11"/>
        <v>111.19999999999996</v>
      </c>
      <c r="AA19" s="50">
        <v>1</v>
      </c>
      <c r="AB19" s="50">
        <f t="shared" si="12"/>
        <v>11520</v>
      </c>
      <c r="AC19" s="51">
        <v>103000</v>
      </c>
      <c r="AD19" s="51">
        <v>1666.67</v>
      </c>
      <c r="AE19" s="51">
        <v>0.3</v>
      </c>
      <c r="AF19" s="51">
        <v>0</v>
      </c>
      <c r="AG19" s="51">
        <v>0</v>
      </c>
      <c r="AH19" s="51">
        <v>0</v>
      </c>
      <c r="AI19" s="51">
        <v>0</v>
      </c>
      <c r="AJ19" s="50">
        <f t="shared" si="13"/>
        <v>48.000000000000007</v>
      </c>
      <c r="AK19" s="50">
        <v>1</v>
      </c>
      <c r="AL19" s="50">
        <v>1</v>
      </c>
      <c r="AM19" s="50">
        <v>1</v>
      </c>
      <c r="AN19" s="50">
        <v>1</v>
      </c>
      <c r="AO19" s="50">
        <v>1</v>
      </c>
      <c r="AP19" s="50">
        <v>1</v>
      </c>
      <c r="AQ19" s="50">
        <v>0</v>
      </c>
      <c r="AR19" s="50">
        <v>45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289</v>
      </c>
      <c r="J20" s="47">
        <v>15</v>
      </c>
      <c r="K20" s="33">
        <v>-36</v>
      </c>
      <c r="L20" s="116" t="s">
        <v>106</v>
      </c>
      <c r="M20" s="117" t="s">
        <v>64</v>
      </c>
      <c r="N20" s="50">
        <v>9</v>
      </c>
      <c r="O20" s="51">
        <v>0</v>
      </c>
      <c r="P20" s="51">
        <v>0</v>
      </c>
      <c r="Q20" s="50">
        <v>42</v>
      </c>
      <c r="R20" s="50">
        <f t="shared" si="16"/>
        <v>37</v>
      </c>
      <c r="S20" s="50">
        <v>2</v>
      </c>
      <c r="T20" s="50">
        <v>0</v>
      </c>
      <c r="U20" s="52">
        <v>0</v>
      </c>
      <c r="V20" s="52">
        <v>0</v>
      </c>
      <c r="W20" s="50">
        <v>0</v>
      </c>
      <c r="X20" s="50">
        <v>75000</v>
      </c>
      <c r="Y20" s="50">
        <v>0</v>
      </c>
      <c r="Z20" s="50">
        <f t="shared" si="11"/>
        <v>114.99999999999996</v>
      </c>
      <c r="AA20" s="50">
        <v>1</v>
      </c>
      <c r="AB20" s="50">
        <f t="shared" si="12"/>
        <v>12000</v>
      </c>
      <c r="AC20" s="51">
        <v>108000</v>
      </c>
      <c r="AD20" s="51">
        <v>1571.43</v>
      </c>
      <c r="AE20" s="51">
        <v>0.3</v>
      </c>
      <c r="AF20" s="51">
        <v>0</v>
      </c>
      <c r="AG20" s="51">
        <v>0</v>
      </c>
      <c r="AH20" s="51">
        <v>0</v>
      </c>
      <c r="AI20" s="51">
        <v>0</v>
      </c>
      <c r="AJ20" s="50">
        <f t="shared" si="13"/>
        <v>50.000000000000007</v>
      </c>
      <c r="AK20" s="50">
        <v>1</v>
      </c>
      <c r="AL20" s="50">
        <v>1</v>
      </c>
      <c r="AM20" s="50">
        <v>1</v>
      </c>
      <c r="AN20" s="50">
        <v>1</v>
      </c>
      <c r="AO20" s="50">
        <v>1</v>
      </c>
      <c r="AP20" s="50">
        <v>1</v>
      </c>
      <c r="AQ20" s="50">
        <v>0</v>
      </c>
      <c r="AR20" s="50">
        <v>65</v>
      </c>
      <c r="AS20" s="33">
        <v>0.4</v>
      </c>
    </row>
    <row r="21" spans="1:45" x14ac:dyDescent="0.25">
      <c r="A21" s="66"/>
      <c r="B21" s="66"/>
      <c r="C21" s="67"/>
      <c r="D21" s="43"/>
      <c r="I21" s="33" t="s">
        <v>289</v>
      </c>
      <c r="J21" s="47">
        <v>16</v>
      </c>
      <c r="K21" s="33">
        <v>-43</v>
      </c>
      <c r="L21" s="116" t="s">
        <v>106</v>
      </c>
      <c r="M21" s="117" t="s">
        <v>64</v>
      </c>
      <c r="N21" s="50">
        <v>9</v>
      </c>
      <c r="O21" s="51">
        <v>0</v>
      </c>
      <c r="P21" s="51">
        <v>0</v>
      </c>
      <c r="Q21" s="50">
        <v>42</v>
      </c>
      <c r="R21" s="50">
        <f t="shared" si="16"/>
        <v>37</v>
      </c>
      <c r="S21" s="50">
        <v>2</v>
      </c>
      <c r="T21" s="50">
        <v>0</v>
      </c>
      <c r="U21" s="52">
        <v>0</v>
      </c>
      <c r="V21" s="52">
        <v>0</v>
      </c>
      <c r="W21" s="50">
        <v>0</v>
      </c>
      <c r="X21" s="50">
        <v>75000</v>
      </c>
      <c r="Y21" s="50">
        <v>-27500</v>
      </c>
      <c r="Z21" s="50">
        <f t="shared" si="11"/>
        <v>114.99999999999996</v>
      </c>
      <c r="AA21" s="50">
        <v>1</v>
      </c>
      <c r="AB21" s="50">
        <f t="shared" si="12"/>
        <v>12000</v>
      </c>
      <c r="AC21" s="51">
        <v>119000</v>
      </c>
      <c r="AD21" s="51">
        <v>1500</v>
      </c>
      <c r="AE21" s="51">
        <v>0.3</v>
      </c>
      <c r="AF21" s="51">
        <v>0</v>
      </c>
      <c r="AG21" s="51">
        <v>0</v>
      </c>
      <c r="AH21" s="51">
        <v>0</v>
      </c>
      <c r="AI21" s="51">
        <v>0</v>
      </c>
      <c r="AJ21" s="50">
        <f t="shared" si="13"/>
        <v>50.000000000000007</v>
      </c>
      <c r="AK21" s="50">
        <v>1</v>
      </c>
      <c r="AL21" s="50">
        <v>1</v>
      </c>
      <c r="AM21" s="50">
        <v>1</v>
      </c>
      <c r="AN21" s="50">
        <v>1</v>
      </c>
      <c r="AO21" s="50">
        <v>1</v>
      </c>
      <c r="AP21" s="50">
        <v>1</v>
      </c>
      <c r="AQ21" s="50">
        <v>0</v>
      </c>
      <c r="AR21" s="50">
        <v>65</v>
      </c>
      <c r="AS21" s="33">
        <v>0.4</v>
      </c>
    </row>
    <row r="22" spans="1:45" x14ac:dyDescent="0.25">
      <c r="A22" s="66"/>
      <c r="B22" s="66"/>
      <c r="C22" s="67"/>
      <c r="D22" s="35"/>
      <c r="I22" s="33" t="s">
        <v>289</v>
      </c>
      <c r="J22" s="47">
        <v>17</v>
      </c>
      <c r="K22" s="19">
        <v>-45</v>
      </c>
      <c r="L22" s="116" t="s">
        <v>106</v>
      </c>
      <c r="M22" s="117" t="s">
        <v>64</v>
      </c>
      <c r="N22" s="50">
        <v>9</v>
      </c>
      <c r="O22" s="51">
        <v>0</v>
      </c>
      <c r="P22" s="51">
        <v>0</v>
      </c>
      <c r="Q22" s="50">
        <v>38</v>
      </c>
      <c r="R22" s="50">
        <f t="shared" si="16"/>
        <v>33</v>
      </c>
      <c r="S22" s="50">
        <v>2</v>
      </c>
      <c r="T22" s="50">
        <v>0</v>
      </c>
      <c r="U22" s="52">
        <v>0</v>
      </c>
      <c r="V22" s="52">
        <v>0</v>
      </c>
      <c r="W22" s="50">
        <v>0</v>
      </c>
      <c r="X22" s="50">
        <v>20000</v>
      </c>
      <c r="Y22" s="50">
        <v>0</v>
      </c>
      <c r="Z22" s="50">
        <f t="shared" si="11"/>
        <v>107.39999999999996</v>
      </c>
      <c r="AA22" s="50">
        <v>1</v>
      </c>
      <c r="AB22" s="50">
        <f t="shared" si="12"/>
        <v>11040</v>
      </c>
      <c r="AC22" s="51">
        <v>122000</v>
      </c>
      <c r="AD22" s="51">
        <v>1500</v>
      </c>
      <c r="AE22" s="51">
        <v>0.3</v>
      </c>
      <c r="AF22" s="51">
        <v>0</v>
      </c>
      <c r="AG22" s="51">
        <v>0</v>
      </c>
      <c r="AH22" s="51">
        <v>0</v>
      </c>
      <c r="AI22" s="51">
        <v>0</v>
      </c>
      <c r="AJ22" s="50">
        <f t="shared" si="13"/>
        <v>46.000000000000007</v>
      </c>
      <c r="AK22" s="50">
        <v>1</v>
      </c>
      <c r="AL22" s="50">
        <v>1</v>
      </c>
      <c r="AM22" s="50">
        <v>1</v>
      </c>
      <c r="AN22" s="50">
        <v>1</v>
      </c>
      <c r="AO22" s="50">
        <v>1</v>
      </c>
      <c r="AP22" s="50">
        <v>1</v>
      </c>
      <c r="AQ22" s="50">
        <v>0</v>
      </c>
      <c r="AR22" s="50">
        <v>40</v>
      </c>
      <c r="AS22" s="33">
        <v>0.4</v>
      </c>
    </row>
    <row r="23" spans="1:45" x14ac:dyDescent="0.25">
      <c r="A23" s="66"/>
      <c r="B23" s="66"/>
      <c r="C23" s="67"/>
      <c r="D23" s="35"/>
      <c r="I23" s="33" t="s">
        <v>289</v>
      </c>
      <c r="J23" s="47">
        <v>18</v>
      </c>
      <c r="K23" s="33">
        <v>-47</v>
      </c>
      <c r="L23" s="116" t="s">
        <v>106</v>
      </c>
      <c r="M23" s="117" t="s">
        <v>64</v>
      </c>
      <c r="N23" s="50">
        <v>9</v>
      </c>
      <c r="O23" s="51">
        <v>0</v>
      </c>
      <c r="P23" s="51">
        <v>0</v>
      </c>
      <c r="Q23" s="50">
        <v>43</v>
      </c>
      <c r="R23" s="50">
        <f t="shared" si="16"/>
        <v>38</v>
      </c>
      <c r="S23" s="50">
        <v>2</v>
      </c>
      <c r="T23" s="50">
        <v>0</v>
      </c>
      <c r="U23" s="52">
        <v>0</v>
      </c>
      <c r="V23" s="52">
        <v>0</v>
      </c>
      <c r="W23" s="50">
        <v>0</v>
      </c>
      <c r="X23" s="50">
        <v>75000</v>
      </c>
      <c r="Y23" s="50">
        <v>0</v>
      </c>
      <c r="Z23" s="50">
        <f t="shared" si="11"/>
        <v>114.99999999999996</v>
      </c>
      <c r="AA23" s="50">
        <v>1</v>
      </c>
      <c r="AB23" s="50">
        <f t="shared" si="12"/>
        <v>12000</v>
      </c>
      <c r="AC23" s="51">
        <v>125000</v>
      </c>
      <c r="AD23" s="51">
        <v>1666.67</v>
      </c>
      <c r="AE23" s="51">
        <v>0.3</v>
      </c>
      <c r="AF23" s="51">
        <v>0</v>
      </c>
      <c r="AG23" s="51">
        <v>0</v>
      </c>
      <c r="AH23" s="51">
        <v>0</v>
      </c>
      <c r="AI23" s="51">
        <v>0</v>
      </c>
      <c r="AJ23" s="50">
        <f t="shared" si="13"/>
        <v>50.000000000000007</v>
      </c>
      <c r="AK23" s="50">
        <v>1</v>
      </c>
      <c r="AL23" s="50">
        <v>1</v>
      </c>
      <c r="AM23" s="50">
        <v>1</v>
      </c>
      <c r="AN23" s="50">
        <v>1</v>
      </c>
      <c r="AO23" s="50">
        <v>1</v>
      </c>
      <c r="AP23" s="50">
        <v>1</v>
      </c>
      <c r="AQ23" s="50">
        <v>0</v>
      </c>
      <c r="AR23" s="50">
        <v>80</v>
      </c>
      <c r="AS23" s="33">
        <v>0.4</v>
      </c>
    </row>
    <row r="24" spans="1:45" x14ac:dyDescent="0.25">
      <c r="A24" s="66"/>
      <c r="B24" s="66"/>
      <c r="C24" s="67"/>
      <c r="D24" s="35"/>
      <c r="I24" s="33" t="s">
        <v>289</v>
      </c>
      <c r="J24" s="47">
        <v>19</v>
      </c>
      <c r="K24" s="33">
        <v>-50</v>
      </c>
      <c r="L24" s="116" t="s">
        <v>106</v>
      </c>
      <c r="M24" s="117" t="s">
        <v>64</v>
      </c>
      <c r="N24" s="50">
        <v>9</v>
      </c>
      <c r="O24" s="51">
        <v>0</v>
      </c>
      <c r="P24" s="51">
        <v>0</v>
      </c>
      <c r="Q24" s="50">
        <v>43</v>
      </c>
      <c r="R24" s="50">
        <f t="shared" si="16"/>
        <v>38</v>
      </c>
      <c r="S24" s="50">
        <v>2</v>
      </c>
      <c r="T24" s="50">
        <v>0</v>
      </c>
      <c r="U24" s="52">
        <v>0</v>
      </c>
      <c r="V24" s="52">
        <v>0</v>
      </c>
      <c r="W24" s="50">
        <v>0</v>
      </c>
      <c r="X24" s="50">
        <v>75000</v>
      </c>
      <c r="Y24" s="50">
        <v>0</v>
      </c>
      <c r="Z24" s="50">
        <f t="shared" si="11"/>
        <v>114.99999999999996</v>
      </c>
      <c r="AA24" s="50">
        <v>1</v>
      </c>
      <c r="AB24" s="50">
        <f t="shared" si="12"/>
        <v>12000</v>
      </c>
      <c r="AC24" s="51">
        <v>130000</v>
      </c>
      <c r="AD24" s="51">
        <v>0</v>
      </c>
      <c r="AE24" s="51">
        <v>0.3</v>
      </c>
      <c r="AF24" s="51">
        <v>0</v>
      </c>
      <c r="AG24" s="51">
        <v>0</v>
      </c>
      <c r="AH24" s="51">
        <v>0</v>
      </c>
      <c r="AI24" s="51">
        <v>0</v>
      </c>
      <c r="AJ24" s="50">
        <f t="shared" si="13"/>
        <v>50.000000000000007</v>
      </c>
      <c r="AK24" s="50">
        <v>1</v>
      </c>
      <c r="AL24" s="50">
        <v>1</v>
      </c>
      <c r="AM24" s="50">
        <v>1</v>
      </c>
      <c r="AN24" s="50">
        <v>1</v>
      </c>
      <c r="AO24" s="50">
        <v>1</v>
      </c>
      <c r="AP24" s="50">
        <v>1</v>
      </c>
      <c r="AQ24" s="50">
        <v>0</v>
      </c>
      <c r="AR24" s="50">
        <v>80</v>
      </c>
      <c r="AS24" s="33">
        <v>0.4</v>
      </c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17">AF40+3.8</f>
        <v>55.599999999999994</v>
      </c>
      <c r="AG41" s="33">
        <f t="shared" ref="AG41:AG43" si="18">AG40+200</f>
        <v>2300</v>
      </c>
      <c r="AH41" s="33">
        <f t="shared" ref="AH41:AH44" si="19">AH40+0.8</f>
        <v>9.6000000000000014</v>
      </c>
    </row>
    <row r="42" spans="1:42" x14ac:dyDescent="0.25">
      <c r="L42" s="49"/>
      <c r="AE42" s="33">
        <v>18</v>
      </c>
      <c r="AF42" s="33">
        <f t="shared" si="17"/>
        <v>59.399999999999991</v>
      </c>
      <c r="AG42" s="33">
        <f t="shared" si="18"/>
        <v>2500</v>
      </c>
      <c r="AH42" s="33">
        <f t="shared" si="19"/>
        <v>10.400000000000002</v>
      </c>
    </row>
    <row r="43" spans="1:42" x14ac:dyDescent="0.25">
      <c r="L43" s="49"/>
      <c r="AE43" s="33">
        <v>19</v>
      </c>
      <c r="AF43" s="33">
        <f t="shared" si="17"/>
        <v>63.199999999999989</v>
      </c>
      <c r="AG43" s="33">
        <f t="shared" si="18"/>
        <v>2700</v>
      </c>
      <c r="AH43" s="33">
        <f t="shared" si="19"/>
        <v>11.200000000000003</v>
      </c>
    </row>
    <row r="44" spans="1:42" x14ac:dyDescent="0.25">
      <c r="L44" s="49"/>
      <c r="AE44" s="33">
        <v>20</v>
      </c>
      <c r="AF44" s="33">
        <f t="shared" si="17"/>
        <v>66.999999999999986</v>
      </c>
      <c r="AG44" s="33">
        <f>AG43+200</f>
        <v>2900</v>
      </c>
      <c r="AH44" s="33">
        <f t="shared" si="19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20">AF45+2.8</f>
        <v>72.59999999999998</v>
      </c>
      <c r="AG46" s="33">
        <f t="shared" ref="AG46:AG48" si="21">AG45+380</f>
        <v>3660</v>
      </c>
      <c r="AH46" s="33">
        <f t="shared" ref="AH46:AH49" si="22">AH45+1.6</f>
        <v>15.200000000000003</v>
      </c>
    </row>
    <row r="47" spans="1:42" x14ac:dyDescent="0.25">
      <c r="L47" s="49"/>
      <c r="AE47" s="33">
        <v>23</v>
      </c>
      <c r="AF47" s="33">
        <f t="shared" si="20"/>
        <v>75.399999999999977</v>
      </c>
      <c r="AG47" s="33">
        <f t="shared" si="21"/>
        <v>4040</v>
      </c>
      <c r="AH47" s="33">
        <f t="shared" si="22"/>
        <v>16.800000000000004</v>
      </c>
    </row>
    <row r="48" spans="1:42" x14ac:dyDescent="0.25">
      <c r="L48" s="49"/>
      <c r="AE48" s="33">
        <v>24</v>
      </c>
      <c r="AF48" s="33">
        <f t="shared" si="20"/>
        <v>78.199999999999974</v>
      </c>
      <c r="AG48" s="33">
        <f t="shared" si="21"/>
        <v>4420</v>
      </c>
      <c r="AH48" s="33">
        <f t="shared" si="22"/>
        <v>18.400000000000006</v>
      </c>
    </row>
    <row r="49" spans="12:34" x14ac:dyDescent="0.25">
      <c r="L49" s="49"/>
      <c r="AE49" s="33">
        <v>25</v>
      </c>
      <c r="AF49" s="33">
        <f t="shared" si="20"/>
        <v>80.999999999999972</v>
      </c>
      <c r="AG49" s="33">
        <v>4800</v>
      </c>
      <c r="AH49" s="33">
        <f t="shared" si="22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23">AF50+3</f>
        <v>86.999999999999972</v>
      </c>
      <c r="AG51" s="33">
        <f t="shared" ref="AG51:AG54" si="24">AG50+960</f>
        <v>6720</v>
      </c>
      <c r="AH51" s="33">
        <f t="shared" ref="AH51:AH54" si="25">AH50+4</f>
        <v>28.000000000000007</v>
      </c>
    </row>
    <row r="52" spans="12:34" x14ac:dyDescent="0.25">
      <c r="L52" s="49"/>
      <c r="AE52" s="33">
        <v>28</v>
      </c>
      <c r="AF52" s="33">
        <f t="shared" si="23"/>
        <v>89.999999999999972</v>
      </c>
      <c r="AG52" s="33">
        <f t="shared" si="24"/>
        <v>7680</v>
      </c>
      <c r="AH52" s="33">
        <f t="shared" si="25"/>
        <v>32.000000000000007</v>
      </c>
    </row>
    <row r="53" spans="12:34" x14ac:dyDescent="0.25">
      <c r="L53" s="49"/>
      <c r="AE53" s="33">
        <v>29</v>
      </c>
      <c r="AF53" s="33">
        <f t="shared" si="23"/>
        <v>92.999999999999972</v>
      </c>
      <c r="AG53" s="33">
        <f t="shared" si="24"/>
        <v>8640</v>
      </c>
      <c r="AH53" s="33">
        <f t="shared" si="25"/>
        <v>36.000000000000007</v>
      </c>
    </row>
    <row r="54" spans="12:34" x14ac:dyDescent="0.25">
      <c r="L54" s="49"/>
      <c r="AE54" s="33">
        <v>30</v>
      </c>
      <c r="AF54" s="33">
        <f t="shared" si="23"/>
        <v>95.999999999999972</v>
      </c>
      <c r="AG54" s="33">
        <f t="shared" si="24"/>
        <v>9600</v>
      </c>
      <c r="AH54" s="33">
        <f t="shared" si="25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26">AF55+3.8</f>
        <v>103.59999999999997</v>
      </c>
      <c r="AG56" s="33">
        <f t="shared" ref="AG56:AG59" si="27">AG55+480</f>
        <v>10560</v>
      </c>
      <c r="AH56" s="33">
        <f t="shared" ref="AH56:AH59" si="28">AH55+2</f>
        <v>44.000000000000007</v>
      </c>
    </row>
    <row r="57" spans="12:34" x14ac:dyDescent="0.25">
      <c r="L57" s="49"/>
      <c r="AE57" s="33">
        <v>33</v>
      </c>
      <c r="AF57" s="33">
        <f t="shared" si="26"/>
        <v>107.39999999999996</v>
      </c>
      <c r="AG57" s="33">
        <f t="shared" si="27"/>
        <v>11040</v>
      </c>
      <c r="AH57" s="33">
        <f t="shared" si="28"/>
        <v>46.000000000000007</v>
      </c>
    </row>
    <row r="58" spans="12:34" x14ac:dyDescent="0.25">
      <c r="L58" s="49"/>
      <c r="AE58" s="33">
        <v>34</v>
      </c>
      <c r="AF58" s="33">
        <f t="shared" si="26"/>
        <v>111.19999999999996</v>
      </c>
      <c r="AG58" s="33">
        <f t="shared" si="27"/>
        <v>11520</v>
      </c>
      <c r="AH58" s="33">
        <f t="shared" si="28"/>
        <v>48.000000000000007</v>
      </c>
    </row>
    <row r="59" spans="12:34" x14ac:dyDescent="0.25">
      <c r="L59" s="49"/>
      <c r="AE59" s="33">
        <v>35</v>
      </c>
      <c r="AF59" s="33">
        <f t="shared" si="26"/>
        <v>114.99999999999996</v>
      </c>
      <c r="AG59" s="33">
        <f t="shared" si="27"/>
        <v>12000</v>
      </c>
      <c r="AH59" s="33">
        <f t="shared" si="28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5:AP36 Q25:Q36 O25:O28 N25:N36">
    <cfRule type="expression" dxfId="3616" priority="422">
      <formula>$L25="API sand"</formula>
    </cfRule>
  </conditionalFormatting>
  <conditionalFormatting sqref="R29:S36 S25:S28 AD25:AD28 AB25:AB35 AJ25:AL36 Z25:Z36 N25:N36">
    <cfRule type="expression" dxfId="3615" priority="421">
      <formula>$M25="API sand"</formula>
    </cfRule>
  </conditionalFormatting>
  <conditionalFormatting sqref="R29:T36 S25:T28 AD25:AD28 Z25:AB35 N25:N36 AK25:AL36">
    <cfRule type="expression" dxfId="3614" priority="420">
      <formula>$M25="API clay"</formula>
    </cfRule>
  </conditionalFormatting>
  <conditionalFormatting sqref="U25:W36 N25:N28 P25:P28 AM25:AP36">
    <cfRule type="expression" dxfId="3613" priority="417">
      <formula>$L25="Stiff clay w/o free water"</formula>
    </cfRule>
    <cfRule type="expression" dxfId="3612" priority="419">
      <formula>$L25="API clay"</formula>
    </cfRule>
  </conditionalFormatting>
  <conditionalFormatting sqref="U25:Y36 N25:N28 P25:P28 AM25:AP36">
    <cfRule type="expression" dxfId="3611" priority="418">
      <formula>$L25="Kirsch soft clay"</formula>
    </cfRule>
  </conditionalFormatting>
  <conditionalFormatting sqref="U25:Y36 N25:N28 P25:P28 AM25:AP36">
    <cfRule type="expression" dxfId="3610" priority="416">
      <formula>$L25="Kirsch stiff clay"</formula>
    </cfRule>
  </conditionalFormatting>
  <conditionalFormatting sqref="AM25:AP36 Q25:Q36 X25:Y36 O25:O28 N25:N36">
    <cfRule type="expression" dxfId="3609" priority="415">
      <formula>$L25="Kirsch sand"</formula>
    </cfRule>
  </conditionalFormatting>
  <conditionalFormatting sqref="AC25:AD36 AI25:AI36 N25:N36 AM25:AP36">
    <cfRule type="expression" dxfId="3608" priority="414">
      <formula>$L25="Modified Weak rock"</formula>
    </cfRule>
  </conditionalFormatting>
  <conditionalFormatting sqref="N25:N28 P25:P28 AM25:AP36 U25:V36">
    <cfRule type="expression" dxfId="3607" priority="413">
      <formula>$L25="Reese stiff clay"</formula>
    </cfRule>
  </conditionalFormatting>
  <conditionalFormatting sqref="AB36">
    <cfRule type="expression" dxfId="3606" priority="411">
      <formula>$M36="API sand"</formula>
    </cfRule>
  </conditionalFormatting>
  <conditionalFormatting sqref="Z36:AB36">
    <cfRule type="expression" dxfId="3605" priority="410">
      <formula>$M36="API clay"</formula>
    </cfRule>
  </conditionalFormatting>
  <conditionalFormatting sqref="N29:P36">
    <cfRule type="expression" dxfId="3604" priority="407">
      <formula>$L29="Stiff clay w/o free water"</formula>
    </cfRule>
    <cfRule type="expression" dxfId="3603" priority="409">
      <formula>$L29="API clay"</formula>
    </cfRule>
  </conditionalFormatting>
  <conditionalFormatting sqref="N29:P36">
    <cfRule type="expression" dxfId="3602" priority="408">
      <formula>$L29="Kirsch soft clay"</formula>
    </cfRule>
  </conditionalFormatting>
  <conditionalFormatting sqref="N29:P36">
    <cfRule type="expression" dxfId="3601" priority="406">
      <formula>$L29="Kirsch stiff clay"</formula>
    </cfRule>
  </conditionalFormatting>
  <conditionalFormatting sqref="N29:P36">
    <cfRule type="expression" dxfId="3600" priority="403">
      <formula>$L29="Reese stiff clay"</formula>
    </cfRule>
  </conditionalFormatting>
  <conditionalFormatting sqref="AE37:AH37">
    <cfRule type="expression" dxfId="3599" priority="423">
      <formula>$L19="Modified Weak rock"</formula>
    </cfRule>
  </conditionalFormatting>
  <dataValidations count="3">
    <dataValidation type="list" showInputMessage="1" showErrorMessage="1" sqref="M15:M36" xr:uid="{53A1CE8F-62A9-4F97-8159-BF9B4DDD9028}">
      <formula1>"',API sand,API clay"</formula1>
    </dataValidation>
    <dataValidation type="list" showInputMessage="1" showErrorMessage="1" sqref="L6:L255" xr:uid="{72DC43E3-6812-47D3-87E6-633275ACAF82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24" xr:uid="{B07BC75E-B46B-4257-A490-813531EBBFB2}">
      <formula1>"Zero soil,API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143B2-DBCB-4F2C-A722-EE76DEB846AD}">
  <sheetPr>
    <tabColor rgb="FFFF99FF"/>
  </sheetPr>
  <dimension ref="A1:AS255"/>
  <sheetViews>
    <sheetView topLeftCell="I1" zoomScale="85" zoomScaleNormal="85" workbookViewId="0">
      <selection activeCell="V27" sqref="V27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Ak_Pisa_BH-48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8"/>
      <c r="R3" s="155"/>
      <c r="S3" s="155"/>
      <c r="T3" s="118"/>
      <c r="U3" s="155"/>
      <c r="V3" s="155"/>
      <c r="W3" s="118"/>
      <c r="X3" s="69"/>
      <c r="Y3" s="118"/>
      <c r="Z3" s="118"/>
      <c r="AA3" s="118"/>
      <c r="AB3" s="118"/>
      <c r="AC3" s="69"/>
      <c r="AD3" s="39"/>
      <c r="AE3" s="39"/>
      <c r="AF3" s="39"/>
      <c r="AG3" s="39"/>
      <c r="AH3" s="39"/>
      <c r="AI3" s="39"/>
      <c r="AJ3" s="118"/>
      <c r="AK3" s="118"/>
      <c r="AL3" s="118"/>
      <c r="AM3" s="118"/>
      <c r="AN3" s="118"/>
      <c r="AO3" s="118"/>
      <c r="AP3" s="118"/>
    </row>
    <row r="4" spans="1:45" x14ac:dyDescent="0.25">
      <c r="A4" s="40" t="s">
        <v>60</v>
      </c>
      <c r="B4" s="33">
        <f>COUNTIF(J:J,"&gt;0")</f>
        <v>17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9" t="s">
        <v>38</v>
      </c>
      <c r="K5" s="119" t="s">
        <v>30</v>
      </c>
      <c r="L5" s="119" t="s">
        <v>31</v>
      </c>
      <c r="M5" s="119" t="s">
        <v>31</v>
      </c>
      <c r="N5" s="119" t="s">
        <v>32</v>
      </c>
      <c r="O5" s="119" t="s">
        <v>33</v>
      </c>
      <c r="P5" s="119" t="s">
        <v>35</v>
      </c>
      <c r="Q5" s="119" t="s">
        <v>36</v>
      </c>
      <c r="R5" s="119" t="s">
        <v>36</v>
      </c>
      <c r="S5" s="119" t="s">
        <v>34</v>
      </c>
      <c r="T5" s="119" t="s">
        <v>33</v>
      </c>
      <c r="U5" s="119" t="s">
        <v>34</v>
      </c>
      <c r="V5" s="119" t="s">
        <v>62</v>
      </c>
      <c r="W5" s="119" t="s">
        <v>34</v>
      </c>
      <c r="X5" s="119" t="s">
        <v>33</v>
      </c>
      <c r="Y5" s="119" t="s">
        <v>35</v>
      </c>
      <c r="Z5" s="119" t="s">
        <v>33</v>
      </c>
      <c r="AA5" s="119" t="s">
        <v>34</v>
      </c>
      <c r="AB5" s="119" t="s">
        <v>33</v>
      </c>
      <c r="AC5" s="119" t="s">
        <v>33</v>
      </c>
      <c r="AD5" s="119" t="s">
        <v>35</v>
      </c>
      <c r="AE5" s="119" t="s">
        <v>34</v>
      </c>
      <c r="AF5" s="119" t="s">
        <v>33</v>
      </c>
      <c r="AG5" s="119" t="s">
        <v>35</v>
      </c>
      <c r="AH5" s="119" t="s">
        <v>34</v>
      </c>
      <c r="AI5" s="119" t="s">
        <v>34</v>
      </c>
      <c r="AJ5" s="119" t="s">
        <v>34</v>
      </c>
      <c r="AK5" s="119" t="s">
        <v>34</v>
      </c>
      <c r="AL5" s="119" t="s">
        <v>34</v>
      </c>
      <c r="AM5" s="119" t="s">
        <v>34</v>
      </c>
      <c r="AN5" s="119" t="s">
        <v>34</v>
      </c>
      <c r="AO5" s="119" t="s">
        <v>34</v>
      </c>
      <c r="AP5" s="119" t="s">
        <v>34</v>
      </c>
      <c r="AQ5" s="119" t="s">
        <v>103</v>
      </c>
      <c r="AR5" s="119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 t="shared" ref="L6:L15" si="0">"EW_sand_Ruled"&amp;"_"&amp;AR6</f>
        <v>EW_sand_Ruled_100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45</v>
      </c>
      <c r="R6" s="47">
        <f t="shared" ref="R6:R17" si="1">IF(Q6&lt;&gt;0,Q6-5,NA())</f>
        <v>40</v>
      </c>
      <c r="S6" s="47">
        <v>0.4</v>
      </c>
      <c r="T6" s="47">
        <v>0</v>
      </c>
      <c r="U6" s="75">
        <v>0</v>
      </c>
      <c r="V6" s="75">
        <v>0</v>
      </c>
      <c r="W6" s="47">
        <v>0</v>
      </c>
      <c r="X6" s="47">
        <v>100</v>
      </c>
      <c r="Y6" s="47">
        <v>150000</v>
      </c>
      <c r="Z6" s="47">
        <f t="shared" ref="Z6:Z10" si="2">VLOOKUP(R6,$AE$39:$AF$59,2)</f>
        <v>114.99999999999996</v>
      </c>
      <c r="AA6" s="47">
        <v>1</v>
      </c>
      <c r="AB6" s="47">
        <f t="shared" ref="AB6:AB10" si="3">VLOOKUP(R6,$AE$39:$AG$59,3)</f>
        <v>12000</v>
      </c>
      <c r="AC6" s="63">
        <v>8000</v>
      </c>
      <c r="AD6" s="63">
        <v>20000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" si="4">VLOOKUP(R6,$AE$39:$AH$59,4)</f>
        <v>50.000000000000007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100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-0.1</v>
      </c>
      <c r="L7" s="33" t="str">
        <f t="shared" si="0"/>
        <v>EW_sand_Ruled_100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45</v>
      </c>
      <c r="R7" s="47">
        <f t="shared" si="1"/>
        <v>40</v>
      </c>
      <c r="S7" s="47">
        <v>0.4</v>
      </c>
      <c r="T7" s="47">
        <v>0</v>
      </c>
      <c r="U7" s="75">
        <v>0</v>
      </c>
      <c r="V7" s="75">
        <v>0</v>
      </c>
      <c r="W7" s="47">
        <v>0</v>
      </c>
      <c r="X7" s="47">
        <v>15000</v>
      </c>
      <c r="Y7" s="47">
        <v>55000</v>
      </c>
      <c r="Z7" s="47">
        <f t="shared" si="2"/>
        <v>114.99999999999996</v>
      </c>
      <c r="AA7" s="47">
        <v>1</v>
      </c>
      <c r="AB7" s="47">
        <f t="shared" si="3"/>
        <v>12000</v>
      </c>
      <c r="AC7" s="63">
        <v>10000</v>
      </c>
      <c r="AD7" s="63">
        <v>25000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ref="AJ7:AJ10" si="5">VLOOKUP(R7,$AE$39:$AH$59,4)</f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">
        <v>279</v>
      </c>
      <c r="J8" s="47">
        <v>3</v>
      </c>
      <c r="K8" s="33">
        <v>-0.5</v>
      </c>
      <c r="L8" s="33" t="str">
        <f t="shared" si="0"/>
        <v>EW_sand_Ruled_100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45</v>
      </c>
      <c r="R8" s="47">
        <f t="shared" si="1"/>
        <v>40</v>
      </c>
      <c r="S8" s="47">
        <v>0.4</v>
      </c>
      <c r="T8" s="47">
        <v>0</v>
      </c>
      <c r="U8" s="75">
        <v>0</v>
      </c>
      <c r="V8" s="75">
        <v>0</v>
      </c>
      <c r="W8" s="47">
        <v>0</v>
      </c>
      <c r="X8" s="47">
        <v>37000</v>
      </c>
      <c r="Y8" s="47">
        <v>56000</v>
      </c>
      <c r="Z8" s="47">
        <f t="shared" si="2"/>
        <v>114.99999999999996</v>
      </c>
      <c r="AA8" s="47">
        <v>1</v>
      </c>
      <c r="AB8" s="47">
        <f t="shared" si="3"/>
        <v>12000</v>
      </c>
      <c r="AC8" s="63">
        <v>20000</v>
      </c>
      <c r="AD8" s="63">
        <v>22000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5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100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279</v>
      </c>
      <c r="J9" s="47">
        <v>4</v>
      </c>
      <c r="K9" s="33">
        <v>-1</v>
      </c>
      <c r="L9" s="33" t="str">
        <f t="shared" si="0"/>
        <v>EW_sand_Ruled_100</v>
      </c>
      <c r="M9" s="105" t="s">
        <v>64</v>
      </c>
      <c r="N9" s="47">
        <v>9.6999999999999993</v>
      </c>
      <c r="O9" s="63">
        <v>0</v>
      </c>
      <c r="P9" s="63">
        <v>0</v>
      </c>
      <c r="Q9" s="47">
        <v>45</v>
      </c>
      <c r="R9" s="47">
        <f t="shared" si="1"/>
        <v>40</v>
      </c>
      <c r="S9" s="47">
        <v>0.4</v>
      </c>
      <c r="T9" s="47">
        <v>0</v>
      </c>
      <c r="U9" s="75">
        <v>0</v>
      </c>
      <c r="V9" s="75">
        <v>0</v>
      </c>
      <c r="W9" s="47">
        <v>0</v>
      </c>
      <c r="X9" s="47">
        <v>65000</v>
      </c>
      <c r="Y9" s="47">
        <v>0</v>
      </c>
      <c r="Z9" s="47">
        <f t="shared" si="2"/>
        <v>114.99999999999996</v>
      </c>
      <c r="AA9" s="47">
        <v>1</v>
      </c>
      <c r="AB9" s="47">
        <f t="shared" si="3"/>
        <v>12000</v>
      </c>
      <c r="AC9" s="63">
        <v>31000</v>
      </c>
      <c r="AD9" s="63">
        <v>11000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5"/>
        <v>50.000000000000007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100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279</v>
      </c>
      <c r="J10" s="47">
        <v>5</v>
      </c>
      <c r="K10" s="56">
        <v>-2</v>
      </c>
      <c r="L10" s="33" t="str">
        <f t="shared" si="0"/>
        <v>EW_sand_Ruled_100</v>
      </c>
      <c r="M10" s="105" t="s">
        <v>64</v>
      </c>
      <c r="N10" s="47">
        <v>9.6999999999999993</v>
      </c>
      <c r="O10" s="63">
        <v>0</v>
      </c>
      <c r="P10" s="63">
        <v>0</v>
      </c>
      <c r="Q10" s="47">
        <v>45</v>
      </c>
      <c r="R10" s="47">
        <f t="shared" si="1"/>
        <v>40</v>
      </c>
      <c r="S10" s="47">
        <v>0.4</v>
      </c>
      <c r="T10" s="47">
        <v>0</v>
      </c>
      <c r="U10" s="75">
        <v>0</v>
      </c>
      <c r="V10" s="75">
        <v>0</v>
      </c>
      <c r="W10" s="47">
        <v>0</v>
      </c>
      <c r="X10" s="47">
        <v>65000</v>
      </c>
      <c r="Y10" s="47">
        <v>0</v>
      </c>
      <c r="Z10" s="47">
        <f t="shared" si="2"/>
        <v>114.99999999999996</v>
      </c>
      <c r="AA10" s="47">
        <v>1</v>
      </c>
      <c r="AB10" s="47">
        <f t="shared" si="3"/>
        <v>12000</v>
      </c>
      <c r="AC10" s="63">
        <v>42000</v>
      </c>
      <c r="AD10" s="63">
        <v>6500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5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100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56" t="s">
        <v>261</v>
      </c>
      <c r="J11" s="47">
        <v>6</v>
      </c>
      <c r="K11" s="19">
        <v>-2.2000000000000002</v>
      </c>
      <c r="L11" s="33" t="str">
        <f t="shared" si="0"/>
        <v>EW_sand_Ruled_85</v>
      </c>
      <c r="M11" s="105" t="s">
        <v>64</v>
      </c>
      <c r="N11" s="47">
        <v>9.9</v>
      </c>
      <c r="O11" s="63">
        <v>0</v>
      </c>
      <c r="P11" s="63">
        <v>0</v>
      </c>
      <c r="Q11" s="47">
        <v>44</v>
      </c>
      <c r="R11" s="47">
        <f t="shared" si="1"/>
        <v>39</v>
      </c>
      <c r="S11" s="47">
        <v>2.5</v>
      </c>
      <c r="T11" s="47">
        <v>0</v>
      </c>
      <c r="U11" s="75">
        <v>0</v>
      </c>
      <c r="V11" s="75">
        <v>0</v>
      </c>
      <c r="W11" s="47">
        <v>0</v>
      </c>
      <c r="X11" s="47">
        <v>27400</v>
      </c>
      <c r="Y11" s="47">
        <v>2000</v>
      </c>
      <c r="Z11" s="47">
        <f t="shared" ref="Z11:Z17" si="6">VLOOKUP(R11,$AE$39:$AF$59,2)</f>
        <v>114.99999999999996</v>
      </c>
      <c r="AA11" s="47">
        <v>1</v>
      </c>
      <c r="AB11" s="47">
        <f t="shared" ref="AB11:AB17" si="7">VLOOKUP(R11,$AE$39:$AG$59,3)</f>
        <v>12000</v>
      </c>
      <c r="AC11" s="63">
        <v>33900</v>
      </c>
      <c r="AD11" s="63">
        <v>3250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ref="AJ11:AJ17" si="8">VLOOKUP(R11,$AE$39:$AH$59,4)</f>
        <v>50.000000000000007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85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 t="s">
        <v>261</v>
      </c>
      <c r="J12" s="47">
        <v>7</v>
      </c>
      <c r="K12" s="19">
        <v>-5</v>
      </c>
      <c r="L12" s="33" t="str">
        <f t="shared" si="0"/>
        <v>EW_sand_Ruled_85</v>
      </c>
      <c r="M12" s="105" t="s">
        <v>64</v>
      </c>
      <c r="N12" s="47">
        <v>9.9</v>
      </c>
      <c r="O12" s="63">
        <v>0</v>
      </c>
      <c r="P12" s="63">
        <v>0</v>
      </c>
      <c r="Q12" s="47">
        <v>44</v>
      </c>
      <c r="R12" s="47">
        <f t="shared" si="1"/>
        <v>39</v>
      </c>
      <c r="S12" s="47">
        <v>2.5</v>
      </c>
      <c r="T12" s="47">
        <v>0</v>
      </c>
      <c r="U12" s="75">
        <v>0</v>
      </c>
      <c r="V12" s="75">
        <v>0</v>
      </c>
      <c r="W12" s="47">
        <v>0</v>
      </c>
      <c r="X12" s="47">
        <v>33000</v>
      </c>
      <c r="Y12" s="47">
        <v>2000</v>
      </c>
      <c r="Z12" s="47">
        <f t="shared" si="6"/>
        <v>114.99999999999996</v>
      </c>
      <c r="AA12" s="47">
        <v>1</v>
      </c>
      <c r="AB12" s="47">
        <f t="shared" si="7"/>
        <v>12000</v>
      </c>
      <c r="AC12" s="63">
        <v>43000</v>
      </c>
      <c r="AD12" s="63">
        <v>4000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8"/>
        <v>50.000000000000007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85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56" t="s">
        <v>261</v>
      </c>
      <c r="J13" s="47">
        <v>8</v>
      </c>
      <c r="K13" s="19">
        <v>-6</v>
      </c>
      <c r="L13" s="33" t="str">
        <f t="shared" si="0"/>
        <v>EW_sand_Ruled_85</v>
      </c>
      <c r="M13" s="105" t="s">
        <v>64</v>
      </c>
      <c r="N13" s="47">
        <v>9.9</v>
      </c>
      <c r="O13" s="63">
        <v>0</v>
      </c>
      <c r="P13" s="63">
        <v>0</v>
      </c>
      <c r="Q13" s="47">
        <v>44</v>
      </c>
      <c r="R13" s="47">
        <f t="shared" si="1"/>
        <v>39</v>
      </c>
      <c r="S13" s="47">
        <v>2.2000000000000002</v>
      </c>
      <c r="T13" s="47">
        <v>0</v>
      </c>
      <c r="U13" s="75">
        <v>0</v>
      </c>
      <c r="V13" s="75">
        <v>0</v>
      </c>
      <c r="W13" s="47">
        <v>0</v>
      </c>
      <c r="X13" s="47">
        <v>35000</v>
      </c>
      <c r="Y13" s="47">
        <v>2500</v>
      </c>
      <c r="Z13" s="47">
        <f t="shared" si="6"/>
        <v>114.99999999999996</v>
      </c>
      <c r="AA13" s="47">
        <v>1</v>
      </c>
      <c r="AB13" s="47">
        <f t="shared" si="7"/>
        <v>12000</v>
      </c>
      <c r="AC13" s="63">
        <v>47000</v>
      </c>
      <c r="AD13" s="63">
        <v>3000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8"/>
        <v>50.000000000000007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85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261</v>
      </c>
      <c r="J14" s="47">
        <v>9</v>
      </c>
      <c r="K14" s="19">
        <v>-8</v>
      </c>
      <c r="L14" s="33" t="str">
        <f t="shared" si="0"/>
        <v>EW_sand_Ruled_85</v>
      </c>
      <c r="M14" s="105" t="s">
        <v>64</v>
      </c>
      <c r="N14" s="47">
        <v>9.9</v>
      </c>
      <c r="O14" s="63">
        <v>0</v>
      </c>
      <c r="P14" s="63">
        <v>0</v>
      </c>
      <c r="Q14" s="47">
        <v>44</v>
      </c>
      <c r="R14" s="47">
        <f t="shared" si="1"/>
        <v>39</v>
      </c>
      <c r="S14" s="47">
        <v>1.9</v>
      </c>
      <c r="T14" s="47">
        <v>0</v>
      </c>
      <c r="U14" s="75">
        <v>0</v>
      </c>
      <c r="V14" s="75">
        <v>0</v>
      </c>
      <c r="W14" s="47">
        <v>0</v>
      </c>
      <c r="X14" s="47">
        <v>40000</v>
      </c>
      <c r="Y14" s="47">
        <v>2000</v>
      </c>
      <c r="Z14" s="47">
        <f t="shared" si="6"/>
        <v>114.99999999999996</v>
      </c>
      <c r="AA14" s="47">
        <v>1</v>
      </c>
      <c r="AB14" s="47">
        <f t="shared" si="7"/>
        <v>12000</v>
      </c>
      <c r="AC14" s="63">
        <v>53000</v>
      </c>
      <c r="AD14" s="63">
        <v>3500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8"/>
        <v>50.000000000000007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85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261</v>
      </c>
      <c r="J15" s="47">
        <v>10</v>
      </c>
      <c r="K15" s="19">
        <v>-10</v>
      </c>
      <c r="L15" s="33" t="str">
        <f t="shared" si="0"/>
        <v>EW_sand_Ruled_85</v>
      </c>
      <c r="M15" s="105" t="s">
        <v>64</v>
      </c>
      <c r="N15" s="47">
        <v>9.9</v>
      </c>
      <c r="O15" s="63">
        <v>0</v>
      </c>
      <c r="P15" s="63">
        <v>0</v>
      </c>
      <c r="Q15" s="47">
        <v>44</v>
      </c>
      <c r="R15" s="47">
        <f t="shared" si="1"/>
        <v>39</v>
      </c>
      <c r="S15" s="47">
        <v>1.7</v>
      </c>
      <c r="T15" s="47">
        <v>0</v>
      </c>
      <c r="U15" s="75">
        <v>0</v>
      </c>
      <c r="V15" s="75">
        <v>0</v>
      </c>
      <c r="W15" s="47">
        <v>0</v>
      </c>
      <c r="X15" s="47">
        <v>44000</v>
      </c>
      <c r="Y15" s="47">
        <v>2000</v>
      </c>
      <c r="Z15" s="47">
        <f t="shared" si="6"/>
        <v>114.99999999999996</v>
      </c>
      <c r="AA15" s="47">
        <v>1</v>
      </c>
      <c r="AB15" s="47">
        <f t="shared" si="7"/>
        <v>12000</v>
      </c>
      <c r="AC15" s="63">
        <v>60000</v>
      </c>
      <c r="AD15" s="63">
        <v>2500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8"/>
        <v>50.000000000000007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85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266</v>
      </c>
      <c r="J16" s="47">
        <v>11</v>
      </c>
      <c r="K16" s="19">
        <v>-10.8</v>
      </c>
      <c r="L16" s="116" t="s">
        <v>275</v>
      </c>
      <c r="M16" s="105" t="s">
        <v>65</v>
      </c>
      <c r="N16" s="47">
        <v>8.5</v>
      </c>
      <c r="O16" s="63">
        <v>141.69999999999999</v>
      </c>
      <c r="P16" s="63">
        <v>6.5</v>
      </c>
      <c r="Q16" s="47">
        <v>0</v>
      </c>
      <c r="R16" s="47" t="e">
        <f t="shared" si="1"/>
        <v>#N/A</v>
      </c>
      <c r="S16" s="47">
        <v>1.92</v>
      </c>
      <c r="T16" s="47">
        <v>0</v>
      </c>
      <c r="U16" s="75">
        <v>1.7999999999999999E-2</v>
      </c>
      <c r="V16" s="75">
        <v>0</v>
      </c>
      <c r="W16" s="47">
        <v>0.5</v>
      </c>
      <c r="X16" s="47">
        <v>10900</v>
      </c>
      <c r="Y16" s="47">
        <v>500</v>
      </c>
      <c r="Z16" s="47" t="e">
        <f t="shared" si="6"/>
        <v>#N/A</v>
      </c>
      <c r="AA16" s="47">
        <v>1</v>
      </c>
      <c r="AB16" s="47" t="e">
        <f t="shared" si="7"/>
        <v>#N/A</v>
      </c>
      <c r="AC16" s="63">
        <v>54000</v>
      </c>
      <c r="AD16" s="63">
        <v>2272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8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9"/>
      <c r="E17" s="119"/>
      <c r="I17" s="56" t="s">
        <v>266</v>
      </c>
      <c r="J17" s="47">
        <v>12</v>
      </c>
      <c r="K17" s="19">
        <v>-13</v>
      </c>
      <c r="L17" s="116" t="s">
        <v>275</v>
      </c>
      <c r="M17" s="105" t="s">
        <v>65</v>
      </c>
      <c r="N17" s="47">
        <v>8.5</v>
      </c>
      <c r="O17" s="63">
        <v>156</v>
      </c>
      <c r="P17" s="63">
        <v>6.5</v>
      </c>
      <c r="Q17" s="47">
        <v>0</v>
      </c>
      <c r="R17" s="47" t="e">
        <f t="shared" si="1"/>
        <v>#N/A</v>
      </c>
      <c r="S17" s="47">
        <v>1.7</v>
      </c>
      <c r="T17" s="47">
        <v>0</v>
      </c>
      <c r="U17" s="75">
        <v>1.7999999999999999E-2</v>
      </c>
      <c r="V17" s="75">
        <v>0</v>
      </c>
      <c r="W17" s="47">
        <v>0.5</v>
      </c>
      <c r="X17" s="47">
        <v>12000</v>
      </c>
      <c r="Y17" s="47">
        <v>500</v>
      </c>
      <c r="Z17" s="47" t="e">
        <f t="shared" si="6"/>
        <v>#N/A</v>
      </c>
      <c r="AA17" s="47">
        <v>1</v>
      </c>
      <c r="AB17" s="47" t="e">
        <f t="shared" si="7"/>
        <v>#N/A</v>
      </c>
      <c r="AC17" s="63">
        <v>59000</v>
      </c>
      <c r="AD17" s="63">
        <v>2483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8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268</v>
      </c>
      <c r="J18" s="47">
        <v>13</v>
      </c>
      <c r="K18" s="19">
        <v>-15.9</v>
      </c>
      <c r="L18" s="33" t="str">
        <f>"EW_sand_Ruled"&amp;"_"&amp;AR18</f>
        <v>EW_sand_Ruled_55</v>
      </c>
      <c r="M18" s="105" t="s">
        <v>64</v>
      </c>
      <c r="N18" s="47">
        <v>9</v>
      </c>
      <c r="O18" s="63">
        <v>0</v>
      </c>
      <c r="P18" s="63">
        <v>0</v>
      </c>
      <c r="Q18" s="47">
        <v>40</v>
      </c>
      <c r="R18" s="47">
        <f>IF(Q18&lt;&gt;0,Q18-5,NA())</f>
        <v>35</v>
      </c>
      <c r="S18" s="47">
        <v>2.0499999999999998</v>
      </c>
      <c r="T18" s="47">
        <v>0</v>
      </c>
      <c r="U18" s="75">
        <v>0</v>
      </c>
      <c r="V18" s="75">
        <v>0</v>
      </c>
      <c r="W18" s="47">
        <v>0</v>
      </c>
      <c r="X18" s="47">
        <v>40000</v>
      </c>
      <c r="Y18" s="47">
        <v>0</v>
      </c>
      <c r="Z18" s="47">
        <f>VLOOKUP(R18,$AE$39:$AF$59,2)</f>
        <v>114.99999999999996</v>
      </c>
      <c r="AA18" s="47">
        <v>1</v>
      </c>
      <c r="AB18" s="47">
        <f>VLOOKUP(R18,$AE$39:$AG$59,3)</f>
        <v>12000</v>
      </c>
      <c r="AC18" s="63">
        <v>77000</v>
      </c>
      <c r="AD18" s="63">
        <v>888.89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>
        <f>VLOOKUP(R18,$AE$39:$AH$59,4)</f>
        <v>50.000000000000007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55</v>
      </c>
      <c r="AS18" s="33">
        <v>0.2</v>
      </c>
    </row>
    <row r="19" spans="1:45" x14ac:dyDescent="0.25">
      <c r="A19" s="119" t="s">
        <v>38</v>
      </c>
      <c r="B19" s="119" t="s">
        <v>30</v>
      </c>
      <c r="C19" s="119" t="s">
        <v>59</v>
      </c>
      <c r="D19" s="43"/>
      <c r="E19" s="35"/>
      <c r="I19" s="33" t="s">
        <v>290</v>
      </c>
      <c r="J19" s="47">
        <v>14</v>
      </c>
      <c r="K19" s="19">
        <v>-20.399999999999999</v>
      </c>
      <c r="L19" s="33" t="str">
        <f>"EW_sand_Ruled"&amp;"_"&amp;AR19</f>
        <v>EW_sand_Ruled_60</v>
      </c>
      <c r="M19" s="105" t="s">
        <v>64</v>
      </c>
      <c r="N19" s="47">
        <v>8.6999999999999993</v>
      </c>
      <c r="O19" s="63">
        <v>0</v>
      </c>
      <c r="P19" s="63">
        <v>0</v>
      </c>
      <c r="Q19" s="47">
        <v>40</v>
      </c>
      <c r="R19" s="47">
        <f>IF(Q19&lt;&gt;0,Q19-5,NA())</f>
        <v>35</v>
      </c>
      <c r="S19" s="47">
        <v>1.5</v>
      </c>
      <c r="T19" s="47">
        <v>0</v>
      </c>
      <c r="U19" s="75">
        <v>0</v>
      </c>
      <c r="V19" s="75">
        <v>0</v>
      </c>
      <c r="W19" s="47">
        <v>0</v>
      </c>
      <c r="X19" s="47">
        <v>30000</v>
      </c>
      <c r="Y19" s="47">
        <v>0</v>
      </c>
      <c r="Z19" s="47">
        <f>VLOOKUP(R19,$AE$39:$AF$59,2)</f>
        <v>114.99999999999996</v>
      </c>
      <c r="AA19" s="47">
        <v>1</v>
      </c>
      <c r="AB19" s="47">
        <f>VLOOKUP(R19,$AE$39:$AG$59,3)</f>
        <v>12000</v>
      </c>
      <c r="AC19" s="63">
        <v>84000</v>
      </c>
      <c r="AD19" s="63">
        <v>2608.69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>
        <f>VLOOKUP(R19,$AE$39:$AH$59,4)</f>
        <v>50.000000000000007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60</v>
      </c>
      <c r="AS19" s="33">
        <v>0.2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291</v>
      </c>
      <c r="J20" s="47">
        <v>15</v>
      </c>
      <c r="K20" s="19">
        <v>-22.7</v>
      </c>
      <c r="L20" s="33" t="str">
        <f>"EW_sand_Ruled"&amp;"_"&amp;AR20</f>
        <v>EW_sand_Ruled_60</v>
      </c>
      <c r="M20" s="105" t="s">
        <v>64</v>
      </c>
      <c r="N20" s="47">
        <v>8.5</v>
      </c>
      <c r="O20" s="63">
        <v>0</v>
      </c>
      <c r="P20" s="63">
        <v>0</v>
      </c>
      <c r="Q20" s="47">
        <v>34</v>
      </c>
      <c r="R20" s="47">
        <f>IF(Q20&lt;&gt;0,Q20-5,NA())</f>
        <v>29</v>
      </c>
      <c r="S20" s="47">
        <v>1.44</v>
      </c>
      <c r="T20" s="47">
        <v>0</v>
      </c>
      <c r="U20" s="75">
        <v>0</v>
      </c>
      <c r="V20" s="75">
        <v>0</v>
      </c>
      <c r="W20" s="47">
        <v>0</v>
      </c>
      <c r="X20" s="47">
        <v>25000</v>
      </c>
      <c r="Y20" s="47">
        <v>411</v>
      </c>
      <c r="Z20" s="47">
        <f>VLOOKUP(R20,$AE$39:$AF$59,2)</f>
        <v>92.999999999999972</v>
      </c>
      <c r="AA20" s="47">
        <v>1</v>
      </c>
      <c r="AB20" s="47">
        <f>VLOOKUP(R20,$AE$39:$AG$59,3)</f>
        <v>8640</v>
      </c>
      <c r="AC20" s="63">
        <v>72800</v>
      </c>
      <c r="AD20" s="63">
        <v>1397.26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>
        <f>VLOOKUP(R20,$AE$39:$AH$59,4)</f>
        <v>36.000000000000007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60</v>
      </c>
      <c r="AS20" s="33">
        <v>0.2</v>
      </c>
    </row>
    <row r="21" spans="1:45" x14ac:dyDescent="0.25">
      <c r="A21" s="66"/>
      <c r="B21" s="66"/>
      <c r="C21" s="67"/>
      <c r="D21" s="43"/>
      <c r="I21" s="33" t="s">
        <v>291</v>
      </c>
      <c r="J21" s="47">
        <v>16</v>
      </c>
      <c r="K21" s="33">
        <v>-30</v>
      </c>
      <c r="L21" s="33" t="str">
        <f>"EW_sand_Ruled"&amp;"_"&amp;AR21</f>
        <v>EW_sand_Ruled_60</v>
      </c>
      <c r="M21" s="105" t="s">
        <v>64</v>
      </c>
      <c r="N21" s="47">
        <v>8.5</v>
      </c>
      <c r="O21" s="63">
        <v>0</v>
      </c>
      <c r="P21" s="63">
        <v>0</v>
      </c>
      <c r="Q21" s="47">
        <v>34</v>
      </c>
      <c r="R21" s="47">
        <f>IF(Q21&lt;&gt;0,Q21-5,NA())</f>
        <v>29</v>
      </c>
      <c r="S21" s="47">
        <v>1.3</v>
      </c>
      <c r="T21" s="47">
        <v>0</v>
      </c>
      <c r="U21" s="75">
        <v>0</v>
      </c>
      <c r="V21" s="75">
        <v>0</v>
      </c>
      <c r="W21" s="47">
        <v>0</v>
      </c>
      <c r="X21" s="47">
        <v>28000</v>
      </c>
      <c r="Y21" s="47">
        <v>420</v>
      </c>
      <c r="Z21" s="47">
        <f>VLOOKUP(R21,$AE$39:$AF$59,2)</f>
        <v>92.999999999999972</v>
      </c>
      <c r="AA21" s="47">
        <v>1</v>
      </c>
      <c r="AB21" s="47">
        <f>VLOOKUP(R21,$AE$39:$AG$59,3)</f>
        <v>8640</v>
      </c>
      <c r="AC21" s="63">
        <v>83000</v>
      </c>
      <c r="AD21" s="63">
        <v>1300</v>
      </c>
      <c r="AE21" s="63">
        <v>0.3</v>
      </c>
      <c r="AF21" s="63">
        <v>0</v>
      </c>
      <c r="AG21" s="63">
        <v>0</v>
      </c>
      <c r="AH21" s="63">
        <v>0</v>
      </c>
      <c r="AI21" s="63">
        <v>0</v>
      </c>
      <c r="AJ21" s="47">
        <f>VLOOKUP(R21,$AE$39:$AH$59,4)</f>
        <v>36.000000000000007</v>
      </c>
      <c r="AK21" s="47">
        <v>1</v>
      </c>
      <c r="AL21" s="47">
        <v>1</v>
      </c>
      <c r="AM21" s="47">
        <v>1</v>
      </c>
      <c r="AN21" s="47">
        <v>1</v>
      </c>
      <c r="AO21" s="47">
        <v>1</v>
      </c>
      <c r="AP21" s="47">
        <v>1</v>
      </c>
      <c r="AQ21" s="47">
        <v>0</v>
      </c>
      <c r="AR21" s="47">
        <v>60</v>
      </c>
      <c r="AS21" s="33">
        <v>0.2</v>
      </c>
    </row>
    <row r="22" spans="1:45" x14ac:dyDescent="0.25">
      <c r="A22" s="66"/>
      <c r="B22" s="66"/>
      <c r="C22" s="67"/>
      <c r="D22" s="35"/>
      <c r="I22" s="33" t="s">
        <v>291</v>
      </c>
      <c r="J22" s="47">
        <v>17</v>
      </c>
      <c r="K22" s="33">
        <v>-50</v>
      </c>
      <c r="L22" s="33" t="str">
        <f>"EW_sand_Ruled"&amp;"_"&amp;AR22</f>
        <v>EW_sand_Ruled_60</v>
      </c>
      <c r="M22" s="105" t="s">
        <v>64</v>
      </c>
      <c r="N22" s="47">
        <v>8.5</v>
      </c>
      <c r="O22" s="63">
        <v>0</v>
      </c>
      <c r="P22" s="63">
        <v>0</v>
      </c>
      <c r="Q22" s="47">
        <v>34</v>
      </c>
      <c r="R22" s="47">
        <f>IF(Q22&lt;&gt;0,Q22-5,NA())</f>
        <v>29</v>
      </c>
      <c r="S22" s="47">
        <v>1.3</v>
      </c>
      <c r="T22" s="47">
        <v>0</v>
      </c>
      <c r="U22" s="75">
        <v>0</v>
      </c>
      <c r="V22" s="75">
        <v>0</v>
      </c>
      <c r="W22" s="47">
        <v>0</v>
      </c>
      <c r="X22" s="47">
        <v>36400</v>
      </c>
      <c r="Y22" s="47">
        <v>0</v>
      </c>
      <c r="Z22" s="47">
        <f>VLOOKUP(R22,$AE$39:$AF$59,2)</f>
        <v>92.999999999999972</v>
      </c>
      <c r="AA22" s="47">
        <v>1</v>
      </c>
      <c r="AB22" s="47">
        <f>VLOOKUP(R22,$AE$39:$AG$59,3)</f>
        <v>8640</v>
      </c>
      <c r="AC22" s="63">
        <v>109000</v>
      </c>
      <c r="AD22" s="63">
        <v>0</v>
      </c>
      <c r="AE22" s="63">
        <v>0.3</v>
      </c>
      <c r="AF22" s="63">
        <v>0</v>
      </c>
      <c r="AG22" s="63">
        <v>0</v>
      </c>
      <c r="AH22" s="63">
        <v>0</v>
      </c>
      <c r="AI22" s="63">
        <v>0</v>
      </c>
      <c r="AJ22" s="47">
        <f>VLOOKUP(R22,$AE$39:$AH$59,4)</f>
        <v>36.000000000000007</v>
      </c>
      <c r="AK22" s="47">
        <v>1</v>
      </c>
      <c r="AL22" s="47">
        <v>1</v>
      </c>
      <c r="AM22" s="47">
        <v>1</v>
      </c>
      <c r="AN22" s="47">
        <v>1</v>
      </c>
      <c r="AO22" s="47">
        <v>1</v>
      </c>
      <c r="AP22" s="47">
        <v>1</v>
      </c>
      <c r="AQ22" s="47">
        <v>0</v>
      </c>
      <c r="AR22" s="47">
        <v>60</v>
      </c>
      <c r="AS22" s="33">
        <v>0.2</v>
      </c>
    </row>
    <row r="23" spans="1:45" x14ac:dyDescent="0.25">
      <c r="A23" s="66"/>
      <c r="B23" s="66"/>
      <c r="C23" s="67"/>
      <c r="D23" s="35"/>
      <c r="I23" s="56"/>
      <c r="J23" s="47"/>
      <c r="K23" s="19"/>
      <c r="L23" s="116"/>
      <c r="M23" s="105"/>
      <c r="N23" s="47"/>
      <c r="O23" s="63"/>
      <c r="P23" s="63"/>
      <c r="Q23" s="47"/>
      <c r="R23" s="47"/>
      <c r="S23" s="47"/>
      <c r="T23" s="47"/>
      <c r="U23" s="75"/>
      <c r="V23" s="75"/>
      <c r="W23" s="47"/>
      <c r="X23" s="47"/>
      <c r="Y23" s="47"/>
      <c r="Z23" s="47"/>
      <c r="AA23" s="47"/>
      <c r="AB23" s="47"/>
      <c r="AC23" s="63"/>
      <c r="AD23" s="63"/>
      <c r="AE23" s="63"/>
      <c r="AF23" s="63"/>
      <c r="AG23" s="63"/>
      <c r="AH23" s="63"/>
      <c r="AI23" s="63"/>
      <c r="AJ23" s="47"/>
      <c r="AK23" s="47"/>
      <c r="AL23" s="47"/>
      <c r="AM23" s="47"/>
      <c r="AN23" s="47"/>
      <c r="AO23" s="47"/>
      <c r="AP23" s="47"/>
      <c r="AQ23" s="47"/>
      <c r="AR23" s="47"/>
    </row>
    <row r="24" spans="1:45" x14ac:dyDescent="0.25">
      <c r="A24" s="66"/>
      <c r="B24" s="66"/>
      <c r="C24" s="67"/>
      <c r="D24" s="35"/>
      <c r="I24" s="56"/>
      <c r="J24" s="47"/>
      <c r="K24" s="19"/>
      <c r="L24" s="116"/>
      <c r="M24" s="105"/>
      <c r="N24" s="47"/>
      <c r="O24" s="63"/>
      <c r="P24" s="63"/>
      <c r="Q24" s="47"/>
      <c r="R24" s="47"/>
      <c r="S24" s="47"/>
      <c r="T24" s="47"/>
      <c r="U24" s="75"/>
      <c r="V24" s="75"/>
      <c r="W24" s="47"/>
      <c r="X24" s="47"/>
      <c r="Y24" s="47"/>
      <c r="Z24" s="47"/>
      <c r="AA24" s="47"/>
      <c r="AB24" s="47"/>
      <c r="AC24" s="63"/>
      <c r="AD24" s="63"/>
      <c r="AE24" s="63"/>
      <c r="AF24" s="63"/>
      <c r="AG24" s="63"/>
      <c r="AH24" s="63"/>
      <c r="AI24" s="63"/>
      <c r="AJ24" s="47"/>
      <c r="AK24" s="47"/>
      <c r="AL24" s="47"/>
      <c r="AM24" s="47"/>
      <c r="AN24" s="47"/>
      <c r="AO24" s="47"/>
      <c r="AP24" s="47"/>
      <c r="AQ24" s="47"/>
      <c r="AR24" s="47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9">AF40+3.8</f>
        <v>55.599999999999994</v>
      </c>
      <c r="AG41" s="33">
        <f t="shared" ref="AG41:AG43" si="10">AG40+200</f>
        <v>2300</v>
      </c>
      <c r="AH41" s="33">
        <f t="shared" ref="AH41:AH44" si="11">AH40+0.8</f>
        <v>9.6000000000000014</v>
      </c>
    </row>
    <row r="42" spans="1:42" x14ac:dyDescent="0.25">
      <c r="L42" s="49"/>
      <c r="AE42" s="33">
        <v>18</v>
      </c>
      <c r="AF42" s="33">
        <f t="shared" si="9"/>
        <v>59.399999999999991</v>
      </c>
      <c r="AG42" s="33">
        <f t="shared" si="10"/>
        <v>2500</v>
      </c>
      <c r="AH42" s="33">
        <f t="shared" si="11"/>
        <v>10.400000000000002</v>
      </c>
    </row>
    <row r="43" spans="1:42" x14ac:dyDescent="0.25">
      <c r="L43" s="49"/>
      <c r="AE43" s="33">
        <v>19</v>
      </c>
      <c r="AF43" s="33">
        <f t="shared" si="9"/>
        <v>63.199999999999989</v>
      </c>
      <c r="AG43" s="33">
        <f t="shared" si="10"/>
        <v>2700</v>
      </c>
      <c r="AH43" s="33">
        <f t="shared" si="11"/>
        <v>11.200000000000003</v>
      </c>
    </row>
    <row r="44" spans="1:42" x14ac:dyDescent="0.25">
      <c r="L44" s="49"/>
      <c r="AE44" s="33">
        <v>20</v>
      </c>
      <c r="AF44" s="33">
        <f t="shared" si="9"/>
        <v>66.999999999999986</v>
      </c>
      <c r="AG44" s="33">
        <f>AG43+200</f>
        <v>2900</v>
      </c>
      <c r="AH44" s="33">
        <f t="shared" si="11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2">AF45+2.8</f>
        <v>72.59999999999998</v>
      </c>
      <c r="AG46" s="33">
        <f t="shared" ref="AG46:AG48" si="13">AG45+380</f>
        <v>3660</v>
      </c>
      <c r="AH46" s="33">
        <f t="shared" ref="AH46:AH49" si="14">AH45+1.6</f>
        <v>15.200000000000003</v>
      </c>
    </row>
    <row r="47" spans="1:42" x14ac:dyDescent="0.25">
      <c r="L47" s="49"/>
      <c r="AE47" s="33">
        <v>23</v>
      </c>
      <c r="AF47" s="33">
        <f t="shared" si="12"/>
        <v>75.399999999999977</v>
      </c>
      <c r="AG47" s="33">
        <f t="shared" si="13"/>
        <v>4040</v>
      </c>
      <c r="AH47" s="33">
        <f t="shared" si="14"/>
        <v>16.800000000000004</v>
      </c>
    </row>
    <row r="48" spans="1:42" x14ac:dyDescent="0.25">
      <c r="L48" s="49"/>
      <c r="AE48" s="33">
        <v>24</v>
      </c>
      <c r="AF48" s="33">
        <f t="shared" si="12"/>
        <v>78.199999999999974</v>
      </c>
      <c r="AG48" s="33">
        <f t="shared" si="13"/>
        <v>4420</v>
      </c>
      <c r="AH48" s="33">
        <f t="shared" si="14"/>
        <v>18.400000000000006</v>
      </c>
    </row>
    <row r="49" spans="12:34" x14ac:dyDescent="0.25">
      <c r="L49" s="49"/>
      <c r="AE49" s="33">
        <v>25</v>
      </c>
      <c r="AF49" s="33">
        <f t="shared" si="12"/>
        <v>80.999999999999972</v>
      </c>
      <c r="AG49" s="33">
        <v>4800</v>
      </c>
      <c r="AH49" s="33">
        <f t="shared" si="14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5">AF50+3</f>
        <v>86.999999999999972</v>
      </c>
      <c r="AG51" s="33">
        <f t="shared" ref="AG51:AG54" si="16">AG50+960</f>
        <v>6720</v>
      </c>
      <c r="AH51" s="33">
        <f t="shared" ref="AH51:AH54" si="17">AH50+4</f>
        <v>28.000000000000007</v>
      </c>
    </row>
    <row r="52" spans="12:34" x14ac:dyDescent="0.25">
      <c r="L52" s="49"/>
      <c r="AE52" s="33">
        <v>28</v>
      </c>
      <c r="AF52" s="33">
        <f t="shared" si="15"/>
        <v>89.999999999999972</v>
      </c>
      <c r="AG52" s="33">
        <f t="shared" si="16"/>
        <v>7680</v>
      </c>
      <c r="AH52" s="33">
        <f t="shared" si="17"/>
        <v>32.000000000000007</v>
      </c>
    </row>
    <row r="53" spans="12:34" x14ac:dyDescent="0.25">
      <c r="L53" s="49"/>
      <c r="AE53" s="33">
        <v>29</v>
      </c>
      <c r="AF53" s="33">
        <f t="shared" si="15"/>
        <v>92.999999999999972</v>
      </c>
      <c r="AG53" s="33">
        <f t="shared" si="16"/>
        <v>8640</v>
      </c>
      <c r="AH53" s="33">
        <f t="shared" si="17"/>
        <v>36.000000000000007</v>
      </c>
    </row>
    <row r="54" spans="12:34" x14ac:dyDescent="0.25">
      <c r="L54" s="49"/>
      <c r="AE54" s="33">
        <v>30</v>
      </c>
      <c r="AF54" s="33">
        <f t="shared" si="15"/>
        <v>95.999999999999972</v>
      </c>
      <c r="AG54" s="33">
        <f t="shared" si="16"/>
        <v>9600</v>
      </c>
      <c r="AH54" s="33">
        <f t="shared" si="17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8">AF55+3.8</f>
        <v>103.59999999999997</v>
      </c>
      <c r="AG56" s="33">
        <f t="shared" ref="AG56:AG59" si="19">AG55+480</f>
        <v>10560</v>
      </c>
      <c r="AH56" s="33">
        <f t="shared" ref="AH56:AH59" si="20">AH55+2</f>
        <v>44.000000000000007</v>
      </c>
    </row>
    <row r="57" spans="12:34" x14ac:dyDescent="0.25">
      <c r="L57" s="49"/>
      <c r="AE57" s="33">
        <v>33</v>
      </c>
      <c r="AF57" s="33">
        <f t="shared" si="18"/>
        <v>107.39999999999996</v>
      </c>
      <c r="AG57" s="33">
        <f t="shared" si="19"/>
        <v>11040</v>
      </c>
      <c r="AH57" s="33">
        <f t="shared" si="20"/>
        <v>46.000000000000007</v>
      </c>
    </row>
    <row r="58" spans="12:34" x14ac:dyDescent="0.25">
      <c r="L58" s="49"/>
      <c r="AE58" s="33">
        <v>34</v>
      </c>
      <c r="AF58" s="33">
        <f t="shared" si="18"/>
        <v>111.19999999999996</v>
      </c>
      <c r="AG58" s="33">
        <f t="shared" si="19"/>
        <v>11520</v>
      </c>
      <c r="AH58" s="33">
        <f t="shared" si="20"/>
        <v>48.000000000000007</v>
      </c>
    </row>
    <row r="59" spans="12:34" x14ac:dyDescent="0.25">
      <c r="L59" s="49"/>
      <c r="AE59" s="33">
        <v>35</v>
      </c>
      <c r="AF59" s="33">
        <f t="shared" si="18"/>
        <v>114.99999999999996</v>
      </c>
      <c r="AG59" s="33">
        <f t="shared" si="19"/>
        <v>12000</v>
      </c>
      <c r="AH59" s="33">
        <f t="shared" si="20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8:AP36 Q28:Q36 O28 AJ23:AJ24 AB23:AB24 Q23:T24 W23:Z24 AM23:AR24 N28:N36 N23:N24">
    <cfRule type="expression" dxfId="3598" priority="19">
      <formula>$L23="API sand"</formula>
    </cfRule>
  </conditionalFormatting>
  <conditionalFormatting sqref="R29:S36 S28 AD28 AB28:AB35 AJ28:AL36 Z28:Z36 AK23:AL24 N28:N36 N23:N24">
    <cfRule type="expression" dxfId="3597" priority="18">
      <formula>$M23="API sand"</formula>
    </cfRule>
  </conditionalFormatting>
  <conditionalFormatting sqref="R29:T36 S28:T28 AD28 Z28:AB35 AK28:AL36 N28:N36 N23:N24 AK23:AL24">
    <cfRule type="expression" dxfId="3596" priority="17">
      <formula>$M23="API clay"</formula>
    </cfRule>
  </conditionalFormatting>
  <conditionalFormatting sqref="U28:W36 N28 P28 N23:P24 AA23:AA24 AC23:AI24 U23:V24 AM28:AP36 AM23:AP24">
    <cfRule type="expression" dxfId="3595" priority="14">
      <formula>$L23="Stiff clay w/o free water"</formula>
    </cfRule>
    <cfRule type="expression" dxfId="3594" priority="16">
      <formula>$L23="API clay"</formula>
    </cfRule>
  </conditionalFormatting>
  <conditionalFormatting sqref="U28:Y36 N28 P28 N23:P24 AA23:AA24 AC23:AI24 U23:V24 AM28:AP36 AM23:AP24">
    <cfRule type="expression" dxfId="3593" priority="15">
      <formula>$L23="Kirsch soft clay"</formula>
    </cfRule>
  </conditionalFormatting>
  <conditionalFormatting sqref="U28:Y36 N28 P28 N23:P24 AA23:AA24 AC23:AI24 U23:V24 AM28:AP36 AM23:AP24">
    <cfRule type="expression" dxfId="3592" priority="13">
      <formula>$L23="Kirsch stiff clay"</formula>
    </cfRule>
  </conditionalFormatting>
  <conditionalFormatting sqref="AM28:AP36 Q28:Q36 X28:Y36 O28 AJ23:AJ24 AB23:AB24 Q23:T24 W23:Z24 AM23:AR24 N28:N36 N23:N24">
    <cfRule type="expression" dxfId="3591" priority="12">
      <formula>$L23="Kirsch sand"</formula>
    </cfRule>
  </conditionalFormatting>
  <conditionalFormatting sqref="AC28:AD36 AI28:AI36 AM28:AP36 N28:N36 N23:N24 AM23:AP24">
    <cfRule type="expression" dxfId="3590" priority="11">
      <formula>$L23="Modified Weak rock"</formula>
    </cfRule>
  </conditionalFormatting>
  <conditionalFormatting sqref="N28 P28 N23:P24 AA23:AA24 AC23:AI24 U28:V36 AM28:AP36 AM23:AP24 U23:V24">
    <cfRule type="expression" dxfId="3589" priority="10">
      <formula>$L23="Reese stiff clay"</formula>
    </cfRule>
  </conditionalFormatting>
  <conditionalFormatting sqref="AB36">
    <cfRule type="expression" dxfId="3588" priority="9">
      <formula>$M36="API sand"</formula>
    </cfRule>
  </conditionalFormatting>
  <conditionalFormatting sqref="Z36:AB36">
    <cfRule type="expression" dxfId="3587" priority="8">
      <formula>$M36="API clay"</formula>
    </cfRule>
  </conditionalFormatting>
  <conditionalFormatting sqref="N29:P36">
    <cfRule type="expression" dxfId="3586" priority="5">
      <formula>$L29="Stiff clay w/o free water"</formula>
    </cfRule>
    <cfRule type="expression" dxfId="3585" priority="7">
      <formula>$L29="API clay"</formula>
    </cfRule>
  </conditionalFormatting>
  <conditionalFormatting sqref="N29:P36">
    <cfRule type="expression" dxfId="3584" priority="6">
      <formula>$L29="Kirsch soft clay"</formula>
    </cfRule>
  </conditionalFormatting>
  <conditionalFormatting sqref="N29:P36">
    <cfRule type="expression" dxfId="3583" priority="4">
      <formula>$L29="Kirsch stiff clay"</formula>
    </cfRule>
  </conditionalFormatting>
  <conditionalFormatting sqref="N29:P36">
    <cfRule type="expression" dxfId="3582" priority="3">
      <formula>$L29="Reese stiff clay"</formula>
    </cfRule>
  </conditionalFormatting>
  <conditionalFormatting sqref="N23:P24 AA23:AA24 AC23:AI24 AM23:AP24 U23:V24">
    <cfRule type="expression" dxfId="3581" priority="2">
      <formula>$L23="PISA clay"</formula>
    </cfRule>
  </conditionalFormatting>
  <conditionalFormatting sqref="N23:N24 AM23:AP24">
    <cfRule type="expression" dxfId="3580" priority="1">
      <formula>$L23="PISA sand"</formula>
    </cfRule>
  </conditionalFormatting>
  <conditionalFormatting sqref="AE37:AH37">
    <cfRule type="expression" dxfId="3579" priority="20">
      <formula>#REF!="Modified Weak rock"</formula>
    </cfRule>
  </conditionalFormatting>
  <dataValidations count="4">
    <dataValidation type="list" showInputMessage="1" showErrorMessage="1" sqref="M28:M36 M11:M24" xr:uid="{82771588-6612-476A-9063-C74E6EE99945}">
      <formula1>"',API sand,API clay"</formula1>
    </dataValidation>
    <dataValidation type="list" showInputMessage="1" showErrorMessage="1" sqref="M6:M24" xr:uid="{5C928B4C-3B9C-4EBB-918F-F285016AED34}">
      <formula1>"Zero soil,API sand,API clay"</formula1>
    </dataValidation>
    <dataValidation type="list" showInputMessage="1" showErrorMessage="1" sqref="L28:L255 L23:L24" xr:uid="{AEC843B4-9E66-469B-9400-E78F1414596F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16:L17" xr:uid="{BF80F92A-7706-4CB5-9DC7-EAD0C412409F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31BCF-FBB6-40EA-9170-6D0A02D2DD89}">
  <sheetPr>
    <tabColor rgb="FFFF0000"/>
  </sheetPr>
  <dimension ref="A1:AS255"/>
  <sheetViews>
    <sheetView topLeftCell="I1" zoomScale="85" zoomScaleNormal="85" workbookViewId="0">
      <selection activeCell="I3" sqref="I3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Ak_kirsch_BH-48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2"/>
      <c r="R3" s="155"/>
      <c r="S3" s="155"/>
      <c r="T3" s="112"/>
      <c r="U3" s="155"/>
      <c r="V3" s="155"/>
      <c r="W3" s="112"/>
      <c r="X3" s="69"/>
      <c r="Y3" s="112"/>
      <c r="Z3" s="112"/>
      <c r="AA3" s="112"/>
      <c r="AB3" s="112"/>
      <c r="AC3" s="69"/>
      <c r="AD3" s="39"/>
      <c r="AE3" s="39"/>
      <c r="AF3" s="39"/>
      <c r="AG3" s="39"/>
      <c r="AH3" s="39"/>
      <c r="AI3" s="39"/>
      <c r="AJ3" s="112"/>
      <c r="AK3" s="112"/>
      <c r="AL3" s="112"/>
      <c r="AM3" s="112"/>
      <c r="AN3" s="112"/>
      <c r="AO3" s="112"/>
      <c r="AP3" s="112"/>
    </row>
    <row r="4" spans="1:45" x14ac:dyDescent="0.25">
      <c r="A4" s="40" t="s">
        <v>60</v>
      </c>
      <c r="B4" s="33">
        <f>COUNTIF(J:J,"&gt;0")</f>
        <v>17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3" t="s">
        <v>38</v>
      </c>
      <c r="K5" s="113" t="s">
        <v>30</v>
      </c>
      <c r="L5" s="113" t="s">
        <v>31</v>
      </c>
      <c r="M5" s="113" t="s">
        <v>31</v>
      </c>
      <c r="N5" s="113" t="s">
        <v>32</v>
      </c>
      <c r="O5" s="113" t="s">
        <v>33</v>
      </c>
      <c r="P5" s="113" t="s">
        <v>35</v>
      </c>
      <c r="Q5" s="113" t="s">
        <v>36</v>
      </c>
      <c r="R5" s="113" t="s">
        <v>36</v>
      </c>
      <c r="S5" s="113" t="s">
        <v>34</v>
      </c>
      <c r="T5" s="113" t="s">
        <v>33</v>
      </c>
      <c r="U5" s="113" t="s">
        <v>34</v>
      </c>
      <c r="V5" s="113" t="s">
        <v>62</v>
      </c>
      <c r="W5" s="113" t="s">
        <v>34</v>
      </c>
      <c r="X5" s="113" t="s">
        <v>33</v>
      </c>
      <c r="Y5" s="113" t="s">
        <v>35</v>
      </c>
      <c r="Z5" s="113" t="s">
        <v>33</v>
      </c>
      <c r="AA5" s="113" t="s">
        <v>34</v>
      </c>
      <c r="AB5" s="113" t="s">
        <v>33</v>
      </c>
      <c r="AC5" s="113" t="s">
        <v>33</v>
      </c>
      <c r="AD5" s="113" t="s">
        <v>35</v>
      </c>
      <c r="AE5" s="113" t="s">
        <v>34</v>
      </c>
      <c r="AF5" s="113" t="s">
        <v>33</v>
      </c>
      <c r="AG5" s="113" t="s">
        <v>35</v>
      </c>
      <c r="AH5" s="113" t="s">
        <v>34</v>
      </c>
      <c r="AI5" s="113" t="s">
        <v>34</v>
      </c>
      <c r="AJ5" s="113" t="s">
        <v>34</v>
      </c>
      <c r="AK5" s="113" t="s">
        <v>34</v>
      </c>
      <c r="AL5" s="113" t="s">
        <v>34</v>
      </c>
      <c r="AM5" s="113" t="s">
        <v>34</v>
      </c>
      <c r="AN5" s="113" t="s">
        <v>34</v>
      </c>
      <c r="AO5" s="113" t="s">
        <v>34</v>
      </c>
      <c r="AP5" s="113" t="s">
        <v>34</v>
      </c>
      <c r="AQ5" s="113" t="s">
        <v>103</v>
      </c>
      <c r="AR5" s="113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45</v>
      </c>
      <c r="R6" s="47">
        <f>IF(Q6&lt;&gt;0,Q6-5,NA())</f>
        <v>40</v>
      </c>
      <c r="S6" s="47">
        <v>0.4</v>
      </c>
      <c r="T6" s="47">
        <v>0</v>
      </c>
      <c r="U6" s="75">
        <v>0</v>
      </c>
      <c r="V6" s="75">
        <v>0</v>
      </c>
      <c r="W6" s="47">
        <v>0</v>
      </c>
      <c r="X6" s="47">
        <v>100</v>
      </c>
      <c r="Y6" s="47">
        <v>150000</v>
      </c>
      <c r="Z6" s="47">
        <f t="shared" ref="Z6:Z11" si="0">VLOOKUP(R6,$AE$39:$AF$59,2)</f>
        <v>114.99999999999996</v>
      </c>
      <c r="AA6" s="47">
        <v>1</v>
      </c>
      <c r="AB6" s="47">
        <f>VLOOKUP(R6,$AE$39:$AG$59,3)</f>
        <v>12000</v>
      </c>
      <c r="AC6" s="63">
        <v>8000</v>
      </c>
      <c r="AD6" s="63">
        <v>20000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0" si="1">VLOOKUP(R6,$AE$39:$AH$59,4)</f>
        <v>50.000000000000007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100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-0.1</v>
      </c>
      <c r="L7" s="116" t="s">
        <v>106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45</v>
      </c>
      <c r="R7" s="47">
        <f t="shared" ref="R7:R22" si="2">IF(Q7&lt;&gt;0,Q7-5,NA())</f>
        <v>40</v>
      </c>
      <c r="S7" s="47">
        <v>0.4</v>
      </c>
      <c r="T7" s="47">
        <v>0</v>
      </c>
      <c r="U7" s="75">
        <v>0</v>
      </c>
      <c r="V7" s="75">
        <v>0</v>
      </c>
      <c r="W7" s="47">
        <v>0</v>
      </c>
      <c r="X7" s="47">
        <v>15000</v>
      </c>
      <c r="Y7" s="47">
        <v>55000</v>
      </c>
      <c r="Z7" s="47">
        <f t="shared" si="0"/>
        <v>114.99999999999996</v>
      </c>
      <c r="AA7" s="47">
        <v>1</v>
      </c>
      <c r="AB7" s="47">
        <f t="shared" ref="AB7:AB10" si="3">VLOOKUP(R7,$AE$39:$AG$59,3)</f>
        <v>12000</v>
      </c>
      <c r="AC7" s="63">
        <v>10000</v>
      </c>
      <c r="AD7" s="63">
        <v>25000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1"/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">
        <v>279</v>
      </c>
      <c r="J8" s="47">
        <v>3</v>
      </c>
      <c r="K8" s="33">
        <v>-0.5</v>
      </c>
      <c r="L8" s="116" t="s">
        <v>106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45</v>
      </c>
      <c r="R8" s="47">
        <f t="shared" si="2"/>
        <v>40</v>
      </c>
      <c r="S8" s="47">
        <v>0.4</v>
      </c>
      <c r="T8" s="47">
        <v>0</v>
      </c>
      <c r="U8" s="75">
        <v>0</v>
      </c>
      <c r="V8" s="75">
        <v>0</v>
      </c>
      <c r="W8" s="47">
        <v>0</v>
      </c>
      <c r="X8" s="47">
        <v>37000</v>
      </c>
      <c r="Y8" s="47">
        <v>56000</v>
      </c>
      <c r="Z8" s="47">
        <f t="shared" si="0"/>
        <v>114.99999999999996</v>
      </c>
      <c r="AA8" s="47">
        <v>1</v>
      </c>
      <c r="AB8" s="47">
        <f t="shared" si="3"/>
        <v>12000</v>
      </c>
      <c r="AC8" s="63">
        <v>20000</v>
      </c>
      <c r="AD8" s="63">
        <v>22000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1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100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279</v>
      </c>
      <c r="J9" s="47">
        <v>4</v>
      </c>
      <c r="K9" s="33">
        <v>-1</v>
      </c>
      <c r="L9" s="116" t="s">
        <v>106</v>
      </c>
      <c r="M9" s="105" t="s">
        <v>64</v>
      </c>
      <c r="N9" s="47">
        <v>9.6999999999999993</v>
      </c>
      <c r="O9" s="63">
        <v>0</v>
      </c>
      <c r="P9" s="63">
        <v>0</v>
      </c>
      <c r="Q9" s="47">
        <v>45</v>
      </c>
      <c r="R9" s="47">
        <f t="shared" si="2"/>
        <v>40</v>
      </c>
      <c r="S9" s="47">
        <v>0.4</v>
      </c>
      <c r="T9" s="47">
        <v>0</v>
      </c>
      <c r="U9" s="75">
        <v>0</v>
      </c>
      <c r="V9" s="75">
        <v>0</v>
      </c>
      <c r="W9" s="47">
        <v>0</v>
      </c>
      <c r="X9" s="47">
        <v>65000</v>
      </c>
      <c r="Y9" s="47">
        <v>0</v>
      </c>
      <c r="Z9" s="47">
        <f t="shared" si="0"/>
        <v>114.99999999999996</v>
      </c>
      <c r="AA9" s="47">
        <v>1</v>
      </c>
      <c r="AB9" s="47">
        <f t="shared" si="3"/>
        <v>12000</v>
      </c>
      <c r="AC9" s="63">
        <v>31000</v>
      </c>
      <c r="AD9" s="63">
        <v>11000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1"/>
        <v>50.000000000000007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100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279</v>
      </c>
      <c r="J10" s="47">
        <v>5</v>
      </c>
      <c r="K10" s="56">
        <v>-2</v>
      </c>
      <c r="L10" s="116" t="s">
        <v>106</v>
      </c>
      <c r="M10" s="105" t="s">
        <v>64</v>
      </c>
      <c r="N10" s="47">
        <v>9.6999999999999993</v>
      </c>
      <c r="O10" s="63">
        <v>0</v>
      </c>
      <c r="P10" s="63">
        <v>0</v>
      </c>
      <c r="Q10" s="47">
        <v>45</v>
      </c>
      <c r="R10" s="47">
        <f t="shared" si="2"/>
        <v>40</v>
      </c>
      <c r="S10" s="47">
        <v>0.4</v>
      </c>
      <c r="T10" s="47">
        <v>0</v>
      </c>
      <c r="U10" s="75">
        <v>0</v>
      </c>
      <c r="V10" s="75">
        <v>0</v>
      </c>
      <c r="W10" s="47">
        <v>0</v>
      </c>
      <c r="X10" s="47">
        <v>65000</v>
      </c>
      <c r="Y10" s="47">
        <v>0</v>
      </c>
      <c r="Z10" s="47">
        <f t="shared" si="0"/>
        <v>114.99999999999996</v>
      </c>
      <c r="AA10" s="47">
        <v>1</v>
      </c>
      <c r="AB10" s="47">
        <f t="shared" si="3"/>
        <v>12000</v>
      </c>
      <c r="AC10" s="63">
        <v>42000</v>
      </c>
      <c r="AD10" s="63">
        <v>6500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1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100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56" t="s">
        <v>261</v>
      </c>
      <c r="J11" s="47">
        <v>6</v>
      </c>
      <c r="K11" s="19">
        <v>-2.2000000000000002</v>
      </c>
      <c r="L11" s="116" t="s">
        <v>106</v>
      </c>
      <c r="M11" s="105" t="s">
        <v>64</v>
      </c>
      <c r="N11" s="47">
        <v>9.9</v>
      </c>
      <c r="O11" s="63">
        <v>0</v>
      </c>
      <c r="P11" s="63">
        <v>0</v>
      </c>
      <c r="Q11" s="47">
        <v>44</v>
      </c>
      <c r="R11" s="47">
        <f t="shared" si="2"/>
        <v>39</v>
      </c>
      <c r="S11" s="47">
        <v>2.5</v>
      </c>
      <c r="T11" s="47">
        <v>0</v>
      </c>
      <c r="U11" s="75">
        <v>0</v>
      </c>
      <c r="V11" s="75">
        <v>0</v>
      </c>
      <c r="W11" s="47">
        <v>0</v>
      </c>
      <c r="X11" s="47">
        <v>27400</v>
      </c>
      <c r="Y11" s="47">
        <v>2000</v>
      </c>
      <c r="Z11" s="47">
        <f t="shared" si="0"/>
        <v>114.99999999999996</v>
      </c>
      <c r="AA11" s="47">
        <v>1</v>
      </c>
      <c r="AB11" s="47">
        <f t="shared" ref="AB11" si="4">VLOOKUP(R11,$AE$39:$AG$59,3)</f>
        <v>12000</v>
      </c>
      <c r="AC11" s="63">
        <v>33900</v>
      </c>
      <c r="AD11" s="63">
        <v>3250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ref="AJ11" si="5">VLOOKUP(R11,$AE$39:$AH$59,4)</f>
        <v>50.000000000000007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85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 t="s">
        <v>261</v>
      </c>
      <c r="J12" s="47">
        <v>7</v>
      </c>
      <c r="K12" s="19">
        <v>-5</v>
      </c>
      <c r="L12" s="116" t="s">
        <v>106</v>
      </c>
      <c r="M12" s="105" t="s">
        <v>64</v>
      </c>
      <c r="N12" s="47">
        <v>9.9</v>
      </c>
      <c r="O12" s="63">
        <v>0</v>
      </c>
      <c r="P12" s="63">
        <v>0</v>
      </c>
      <c r="Q12" s="47">
        <v>44</v>
      </c>
      <c r="R12" s="47">
        <f t="shared" si="2"/>
        <v>39</v>
      </c>
      <c r="S12" s="47">
        <v>2.5</v>
      </c>
      <c r="T12" s="47">
        <v>0</v>
      </c>
      <c r="U12" s="75">
        <v>0</v>
      </c>
      <c r="V12" s="75">
        <v>0</v>
      </c>
      <c r="W12" s="47">
        <v>0</v>
      </c>
      <c r="X12" s="47">
        <v>33000</v>
      </c>
      <c r="Y12" s="47">
        <v>2000</v>
      </c>
      <c r="Z12" s="47">
        <f t="shared" ref="Z12:Z17" si="6">VLOOKUP(R12,$AE$39:$AF$59,2)</f>
        <v>114.99999999999996</v>
      </c>
      <c r="AA12" s="47">
        <v>1</v>
      </c>
      <c r="AB12" s="47">
        <f t="shared" ref="AB12:AB17" si="7">VLOOKUP(R12,$AE$39:$AG$59,3)</f>
        <v>12000</v>
      </c>
      <c r="AC12" s="63">
        <v>43000</v>
      </c>
      <c r="AD12" s="63">
        <v>4000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ref="AJ12:AJ17" si="8">VLOOKUP(R12,$AE$39:$AH$59,4)</f>
        <v>50.000000000000007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85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56" t="s">
        <v>261</v>
      </c>
      <c r="J13" s="47">
        <v>8</v>
      </c>
      <c r="K13" s="19">
        <v>-6</v>
      </c>
      <c r="L13" s="116" t="s">
        <v>106</v>
      </c>
      <c r="M13" s="105" t="s">
        <v>64</v>
      </c>
      <c r="N13" s="47">
        <v>9.9</v>
      </c>
      <c r="O13" s="63">
        <v>0</v>
      </c>
      <c r="P13" s="63">
        <v>0</v>
      </c>
      <c r="Q13" s="47">
        <v>44</v>
      </c>
      <c r="R13" s="47">
        <f t="shared" si="2"/>
        <v>39</v>
      </c>
      <c r="S13" s="47">
        <v>2.2000000000000002</v>
      </c>
      <c r="T13" s="47">
        <v>0</v>
      </c>
      <c r="U13" s="75">
        <v>0</v>
      </c>
      <c r="V13" s="75">
        <v>0</v>
      </c>
      <c r="W13" s="47">
        <v>0</v>
      </c>
      <c r="X13" s="47">
        <v>35000</v>
      </c>
      <c r="Y13" s="47">
        <v>2500</v>
      </c>
      <c r="Z13" s="47">
        <f t="shared" si="6"/>
        <v>114.99999999999996</v>
      </c>
      <c r="AA13" s="47">
        <v>1</v>
      </c>
      <c r="AB13" s="47">
        <f t="shared" si="7"/>
        <v>12000</v>
      </c>
      <c r="AC13" s="63">
        <v>47000</v>
      </c>
      <c r="AD13" s="63">
        <v>3000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8"/>
        <v>50.000000000000007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85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261</v>
      </c>
      <c r="J14" s="47">
        <v>9</v>
      </c>
      <c r="K14" s="19">
        <v>-8</v>
      </c>
      <c r="L14" s="116" t="s">
        <v>106</v>
      </c>
      <c r="M14" s="105" t="s">
        <v>64</v>
      </c>
      <c r="N14" s="47">
        <v>9.9</v>
      </c>
      <c r="O14" s="63">
        <v>0</v>
      </c>
      <c r="P14" s="63">
        <v>0</v>
      </c>
      <c r="Q14" s="47">
        <v>44</v>
      </c>
      <c r="R14" s="47">
        <f t="shared" si="2"/>
        <v>39</v>
      </c>
      <c r="S14" s="47">
        <v>1.9</v>
      </c>
      <c r="T14" s="47">
        <v>0</v>
      </c>
      <c r="U14" s="75">
        <v>0</v>
      </c>
      <c r="V14" s="75">
        <v>0</v>
      </c>
      <c r="W14" s="47">
        <v>0</v>
      </c>
      <c r="X14" s="47">
        <v>40000</v>
      </c>
      <c r="Y14" s="47">
        <v>2000</v>
      </c>
      <c r="Z14" s="47">
        <f t="shared" si="6"/>
        <v>114.99999999999996</v>
      </c>
      <c r="AA14" s="47">
        <v>1</v>
      </c>
      <c r="AB14" s="47">
        <f t="shared" si="7"/>
        <v>12000</v>
      </c>
      <c r="AC14" s="63">
        <v>53000</v>
      </c>
      <c r="AD14" s="63">
        <v>3500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8"/>
        <v>50.000000000000007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85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261</v>
      </c>
      <c r="J15" s="47">
        <v>10</v>
      </c>
      <c r="K15" s="19">
        <v>-10</v>
      </c>
      <c r="L15" s="116" t="s">
        <v>106</v>
      </c>
      <c r="M15" s="105" t="s">
        <v>64</v>
      </c>
      <c r="N15" s="47">
        <v>9.9</v>
      </c>
      <c r="O15" s="63">
        <v>0</v>
      </c>
      <c r="P15" s="63">
        <v>0</v>
      </c>
      <c r="Q15" s="47">
        <v>44</v>
      </c>
      <c r="R15" s="47">
        <f t="shared" si="2"/>
        <v>39</v>
      </c>
      <c r="S15" s="47">
        <v>1.7</v>
      </c>
      <c r="T15" s="47">
        <v>0</v>
      </c>
      <c r="U15" s="75">
        <v>0</v>
      </c>
      <c r="V15" s="75">
        <v>0</v>
      </c>
      <c r="W15" s="47">
        <v>0</v>
      </c>
      <c r="X15" s="47">
        <v>44000</v>
      </c>
      <c r="Y15" s="47">
        <v>2000</v>
      </c>
      <c r="Z15" s="47">
        <f t="shared" si="6"/>
        <v>114.99999999999996</v>
      </c>
      <c r="AA15" s="47">
        <v>1</v>
      </c>
      <c r="AB15" s="47">
        <f t="shared" si="7"/>
        <v>12000</v>
      </c>
      <c r="AC15" s="63">
        <v>60000</v>
      </c>
      <c r="AD15" s="63">
        <v>2500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8"/>
        <v>50.000000000000007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85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266</v>
      </c>
      <c r="J16" s="47">
        <v>11</v>
      </c>
      <c r="K16" s="19">
        <v>-10.8</v>
      </c>
      <c r="L16" s="116" t="s">
        <v>107</v>
      </c>
      <c r="M16" s="105" t="s">
        <v>65</v>
      </c>
      <c r="N16" s="47">
        <v>8.5</v>
      </c>
      <c r="O16" s="63">
        <v>141.69999999999999</v>
      </c>
      <c r="P16" s="63">
        <v>6.5</v>
      </c>
      <c r="Q16" s="47">
        <v>0</v>
      </c>
      <c r="R16" s="47" t="e">
        <f t="shared" si="2"/>
        <v>#N/A</v>
      </c>
      <c r="S16" s="47">
        <v>1.92</v>
      </c>
      <c r="T16" s="47">
        <v>0</v>
      </c>
      <c r="U16" s="75">
        <v>1.7999999999999999E-2</v>
      </c>
      <c r="V16" s="75">
        <v>0</v>
      </c>
      <c r="W16" s="47">
        <v>0.5</v>
      </c>
      <c r="X16" s="47">
        <v>10900</v>
      </c>
      <c r="Y16" s="47">
        <v>500</v>
      </c>
      <c r="Z16" s="47" t="e">
        <f t="shared" si="6"/>
        <v>#N/A</v>
      </c>
      <c r="AA16" s="47">
        <v>1</v>
      </c>
      <c r="AB16" s="47" t="e">
        <f t="shared" si="7"/>
        <v>#N/A</v>
      </c>
      <c r="AC16" s="63">
        <v>54000</v>
      </c>
      <c r="AD16" s="63">
        <v>2272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8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3"/>
      <c r="E17" s="113"/>
      <c r="I17" s="56" t="s">
        <v>266</v>
      </c>
      <c r="J17" s="47">
        <v>12</v>
      </c>
      <c r="K17" s="19">
        <v>-13</v>
      </c>
      <c r="L17" s="116" t="s">
        <v>107</v>
      </c>
      <c r="M17" s="105" t="s">
        <v>65</v>
      </c>
      <c r="N17" s="47">
        <v>8.5</v>
      </c>
      <c r="O17" s="63">
        <v>156</v>
      </c>
      <c r="P17" s="63">
        <v>6.5</v>
      </c>
      <c r="Q17" s="47">
        <v>0</v>
      </c>
      <c r="R17" s="47" t="e">
        <f t="shared" si="2"/>
        <v>#N/A</v>
      </c>
      <c r="S17" s="47">
        <v>1.7</v>
      </c>
      <c r="T17" s="47">
        <v>0</v>
      </c>
      <c r="U17" s="75">
        <v>1.7999999999999999E-2</v>
      </c>
      <c r="V17" s="75">
        <v>0</v>
      </c>
      <c r="W17" s="47">
        <v>0.5</v>
      </c>
      <c r="X17" s="47">
        <v>12000</v>
      </c>
      <c r="Y17" s="47">
        <v>500</v>
      </c>
      <c r="Z17" s="47" t="e">
        <f t="shared" si="6"/>
        <v>#N/A</v>
      </c>
      <c r="AA17" s="47">
        <v>1</v>
      </c>
      <c r="AB17" s="47" t="e">
        <f t="shared" si="7"/>
        <v>#N/A</v>
      </c>
      <c r="AC17" s="63">
        <v>59000</v>
      </c>
      <c r="AD17" s="63">
        <v>2483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8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268</v>
      </c>
      <c r="J18" s="47">
        <v>13</v>
      </c>
      <c r="K18" s="19">
        <v>-15.9</v>
      </c>
      <c r="L18" s="116" t="s">
        <v>106</v>
      </c>
      <c r="M18" s="105" t="s">
        <v>64</v>
      </c>
      <c r="N18" s="47">
        <v>9</v>
      </c>
      <c r="O18" s="63">
        <v>0</v>
      </c>
      <c r="P18" s="63">
        <v>0</v>
      </c>
      <c r="Q18" s="47">
        <v>40</v>
      </c>
      <c r="R18" s="47">
        <f t="shared" si="2"/>
        <v>35</v>
      </c>
      <c r="S18" s="47">
        <v>2.0499999999999998</v>
      </c>
      <c r="T18" s="47">
        <v>0</v>
      </c>
      <c r="U18" s="75">
        <v>0</v>
      </c>
      <c r="V18" s="75">
        <v>0</v>
      </c>
      <c r="W18" s="47">
        <v>0</v>
      </c>
      <c r="X18" s="47">
        <v>40000</v>
      </c>
      <c r="Y18" s="47">
        <v>0</v>
      </c>
      <c r="Z18" s="47">
        <f>VLOOKUP(R18,$AE$39:$AF$59,2)</f>
        <v>114.99999999999996</v>
      </c>
      <c r="AA18" s="47">
        <v>1</v>
      </c>
      <c r="AB18" s="47">
        <f>VLOOKUP(R18,$AE$39:$AG$59,3)</f>
        <v>12000</v>
      </c>
      <c r="AC18" s="63">
        <v>77000</v>
      </c>
      <c r="AD18" s="63">
        <v>888.89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>
        <f>VLOOKUP(R18,$AE$39:$AH$59,4)</f>
        <v>50.000000000000007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55</v>
      </c>
      <c r="AS18" s="33">
        <v>0.2</v>
      </c>
    </row>
    <row r="19" spans="1:45" x14ac:dyDescent="0.25">
      <c r="A19" s="113" t="s">
        <v>38</v>
      </c>
      <c r="B19" s="113" t="s">
        <v>30</v>
      </c>
      <c r="C19" s="113" t="s">
        <v>59</v>
      </c>
      <c r="D19" s="43"/>
      <c r="E19" s="35"/>
      <c r="I19" s="33" t="s">
        <v>290</v>
      </c>
      <c r="J19" s="47">
        <v>14</v>
      </c>
      <c r="K19" s="19">
        <v>-20.399999999999999</v>
      </c>
      <c r="L19" s="116" t="s">
        <v>106</v>
      </c>
      <c r="M19" s="105" t="s">
        <v>64</v>
      </c>
      <c r="N19" s="47">
        <v>8.6999999999999993</v>
      </c>
      <c r="O19" s="63">
        <v>0</v>
      </c>
      <c r="P19" s="63">
        <v>0</v>
      </c>
      <c r="Q19" s="47">
        <v>40</v>
      </c>
      <c r="R19" s="47">
        <f t="shared" si="2"/>
        <v>35</v>
      </c>
      <c r="S19" s="47">
        <v>1.5</v>
      </c>
      <c r="T19" s="47">
        <v>0</v>
      </c>
      <c r="U19" s="75">
        <v>0</v>
      </c>
      <c r="V19" s="75">
        <v>0</v>
      </c>
      <c r="W19" s="47">
        <v>0</v>
      </c>
      <c r="X19" s="47">
        <v>30000</v>
      </c>
      <c r="Y19" s="47">
        <v>0</v>
      </c>
      <c r="Z19" s="47">
        <f>VLOOKUP(R19,$AE$39:$AF$59,2)</f>
        <v>114.99999999999996</v>
      </c>
      <c r="AA19" s="47">
        <v>1</v>
      </c>
      <c r="AB19" s="47">
        <f>VLOOKUP(R19,$AE$39:$AG$59,3)</f>
        <v>12000</v>
      </c>
      <c r="AC19" s="63">
        <v>84000</v>
      </c>
      <c r="AD19" s="63">
        <v>2608.69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>
        <f>VLOOKUP(R19,$AE$39:$AH$59,4)</f>
        <v>50.000000000000007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60</v>
      </c>
      <c r="AS19" s="33">
        <v>0.2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291</v>
      </c>
      <c r="J20" s="47">
        <v>15</v>
      </c>
      <c r="K20" s="19">
        <v>-22.7</v>
      </c>
      <c r="L20" s="116" t="s">
        <v>106</v>
      </c>
      <c r="M20" s="105" t="s">
        <v>64</v>
      </c>
      <c r="N20" s="47">
        <v>8.5</v>
      </c>
      <c r="O20" s="63">
        <v>0</v>
      </c>
      <c r="P20" s="63">
        <v>0</v>
      </c>
      <c r="Q20" s="47">
        <v>34</v>
      </c>
      <c r="R20" s="47">
        <f t="shared" si="2"/>
        <v>29</v>
      </c>
      <c r="S20" s="47">
        <v>1.44</v>
      </c>
      <c r="T20" s="47">
        <v>0</v>
      </c>
      <c r="U20" s="75">
        <v>0</v>
      </c>
      <c r="V20" s="75">
        <v>0</v>
      </c>
      <c r="W20" s="47">
        <v>0</v>
      </c>
      <c r="X20" s="47">
        <v>25000</v>
      </c>
      <c r="Y20" s="47">
        <v>411</v>
      </c>
      <c r="Z20" s="47">
        <f>VLOOKUP(R20,$AE$39:$AF$59,2)</f>
        <v>92.999999999999972</v>
      </c>
      <c r="AA20" s="47">
        <v>1</v>
      </c>
      <c r="AB20" s="47">
        <f>VLOOKUP(R20,$AE$39:$AG$59,3)</f>
        <v>8640</v>
      </c>
      <c r="AC20" s="63">
        <v>72800</v>
      </c>
      <c r="AD20" s="63">
        <v>1397.26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>
        <f>VLOOKUP(R20,$AE$39:$AH$59,4)</f>
        <v>36.000000000000007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60</v>
      </c>
      <c r="AS20" s="33">
        <v>0.2</v>
      </c>
    </row>
    <row r="21" spans="1:45" x14ac:dyDescent="0.25">
      <c r="A21" s="66"/>
      <c r="B21" s="66"/>
      <c r="C21" s="67"/>
      <c r="D21" s="43"/>
      <c r="I21" s="33" t="s">
        <v>291</v>
      </c>
      <c r="J21" s="47">
        <v>16</v>
      </c>
      <c r="K21" s="33">
        <v>-30</v>
      </c>
      <c r="L21" s="116" t="s">
        <v>106</v>
      </c>
      <c r="M21" s="105" t="s">
        <v>64</v>
      </c>
      <c r="N21" s="47">
        <v>8.5</v>
      </c>
      <c r="O21" s="63">
        <v>0</v>
      </c>
      <c r="P21" s="63">
        <v>0</v>
      </c>
      <c r="Q21" s="47">
        <v>34</v>
      </c>
      <c r="R21" s="47">
        <f t="shared" si="2"/>
        <v>29</v>
      </c>
      <c r="S21" s="47">
        <v>1.3</v>
      </c>
      <c r="T21" s="47">
        <v>0</v>
      </c>
      <c r="U21" s="75">
        <v>0</v>
      </c>
      <c r="V21" s="75">
        <v>0</v>
      </c>
      <c r="W21" s="47">
        <v>0</v>
      </c>
      <c r="X21" s="47">
        <v>28000</v>
      </c>
      <c r="Y21" s="47">
        <v>420</v>
      </c>
      <c r="Z21" s="47">
        <f>VLOOKUP(R21,$AE$39:$AF$59,2)</f>
        <v>92.999999999999972</v>
      </c>
      <c r="AA21" s="47">
        <v>1</v>
      </c>
      <c r="AB21" s="47">
        <f>VLOOKUP(R21,$AE$39:$AG$59,3)</f>
        <v>8640</v>
      </c>
      <c r="AC21" s="63">
        <v>83000</v>
      </c>
      <c r="AD21" s="63">
        <v>1300</v>
      </c>
      <c r="AE21" s="63">
        <v>0.3</v>
      </c>
      <c r="AF21" s="63">
        <v>0</v>
      </c>
      <c r="AG21" s="63">
        <v>0</v>
      </c>
      <c r="AH21" s="63">
        <v>0</v>
      </c>
      <c r="AI21" s="63">
        <v>0</v>
      </c>
      <c r="AJ21" s="47">
        <f>VLOOKUP(R21,$AE$39:$AH$59,4)</f>
        <v>36.000000000000007</v>
      </c>
      <c r="AK21" s="47">
        <v>1</v>
      </c>
      <c r="AL21" s="47">
        <v>1</v>
      </c>
      <c r="AM21" s="47">
        <v>1</v>
      </c>
      <c r="AN21" s="47">
        <v>1</v>
      </c>
      <c r="AO21" s="47">
        <v>1</v>
      </c>
      <c r="AP21" s="47">
        <v>1</v>
      </c>
      <c r="AQ21" s="47">
        <v>0</v>
      </c>
      <c r="AR21" s="47">
        <v>60</v>
      </c>
      <c r="AS21" s="33">
        <v>0.2</v>
      </c>
    </row>
    <row r="22" spans="1:45" x14ac:dyDescent="0.25">
      <c r="A22" s="66"/>
      <c r="B22" s="66"/>
      <c r="C22" s="67"/>
      <c r="D22" s="35"/>
      <c r="I22" s="33" t="s">
        <v>291</v>
      </c>
      <c r="J22" s="47">
        <v>17</v>
      </c>
      <c r="K22" s="33">
        <v>-50</v>
      </c>
      <c r="L22" s="116" t="s">
        <v>106</v>
      </c>
      <c r="M22" s="105" t="s">
        <v>64</v>
      </c>
      <c r="N22" s="47">
        <v>8.5</v>
      </c>
      <c r="O22" s="63">
        <v>0</v>
      </c>
      <c r="P22" s="63">
        <v>0</v>
      </c>
      <c r="Q22" s="47">
        <v>34</v>
      </c>
      <c r="R22" s="47">
        <f t="shared" si="2"/>
        <v>29</v>
      </c>
      <c r="S22" s="47">
        <v>1.3</v>
      </c>
      <c r="T22" s="47">
        <v>0</v>
      </c>
      <c r="U22" s="75">
        <v>0</v>
      </c>
      <c r="V22" s="75">
        <v>0</v>
      </c>
      <c r="W22" s="47">
        <v>0</v>
      </c>
      <c r="X22" s="47">
        <v>36400</v>
      </c>
      <c r="Y22" s="47">
        <v>0</v>
      </c>
      <c r="Z22" s="47">
        <f>VLOOKUP(R22,$AE$39:$AF$59,2)</f>
        <v>92.999999999999972</v>
      </c>
      <c r="AA22" s="47">
        <v>1</v>
      </c>
      <c r="AB22" s="47">
        <f>VLOOKUP(R22,$AE$39:$AG$59,3)</f>
        <v>8640</v>
      </c>
      <c r="AC22" s="63">
        <v>109000</v>
      </c>
      <c r="AD22" s="63">
        <v>0</v>
      </c>
      <c r="AE22" s="63">
        <v>0.3</v>
      </c>
      <c r="AF22" s="63">
        <v>0</v>
      </c>
      <c r="AG22" s="63">
        <v>0</v>
      </c>
      <c r="AH22" s="63">
        <v>0</v>
      </c>
      <c r="AI22" s="63">
        <v>0</v>
      </c>
      <c r="AJ22" s="47">
        <f>VLOOKUP(R22,$AE$39:$AH$59,4)</f>
        <v>36.000000000000007</v>
      </c>
      <c r="AK22" s="47">
        <v>1</v>
      </c>
      <c r="AL22" s="47">
        <v>1</v>
      </c>
      <c r="AM22" s="47">
        <v>1</v>
      </c>
      <c r="AN22" s="47">
        <v>1</v>
      </c>
      <c r="AO22" s="47">
        <v>1</v>
      </c>
      <c r="AP22" s="47">
        <v>1</v>
      </c>
      <c r="AQ22" s="47">
        <v>0</v>
      </c>
      <c r="AR22" s="47">
        <v>60</v>
      </c>
      <c r="AS22" s="33">
        <v>0.2</v>
      </c>
    </row>
    <row r="23" spans="1:45" x14ac:dyDescent="0.25">
      <c r="A23" s="66"/>
      <c r="B23" s="66"/>
      <c r="C23" s="67"/>
      <c r="D23" s="35"/>
      <c r="I23" s="56"/>
      <c r="J23" s="47"/>
      <c r="K23" s="19"/>
      <c r="L23" s="116"/>
      <c r="M23" s="105"/>
      <c r="N23" s="47"/>
      <c r="O23" s="63"/>
      <c r="P23" s="63"/>
      <c r="Q23" s="47"/>
      <c r="R23" s="47"/>
      <c r="S23" s="47"/>
      <c r="T23" s="47"/>
      <c r="U23" s="75"/>
      <c r="V23" s="75"/>
      <c r="W23" s="47"/>
      <c r="X23" s="47"/>
      <c r="Y23" s="47"/>
      <c r="Z23" s="47"/>
      <c r="AA23" s="47"/>
      <c r="AB23" s="47"/>
      <c r="AC23" s="63"/>
      <c r="AD23" s="63"/>
      <c r="AE23" s="63"/>
      <c r="AF23" s="63"/>
      <c r="AG23" s="63"/>
      <c r="AH23" s="63"/>
      <c r="AI23" s="63"/>
      <c r="AJ23" s="47"/>
      <c r="AK23" s="47"/>
      <c r="AL23" s="47"/>
      <c r="AM23" s="47"/>
      <c r="AN23" s="47"/>
      <c r="AO23" s="47"/>
      <c r="AP23" s="47"/>
      <c r="AQ23" s="47"/>
      <c r="AR23" s="47"/>
    </row>
    <row r="24" spans="1:45" x14ac:dyDescent="0.25">
      <c r="A24" s="66"/>
      <c r="B24" s="66"/>
      <c r="C24" s="67"/>
      <c r="D24" s="35"/>
      <c r="I24" s="56"/>
      <c r="J24" s="47"/>
      <c r="K24" s="19"/>
      <c r="L24" s="116"/>
      <c r="M24" s="105"/>
      <c r="N24" s="47"/>
      <c r="O24" s="63"/>
      <c r="P24" s="63"/>
      <c r="Q24" s="47"/>
      <c r="R24" s="47"/>
      <c r="S24" s="47"/>
      <c r="T24" s="47"/>
      <c r="U24" s="75"/>
      <c r="V24" s="75"/>
      <c r="W24" s="47"/>
      <c r="X24" s="47"/>
      <c r="Y24" s="47"/>
      <c r="Z24" s="47"/>
      <c r="AA24" s="47"/>
      <c r="AB24" s="47"/>
      <c r="AC24" s="63"/>
      <c r="AD24" s="63"/>
      <c r="AE24" s="63"/>
      <c r="AF24" s="63"/>
      <c r="AG24" s="63"/>
      <c r="AH24" s="63"/>
      <c r="AI24" s="63"/>
      <c r="AJ24" s="47"/>
      <c r="AK24" s="47"/>
      <c r="AL24" s="47"/>
      <c r="AM24" s="47"/>
      <c r="AN24" s="47"/>
      <c r="AO24" s="47"/>
      <c r="AP24" s="47"/>
      <c r="AQ24" s="47"/>
      <c r="AR24" s="47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9">AF40+3.8</f>
        <v>55.599999999999994</v>
      </c>
      <c r="AG41" s="33">
        <f t="shared" ref="AG41:AG43" si="10">AG40+200</f>
        <v>2300</v>
      </c>
      <c r="AH41" s="33">
        <f t="shared" ref="AH41:AH44" si="11">AH40+0.8</f>
        <v>9.6000000000000014</v>
      </c>
    </row>
    <row r="42" spans="1:42" x14ac:dyDescent="0.25">
      <c r="L42" s="49"/>
      <c r="AE42" s="33">
        <v>18</v>
      </c>
      <c r="AF42" s="33">
        <f t="shared" si="9"/>
        <v>59.399999999999991</v>
      </c>
      <c r="AG42" s="33">
        <f t="shared" si="10"/>
        <v>2500</v>
      </c>
      <c r="AH42" s="33">
        <f t="shared" si="11"/>
        <v>10.400000000000002</v>
      </c>
    </row>
    <row r="43" spans="1:42" x14ac:dyDescent="0.25">
      <c r="L43" s="49"/>
      <c r="AE43" s="33">
        <v>19</v>
      </c>
      <c r="AF43" s="33">
        <f t="shared" si="9"/>
        <v>63.199999999999989</v>
      </c>
      <c r="AG43" s="33">
        <f t="shared" si="10"/>
        <v>2700</v>
      </c>
      <c r="AH43" s="33">
        <f t="shared" si="11"/>
        <v>11.200000000000003</v>
      </c>
    </row>
    <row r="44" spans="1:42" x14ac:dyDescent="0.25">
      <c r="L44" s="49"/>
      <c r="AE44" s="33">
        <v>20</v>
      </c>
      <c r="AF44" s="33">
        <f t="shared" si="9"/>
        <v>66.999999999999986</v>
      </c>
      <c r="AG44" s="33">
        <f>AG43+200</f>
        <v>2900</v>
      </c>
      <c r="AH44" s="33">
        <f t="shared" si="11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2">AF45+2.8</f>
        <v>72.59999999999998</v>
      </c>
      <c r="AG46" s="33">
        <f t="shared" ref="AG46:AG48" si="13">AG45+380</f>
        <v>3660</v>
      </c>
      <c r="AH46" s="33">
        <f t="shared" ref="AH46:AH49" si="14">AH45+1.6</f>
        <v>15.200000000000003</v>
      </c>
    </row>
    <row r="47" spans="1:42" x14ac:dyDescent="0.25">
      <c r="L47" s="49"/>
      <c r="AE47" s="33">
        <v>23</v>
      </c>
      <c r="AF47" s="33">
        <f t="shared" si="12"/>
        <v>75.399999999999977</v>
      </c>
      <c r="AG47" s="33">
        <f t="shared" si="13"/>
        <v>4040</v>
      </c>
      <c r="AH47" s="33">
        <f t="shared" si="14"/>
        <v>16.800000000000004</v>
      </c>
    </row>
    <row r="48" spans="1:42" x14ac:dyDescent="0.25">
      <c r="L48" s="49"/>
      <c r="AE48" s="33">
        <v>24</v>
      </c>
      <c r="AF48" s="33">
        <f t="shared" si="12"/>
        <v>78.199999999999974</v>
      </c>
      <c r="AG48" s="33">
        <f t="shared" si="13"/>
        <v>4420</v>
      </c>
      <c r="AH48" s="33">
        <f t="shared" si="14"/>
        <v>18.400000000000006</v>
      </c>
    </row>
    <row r="49" spans="12:34" x14ac:dyDescent="0.25">
      <c r="L49" s="49"/>
      <c r="AE49" s="33">
        <v>25</v>
      </c>
      <c r="AF49" s="33">
        <f t="shared" si="12"/>
        <v>80.999999999999972</v>
      </c>
      <c r="AG49" s="33">
        <v>4800</v>
      </c>
      <c r="AH49" s="33">
        <f t="shared" si="14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5">AF50+3</f>
        <v>86.999999999999972</v>
      </c>
      <c r="AG51" s="33">
        <f t="shared" ref="AG51:AG54" si="16">AG50+960</f>
        <v>6720</v>
      </c>
      <c r="AH51" s="33">
        <f t="shared" ref="AH51:AH54" si="17">AH50+4</f>
        <v>28.000000000000007</v>
      </c>
    </row>
    <row r="52" spans="12:34" x14ac:dyDescent="0.25">
      <c r="L52" s="49"/>
      <c r="AE52" s="33">
        <v>28</v>
      </c>
      <c r="AF52" s="33">
        <f t="shared" si="15"/>
        <v>89.999999999999972</v>
      </c>
      <c r="AG52" s="33">
        <f t="shared" si="16"/>
        <v>7680</v>
      </c>
      <c r="AH52" s="33">
        <f t="shared" si="17"/>
        <v>32.000000000000007</v>
      </c>
    </row>
    <row r="53" spans="12:34" x14ac:dyDescent="0.25">
      <c r="L53" s="49"/>
      <c r="AE53" s="33">
        <v>29</v>
      </c>
      <c r="AF53" s="33">
        <f t="shared" si="15"/>
        <v>92.999999999999972</v>
      </c>
      <c r="AG53" s="33">
        <f t="shared" si="16"/>
        <v>8640</v>
      </c>
      <c r="AH53" s="33">
        <f t="shared" si="17"/>
        <v>36.000000000000007</v>
      </c>
    </row>
    <row r="54" spans="12:34" x14ac:dyDescent="0.25">
      <c r="L54" s="49"/>
      <c r="AE54" s="33">
        <v>30</v>
      </c>
      <c r="AF54" s="33">
        <f t="shared" si="15"/>
        <v>95.999999999999972</v>
      </c>
      <c r="AG54" s="33">
        <f t="shared" si="16"/>
        <v>9600</v>
      </c>
      <c r="AH54" s="33">
        <f t="shared" si="17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8">AF55+3.8</f>
        <v>103.59999999999997</v>
      </c>
      <c r="AG56" s="33">
        <f t="shared" ref="AG56:AG59" si="19">AG55+480</f>
        <v>10560</v>
      </c>
      <c r="AH56" s="33">
        <f t="shared" ref="AH56:AH59" si="20">AH55+2</f>
        <v>44.000000000000007</v>
      </c>
    </row>
    <row r="57" spans="12:34" x14ac:dyDescent="0.25">
      <c r="L57" s="49"/>
      <c r="AE57" s="33">
        <v>33</v>
      </c>
      <c r="AF57" s="33">
        <f t="shared" si="18"/>
        <v>107.39999999999996</v>
      </c>
      <c r="AG57" s="33">
        <f t="shared" si="19"/>
        <v>11040</v>
      </c>
      <c r="AH57" s="33">
        <f t="shared" si="20"/>
        <v>46.000000000000007</v>
      </c>
    </row>
    <row r="58" spans="12:34" x14ac:dyDescent="0.25">
      <c r="L58" s="49"/>
      <c r="AE58" s="33">
        <v>34</v>
      </c>
      <c r="AF58" s="33">
        <f t="shared" si="18"/>
        <v>111.19999999999996</v>
      </c>
      <c r="AG58" s="33">
        <f t="shared" si="19"/>
        <v>11520</v>
      </c>
      <c r="AH58" s="33">
        <f t="shared" si="20"/>
        <v>48.000000000000007</v>
      </c>
    </row>
    <row r="59" spans="12:34" x14ac:dyDescent="0.25">
      <c r="L59" s="49"/>
      <c r="AE59" s="33">
        <v>35</v>
      </c>
      <c r="AF59" s="33">
        <f t="shared" si="18"/>
        <v>114.99999999999996</v>
      </c>
      <c r="AG59" s="33">
        <f t="shared" si="19"/>
        <v>12000</v>
      </c>
      <c r="AH59" s="33">
        <f t="shared" si="20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8:AP36 Q28:Q36 O28 AJ23:AJ24 AB23:AB24 Q23:T24 W23:Z24 AM23:AR24 N28:N36 N23:N24">
    <cfRule type="expression" dxfId="3578" priority="322">
      <formula>$L23="API sand"</formula>
    </cfRule>
  </conditionalFormatting>
  <conditionalFormatting sqref="R29:S36 S28 AD28 AB28:AB35 AJ28:AL36 Z28:Z36 AK23:AL24 N28:N36 N23:N24">
    <cfRule type="expression" dxfId="3577" priority="321">
      <formula>$M23="API sand"</formula>
    </cfRule>
  </conditionalFormatting>
  <conditionalFormatting sqref="R29:T36 S28:T28 AD28 Z28:AB35 AK28:AL36 N28:N36 N23:N24 AK23:AL24">
    <cfRule type="expression" dxfId="3576" priority="320">
      <formula>$M23="API clay"</formula>
    </cfRule>
  </conditionalFormatting>
  <conditionalFormatting sqref="U28:W36 N28 P28 N23:P24 AA23:AA24 AC23:AI24 U23:V24 AM28:AP36 AM23:AP24">
    <cfRule type="expression" dxfId="3575" priority="317">
      <formula>$L23="Stiff clay w/o free water"</formula>
    </cfRule>
    <cfRule type="expression" dxfId="3574" priority="319">
      <formula>$L23="API clay"</formula>
    </cfRule>
  </conditionalFormatting>
  <conditionalFormatting sqref="U28:Y36 N28 P28 N23:P24 AA23:AA24 AC23:AI24 U23:V24 AM28:AP36 AM23:AP24">
    <cfRule type="expression" dxfId="3573" priority="318">
      <formula>$L23="Kirsch soft clay"</formula>
    </cfRule>
  </conditionalFormatting>
  <conditionalFormatting sqref="U28:Y36 N28 P28 N23:P24 AA23:AA24 AC23:AI24 U23:V24 AM28:AP36 AM23:AP24">
    <cfRule type="expression" dxfId="3572" priority="316">
      <formula>$L23="Kirsch stiff clay"</formula>
    </cfRule>
  </conditionalFormatting>
  <conditionalFormatting sqref="AM28:AP36 Q28:Q36 X28:Y36 O28 AJ23:AJ24 AB23:AB24 Q23:T24 W23:Z24 AM23:AR24 N28:N36 N23:N24">
    <cfRule type="expression" dxfId="3571" priority="315">
      <formula>$L23="Kirsch sand"</formula>
    </cfRule>
  </conditionalFormatting>
  <conditionalFormatting sqref="AC28:AD36 AI28:AI36 AM28:AP36 N28:N36 N23:N24 AM23:AP24">
    <cfRule type="expression" dxfId="3570" priority="314">
      <formula>$L23="Modified Weak rock"</formula>
    </cfRule>
  </conditionalFormatting>
  <conditionalFormatting sqref="N28 P28 N23:P24 AA23:AA24 AC23:AI24 U28:V36 AM28:AP36 AM23:AP24 U23:V24">
    <cfRule type="expression" dxfId="3569" priority="313">
      <formula>$L23="Reese stiff clay"</formula>
    </cfRule>
  </conditionalFormatting>
  <conditionalFormatting sqref="AB36">
    <cfRule type="expression" dxfId="3568" priority="311">
      <formula>$M36="API sand"</formula>
    </cfRule>
  </conditionalFormatting>
  <conditionalFormatting sqref="Z36:AB36">
    <cfRule type="expression" dxfId="3567" priority="310">
      <formula>$M36="API clay"</formula>
    </cfRule>
  </conditionalFormatting>
  <conditionalFormatting sqref="N29:P36">
    <cfRule type="expression" dxfId="3566" priority="307">
      <formula>$L29="Stiff clay w/o free water"</formula>
    </cfRule>
    <cfRule type="expression" dxfId="3565" priority="309">
      <formula>$L29="API clay"</formula>
    </cfRule>
  </conditionalFormatting>
  <conditionalFormatting sqref="N29:P36">
    <cfRule type="expression" dxfId="3564" priority="308">
      <formula>$L29="Kirsch soft clay"</formula>
    </cfRule>
  </conditionalFormatting>
  <conditionalFormatting sqref="N29:P36">
    <cfRule type="expression" dxfId="3563" priority="306">
      <formula>$L29="Kirsch stiff clay"</formula>
    </cfRule>
  </conditionalFormatting>
  <conditionalFormatting sqref="N29:P36">
    <cfRule type="expression" dxfId="3562" priority="303">
      <formula>$L29="Reese stiff clay"</formula>
    </cfRule>
  </conditionalFormatting>
  <conditionalFormatting sqref="N23:P24 AA23:AA24 AC23:AI24 AM23:AP24 U23:V24">
    <cfRule type="expression" dxfId="3561" priority="302">
      <formula>$L23="PISA clay"</formula>
    </cfRule>
  </conditionalFormatting>
  <conditionalFormatting sqref="N23:N24 AM23:AP24">
    <cfRule type="expression" dxfId="3560" priority="301">
      <formula>$L23="PISA sand"</formula>
    </cfRule>
  </conditionalFormatting>
  <conditionalFormatting sqref="AE37:AH37">
    <cfRule type="expression" dxfId="3559" priority="595">
      <formula>#REF!="Modified Weak rock"</formula>
    </cfRule>
  </conditionalFormatting>
  <dataValidations count="3">
    <dataValidation type="list" showInputMessage="1" showErrorMessage="1" sqref="L28:L255 L6:L24" xr:uid="{88A951A2-34BC-40AA-B32C-390851FAA4A3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24" xr:uid="{4B76FE86-47C3-4D4B-90AE-675658E652CE}">
      <formula1>"Zero soil,API sand,API clay"</formula1>
    </dataValidation>
    <dataValidation type="list" showInputMessage="1" showErrorMessage="1" sqref="M28:M36 M11:M24" xr:uid="{F850AACB-01D8-4B32-847B-7691E6D46F81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2D665-B632-4D2A-99ED-F15716092E4E}">
  <sheetPr>
    <tabColor rgb="FFFF99FF"/>
  </sheetPr>
  <dimension ref="A1:AS255"/>
  <sheetViews>
    <sheetView zoomScale="85" zoomScaleNormal="85" workbookViewId="0">
      <selection activeCell="F22" sqref="F22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Ak_Pisa_BH-53 (RBB)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49"/>
      <c r="R3" s="155"/>
      <c r="S3" s="155"/>
      <c r="T3" s="149"/>
      <c r="U3" s="155"/>
      <c r="V3" s="155"/>
      <c r="W3" s="149"/>
      <c r="X3" s="69"/>
      <c r="Y3" s="149"/>
      <c r="Z3" s="149"/>
      <c r="AA3" s="149"/>
      <c r="AB3" s="149"/>
      <c r="AC3" s="69"/>
      <c r="AD3" s="39"/>
      <c r="AE3" s="39"/>
      <c r="AF3" s="39"/>
      <c r="AG3" s="39"/>
      <c r="AH3" s="39"/>
      <c r="AI3" s="39"/>
      <c r="AJ3" s="149"/>
      <c r="AK3" s="149"/>
      <c r="AL3" s="149"/>
      <c r="AM3" s="149"/>
      <c r="AN3" s="149"/>
      <c r="AO3" s="149"/>
      <c r="AP3" s="149"/>
    </row>
    <row r="4" spans="1:45" x14ac:dyDescent="0.25">
      <c r="A4" s="40" t="s">
        <v>60</v>
      </c>
      <c r="B4" s="33">
        <f>COUNTIF(J:J,"&gt;0")</f>
        <v>19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0" t="s">
        <v>38</v>
      </c>
      <c r="K5" s="150" t="s">
        <v>30</v>
      </c>
      <c r="L5" s="150" t="s">
        <v>31</v>
      </c>
      <c r="M5" s="150" t="s">
        <v>31</v>
      </c>
      <c r="N5" s="150" t="s">
        <v>32</v>
      </c>
      <c r="O5" s="150" t="s">
        <v>33</v>
      </c>
      <c r="P5" s="150" t="s">
        <v>35</v>
      </c>
      <c r="Q5" s="150" t="s">
        <v>36</v>
      </c>
      <c r="R5" s="150" t="s">
        <v>36</v>
      </c>
      <c r="S5" s="150" t="s">
        <v>34</v>
      </c>
      <c r="T5" s="150" t="s">
        <v>33</v>
      </c>
      <c r="U5" s="150" t="s">
        <v>34</v>
      </c>
      <c r="V5" s="150" t="s">
        <v>62</v>
      </c>
      <c r="W5" s="150" t="s">
        <v>34</v>
      </c>
      <c r="X5" s="150" t="s">
        <v>33</v>
      </c>
      <c r="Y5" s="150" t="s">
        <v>35</v>
      </c>
      <c r="Z5" s="150" t="s">
        <v>33</v>
      </c>
      <c r="AA5" s="150" t="s">
        <v>34</v>
      </c>
      <c r="AB5" s="150" t="s">
        <v>33</v>
      </c>
      <c r="AC5" s="150" t="s">
        <v>33</v>
      </c>
      <c r="AD5" s="150" t="s">
        <v>35</v>
      </c>
      <c r="AE5" s="150" t="s">
        <v>34</v>
      </c>
      <c r="AF5" s="150" t="s">
        <v>33</v>
      </c>
      <c r="AG5" s="150" t="s">
        <v>35</v>
      </c>
      <c r="AH5" s="150" t="s">
        <v>34</v>
      </c>
      <c r="AI5" s="150" t="s">
        <v>34</v>
      </c>
      <c r="AJ5" s="150" t="s">
        <v>34</v>
      </c>
      <c r="AK5" s="150" t="s">
        <v>34</v>
      </c>
      <c r="AL5" s="150" t="s">
        <v>34</v>
      </c>
      <c r="AM5" s="150" t="s">
        <v>34</v>
      </c>
      <c r="AN5" s="150" t="s">
        <v>34</v>
      </c>
      <c r="AO5" s="150" t="s">
        <v>34</v>
      </c>
      <c r="AP5" s="150" t="s">
        <v>34</v>
      </c>
      <c r="AQ5" s="150" t="s">
        <v>103</v>
      </c>
      <c r="AR5" s="150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 t="shared" ref="L6:L20" si="0">"EW_sand_Ruled"&amp;"_"&amp;AR6</f>
        <v>EW_sand_Ruled_100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45</v>
      </c>
      <c r="R6" s="47">
        <f t="shared" ref="R6:R24" si="1">IF(Q6&lt;&gt;0,Q6-5,NA())</f>
        <v>40</v>
      </c>
      <c r="S6" s="47">
        <v>0.4</v>
      </c>
      <c r="T6" s="47">
        <v>0</v>
      </c>
      <c r="U6" s="75">
        <v>0</v>
      </c>
      <c r="V6" s="75">
        <v>0</v>
      </c>
      <c r="W6" s="47">
        <v>0</v>
      </c>
      <c r="X6" s="47">
        <v>100</v>
      </c>
      <c r="Y6" s="47">
        <v>150000</v>
      </c>
      <c r="Z6" s="47">
        <f t="shared" ref="Z6:Z24" si="2">VLOOKUP(R6,$AE$39:$AF$59,2)</f>
        <v>114.99999999999996</v>
      </c>
      <c r="AA6" s="47">
        <v>1</v>
      </c>
      <c r="AB6" s="47">
        <f t="shared" ref="AB6:AB24" si="3">VLOOKUP(R6,$AE$39:$AG$59,3)</f>
        <v>12000</v>
      </c>
      <c r="AC6" s="63">
        <v>8000</v>
      </c>
      <c r="AD6" s="63">
        <v>20000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24" si="4">VLOOKUP(R6,$AE$39:$AH$59,4)</f>
        <v>50.000000000000007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100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-0.1</v>
      </c>
      <c r="L7" s="33" t="str">
        <f t="shared" si="0"/>
        <v>EW_sand_Ruled_100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45</v>
      </c>
      <c r="R7" s="47">
        <f t="shared" si="1"/>
        <v>40</v>
      </c>
      <c r="S7" s="47">
        <v>0.4</v>
      </c>
      <c r="T7" s="47">
        <v>0</v>
      </c>
      <c r="U7" s="75">
        <v>0</v>
      </c>
      <c r="V7" s="75">
        <v>0</v>
      </c>
      <c r="W7" s="47">
        <v>0</v>
      </c>
      <c r="X7" s="47">
        <v>15000</v>
      </c>
      <c r="Y7" s="47">
        <v>55000</v>
      </c>
      <c r="Z7" s="47">
        <f t="shared" si="2"/>
        <v>114.99999999999996</v>
      </c>
      <c r="AA7" s="47">
        <v>1</v>
      </c>
      <c r="AB7" s="47">
        <f t="shared" si="3"/>
        <v>12000</v>
      </c>
      <c r="AC7" s="63">
        <v>10000</v>
      </c>
      <c r="AD7" s="63">
        <v>25000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4"/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30956.909384615385</v>
      </c>
      <c r="H8" s="45" t="s">
        <v>53</v>
      </c>
      <c r="I8" s="33" t="s">
        <v>279</v>
      </c>
      <c r="J8" s="47">
        <v>3</v>
      </c>
      <c r="K8" s="33">
        <v>-0.5</v>
      </c>
      <c r="L8" s="33" t="str">
        <f t="shared" si="0"/>
        <v>EW_sand_Ruled_100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45</v>
      </c>
      <c r="R8" s="47">
        <f t="shared" si="1"/>
        <v>40</v>
      </c>
      <c r="S8" s="47">
        <v>0.4</v>
      </c>
      <c r="T8" s="47">
        <v>0</v>
      </c>
      <c r="U8" s="75">
        <v>0</v>
      </c>
      <c r="V8" s="75">
        <v>0</v>
      </c>
      <c r="W8" s="47">
        <v>0</v>
      </c>
      <c r="X8" s="47">
        <v>37000</v>
      </c>
      <c r="Y8" s="47">
        <v>56000</v>
      </c>
      <c r="Z8" s="47">
        <f t="shared" si="2"/>
        <v>114.99999999999996</v>
      </c>
      <c r="AA8" s="47">
        <v>1</v>
      </c>
      <c r="AB8" s="47">
        <f t="shared" si="3"/>
        <v>12000</v>
      </c>
      <c r="AC8" s="63">
        <v>20000</v>
      </c>
      <c r="AD8" s="63">
        <v>22000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4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100</v>
      </c>
      <c r="AS8" s="33">
        <v>0.4</v>
      </c>
    </row>
    <row r="9" spans="1:45" x14ac:dyDescent="0.25">
      <c r="A9" s="33" t="s">
        <v>68</v>
      </c>
      <c r="B9" s="57">
        <v>40</v>
      </c>
      <c r="C9" s="45" t="s">
        <v>28</v>
      </c>
      <c r="D9" s="57">
        <v>28</v>
      </c>
      <c r="F9" s="33" t="s">
        <v>96</v>
      </c>
      <c r="G9" s="76">
        <v>-1453352.2369230799</v>
      </c>
      <c r="H9" s="45" t="s">
        <v>54</v>
      </c>
      <c r="I9" s="33" t="s">
        <v>279</v>
      </c>
      <c r="J9" s="47">
        <v>4</v>
      </c>
      <c r="K9" s="33">
        <v>-1</v>
      </c>
      <c r="L9" s="33" t="str">
        <f t="shared" si="0"/>
        <v>EW_sand_Ruled_100</v>
      </c>
      <c r="M9" s="105" t="s">
        <v>64</v>
      </c>
      <c r="N9" s="47">
        <v>9.6999999999999993</v>
      </c>
      <c r="O9" s="63">
        <v>0</v>
      </c>
      <c r="P9" s="63">
        <v>0</v>
      </c>
      <c r="Q9" s="47">
        <v>45</v>
      </c>
      <c r="R9" s="47">
        <f t="shared" si="1"/>
        <v>40</v>
      </c>
      <c r="S9" s="47">
        <v>0.4</v>
      </c>
      <c r="T9" s="47">
        <v>0</v>
      </c>
      <c r="U9" s="75">
        <v>0</v>
      </c>
      <c r="V9" s="75">
        <v>0</v>
      </c>
      <c r="W9" s="47">
        <v>0</v>
      </c>
      <c r="X9" s="47">
        <v>65000</v>
      </c>
      <c r="Y9" s="47">
        <v>0</v>
      </c>
      <c r="Z9" s="47">
        <f t="shared" si="2"/>
        <v>114.99999999999996</v>
      </c>
      <c r="AA9" s="47">
        <v>1</v>
      </c>
      <c r="AB9" s="47">
        <f t="shared" si="3"/>
        <v>12000</v>
      </c>
      <c r="AC9" s="63">
        <v>31000</v>
      </c>
      <c r="AD9" s="63">
        <v>11000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4"/>
        <v>50.000000000000007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100</v>
      </c>
      <c r="AS9" s="33">
        <v>0.4</v>
      </c>
    </row>
    <row r="10" spans="1:45" s="56" customFormat="1" x14ac:dyDescent="0.25">
      <c r="A10" s="56" t="s">
        <v>69</v>
      </c>
      <c r="B10" s="58">
        <v>40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279</v>
      </c>
      <c r="J10" s="47">
        <v>5</v>
      </c>
      <c r="K10" s="56">
        <v>-2</v>
      </c>
      <c r="L10" s="33" t="str">
        <f t="shared" si="0"/>
        <v>EW_sand_Ruled_100</v>
      </c>
      <c r="M10" s="105" t="s">
        <v>64</v>
      </c>
      <c r="N10" s="47">
        <v>9.6999999999999993</v>
      </c>
      <c r="O10" s="63">
        <v>0</v>
      </c>
      <c r="P10" s="63">
        <v>0</v>
      </c>
      <c r="Q10" s="47">
        <v>45</v>
      </c>
      <c r="R10" s="47">
        <f t="shared" si="1"/>
        <v>40</v>
      </c>
      <c r="S10" s="47">
        <v>0.4</v>
      </c>
      <c r="T10" s="47">
        <v>0</v>
      </c>
      <c r="U10" s="75">
        <v>0</v>
      </c>
      <c r="V10" s="75">
        <v>0</v>
      </c>
      <c r="W10" s="47">
        <v>0</v>
      </c>
      <c r="X10" s="47">
        <v>65000</v>
      </c>
      <c r="Y10" s="47">
        <v>0</v>
      </c>
      <c r="Z10" s="47">
        <f t="shared" si="2"/>
        <v>114.99999999999996</v>
      </c>
      <c r="AA10" s="47">
        <v>1</v>
      </c>
      <c r="AB10" s="47">
        <f t="shared" si="3"/>
        <v>12000</v>
      </c>
      <c r="AC10" s="63">
        <v>42000</v>
      </c>
      <c r="AD10" s="63">
        <v>6000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4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100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56" t="s">
        <v>261</v>
      </c>
      <c r="J11" s="47">
        <v>6</v>
      </c>
      <c r="K11" s="19">
        <v>-2.2000000000000002</v>
      </c>
      <c r="L11" s="33" t="str">
        <f t="shared" si="0"/>
        <v>EW_sand_Ruled_85</v>
      </c>
      <c r="M11" s="105" t="s">
        <v>64</v>
      </c>
      <c r="N11" s="47">
        <v>9.9</v>
      </c>
      <c r="O11" s="63">
        <v>0</v>
      </c>
      <c r="P11" s="63">
        <v>0</v>
      </c>
      <c r="Q11" s="47">
        <v>44</v>
      </c>
      <c r="R11" s="47">
        <f t="shared" si="1"/>
        <v>39</v>
      </c>
      <c r="S11" s="47">
        <v>2.5</v>
      </c>
      <c r="T11" s="47">
        <v>0</v>
      </c>
      <c r="U11" s="75">
        <v>0</v>
      </c>
      <c r="V11" s="75">
        <v>0</v>
      </c>
      <c r="W11" s="47">
        <v>0</v>
      </c>
      <c r="X11" s="47">
        <v>28000</v>
      </c>
      <c r="Y11" s="47">
        <v>2000</v>
      </c>
      <c r="Z11" s="47">
        <f t="shared" si="2"/>
        <v>114.99999999999996</v>
      </c>
      <c r="AA11" s="47">
        <v>1</v>
      </c>
      <c r="AB11" s="47">
        <f t="shared" si="3"/>
        <v>12000</v>
      </c>
      <c r="AC11" s="63">
        <v>34900</v>
      </c>
      <c r="AD11" s="63">
        <v>3240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4"/>
        <v>50.000000000000007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85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 t="s">
        <v>261</v>
      </c>
      <c r="J12" s="47">
        <v>7</v>
      </c>
      <c r="K12" s="19">
        <v>-5</v>
      </c>
      <c r="L12" s="33" t="str">
        <f t="shared" si="0"/>
        <v>EW_sand_Ruled_85</v>
      </c>
      <c r="M12" s="105" t="s">
        <v>64</v>
      </c>
      <c r="N12" s="47">
        <v>9.9</v>
      </c>
      <c r="O12" s="63">
        <v>0</v>
      </c>
      <c r="P12" s="63">
        <v>0</v>
      </c>
      <c r="Q12" s="47">
        <v>44</v>
      </c>
      <c r="R12" s="47">
        <f t="shared" si="1"/>
        <v>39</v>
      </c>
      <c r="S12" s="47">
        <v>2.5</v>
      </c>
      <c r="T12" s="47">
        <v>0</v>
      </c>
      <c r="U12" s="75">
        <v>0</v>
      </c>
      <c r="V12" s="75">
        <v>0</v>
      </c>
      <c r="W12" s="47">
        <v>0</v>
      </c>
      <c r="X12" s="47">
        <v>33000</v>
      </c>
      <c r="Y12" s="47">
        <v>2000</v>
      </c>
      <c r="Z12" s="47">
        <f t="shared" si="2"/>
        <v>114.99999999999996</v>
      </c>
      <c r="AA12" s="47">
        <v>1</v>
      </c>
      <c r="AB12" s="47">
        <f t="shared" si="3"/>
        <v>12000</v>
      </c>
      <c r="AC12" s="63">
        <v>43000</v>
      </c>
      <c r="AD12" s="63">
        <v>4000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4"/>
        <v>50.000000000000007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85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56" t="s">
        <v>261</v>
      </c>
      <c r="J13" s="47">
        <v>8</v>
      </c>
      <c r="K13" s="19">
        <v>-6</v>
      </c>
      <c r="L13" s="33" t="str">
        <f t="shared" si="0"/>
        <v>EW_sand_Ruled_85</v>
      </c>
      <c r="M13" s="105" t="s">
        <v>64</v>
      </c>
      <c r="N13" s="47">
        <v>9.9</v>
      </c>
      <c r="O13" s="63">
        <v>0</v>
      </c>
      <c r="P13" s="63">
        <v>0</v>
      </c>
      <c r="Q13" s="47">
        <v>44</v>
      </c>
      <c r="R13" s="47">
        <f t="shared" si="1"/>
        <v>39</v>
      </c>
      <c r="S13" s="47">
        <v>2.2000000000000002</v>
      </c>
      <c r="T13" s="47">
        <v>0</v>
      </c>
      <c r="U13" s="75">
        <v>0</v>
      </c>
      <c r="V13" s="75">
        <v>0</v>
      </c>
      <c r="W13" s="47">
        <v>0</v>
      </c>
      <c r="X13" s="47">
        <v>35000</v>
      </c>
      <c r="Y13" s="47">
        <v>2500</v>
      </c>
      <c r="Z13" s="47">
        <f t="shared" si="2"/>
        <v>114.99999999999996</v>
      </c>
      <c r="AA13" s="47">
        <v>1</v>
      </c>
      <c r="AB13" s="47">
        <f t="shared" si="3"/>
        <v>12000</v>
      </c>
      <c r="AC13" s="63">
        <v>47000</v>
      </c>
      <c r="AD13" s="63">
        <v>3000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4"/>
        <v>50.000000000000007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85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261</v>
      </c>
      <c r="J14" s="47">
        <v>9</v>
      </c>
      <c r="K14" s="19">
        <v>-8</v>
      </c>
      <c r="L14" s="33" t="str">
        <f t="shared" si="0"/>
        <v>EW_sand_Ruled_85</v>
      </c>
      <c r="M14" s="105" t="s">
        <v>64</v>
      </c>
      <c r="N14" s="47">
        <v>9.9</v>
      </c>
      <c r="O14" s="63">
        <v>0</v>
      </c>
      <c r="P14" s="63">
        <v>0</v>
      </c>
      <c r="Q14" s="47">
        <v>44</v>
      </c>
      <c r="R14" s="47">
        <f t="shared" si="1"/>
        <v>39</v>
      </c>
      <c r="S14" s="47">
        <v>1.9</v>
      </c>
      <c r="T14" s="47">
        <v>0</v>
      </c>
      <c r="U14" s="75">
        <v>0</v>
      </c>
      <c r="V14" s="75">
        <v>0</v>
      </c>
      <c r="W14" s="47">
        <v>0</v>
      </c>
      <c r="X14" s="47">
        <v>40000</v>
      </c>
      <c r="Y14" s="47">
        <v>2000</v>
      </c>
      <c r="Z14" s="47">
        <f t="shared" si="2"/>
        <v>114.99999999999996</v>
      </c>
      <c r="AA14" s="47">
        <v>1</v>
      </c>
      <c r="AB14" s="47">
        <f t="shared" si="3"/>
        <v>12000</v>
      </c>
      <c r="AC14" s="63">
        <v>53000</v>
      </c>
      <c r="AD14" s="63">
        <v>3500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4"/>
        <v>50.000000000000007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85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261</v>
      </c>
      <c r="J15" s="47">
        <v>10</v>
      </c>
      <c r="K15" s="19">
        <v>-10</v>
      </c>
      <c r="L15" s="33" t="str">
        <f t="shared" si="0"/>
        <v>EW_sand_Ruled_85</v>
      </c>
      <c r="M15" s="105" t="s">
        <v>64</v>
      </c>
      <c r="N15" s="47">
        <v>9.9</v>
      </c>
      <c r="O15" s="63">
        <v>0</v>
      </c>
      <c r="P15" s="63">
        <v>0</v>
      </c>
      <c r="Q15" s="47">
        <v>44</v>
      </c>
      <c r="R15" s="47">
        <f t="shared" si="1"/>
        <v>39</v>
      </c>
      <c r="S15" s="47">
        <v>1.7</v>
      </c>
      <c r="T15" s="47">
        <v>0</v>
      </c>
      <c r="U15" s="75">
        <v>0</v>
      </c>
      <c r="V15" s="75">
        <v>0</v>
      </c>
      <c r="W15" s="47">
        <v>0</v>
      </c>
      <c r="X15" s="47">
        <v>44000</v>
      </c>
      <c r="Y15" s="47">
        <v>2000</v>
      </c>
      <c r="Z15" s="47">
        <f t="shared" si="2"/>
        <v>114.99999999999996</v>
      </c>
      <c r="AA15" s="47">
        <v>1</v>
      </c>
      <c r="AB15" s="47">
        <f t="shared" si="3"/>
        <v>12000</v>
      </c>
      <c r="AC15" s="63">
        <v>60000</v>
      </c>
      <c r="AD15" s="63">
        <v>2500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4"/>
        <v>50.000000000000007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85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261</v>
      </c>
      <c r="J16" s="47">
        <v>11</v>
      </c>
      <c r="K16" s="19">
        <v>-12</v>
      </c>
      <c r="L16" s="33" t="str">
        <f t="shared" si="0"/>
        <v>EW_sand_Ruled_85</v>
      </c>
      <c r="M16" s="105" t="s">
        <v>64</v>
      </c>
      <c r="N16" s="47">
        <v>9.9</v>
      </c>
      <c r="O16" s="63">
        <v>0</v>
      </c>
      <c r="P16" s="63">
        <v>0</v>
      </c>
      <c r="Q16" s="47">
        <v>44</v>
      </c>
      <c r="R16" s="47">
        <f t="shared" si="1"/>
        <v>39</v>
      </c>
      <c r="S16" s="47">
        <v>1.6</v>
      </c>
      <c r="T16" s="47">
        <v>0</v>
      </c>
      <c r="U16" s="75">
        <v>0</v>
      </c>
      <c r="V16" s="75">
        <v>0</v>
      </c>
      <c r="W16" s="47">
        <v>0</v>
      </c>
      <c r="X16" s="47">
        <v>48000</v>
      </c>
      <c r="Y16" s="47">
        <v>2000</v>
      </c>
      <c r="Z16" s="47">
        <f t="shared" si="2"/>
        <v>114.99999999999996</v>
      </c>
      <c r="AA16" s="47">
        <v>1</v>
      </c>
      <c r="AB16" s="47">
        <f t="shared" si="3"/>
        <v>12000</v>
      </c>
      <c r="AC16" s="63">
        <v>65000</v>
      </c>
      <c r="AD16" s="63">
        <v>2666.67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>
        <f t="shared" si="4"/>
        <v>50.000000000000007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85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50"/>
      <c r="E17" s="150"/>
      <c r="I17" s="56" t="s">
        <v>292</v>
      </c>
      <c r="J17" s="47">
        <v>12</v>
      </c>
      <c r="K17" s="19">
        <v>-16.2</v>
      </c>
      <c r="L17" s="33" t="str">
        <f t="shared" si="0"/>
        <v>EW_sand_Ruled_80</v>
      </c>
      <c r="M17" s="105" t="s">
        <v>64</v>
      </c>
      <c r="N17" s="47">
        <v>10.199999999999999</v>
      </c>
      <c r="O17" s="63">
        <v>0</v>
      </c>
      <c r="P17" s="63">
        <v>0</v>
      </c>
      <c r="Q17" s="47">
        <v>44</v>
      </c>
      <c r="R17" s="47">
        <f t="shared" si="1"/>
        <v>39</v>
      </c>
      <c r="S17" s="47">
        <v>1.6</v>
      </c>
      <c r="T17" s="47">
        <v>0</v>
      </c>
      <c r="U17" s="75">
        <v>1.7999999999999999E-2</v>
      </c>
      <c r="V17" s="75">
        <v>0</v>
      </c>
      <c r="W17" s="47">
        <v>0</v>
      </c>
      <c r="X17" s="47">
        <v>73100</v>
      </c>
      <c r="Y17" s="47">
        <v>3117</v>
      </c>
      <c r="Z17" s="47">
        <f t="shared" si="2"/>
        <v>114.99999999999996</v>
      </c>
      <c r="AA17" s="47">
        <v>1</v>
      </c>
      <c r="AB17" s="47">
        <f t="shared" si="3"/>
        <v>12000</v>
      </c>
      <c r="AC17" s="63">
        <v>89700</v>
      </c>
      <c r="AD17" s="63">
        <v>2617.64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>
        <f t="shared" si="4"/>
        <v>50.000000000000007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80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264</v>
      </c>
      <c r="J18" s="47">
        <v>13</v>
      </c>
      <c r="K18" s="19">
        <v>-19.600000000000001</v>
      </c>
      <c r="L18" s="33" t="str">
        <f t="shared" si="0"/>
        <v>EW_sand_Ruled_30</v>
      </c>
      <c r="M18" s="105" t="s">
        <v>64</v>
      </c>
      <c r="N18" s="47">
        <v>8.5</v>
      </c>
      <c r="O18" s="63">
        <v>0</v>
      </c>
      <c r="P18" s="63">
        <v>0</v>
      </c>
      <c r="Q18" s="47">
        <v>37</v>
      </c>
      <c r="R18" s="47">
        <f t="shared" si="1"/>
        <v>32</v>
      </c>
      <c r="S18" s="47">
        <v>1.41</v>
      </c>
      <c r="T18" s="47">
        <v>0</v>
      </c>
      <c r="U18" s="75">
        <v>0</v>
      </c>
      <c r="V18" s="75">
        <v>0</v>
      </c>
      <c r="W18" s="47">
        <v>0</v>
      </c>
      <c r="X18" s="47">
        <v>9900</v>
      </c>
      <c r="Y18" s="47">
        <v>250</v>
      </c>
      <c r="Z18" s="47">
        <f t="shared" si="2"/>
        <v>103.59999999999997</v>
      </c>
      <c r="AA18" s="47">
        <v>1</v>
      </c>
      <c r="AB18" s="47">
        <f t="shared" si="3"/>
        <v>10560</v>
      </c>
      <c r="AC18" s="63">
        <v>63500</v>
      </c>
      <c r="AD18" s="63">
        <v>1250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>
        <f t="shared" si="4"/>
        <v>44.000000000000007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30</v>
      </c>
      <c r="AS18" s="33">
        <v>0.2</v>
      </c>
    </row>
    <row r="19" spans="1:45" x14ac:dyDescent="0.25">
      <c r="A19" s="150" t="s">
        <v>38</v>
      </c>
      <c r="B19" s="150" t="s">
        <v>30</v>
      </c>
      <c r="C19" s="150" t="s">
        <v>59</v>
      </c>
      <c r="D19" s="43"/>
      <c r="E19" s="35"/>
      <c r="I19" s="33" t="s">
        <v>264</v>
      </c>
      <c r="J19" s="47">
        <v>14</v>
      </c>
      <c r="K19" s="33">
        <v>-20</v>
      </c>
      <c r="L19" s="33" t="str">
        <f t="shared" si="0"/>
        <v>EW_sand_Ruled_30</v>
      </c>
      <c r="M19" s="105" t="s">
        <v>64</v>
      </c>
      <c r="N19" s="47">
        <v>8.5</v>
      </c>
      <c r="O19" s="63">
        <v>0</v>
      </c>
      <c r="P19" s="63">
        <v>0</v>
      </c>
      <c r="Q19" s="47">
        <v>37</v>
      </c>
      <c r="R19" s="47">
        <f t="shared" si="1"/>
        <v>32</v>
      </c>
      <c r="S19" s="47">
        <v>1.4</v>
      </c>
      <c r="T19" s="47">
        <v>0</v>
      </c>
      <c r="U19" s="75">
        <v>0</v>
      </c>
      <c r="V19" s="75">
        <v>0</v>
      </c>
      <c r="W19" s="47">
        <v>0</v>
      </c>
      <c r="X19" s="47">
        <v>10000</v>
      </c>
      <c r="Y19" s="47">
        <v>222</v>
      </c>
      <c r="Z19" s="47">
        <f t="shared" si="2"/>
        <v>103.59999999999997</v>
      </c>
      <c r="AA19" s="47">
        <v>1</v>
      </c>
      <c r="AB19" s="47">
        <f t="shared" si="3"/>
        <v>10560</v>
      </c>
      <c r="AC19" s="63">
        <v>64000</v>
      </c>
      <c r="AD19" s="63">
        <v>1222.22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>
        <f t="shared" si="4"/>
        <v>44.000000000000007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30</v>
      </c>
      <c r="AS19" s="33">
        <v>0.2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264</v>
      </c>
      <c r="J20" s="47">
        <v>15</v>
      </c>
      <c r="K20" s="33">
        <v>-29</v>
      </c>
      <c r="L20" s="33" t="str">
        <f t="shared" si="0"/>
        <v>EW_sand_Ruled_30</v>
      </c>
      <c r="M20" s="105" t="s">
        <v>64</v>
      </c>
      <c r="N20" s="47">
        <v>8.5</v>
      </c>
      <c r="O20" s="63">
        <v>0</v>
      </c>
      <c r="P20" s="63">
        <v>0</v>
      </c>
      <c r="Q20" s="47">
        <v>37</v>
      </c>
      <c r="R20" s="47">
        <f t="shared" si="1"/>
        <v>32</v>
      </c>
      <c r="S20" s="47">
        <v>1.4</v>
      </c>
      <c r="T20" s="47">
        <v>0</v>
      </c>
      <c r="U20" s="75">
        <v>0</v>
      </c>
      <c r="V20" s="75">
        <v>0</v>
      </c>
      <c r="W20" s="47">
        <v>0</v>
      </c>
      <c r="X20" s="47">
        <v>12000</v>
      </c>
      <c r="Y20" s="47">
        <v>0</v>
      </c>
      <c r="Z20" s="47">
        <f t="shared" si="2"/>
        <v>103.59999999999997</v>
      </c>
      <c r="AA20" s="47">
        <v>1</v>
      </c>
      <c r="AB20" s="47">
        <f t="shared" si="3"/>
        <v>10560</v>
      </c>
      <c r="AC20" s="63">
        <v>75000</v>
      </c>
      <c r="AD20" s="63">
        <v>0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>
        <f t="shared" si="4"/>
        <v>44.000000000000007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30</v>
      </c>
      <c r="AS20" s="33">
        <v>0.2</v>
      </c>
    </row>
    <row r="21" spans="1:45" x14ac:dyDescent="0.25">
      <c r="A21" s="66"/>
      <c r="B21" s="66"/>
      <c r="C21" s="67"/>
      <c r="D21" s="43"/>
      <c r="I21" s="33" t="s">
        <v>266</v>
      </c>
      <c r="J21" s="47">
        <v>16</v>
      </c>
      <c r="K21" s="19">
        <v>-32.299999999999997</v>
      </c>
      <c r="L21" s="116" t="s">
        <v>275</v>
      </c>
      <c r="M21" s="105" t="s">
        <v>65</v>
      </c>
      <c r="N21" s="47">
        <v>8.5</v>
      </c>
      <c r="O21" s="63">
        <v>281</v>
      </c>
      <c r="P21" s="63">
        <v>6.45</v>
      </c>
      <c r="Q21" s="47">
        <v>0</v>
      </c>
      <c r="R21" s="47" t="e">
        <f t="shared" si="1"/>
        <v>#N/A</v>
      </c>
      <c r="S21" s="47">
        <v>1.3</v>
      </c>
      <c r="T21" s="47">
        <v>0</v>
      </c>
      <c r="U21" s="75">
        <v>1.7999999999999999E-2</v>
      </c>
      <c r="V21" s="75">
        <v>0</v>
      </c>
      <c r="W21" s="47">
        <v>0.25</v>
      </c>
      <c r="X21" s="47">
        <v>20200</v>
      </c>
      <c r="Y21" s="47">
        <v>448.59</v>
      </c>
      <c r="Z21" s="47" t="e">
        <f t="shared" si="2"/>
        <v>#N/A</v>
      </c>
      <c r="AA21" s="47">
        <v>1</v>
      </c>
      <c r="AB21" s="47" t="e">
        <f t="shared" si="3"/>
        <v>#N/A</v>
      </c>
      <c r="AC21" s="63">
        <v>105000</v>
      </c>
      <c r="AD21" s="63">
        <v>2336</v>
      </c>
      <c r="AE21" s="63">
        <v>0.3</v>
      </c>
      <c r="AF21" s="63">
        <v>0</v>
      </c>
      <c r="AG21" s="63">
        <v>0</v>
      </c>
      <c r="AH21" s="63">
        <v>0</v>
      </c>
      <c r="AI21" s="63">
        <v>0</v>
      </c>
      <c r="AJ21" s="47" t="e">
        <f t="shared" si="4"/>
        <v>#N/A</v>
      </c>
      <c r="AK21" s="47">
        <v>1</v>
      </c>
      <c r="AL21" s="47">
        <v>1</v>
      </c>
      <c r="AM21" s="47">
        <v>1</v>
      </c>
      <c r="AN21" s="47">
        <v>1</v>
      </c>
      <c r="AO21" s="47">
        <v>1</v>
      </c>
      <c r="AP21" s="47">
        <v>1</v>
      </c>
      <c r="AQ21" s="47">
        <v>0</v>
      </c>
      <c r="AR21" s="47">
        <v>0</v>
      </c>
      <c r="AS21" s="33">
        <v>0.4</v>
      </c>
    </row>
    <row r="22" spans="1:45" x14ac:dyDescent="0.25">
      <c r="A22" s="66"/>
      <c r="B22" s="66"/>
      <c r="C22" s="67"/>
      <c r="D22" s="35"/>
      <c r="I22" s="33" t="s">
        <v>266</v>
      </c>
      <c r="J22" s="47">
        <v>17</v>
      </c>
      <c r="K22" s="33">
        <v>-43</v>
      </c>
      <c r="L22" s="116" t="s">
        <v>275</v>
      </c>
      <c r="M22" s="105" t="s">
        <v>65</v>
      </c>
      <c r="N22" s="47">
        <v>8.5</v>
      </c>
      <c r="O22" s="63">
        <v>350</v>
      </c>
      <c r="P22" s="63">
        <v>0</v>
      </c>
      <c r="Q22" s="47">
        <v>0</v>
      </c>
      <c r="R22" s="47" t="e">
        <f t="shared" si="1"/>
        <v>#N/A</v>
      </c>
      <c r="S22" s="47">
        <v>1.3</v>
      </c>
      <c r="T22" s="47">
        <v>0</v>
      </c>
      <c r="U22" s="75">
        <v>1.7999999999999999E-2</v>
      </c>
      <c r="V22" s="75">
        <v>0</v>
      </c>
      <c r="W22" s="47">
        <v>0.25</v>
      </c>
      <c r="X22" s="47">
        <v>25000</v>
      </c>
      <c r="Y22" s="47">
        <v>0</v>
      </c>
      <c r="Z22" s="47" t="e">
        <f t="shared" si="2"/>
        <v>#N/A</v>
      </c>
      <c r="AA22" s="47">
        <v>1</v>
      </c>
      <c r="AB22" s="47" t="e">
        <f t="shared" si="3"/>
        <v>#N/A</v>
      </c>
      <c r="AC22" s="63">
        <v>130000</v>
      </c>
      <c r="AD22" s="63">
        <v>0</v>
      </c>
      <c r="AE22" s="63">
        <v>0.3</v>
      </c>
      <c r="AF22" s="63">
        <v>0</v>
      </c>
      <c r="AG22" s="63">
        <v>0</v>
      </c>
      <c r="AH22" s="63">
        <v>0</v>
      </c>
      <c r="AI22" s="63">
        <v>0</v>
      </c>
      <c r="AJ22" s="47" t="e">
        <f t="shared" si="4"/>
        <v>#N/A</v>
      </c>
      <c r="AK22" s="47">
        <v>1</v>
      </c>
      <c r="AL22" s="47">
        <v>1</v>
      </c>
      <c r="AM22" s="47">
        <v>1</v>
      </c>
      <c r="AN22" s="47">
        <v>1</v>
      </c>
      <c r="AO22" s="47">
        <v>1</v>
      </c>
      <c r="AP22" s="47">
        <v>1</v>
      </c>
      <c r="AQ22" s="47">
        <v>0</v>
      </c>
      <c r="AR22" s="47">
        <v>0</v>
      </c>
      <c r="AS22" s="33">
        <v>0.4</v>
      </c>
    </row>
    <row r="23" spans="1:45" x14ac:dyDescent="0.25">
      <c r="A23" s="66"/>
      <c r="B23" s="66"/>
      <c r="C23" s="67"/>
      <c r="D23" s="35"/>
      <c r="I23" s="33" t="s">
        <v>268</v>
      </c>
      <c r="J23" s="47">
        <v>18</v>
      </c>
      <c r="K23" s="19">
        <v>-45.7</v>
      </c>
      <c r="L23" s="33" t="str">
        <f t="shared" ref="L23:L24" si="5">"EW_sand_Ruled"&amp;"_"&amp;AR23</f>
        <v>EW_sand_Ruled_55</v>
      </c>
      <c r="M23" s="105" t="s">
        <v>64</v>
      </c>
      <c r="N23" s="47">
        <v>9</v>
      </c>
      <c r="O23" s="63">
        <v>0</v>
      </c>
      <c r="P23" s="63">
        <v>0</v>
      </c>
      <c r="Q23" s="47">
        <v>40</v>
      </c>
      <c r="R23" s="47">
        <f t="shared" si="1"/>
        <v>35</v>
      </c>
      <c r="S23" s="47">
        <v>1.67</v>
      </c>
      <c r="T23" s="47">
        <v>0</v>
      </c>
      <c r="U23" s="75">
        <v>0</v>
      </c>
      <c r="V23" s="75">
        <v>0</v>
      </c>
      <c r="W23" s="47">
        <v>0</v>
      </c>
      <c r="X23" s="47">
        <v>40000</v>
      </c>
      <c r="Y23" s="47">
        <v>0</v>
      </c>
      <c r="Z23" s="47">
        <f t="shared" si="2"/>
        <v>114.99999999999996</v>
      </c>
      <c r="AA23" s="47">
        <v>1</v>
      </c>
      <c r="AB23" s="47">
        <f t="shared" si="3"/>
        <v>12000</v>
      </c>
      <c r="AC23" s="63">
        <v>107000</v>
      </c>
      <c r="AD23" s="63">
        <v>1162.79</v>
      </c>
      <c r="AE23" s="63">
        <v>0.3</v>
      </c>
      <c r="AF23" s="63">
        <v>0</v>
      </c>
      <c r="AG23" s="63">
        <v>0</v>
      </c>
      <c r="AH23" s="63">
        <v>0</v>
      </c>
      <c r="AI23" s="63">
        <v>0</v>
      </c>
      <c r="AJ23" s="47">
        <f t="shared" si="4"/>
        <v>50.000000000000007</v>
      </c>
      <c r="AK23" s="47">
        <v>1</v>
      </c>
      <c r="AL23" s="47">
        <v>1</v>
      </c>
      <c r="AM23" s="47">
        <v>1</v>
      </c>
      <c r="AN23" s="47">
        <v>1</v>
      </c>
      <c r="AO23" s="47">
        <v>1</v>
      </c>
      <c r="AP23" s="47">
        <v>1</v>
      </c>
      <c r="AQ23" s="47">
        <v>0</v>
      </c>
      <c r="AR23" s="47">
        <v>55</v>
      </c>
      <c r="AS23" s="33">
        <v>0.2</v>
      </c>
    </row>
    <row r="24" spans="1:45" x14ac:dyDescent="0.25">
      <c r="A24" s="66"/>
      <c r="B24" s="66"/>
      <c r="C24" s="67"/>
      <c r="D24" s="35"/>
      <c r="I24" s="33" t="s">
        <v>268</v>
      </c>
      <c r="J24" s="47">
        <v>19</v>
      </c>
      <c r="K24" s="33">
        <v>-50</v>
      </c>
      <c r="L24" s="33" t="str">
        <f t="shared" si="5"/>
        <v>EW_sand_Ruled_55</v>
      </c>
      <c r="M24" s="105" t="s">
        <v>64</v>
      </c>
      <c r="N24" s="47">
        <v>9</v>
      </c>
      <c r="O24" s="63">
        <v>0</v>
      </c>
      <c r="P24" s="63">
        <v>0</v>
      </c>
      <c r="Q24" s="47">
        <v>40</v>
      </c>
      <c r="R24" s="47">
        <f t="shared" si="1"/>
        <v>35</v>
      </c>
      <c r="S24" s="47">
        <v>1.5</v>
      </c>
      <c r="T24" s="47">
        <v>0</v>
      </c>
      <c r="U24" s="75">
        <v>0</v>
      </c>
      <c r="V24" s="75">
        <v>0</v>
      </c>
      <c r="W24" s="47">
        <v>0</v>
      </c>
      <c r="X24" s="47">
        <v>40000</v>
      </c>
      <c r="Y24" s="47">
        <v>0</v>
      </c>
      <c r="Z24" s="47">
        <f t="shared" si="2"/>
        <v>114.99999999999996</v>
      </c>
      <c r="AA24" s="47">
        <v>1</v>
      </c>
      <c r="AB24" s="47">
        <f t="shared" si="3"/>
        <v>12000</v>
      </c>
      <c r="AC24" s="63">
        <v>112000</v>
      </c>
      <c r="AD24" s="63">
        <v>0</v>
      </c>
      <c r="AE24" s="63">
        <v>0.3</v>
      </c>
      <c r="AF24" s="63">
        <v>0</v>
      </c>
      <c r="AG24" s="63">
        <v>0</v>
      </c>
      <c r="AH24" s="63">
        <v>0</v>
      </c>
      <c r="AI24" s="63">
        <v>0</v>
      </c>
      <c r="AJ24" s="47">
        <f t="shared" si="4"/>
        <v>50.000000000000007</v>
      </c>
      <c r="AK24" s="47">
        <v>1</v>
      </c>
      <c r="AL24" s="47">
        <v>1</v>
      </c>
      <c r="AM24" s="47">
        <v>1</v>
      </c>
      <c r="AN24" s="47">
        <v>1</v>
      </c>
      <c r="AO24" s="47">
        <v>1</v>
      </c>
      <c r="AP24" s="47">
        <v>1</v>
      </c>
      <c r="AQ24" s="47">
        <v>0</v>
      </c>
      <c r="AR24" s="47">
        <v>55</v>
      </c>
      <c r="AS24" s="33">
        <v>0.2</v>
      </c>
    </row>
    <row r="25" spans="1:45" x14ac:dyDescent="0.25">
      <c r="A25" s="66"/>
      <c r="B25" s="66"/>
      <c r="C25" s="67"/>
      <c r="D25" s="35"/>
      <c r="I25" s="56"/>
      <c r="J25" s="47"/>
      <c r="K25" s="19"/>
      <c r="L25" s="116"/>
      <c r="M25" s="105"/>
      <c r="N25" s="47"/>
      <c r="O25" s="63"/>
      <c r="P25" s="63"/>
      <c r="Q25" s="47"/>
      <c r="R25" s="47"/>
      <c r="S25" s="47"/>
      <c r="T25" s="47"/>
      <c r="U25" s="75"/>
      <c r="V25" s="75"/>
      <c r="W25" s="47"/>
      <c r="X25" s="47"/>
      <c r="Y25" s="47"/>
      <c r="Z25" s="47"/>
      <c r="AA25" s="47"/>
      <c r="AB25" s="47"/>
      <c r="AC25" s="63"/>
      <c r="AD25" s="63"/>
      <c r="AE25" s="63"/>
      <c r="AF25" s="63"/>
      <c r="AG25" s="63"/>
      <c r="AH25" s="63"/>
      <c r="AI25" s="63"/>
      <c r="AJ25" s="47"/>
      <c r="AK25" s="47"/>
      <c r="AL25" s="47"/>
      <c r="AM25" s="47"/>
      <c r="AN25" s="47"/>
      <c r="AO25" s="47"/>
      <c r="AP25" s="47"/>
      <c r="AQ25" s="47"/>
      <c r="AR25" s="47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6">AF40+3.8</f>
        <v>55.599999999999994</v>
      </c>
      <c r="AG41" s="33">
        <f t="shared" ref="AG41:AG43" si="7">AG40+200</f>
        <v>2300</v>
      </c>
      <c r="AH41" s="33">
        <f t="shared" ref="AH41:AH44" si="8">AH40+0.8</f>
        <v>9.6000000000000014</v>
      </c>
    </row>
    <row r="42" spans="1:42" x14ac:dyDescent="0.25">
      <c r="L42" s="49"/>
      <c r="AE42" s="33">
        <v>18</v>
      </c>
      <c r="AF42" s="33">
        <f t="shared" si="6"/>
        <v>59.399999999999991</v>
      </c>
      <c r="AG42" s="33">
        <f t="shared" si="7"/>
        <v>2500</v>
      </c>
      <c r="AH42" s="33">
        <f t="shared" si="8"/>
        <v>10.400000000000002</v>
      </c>
    </row>
    <row r="43" spans="1:42" x14ac:dyDescent="0.25">
      <c r="L43" s="49"/>
      <c r="AE43" s="33">
        <v>19</v>
      </c>
      <c r="AF43" s="33">
        <f t="shared" si="6"/>
        <v>63.199999999999989</v>
      </c>
      <c r="AG43" s="33">
        <f t="shared" si="7"/>
        <v>2700</v>
      </c>
      <c r="AH43" s="33">
        <f t="shared" si="8"/>
        <v>11.200000000000003</v>
      </c>
    </row>
    <row r="44" spans="1:42" x14ac:dyDescent="0.25">
      <c r="L44" s="49"/>
      <c r="AE44" s="33">
        <v>20</v>
      </c>
      <c r="AF44" s="33">
        <f t="shared" si="6"/>
        <v>66.999999999999986</v>
      </c>
      <c r="AG44" s="33">
        <f>AG43+200</f>
        <v>2900</v>
      </c>
      <c r="AH44" s="33">
        <f t="shared" si="8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9">AF45+2.8</f>
        <v>72.59999999999998</v>
      </c>
      <c r="AG46" s="33">
        <f t="shared" ref="AG46:AG48" si="10">AG45+380</f>
        <v>3660</v>
      </c>
      <c r="AH46" s="33">
        <f t="shared" ref="AH46:AH49" si="11">AH45+1.6</f>
        <v>15.200000000000003</v>
      </c>
    </row>
    <row r="47" spans="1:42" x14ac:dyDescent="0.25">
      <c r="L47" s="49"/>
      <c r="AE47" s="33">
        <v>23</v>
      </c>
      <c r="AF47" s="33">
        <f t="shared" si="9"/>
        <v>75.399999999999977</v>
      </c>
      <c r="AG47" s="33">
        <f t="shared" si="10"/>
        <v>4040</v>
      </c>
      <c r="AH47" s="33">
        <f t="shared" si="11"/>
        <v>16.800000000000004</v>
      </c>
    </row>
    <row r="48" spans="1:42" x14ac:dyDescent="0.25">
      <c r="L48" s="49"/>
      <c r="AE48" s="33">
        <v>24</v>
      </c>
      <c r="AF48" s="33">
        <f t="shared" si="9"/>
        <v>78.199999999999974</v>
      </c>
      <c r="AG48" s="33">
        <f t="shared" si="10"/>
        <v>4420</v>
      </c>
      <c r="AH48" s="33">
        <f t="shared" si="11"/>
        <v>18.400000000000006</v>
      </c>
    </row>
    <row r="49" spans="12:34" x14ac:dyDescent="0.25">
      <c r="L49" s="49"/>
      <c r="AE49" s="33">
        <v>25</v>
      </c>
      <c r="AF49" s="33">
        <f t="shared" si="9"/>
        <v>80.999999999999972</v>
      </c>
      <c r="AG49" s="33">
        <v>4800</v>
      </c>
      <c r="AH49" s="33">
        <f t="shared" si="11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2">AF50+3</f>
        <v>86.999999999999972</v>
      </c>
      <c r="AG51" s="33">
        <f t="shared" ref="AG51:AG54" si="13">AG50+960</f>
        <v>6720</v>
      </c>
      <c r="AH51" s="33">
        <f t="shared" ref="AH51:AH54" si="14">AH50+4</f>
        <v>28.000000000000007</v>
      </c>
    </row>
    <row r="52" spans="12:34" x14ac:dyDescent="0.25">
      <c r="L52" s="49"/>
      <c r="AE52" s="33">
        <v>28</v>
      </c>
      <c r="AF52" s="33">
        <f t="shared" si="12"/>
        <v>89.999999999999972</v>
      </c>
      <c r="AG52" s="33">
        <f t="shared" si="13"/>
        <v>7680</v>
      </c>
      <c r="AH52" s="33">
        <f t="shared" si="14"/>
        <v>32.000000000000007</v>
      </c>
    </row>
    <row r="53" spans="12:34" x14ac:dyDescent="0.25">
      <c r="L53" s="49"/>
      <c r="AE53" s="33">
        <v>29</v>
      </c>
      <c r="AF53" s="33">
        <f t="shared" si="12"/>
        <v>92.999999999999972</v>
      </c>
      <c r="AG53" s="33">
        <f t="shared" si="13"/>
        <v>8640</v>
      </c>
      <c r="AH53" s="33">
        <f t="shared" si="14"/>
        <v>36.000000000000007</v>
      </c>
    </row>
    <row r="54" spans="12:34" x14ac:dyDescent="0.25">
      <c r="L54" s="49"/>
      <c r="AE54" s="33">
        <v>30</v>
      </c>
      <c r="AF54" s="33">
        <f t="shared" si="12"/>
        <v>95.999999999999972</v>
      </c>
      <c r="AG54" s="33">
        <f t="shared" si="13"/>
        <v>9600</v>
      </c>
      <c r="AH54" s="33">
        <f t="shared" si="14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5">AF55+3.8</f>
        <v>103.59999999999997</v>
      </c>
      <c r="AG56" s="33">
        <f t="shared" ref="AG56:AG59" si="16">AG55+480</f>
        <v>10560</v>
      </c>
      <c r="AH56" s="33">
        <f t="shared" ref="AH56:AH59" si="17">AH55+2</f>
        <v>44.000000000000007</v>
      </c>
    </row>
    <row r="57" spans="12:34" x14ac:dyDescent="0.25">
      <c r="L57" s="49"/>
      <c r="AE57" s="33">
        <v>33</v>
      </c>
      <c r="AF57" s="33">
        <f t="shared" si="15"/>
        <v>107.39999999999996</v>
      </c>
      <c r="AG57" s="33">
        <f t="shared" si="16"/>
        <v>11040</v>
      </c>
      <c r="AH57" s="33">
        <f t="shared" si="17"/>
        <v>46.000000000000007</v>
      </c>
    </row>
    <row r="58" spans="12:34" x14ac:dyDescent="0.25">
      <c r="L58" s="49"/>
      <c r="AE58" s="33">
        <v>34</v>
      </c>
      <c r="AF58" s="33">
        <f t="shared" si="15"/>
        <v>111.19999999999996</v>
      </c>
      <c r="AG58" s="33">
        <f t="shared" si="16"/>
        <v>11520</v>
      </c>
      <c r="AH58" s="33">
        <f t="shared" si="17"/>
        <v>48.000000000000007</v>
      </c>
    </row>
    <row r="59" spans="12:34" x14ac:dyDescent="0.25">
      <c r="L59" s="49"/>
      <c r="AE59" s="33">
        <v>35</v>
      </c>
      <c r="AF59" s="33">
        <f t="shared" si="15"/>
        <v>114.99999999999996</v>
      </c>
      <c r="AG59" s="33">
        <f t="shared" si="16"/>
        <v>12000</v>
      </c>
      <c r="AH59" s="33">
        <f t="shared" si="17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9:AP36 Q29:Q36 AJ25 AB25 N25 Q25:T25 W25:Z25 AM25:AR25 N29:N36">
    <cfRule type="expression" dxfId="3558" priority="19">
      <formula>$L25="API sand"</formula>
    </cfRule>
  </conditionalFormatting>
  <conditionalFormatting sqref="R29:S36 AB29:AB35 AJ29:AL36 Z29:Z36 AK25:AL25 N25 N29:N36">
    <cfRule type="expression" dxfId="3557" priority="18">
      <formula>$M25="API sand"</formula>
    </cfRule>
  </conditionalFormatting>
  <conditionalFormatting sqref="R29:T36 Z29:AB35 AK25:AL25 N25 AK29:AL36 N29:N36">
    <cfRule type="expression" dxfId="3556" priority="17">
      <formula>$M25="API clay"</formula>
    </cfRule>
  </conditionalFormatting>
  <conditionalFormatting sqref="U29:W36 N25:P25 AA25 AC25:AI25 AM25:AP25 U25:V25 AM29:AP36">
    <cfRule type="expression" dxfId="3555" priority="14">
      <formula>$L25="Stiff clay w/o free water"</formula>
    </cfRule>
    <cfRule type="expression" dxfId="3554" priority="16">
      <formula>$L25="API clay"</formula>
    </cfRule>
  </conditionalFormatting>
  <conditionalFormatting sqref="U29:Y36 N25:P25 AA25 AC25:AI25 AM25:AP25 U25:V25 AM29:AP36">
    <cfRule type="expression" dxfId="3553" priority="15">
      <formula>$L25="Kirsch soft clay"</formula>
    </cfRule>
  </conditionalFormatting>
  <conditionalFormatting sqref="U29:Y36 N25:P25 AA25 AC25:AI25 AM25:AP25 U25:V25 AM29:AP36">
    <cfRule type="expression" dxfId="3552" priority="13">
      <formula>$L25="Kirsch stiff clay"</formula>
    </cfRule>
  </conditionalFormatting>
  <conditionalFormatting sqref="AM29:AP36 Q29:Q36 X29:Y36 AJ25 AB25 N25 Q25:T25 W25:Z25 AM25:AR25 N29:N36">
    <cfRule type="expression" dxfId="3551" priority="12">
      <formula>$L25="Kirsch sand"</formula>
    </cfRule>
  </conditionalFormatting>
  <conditionalFormatting sqref="AC29:AD36 AI29:AI36 AM25:AP25 N25 AM29:AP36 N29:N36">
    <cfRule type="expression" dxfId="3550" priority="11">
      <formula>$L25="Modified Weak rock"</formula>
    </cfRule>
  </conditionalFormatting>
  <conditionalFormatting sqref="N25:P25 AA25 AC25:AI25 AM25:AP25 U25:V25 AM29:AP36 U29:V36">
    <cfRule type="expression" dxfId="3549" priority="10">
      <formula>$L25="Reese stiff clay"</formula>
    </cfRule>
  </conditionalFormatting>
  <conditionalFormatting sqref="AB36">
    <cfRule type="expression" dxfId="3548" priority="9">
      <formula>$M36="API sand"</formula>
    </cfRule>
  </conditionalFormatting>
  <conditionalFormatting sqref="Z36:AB36">
    <cfRule type="expression" dxfId="3547" priority="8">
      <formula>$M36="API clay"</formula>
    </cfRule>
  </conditionalFormatting>
  <conditionalFormatting sqref="N29:P36">
    <cfRule type="expression" dxfId="3546" priority="5">
      <formula>$L29="Stiff clay w/o free water"</formula>
    </cfRule>
    <cfRule type="expression" dxfId="3545" priority="7">
      <formula>$L29="API clay"</formula>
    </cfRule>
  </conditionalFormatting>
  <conditionalFormatting sqref="N29:P36">
    <cfRule type="expression" dxfId="3544" priority="6">
      <formula>$L29="Kirsch soft clay"</formula>
    </cfRule>
  </conditionalFormatting>
  <conditionalFormatting sqref="N29:P36">
    <cfRule type="expression" dxfId="3543" priority="4">
      <formula>$L29="Kirsch stiff clay"</formula>
    </cfRule>
  </conditionalFormatting>
  <conditionalFormatting sqref="N29:P36">
    <cfRule type="expression" dxfId="3542" priority="3">
      <formula>$L29="Reese stiff clay"</formula>
    </cfRule>
  </conditionalFormatting>
  <conditionalFormatting sqref="N25:P25 AA25 AC25:AI25 AM25:AP25 U25:V25">
    <cfRule type="expression" dxfId="3541" priority="2">
      <formula>$L25="PISA clay"</formula>
    </cfRule>
  </conditionalFormatting>
  <conditionalFormatting sqref="N25 AM25:AP25">
    <cfRule type="expression" dxfId="3540" priority="1">
      <formula>$L25="PISA sand"</formula>
    </cfRule>
  </conditionalFormatting>
  <conditionalFormatting sqref="AE37:AH37">
    <cfRule type="expression" dxfId="3539" priority="20">
      <formula>$L19="Modified Weak rock"</formula>
    </cfRule>
  </conditionalFormatting>
  <dataValidations count="4">
    <dataValidation showInputMessage="1" showErrorMessage="1" sqref="L21:L22" xr:uid="{B04892B7-94F0-4485-BAF7-E92FC124DEAD}"/>
    <dataValidation type="list" showInputMessage="1" showErrorMessage="1" sqref="L29:L255 L25" xr:uid="{70B2151C-5C6B-41D5-A75A-AE7971ACC274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25" xr:uid="{A3C99C92-B042-4D0D-ABFC-CE89D57A2366}">
      <formula1>"Zero soil,API sand,API clay"</formula1>
    </dataValidation>
    <dataValidation type="list" showInputMessage="1" showErrorMessage="1" sqref="M11:M25 M29:M36" xr:uid="{989AAE88-CCED-4391-B3D9-553683CDB09D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1CDF1-97F3-4E1E-BE0E-DB466A14D00A}">
  <sheetPr>
    <tabColor rgb="FFFF99FF"/>
  </sheetPr>
  <dimension ref="A1:AS255"/>
  <sheetViews>
    <sheetView zoomScale="85" zoomScaleNormal="85" workbookViewId="0">
      <selection activeCell="F31" sqref="F3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Ak_Pisa_BH-53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8"/>
      <c r="R3" s="155"/>
      <c r="S3" s="155"/>
      <c r="T3" s="118"/>
      <c r="U3" s="155"/>
      <c r="V3" s="155"/>
      <c r="W3" s="118"/>
      <c r="X3" s="69"/>
      <c r="Y3" s="118"/>
      <c r="Z3" s="118"/>
      <c r="AA3" s="118"/>
      <c r="AB3" s="118"/>
      <c r="AC3" s="69"/>
      <c r="AD3" s="39"/>
      <c r="AE3" s="39"/>
      <c r="AF3" s="39"/>
      <c r="AG3" s="39"/>
      <c r="AH3" s="39"/>
      <c r="AI3" s="39"/>
      <c r="AJ3" s="118"/>
      <c r="AK3" s="118"/>
      <c r="AL3" s="118"/>
      <c r="AM3" s="118"/>
      <c r="AN3" s="118"/>
      <c r="AO3" s="118"/>
      <c r="AP3" s="118"/>
    </row>
    <row r="4" spans="1:45" x14ac:dyDescent="0.25">
      <c r="A4" s="40" t="s">
        <v>60</v>
      </c>
      <c r="B4" s="33">
        <f>COUNTIF(J:J,"&gt;0")</f>
        <v>19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9" t="s">
        <v>38</v>
      </c>
      <c r="K5" s="119" t="s">
        <v>30</v>
      </c>
      <c r="L5" s="119" t="s">
        <v>31</v>
      </c>
      <c r="M5" s="119" t="s">
        <v>31</v>
      </c>
      <c r="N5" s="119" t="s">
        <v>32</v>
      </c>
      <c r="O5" s="119" t="s">
        <v>33</v>
      </c>
      <c r="P5" s="119" t="s">
        <v>35</v>
      </c>
      <c r="Q5" s="119" t="s">
        <v>36</v>
      </c>
      <c r="R5" s="119" t="s">
        <v>36</v>
      </c>
      <c r="S5" s="119" t="s">
        <v>34</v>
      </c>
      <c r="T5" s="119" t="s">
        <v>33</v>
      </c>
      <c r="U5" s="119" t="s">
        <v>34</v>
      </c>
      <c r="V5" s="119" t="s">
        <v>62</v>
      </c>
      <c r="W5" s="119" t="s">
        <v>34</v>
      </c>
      <c r="X5" s="119" t="s">
        <v>33</v>
      </c>
      <c r="Y5" s="119" t="s">
        <v>35</v>
      </c>
      <c r="Z5" s="119" t="s">
        <v>33</v>
      </c>
      <c r="AA5" s="119" t="s">
        <v>34</v>
      </c>
      <c r="AB5" s="119" t="s">
        <v>33</v>
      </c>
      <c r="AC5" s="119" t="s">
        <v>33</v>
      </c>
      <c r="AD5" s="119" t="s">
        <v>35</v>
      </c>
      <c r="AE5" s="119" t="s">
        <v>34</v>
      </c>
      <c r="AF5" s="119" t="s">
        <v>33</v>
      </c>
      <c r="AG5" s="119" t="s">
        <v>35</v>
      </c>
      <c r="AH5" s="119" t="s">
        <v>34</v>
      </c>
      <c r="AI5" s="119" t="s">
        <v>34</v>
      </c>
      <c r="AJ5" s="119" t="s">
        <v>34</v>
      </c>
      <c r="AK5" s="119" t="s">
        <v>34</v>
      </c>
      <c r="AL5" s="119" t="s">
        <v>34</v>
      </c>
      <c r="AM5" s="119" t="s">
        <v>34</v>
      </c>
      <c r="AN5" s="119" t="s">
        <v>34</v>
      </c>
      <c r="AO5" s="119" t="s">
        <v>34</v>
      </c>
      <c r="AP5" s="119" t="s">
        <v>34</v>
      </c>
      <c r="AQ5" s="119" t="s">
        <v>103</v>
      </c>
      <c r="AR5" s="119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 t="shared" ref="L6:L10" si="0">"EW_sand_Ruled"&amp;"_"&amp;AR6</f>
        <v>EW_sand_Ruled_100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45</v>
      </c>
      <c r="R6" s="47">
        <f t="shared" ref="R6:R24" si="1">IF(Q6&lt;&gt;0,Q6-5,NA())</f>
        <v>40</v>
      </c>
      <c r="S6" s="47">
        <v>0.4</v>
      </c>
      <c r="T6" s="47">
        <v>0</v>
      </c>
      <c r="U6" s="75">
        <v>0</v>
      </c>
      <c r="V6" s="75">
        <v>0</v>
      </c>
      <c r="W6" s="47">
        <v>0</v>
      </c>
      <c r="X6" s="47">
        <v>100</v>
      </c>
      <c r="Y6" s="47">
        <v>150000</v>
      </c>
      <c r="Z6" s="47">
        <f t="shared" ref="Z6:Z10" si="2">VLOOKUP(R6,$AE$39:$AF$59,2)</f>
        <v>114.99999999999996</v>
      </c>
      <c r="AA6" s="47">
        <v>1</v>
      </c>
      <c r="AB6" s="47">
        <f t="shared" ref="AB6:AB10" si="3">VLOOKUP(R6,$AE$39:$AG$59,3)</f>
        <v>12000</v>
      </c>
      <c r="AC6" s="63">
        <v>8000</v>
      </c>
      <c r="AD6" s="63">
        <v>20000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0" si="4">VLOOKUP(R6,$AE$39:$AH$59,4)</f>
        <v>50.000000000000007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100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-0.1</v>
      </c>
      <c r="L7" s="33" t="str">
        <f t="shared" si="0"/>
        <v>EW_sand_Ruled_100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45</v>
      </c>
      <c r="R7" s="47">
        <f t="shared" si="1"/>
        <v>40</v>
      </c>
      <c r="S7" s="47">
        <v>0.4</v>
      </c>
      <c r="T7" s="47">
        <v>0</v>
      </c>
      <c r="U7" s="75">
        <v>0</v>
      </c>
      <c r="V7" s="75">
        <v>0</v>
      </c>
      <c r="W7" s="47">
        <v>0</v>
      </c>
      <c r="X7" s="47">
        <v>15000</v>
      </c>
      <c r="Y7" s="47">
        <v>55000</v>
      </c>
      <c r="Z7" s="47">
        <f t="shared" si="2"/>
        <v>114.99999999999996</v>
      </c>
      <c r="AA7" s="47">
        <v>1</v>
      </c>
      <c r="AB7" s="47">
        <f t="shared" si="3"/>
        <v>12000</v>
      </c>
      <c r="AC7" s="63">
        <v>10000</v>
      </c>
      <c r="AD7" s="63">
        <v>25000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4"/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15778.957475994501</v>
      </c>
      <c r="H8" s="45" t="s">
        <v>53</v>
      </c>
      <c r="I8" s="33" t="s">
        <v>279</v>
      </c>
      <c r="J8" s="47">
        <v>3</v>
      </c>
      <c r="K8" s="33">
        <v>-0.5</v>
      </c>
      <c r="L8" s="33" t="str">
        <f t="shared" si="0"/>
        <v>EW_sand_Ruled_100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45</v>
      </c>
      <c r="R8" s="47">
        <f t="shared" si="1"/>
        <v>40</v>
      </c>
      <c r="S8" s="47">
        <v>0.4</v>
      </c>
      <c r="T8" s="47">
        <v>0</v>
      </c>
      <c r="U8" s="75">
        <v>0</v>
      </c>
      <c r="V8" s="75">
        <v>0</v>
      </c>
      <c r="W8" s="47">
        <v>0</v>
      </c>
      <c r="X8" s="47">
        <v>37000</v>
      </c>
      <c r="Y8" s="47">
        <v>56000</v>
      </c>
      <c r="Z8" s="47">
        <f t="shared" si="2"/>
        <v>114.99999999999996</v>
      </c>
      <c r="AA8" s="47">
        <v>1</v>
      </c>
      <c r="AB8" s="47">
        <f t="shared" si="3"/>
        <v>12000</v>
      </c>
      <c r="AC8" s="63">
        <v>20000</v>
      </c>
      <c r="AD8" s="63">
        <v>22000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4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100</v>
      </c>
      <c r="AS8" s="33">
        <v>0.4</v>
      </c>
    </row>
    <row r="9" spans="1:45" x14ac:dyDescent="0.25">
      <c r="A9" s="33" t="s">
        <v>68</v>
      </c>
      <c r="B9" s="57">
        <v>40</v>
      </c>
      <c r="C9" s="45" t="s">
        <v>28</v>
      </c>
      <c r="D9" s="57">
        <v>28</v>
      </c>
      <c r="F9" s="33" t="s">
        <v>96</v>
      </c>
      <c r="G9" s="76">
        <v>-1031060.07581538</v>
      </c>
      <c r="H9" s="45" t="s">
        <v>54</v>
      </c>
      <c r="I9" s="33" t="s">
        <v>279</v>
      </c>
      <c r="J9" s="47">
        <v>4</v>
      </c>
      <c r="K9" s="33">
        <v>-1</v>
      </c>
      <c r="L9" s="33" t="str">
        <f t="shared" si="0"/>
        <v>EW_sand_Ruled_100</v>
      </c>
      <c r="M9" s="105" t="s">
        <v>64</v>
      </c>
      <c r="N9" s="47">
        <v>9.6999999999999993</v>
      </c>
      <c r="O9" s="63">
        <v>0</v>
      </c>
      <c r="P9" s="63">
        <v>0</v>
      </c>
      <c r="Q9" s="47">
        <v>45</v>
      </c>
      <c r="R9" s="47">
        <f t="shared" si="1"/>
        <v>40</v>
      </c>
      <c r="S9" s="47">
        <v>0.4</v>
      </c>
      <c r="T9" s="47">
        <v>0</v>
      </c>
      <c r="U9" s="75">
        <v>0</v>
      </c>
      <c r="V9" s="75">
        <v>0</v>
      </c>
      <c r="W9" s="47">
        <v>0</v>
      </c>
      <c r="X9" s="47">
        <v>65000</v>
      </c>
      <c r="Y9" s="47">
        <v>0</v>
      </c>
      <c r="Z9" s="47">
        <f t="shared" si="2"/>
        <v>114.99999999999996</v>
      </c>
      <c r="AA9" s="47">
        <v>1</v>
      </c>
      <c r="AB9" s="47">
        <f t="shared" si="3"/>
        <v>12000</v>
      </c>
      <c r="AC9" s="63">
        <v>31000</v>
      </c>
      <c r="AD9" s="63">
        <v>11000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4"/>
        <v>50.000000000000007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100</v>
      </c>
      <c r="AS9" s="33">
        <v>0.4</v>
      </c>
    </row>
    <row r="10" spans="1:45" s="56" customFormat="1" x14ac:dyDescent="0.25">
      <c r="A10" s="56" t="s">
        <v>69</v>
      </c>
      <c r="B10" s="58">
        <v>40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279</v>
      </c>
      <c r="J10" s="47">
        <v>5</v>
      </c>
      <c r="K10" s="56">
        <v>-2</v>
      </c>
      <c r="L10" s="33" t="str">
        <f t="shared" si="0"/>
        <v>EW_sand_Ruled_100</v>
      </c>
      <c r="M10" s="105" t="s">
        <v>64</v>
      </c>
      <c r="N10" s="47">
        <v>9.6999999999999993</v>
      </c>
      <c r="O10" s="63">
        <v>0</v>
      </c>
      <c r="P10" s="63">
        <v>0</v>
      </c>
      <c r="Q10" s="47">
        <v>45</v>
      </c>
      <c r="R10" s="47">
        <f t="shared" si="1"/>
        <v>40</v>
      </c>
      <c r="S10" s="47">
        <v>0.4</v>
      </c>
      <c r="T10" s="47">
        <v>0</v>
      </c>
      <c r="U10" s="75">
        <v>0</v>
      </c>
      <c r="V10" s="75">
        <v>0</v>
      </c>
      <c r="W10" s="47">
        <v>0</v>
      </c>
      <c r="X10" s="47">
        <v>65000</v>
      </c>
      <c r="Y10" s="47">
        <v>0</v>
      </c>
      <c r="Z10" s="47">
        <f t="shared" si="2"/>
        <v>114.99999999999996</v>
      </c>
      <c r="AA10" s="47">
        <v>1</v>
      </c>
      <c r="AB10" s="47">
        <f t="shared" si="3"/>
        <v>12000</v>
      </c>
      <c r="AC10" s="63">
        <v>42000</v>
      </c>
      <c r="AD10" s="63">
        <v>6000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4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100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56" t="s">
        <v>261</v>
      </c>
      <c r="J11" s="47">
        <v>6</v>
      </c>
      <c r="K11" s="19">
        <v>-2.2000000000000002</v>
      </c>
      <c r="L11" s="33" t="str">
        <f t="shared" ref="L11:L13" si="5">"EW_sand_Ruled"&amp;"_"&amp;AR11</f>
        <v>EW_sand_Ruled_85</v>
      </c>
      <c r="M11" s="105" t="s">
        <v>64</v>
      </c>
      <c r="N11" s="47">
        <v>9.9</v>
      </c>
      <c r="O11" s="63">
        <v>0</v>
      </c>
      <c r="P11" s="63">
        <v>0</v>
      </c>
      <c r="Q11" s="47">
        <v>44</v>
      </c>
      <c r="R11" s="47">
        <f t="shared" si="1"/>
        <v>39</v>
      </c>
      <c r="S11" s="47">
        <v>2.5</v>
      </c>
      <c r="T11" s="47">
        <v>0</v>
      </c>
      <c r="U11" s="75">
        <v>0</v>
      </c>
      <c r="V11" s="75">
        <v>0</v>
      </c>
      <c r="W11" s="47">
        <v>0</v>
      </c>
      <c r="X11" s="47">
        <v>28000</v>
      </c>
      <c r="Y11" s="47">
        <v>2000</v>
      </c>
      <c r="Z11" s="47">
        <f t="shared" ref="Z11:Z24" si="6">VLOOKUP(R11,$AE$39:$AF$59,2)</f>
        <v>114.99999999999996</v>
      </c>
      <c r="AA11" s="47">
        <v>1</v>
      </c>
      <c r="AB11" s="47">
        <f t="shared" ref="AB11:AB24" si="7">VLOOKUP(R11,$AE$39:$AG$59,3)</f>
        <v>12000</v>
      </c>
      <c r="AC11" s="63">
        <v>34900</v>
      </c>
      <c r="AD11" s="63">
        <v>3240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ref="AJ11:AJ24" si="8">VLOOKUP(R11,$AE$39:$AH$59,4)</f>
        <v>50.000000000000007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85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 t="s">
        <v>261</v>
      </c>
      <c r="J12" s="47">
        <v>7</v>
      </c>
      <c r="K12" s="19">
        <v>-5</v>
      </c>
      <c r="L12" s="33" t="str">
        <f t="shared" si="5"/>
        <v>EW_sand_Ruled_85</v>
      </c>
      <c r="M12" s="105" t="s">
        <v>64</v>
      </c>
      <c r="N12" s="47">
        <v>9.9</v>
      </c>
      <c r="O12" s="63">
        <v>0</v>
      </c>
      <c r="P12" s="63">
        <v>0</v>
      </c>
      <c r="Q12" s="47">
        <v>44</v>
      </c>
      <c r="R12" s="47">
        <f t="shared" si="1"/>
        <v>39</v>
      </c>
      <c r="S12" s="47">
        <v>2.5</v>
      </c>
      <c r="T12" s="47">
        <v>0</v>
      </c>
      <c r="U12" s="75">
        <v>0</v>
      </c>
      <c r="V12" s="75">
        <v>0</v>
      </c>
      <c r="W12" s="47">
        <v>0</v>
      </c>
      <c r="X12" s="47">
        <v>33000</v>
      </c>
      <c r="Y12" s="47">
        <v>2000</v>
      </c>
      <c r="Z12" s="47">
        <f t="shared" si="6"/>
        <v>114.99999999999996</v>
      </c>
      <c r="AA12" s="47">
        <v>1</v>
      </c>
      <c r="AB12" s="47">
        <f t="shared" si="7"/>
        <v>12000</v>
      </c>
      <c r="AC12" s="63">
        <v>43000</v>
      </c>
      <c r="AD12" s="63">
        <v>4000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8"/>
        <v>50.000000000000007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85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56" t="s">
        <v>261</v>
      </c>
      <c r="J13" s="47">
        <v>8</v>
      </c>
      <c r="K13" s="19">
        <v>-6</v>
      </c>
      <c r="L13" s="33" t="str">
        <f t="shared" si="5"/>
        <v>EW_sand_Ruled_85</v>
      </c>
      <c r="M13" s="105" t="s">
        <v>64</v>
      </c>
      <c r="N13" s="47">
        <v>9.9</v>
      </c>
      <c r="O13" s="63">
        <v>0</v>
      </c>
      <c r="P13" s="63">
        <v>0</v>
      </c>
      <c r="Q13" s="47">
        <v>44</v>
      </c>
      <c r="R13" s="47">
        <f t="shared" si="1"/>
        <v>39</v>
      </c>
      <c r="S13" s="47">
        <v>2.2000000000000002</v>
      </c>
      <c r="T13" s="47">
        <v>0</v>
      </c>
      <c r="U13" s="75">
        <v>0</v>
      </c>
      <c r="V13" s="75">
        <v>0</v>
      </c>
      <c r="W13" s="47">
        <v>0</v>
      </c>
      <c r="X13" s="47">
        <v>35000</v>
      </c>
      <c r="Y13" s="47">
        <v>2500</v>
      </c>
      <c r="Z13" s="47">
        <f t="shared" si="6"/>
        <v>114.99999999999996</v>
      </c>
      <c r="AA13" s="47">
        <v>1</v>
      </c>
      <c r="AB13" s="47">
        <f t="shared" si="7"/>
        <v>12000</v>
      </c>
      <c r="AC13" s="63">
        <v>47000</v>
      </c>
      <c r="AD13" s="63">
        <v>3000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8"/>
        <v>50.000000000000007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85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261</v>
      </c>
      <c r="J14" s="47">
        <v>9</v>
      </c>
      <c r="K14" s="19">
        <v>-8</v>
      </c>
      <c r="L14" s="33" t="str">
        <f t="shared" ref="L14:L20" si="9">"EW_sand_Ruled"&amp;"_"&amp;AR14</f>
        <v>EW_sand_Ruled_85</v>
      </c>
      <c r="M14" s="105" t="s">
        <v>64</v>
      </c>
      <c r="N14" s="47">
        <v>9.9</v>
      </c>
      <c r="O14" s="63">
        <v>0</v>
      </c>
      <c r="P14" s="63">
        <v>0</v>
      </c>
      <c r="Q14" s="47">
        <v>44</v>
      </c>
      <c r="R14" s="47">
        <f t="shared" si="1"/>
        <v>39</v>
      </c>
      <c r="S14" s="47">
        <v>1.9</v>
      </c>
      <c r="T14" s="47">
        <v>0</v>
      </c>
      <c r="U14" s="75">
        <v>0</v>
      </c>
      <c r="V14" s="75">
        <v>0</v>
      </c>
      <c r="W14" s="47">
        <v>0</v>
      </c>
      <c r="X14" s="47">
        <v>40000</v>
      </c>
      <c r="Y14" s="47">
        <v>2000</v>
      </c>
      <c r="Z14" s="47">
        <f t="shared" si="6"/>
        <v>114.99999999999996</v>
      </c>
      <c r="AA14" s="47">
        <v>1</v>
      </c>
      <c r="AB14" s="47">
        <f t="shared" si="7"/>
        <v>12000</v>
      </c>
      <c r="AC14" s="63">
        <v>53000</v>
      </c>
      <c r="AD14" s="63">
        <v>3500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8"/>
        <v>50.000000000000007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85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261</v>
      </c>
      <c r="J15" s="47">
        <v>10</v>
      </c>
      <c r="K15" s="19">
        <v>-10</v>
      </c>
      <c r="L15" s="33" t="str">
        <f t="shared" si="9"/>
        <v>EW_sand_Ruled_85</v>
      </c>
      <c r="M15" s="105" t="s">
        <v>64</v>
      </c>
      <c r="N15" s="47">
        <v>9.9</v>
      </c>
      <c r="O15" s="63">
        <v>0</v>
      </c>
      <c r="P15" s="63">
        <v>0</v>
      </c>
      <c r="Q15" s="47">
        <v>44</v>
      </c>
      <c r="R15" s="47">
        <f t="shared" si="1"/>
        <v>39</v>
      </c>
      <c r="S15" s="47">
        <v>1.7</v>
      </c>
      <c r="T15" s="47">
        <v>0</v>
      </c>
      <c r="U15" s="75">
        <v>0</v>
      </c>
      <c r="V15" s="75">
        <v>0</v>
      </c>
      <c r="W15" s="47">
        <v>0</v>
      </c>
      <c r="X15" s="47">
        <v>44000</v>
      </c>
      <c r="Y15" s="47">
        <v>2000</v>
      </c>
      <c r="Z15" s="47">
        <f t="shared" si="6"/>
        <v>114.99999999999996</v>
      </c>
      <c r="AA15" s="47">
        <v>1</v>
      </c>
      <c r="AB15" s="47">
        <f t="shared" si="7"/>
        <v>12000</v>
      </c>
      <c r="AC15" s="63">
        <v>60000</v>
      </c>
      <c r="AD15" s="63">
        <v>2500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8"/>
        <v>50.000000000000007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85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261</v>
      </c>
      <c r="J16" s="47">
        <v>11</v>
      </c>
      <c r="K16" s="19">
        <v>-12</v>
      </c>
      <c r="L16" s="33" t="str">
        <f t="shared" si="9"/>
        <v>EW_sand_Ruled_85</v>
      </c>
      <c r="M16" s="105" t="s">
        <v>64</v>
      </c>
      <c r="N16" s="47">
        <v>9.9</v>
      </c>
      <c r="O16" s="63">
        <v>0</v>
      </c>
      <c r="P16" s="63">
        <v>0</v>
      </c>
      <c r="Q16" s="47">
        <v>44</v>
      </c>
      <c r="R16" s="47">
        <f t="shared" si="1"/>
        <v>39</v>
      </c>
      <c r="S16" s="47">
        <v>1.6</v>
      </c>
      <c r="T16" s="47">
        <v>0</v>
      </c>
      <c r="U16" s="75">
        <v>0</v>
      </c>
      <c r="V16" s="75">
        <v>0</v>
      </c>
      <c r="W16" s="47">
        <v>0</v>
      </c>
      <c r="X16" s="47">
        <v>48000</v>
      </c>
      <c r="Y16" s="47">
        <v>2000</v>
      </c>
      <c r="Z16" s="47">
        <f t="shared" si="6"/>
        <v>114.99999999999996</v>
      </c>
      <c r="AA16" s="47">
        <v>1</v>
      </c>
      <c r="AB16" s="47">
        <f t="shared" si="7"/>
        <v>12000</v>
      </c>
      <c r="AC16" s="63">
        <v>65000</v>
      </c>
      <c r="AD16" s="63">
        <v>2666.67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>
        <f t="shared" si="8"/>
        <v>50.000000000000007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85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9"/>
      <c r="E17" s="119"/>
      <c r="I17" s="56" t="s">
        <v>292</v>
      </c>
      <c r="J17" s="47">
        <v>12</v>
      </c>
      <c r="K17" s="19">
        <v>-16.2</v>
      </c>
      <c r="L17" s="33" t="str">
        <f t="shared" si="9"/>
        <v>EW_sand_Ruled_80</v>
      </c>
      <c r="M17" s="105" t="s">
        <v>64</v>
      </c>
      <c r="N17" s="47">
        <v>10.199999999999999</v>
      </c>
      <c r="O17" s="63">
        <v>0</v>
      </c>
      <c r="P17" s="63">
        <v>0</v>
      </c>
      <c r="Q17" s="47">
        <v>44</v>
      </c>
      <c r="R17" s="47">
        <f t="shared" si="1"/>
        <v>39</v>
      </c>
      <c r="S17" s="47">
        <v>1.6</v>
      </c>
      <c r="T17" s="47">
        <v>0</v>
      </c>
      <c r="U17" s="75">
        <v>1.7999999999999999E-2</v>
      </c>
      <c r="V17" s="75">
        <v>0</v>
      </c>
      <c r="W17" s="47">
        <v>0</v>
      </c>
      <c r="X17" s="47">
        <v>73100</v>
      </c>
      <c r="Y17" s="47">
        <v>3117</v>
      </c>
      <c r="Z17" s="47">
        <f t="shared" si="6"/>
        <v>114.99999999999996</v>
      </c>
      <c r="AA17" s="47">
        <v>1</v>
      </c>
      <c r="AB17" s="47">
        <f t="shared" si="7"/>
        <v>12000</v>
      </c>
      <c r="AC17" s="63">
        <v>89700</v>
      </c>
      <c r="AD17" s="63">
        <v>2617.64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>
        <f t="shared" si="8"/>
        <v>50.000000000000007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80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264</v>
      </c>
      <c r="J18" s="47">
        <v>13</v>
      </c>
      <c r="K18" s="19">
        <v>-19.600000000000001</v>
      </c>
      <c r="L18" s="33" t="str">
        <f t="shared" si="9"/>
        <v>EW_sand_Ruled_30</v>
      </c>
      <c r="M18" s="105" t="s">
        <v>64</v>
      </c>
      <c r="N18" s="47">
        <v>8.5</v>
      </c>
      <c r="O18" s="63">
        <v>0</v>
      </c>
      <c r="P18" s="63">
        <v>0</v>
      </c>
      <c r="Q18" s="47">
        <v>37</v>
      </c>
      <c r="R18" s="47">
        <f t="shared" si="1"/>
        <v>32</v>
      </c>
      <c r="S18" s="47">
        <v>1.41</v>
      </c>
      <c r="T18" s="47">
        <v>0</v>
      </c>
      <c r="U18" s="75">
        <v>0</v>
      </c>
      <c r="V18" s="75">
        <v>0</v>
      </c>
      <c r="W18" s="47">
        <v>0</v>
      </c>
      <c r="X18" s="47">
        <v>9900</v>
      </c>
      <c r="Y18" s="47">
        <v>250</v>
      </c>
      <c r="Z18" s="47">
        <f t="shared" si="6"/>
        <v>103.59999999999997</v>
      </c>
      <c r="AA18" s="47">
        <v>1</v>
      </c>
      <c r="AB18" s="47">
        <f t="shared" si="7"/>
        <v>10560</v>
      </c>
      <c r="AC18" s="63">
        <v>63500</v>
      </c>
      <c r="AD18" s="63">
        <v>1250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>
        <f t="shared" si="8"/>
        <v>44.000000000000007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30</v>
      </c>
      <c r="AS18" s="33">
        <v>0.2</v>
      </c>
    </row>
    <row r="19" spans="1:45" x14ac:dyDescent="0.25">
      <c r="A19" s="119" t="s">
        <v>38</v>
      </c>
      <c r="B19" s="119" t="s">
        <v>30</v>
      </c>
      <c r="C19" s="119" t="s">
        <v>59</v>
      </c>
      <c r="D19" s="43"/>
      <c r="E19" s="35"/>
      <c r="I19" s="33" t="s">
        <v>264</v>
      </c>
      <c r="J19" s="47">
        <v>14</v>
      </c>
      <c r="K19" s="33">
        <v>-20</v>
      </c>
      <c r="L19" s="33" t="str">
        <f t="shared" si="9"/>
        <v>EW_sand_Ruled_30</v>
      </c>
      <c r="M19" s="105" t="s">
        <v>64</v>
      </c>
      <c r="N19" s="47">
        <v>8.5</v>
      </c>
      <c r="O19" s="63">
        <v>0</v>
      </c>
      <c r="P19" s="63">
        <v>0</v>
      </c>
      <c r="Q19" s="47">
        <v>37</v>
      </c>
      <c r="R19" s="47">
        <f t="shared" si="1"/>
        <v>32</v>
      </c>
      <c r="S19" s="47">
        <v>1.4</v>
      </c>
      <c r="T19" s="47">
        <v>0</v>
      </c>
      <c r="U19" s="75">
        <v>0</v>
      </c>
      <c r="V19" s="75">
        <v>0</v>
      </c>
      <c r="W19" s="47">
        <v>0</v>
      </c>
      <c r="X19" s="47">
        <v>10000</v>
      </c>
      <c r="Y19" s="47">
        <v>222</v>
      </c>
      <c r="Z19" s="47">
        <f t="shared" si="6"/>
        <v>103.59999999999997</v>
      </c>
      <c r="AA19" s="47">
        <v>1</v>
      </c>
      <c r="AB19" s="47">
        <f t="shared" si="7"/>
        <v>10560</v>
      </c>
      <c r="AC19" s="63">
        <v>64000</v>
      </c>
      <c r="AD19" s="63">
        <v>1222.22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>
        <f t="shared" si="8"/>
        <v>44.000000000000007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30</v>
      </c>
      <c r="AS19" s="33">
        <v>0.2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264</v>
      </c>
      <c r="J20" s="47">
        <v>15</v>
      </c>
      <c r="K20" s="33">
        <v>-29</v>
      </c>
      <c r="L20" s="33" t="str">
        <f t="shared" si="9"/>
        <v>EW_sand_Ruled_30</v>
      </c>
      <c r="M20" s="105" t="s">
        <v>64</v>
      </c>
      <c r="N20" s="47">
        <v>8.5</v>
      </c>
      <c r="O20" s="63">
        <v>0</v>
      </c>
      <c r="P20" s="63">
        <v>0</v>
      </c>
      <c r="Q20" s="47">
        <v>37</v>
      </c>
      <c r="R20" s="47">
        <f t="shared" si="1"/>
        <v>32</v>
      </c>
      <c r="S20" s="47">
        <v>1.4</v>
      </c>
      <c r="T20" s="47">
        <v>0</v>
      </c>
      <c r="U20" s="75">
        <v>0</v>
      </c>
      <c r="V20" s="75">
        <v>0</v>
      </c>
      <c r="W20" s="47">
        <v>0</v>
      </c>
      <c r="X20" s="47">
        <v>12000</v>
      </c>
      <c r="Y20" s="47">
        <v>0</v>
      </c>
      <c r="Z20" s="47">
        <f t="shared" si="6"/>
        <v>103.59999999999997</v>
      </c>
      <c r="AA20" s="47">
        <v>1</v>
      </c>
      <c r="AB20" s="47">
        <f t="shared" si="7"/>
        <v>10560</v>
      </c>
      <c r="AC20" s="63">
        <v>75000</v>
      </c>
      <c r="AD20" s="63">
        <v>0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>
        <f t="shared" si="8"/>
        <v>44.000000000000007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30</v>
      </c>
      <c r="AS20" s="33">
        <v>0.2</v>
      </c>
    </row>
    <row r="21" spans="1:45" x14ac:dyDescent="0.25">
      <c r="A21" s="66"/>
      <c r="B21" s="66"/>
      <c r="C21" s="67"/>
      <c r="D21" s="43"/>
      <c r="I21" s="33" t="s">
        <v>266</v>
      </c>
      <c r="J21" s="47">
        <v>16</v>
      </c>
      <c r="K21" s="19">
        <v>-32.299999999999997</v>
      </c>
      <c r="L21" s="116" t="s">
        <v>275</v>
      </c>
      <c r="M21" s="105" t="s">
        <v>65</v>
      </c>
      <c r="N21" s="47">
        <v>8.5</v>
      </c>
      <c r="O21" s="63">
        <v>281</v>
      </c>
      <c r="P21" s="63">
        <v>6.45</v>
      </c>
      <c r="Q21" s="47">
        <v>0</v>
      </c>
      <c r="R21" s="47" t="e">
        <f t="shared" si="1"/>
        <v>#N/A</v>
      </c>
      <c r="S21" s="47">
        <v>1.3</v>
      </c>
      <c r="T21" s="47">
        <v>0</v>
      </c>
      <c r="U21" s="75">
        <v>1.7999999999999999E-2</v>
      </c>
      <c r="V21" s="75">
        <v>0</v>
      </c>
      <c r="W21" s="47">
        <v>0.25</v>
      </c>
      <c r="X21" s="47">
        <v>20200</v>
      </c>
      <c r="Y21" s="47">
        <v>448.59</v>
      </c>
      <c r="Z21" s="47" t="e">
        <f t="shared" si="6"/>
        <v>#N/A</v>
      </c>
      <c r="AA21" s="47">
        <v>1</v>
      </c>
      <c r="AB21" s="47" t="e">
        <f t="shared" si="7"/>
        <v>#N/A</v>
      </c>
      <c r="AC21" s="63">
        <v>105000</v>
      </c>
      <c r="AD21" s="63">
        <v>2336</v>
      </c>
      <c r="AE21" s="63">
        <v>0.3</v>
      </c>
      <c r="AF21" s="63">
        <v>0</v>
      </c>
      <c r="AG21" s="63">
        <v>0</v>
      </c>
      <c r="AH21" s="63">
        <v>0</v>
      </c>
      <c r="AI21" s="63">
        <v>0</v>
      </c>
      <c r="AJ21" s="47" t="e">
        <f t="shared" si="8"/>
        <v>#N/A</v>
      </c>
      <c r="AK21" s="47">
        <v>1</v>
      </c>
      <c r="AL21" s="47">
        <v>1</v>
      </c>
      <c r="AM21" s="47">
        <v>1</v>
      </c>
      <c r="AN21" s="47">
        <v>1</v>
      </c>
      <c r="AO21" s="47">
        <v>1</v>
      </c>
      <c r="AP21" s="47">
        <v>1</v>
      </c>
      <c r="AQ21" s="47">
        <v>0</v>
      </c>
      <c r="AR21" s="47">
        <v>0</v>
      </c>
      <c r="AS21" s="33">
        <v>0.4</v>
      </c>
    </row>
    <row r="22" spans="1:45" x14ac:dyDescent="0.25">
      <c r="A22" s="66"/>
      <c r="B22" s="66"/>
      <c r="C22" s="67"/>
      <c r="D22" s="35"/>
      <c r="I22" s="33" t="s">
        <v>266</v>
      </c>
      <c r="J22" s="47">
        <v>17</v>
      </c>
      <c r="K22" s="33">
        <v>-43</v>
      </c>
      <c r="L22" s="116" t="s">
        <v>275</v>
      </c>
      <c r="M22" s="105" t="s">
        <v>65</v>
      </c>
      <c r="N22" s="47">
        <v>8.5</v>
      </c>
      <c r="O22" s="63">
        <v>350</v>
      </c>
      <c r="P22" s="63">
        <v>0</v>
      </c>
      <c r="Q22" s="47">
        <v>0</v>
      </c>
      <c r="R22" s="47" t="e">
        <f t="shared" si="1"/>
        <v>#N/A</v>
      </c>
      <c r="S22" s="47">
        <v>1.3</v>
      </c>
      <c r="T22" s="47">
        <v>0</v>
      </c>
      <c r="U22" s="75">
        <v>1.7999999999999999E-2</v>
      </c>
      <c r="V22" s="75">
        <v>0</v>
      </c>
      <c r="W22" s="47">
        <v>0.25</v>
      </c>
      <c r="X22" s="47">
        <v>25000</v>
      </c>
      <c r="Y22" s="47">
        <v>0</v>
      </c>
      <c r="Z22" s="47" t="e">
        <f t="shared" si="6"/>
        <v>#N/A</v>
      </c>
      <c r="AA22" s="47">
        <v>1</v>
      </c>
      <c r="AB22" s="47" t="e">
        <f t="shared" si="7"/>
        <v>#N/A</v>
      </c>
      <c r="AC22" s="63">
        <v>130000</v>
      </c>
      <c r="AD22" s="63">
        <v>0</v>
      </c>
      <c r="AE22" s="63">
        <v>0.3</v>
      </c>
      <c r="AF22" s="63">
        <v>0</v>
      </c>
      <c r="AG22" s="63">
        <v>0</v>
      </c>
      <c r="AH22" s="63">
        <v>0</v>
      </c>
      <c r="AI22" s="63">
        <v>0</v>
      </c>
      <c r="AJ22" s="47" t="e">
        <f t="shared" si="8"/>
        <v>#N/A</v>
      </c>
      <c r="AK22" s="47">
        <v>1</v>
      </c>
      <c r="AL22" s="47">
        <v>1</v>
      </c>
      <c r="AM22" s="47">
        <v>1</v>
      </c>
      <c r="AN22" s="47">
        <v>1</v>
      </c>
      <c r="AO22" s="47">
        <v>1</v>
      </c>
      <c r="AP22" s="47">
        <v>1</v>
      </c>
      <c r="AQ22" s="47">
        <v>0</v>
      </c>
      <c r="AR22" s="47">
        <v>0</v>
      </c>
      <c r="AS22" s="33">
        <v>0.4</v>
      </c>
    </row>
    <row r="23" spans="1:45" x14ac:dyDescent="0.25">
      <c r="A23" s="66"/>
      <c r="B23" s="66"/>
      <c r="C23" s="67"/>
      <c r="D23" s="35"/>
      <c r="I23" s="33" t="s">
        <v>268</v>
      </c>
      <c r="J23" s="47">
        <v>18</v>
      </c>
      <c r="K23" s="19">
        <v>-45.7</v>
      </c>
      <c r="L23" s="33" t="str">
        <f t="shared" ref="L23:L24" si="10">"EW_sand_Ruled"&amp;"_"&amp;AR23</f>
        <v>EW_sand_Ruled_55</v>
      </c>
      <c r="M23" s="105" t="s">
        <v>64</v>
      </c>
      <c r="N23" s="47">
        <v>9</v>
      </c>
      <c r="O23" s="63">
        <v>0</v>
      </c>
      <c r="P23" s="63">
        <v>0</v>
      </c>
      <c r="Q23" s="47">
        <v>40</v>
      </c>
      <c r="R23" s="47">
        <f t="shared" si="1"/>
        <v>35</v>
      </c>
      <c r="S23" s="47">
        <v>1.67</v>
      </c>
      <c r="T23" s="47">
        <v>0</v>
      </c>
      <c r="U23" s="75">
        <v>0</v>
      </c>
      <c r="V23" s="75">
        <v>0</v>
      </c>
      <c r="W23" s="47">
        <v>0</v>
      </c>
      <c r="X23" s="47">
        <v>40000</v>
      </c>
      <c r="Y23" s="47">
        <v>0</v>
      </c>
      <c r="Z23" s="47">
        <f t="shared" si="6"/>
        <v>114.99999999999996</v>
      </c>
      <c r="AA23" s="47">
        <v>1</v>
      </c>
      <c r="AB23" s="47">
        <f t="shared" si="7"/>
        <v>12000</v>
      </c>
      <c r="AC23" s="63">
        <v>107000</v>
      </c>
      <c r="AD23" s="63">
        <v>1162.79</v>
      </c>
      <c r="AE23" s="63">
        <v>0.3</v>
      </c>
      <c r="AF23" s="63">
        <v>0</v>
      </c>
      <c r="AG23" s="63">
        <v>0</v>
      </c>
      <c r="AH23" s="63">
        <v>0</v>
      </c>
      <c r="AI23" s="63">
        <v>0</v>
      </c>
      <c r="AJ23" s="47">
        <f t="shared" si="8"/>
        <v>50.000000000000007</v>
      </c>
      <c r="AK23" s="47">
        <v>1</v>
      </c>
      <c r="AL23" s="47">
        <v>1</v>
      </c>
      <c r="AM23" s="47">
        <v>1</v>
      </c>
      <c r="AN23" s="47">
        <v>1</v>
      </c>
      <c r="AO23" s="47">
        <v>1</v>
      </c>
      <c r="AP23" s="47">
        <v>1</v>
      </c>
      <c r="AQ23" s="47">
        <v>0</v>
      </c>
      <c r="AR23" s="47">
        <v>55</v>
      </c>
      <c r="AS23" s="33">
        <v>0.2</v>
      </c>
    </row>
    <row r="24" spans="1:45" x14ac:dyDescent="0.25">
      <c r="A24" s="66"/>
      <c r="B24" s="66"/>
      <c r="C24" s="67"/>
      <c r="D24" s="35"/>
      <c r="I24" s="33" t="s">
        <v>268</v>
      </c>
      <c r="J24" s="47">
        <v>19</v>
      </c>
      <c r="K24" s="33">
        <v>-50</v>
      </c>
      <c r="L24" s="33" t="str">
        <f t="shared" si="10"/>
        <v>EW_sand_Ruled_55</v>
      </c>
      <c r="M24" s="105" t="s">
        <v>64</v>
      </c>
      <c r="N24" s="47">
        <v>9</v>
      </c>
      <c r="O24" s="63">
        <v>0</v>
      </c>
      <c r="P24" s="63">
        <v>0</v>
      </c>
      <c r="Q24" s="47">
        <v>40</v>
      </c>
      <c r="R24" s="47">
        <f t="shared" si="1"/>
        <v>35</v>
      </c>
      <c r="S24" s="47">
        <v>1.5</v>
      </c>
      <c r="T24" s="47">
        <v>0</v>
      </c>
      <c r="U24" s="75">
        <v>0</v>
      </c>
      <c r="V24" s="75">
        <v>0</v>
      </c>
      <c r="W24" s="47">
        <v>0</v>
      </c>
      <c r="X24" s="47">
        <v>40000</v>
      </c>
      <c r="Y24" s="47">
        <v>0</v>
      </c>
      <c r="Z24" s="47">
        <f t="shared" si="6"/>
        <v>114.99999999999996</v>
      </c>
      <c r="AA24" s="47">
        <v>1</v>
      </c>
      <c r="AB24" s="47">
        <f t="shared" si="7"/>
        <v>12000</v>
      </c>
      <c r="AC24" s="63">
        <v>112000</v>
      </c>
      <c r="AD24" s="63">
        <v>0</v>
      </c>
      <c r="AE24" s="63">
        <v>0.3</v>
      </c>
      <c r="AF24" s="63">
        <v>0</v>
      </c>
      <c r="AG24" s="63">
        <v>0</v>
      </c>
      <c r="AH24" s="63">
        <v>0</v>
      </c>
      <c r="AI24" s="63">
        <v>0</v>
      </c>
      <c r="AJ24" s="47">
        <f t="shared" si="8"/>
        <v>50.000000000000007</v>
      </c>
      <c r="AK24" s="47">
        <v>1</v>
      </c>
      <c r="AL24" s="47">
        <v>1</v>
      </c>
      <c r="AM24" s="47">
        <v>1</v>
      </c>
      <c r="AN24" s="47">
        <v>1</v>
      </c>
      <c r="AO24" s="47">
        <v>1</v>
      </c>
      <c r="AP24" s="47">
        <v>1</v>
      </c>
      <c r="AQ24" s="47">
        <v>0</v>
      </c>
      <c r="AR24" s="47">
        <v>55</v>
      </c>
      <c r="AS24" s="33">
        <v>0.2</v>
      </c>
    </row>
    <row r="25" spans="1:45" x14ac:dyDescent="0.25">
      <c r="A25" s="66"/>
      <c r="B25" s="66"/>
      <c r="C25" s="67"/>
      <c r="D25" s="35"/>
      <c r="I25" s="56"/>
      <c r="J25" s="47"/>
      <c r="K25" s="19"/>
      <c r="L25" s="116"/>
      <c r="M25" s="105"/>
      <c r="N25" s="47"/>
      <c r="O25" s="63"/>
      <c r="P25" s="63"/>
      <c r="Q25" s="47"/>
      <c r="R25" s="47"/>
      <c r="S25" s="47"/>
      <c r="T25" s="47"/>
      <c r="U25" s="75"/>
      <c r="V25" s="75"/>
      <c r="W25" s="47"/>
      <c r="X25" s="47"/>
      <c r="Y25" s="47"/>
      <c r="Z25" s="47"/>
      <c r="AA25" s="47"/>
      <c r="AB25" s="47"/>
      <c r="AC25" s="63"/>
      <c r="AD25" s="63"/>
      <c r="AE25" s="63"/>
      <c r="AF25" s="63"/>
      <c r="AG25" s="63"/>
      <c r="AH25" s="63"/>
      <c r="AI25" s="63"/>
      <c r="AJ25" s="47"/>
      <c r="AK25" s="47"/>
      <c r="AL25" s="47"/>
      <c r="AM25" s="47"/>
      <c r="AN25" s="47"/>
      <c r="AO25" s="47"/>
      <c r="AP25" s="47"/>
      <c r="AQ25" s="47"/>
      <c r="AR25" s="47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11">AF40+3.8</f>
        <v>55.599999999999994</v>
      </c>
      <c r="AG41" s="33">
        <f t="shared" ref="AG41:AG43" si="12">AG40+200</f>
        <v>2300</v>
      </c>
      <c r="AH41" s="33">
        <f t="shared" ref="AH41:AH44" si="13">AH40+0.8</f>
        <v>9.6000000000000014</v>
      </c>
    </row>
    <row r="42" spans="1:42" x14ac:dyDescent="0.25">
      <c r="L42" s="49"/>
      <c r="AE42" s="33">
        <v>18</v>
      </c>
      <c r="AF42" s="33">
        <f t="shared" si="11"/>
        <v>59.399999999999991</v>
      </c>
      <c r="AG42" s="33">
        <f t="shared" si="12"/>
        <v>2500</v>
      </c>
      <c r="AH42" s="33">
        <f t="shared" si="13"/>
        <v>10.400000000000002</v>
      </c>
    </row>
    <row r="43" spans="1:42" x14ac:dyDescent="0.25">
      <c r="L43" s="49"/>
      <c r="AE43" s="33">
        <v>19</v>
      </c>
      <c r="AF43" s="33">
        <f t="shared" si="11"/>
        <v>63.199999999999989</v>
      </c>
      <c r="AG43" s="33">
        <f t="shared" si="12"/>
        <v>2700</v>
      </c>
      <c r="AH43" s="33">
        <f t="shared" si="13"/>
        <v>11.200000000000003</v>
      </c>
    </row>
    <row r="44" spans="1:42" x14ac:dyDescent="0.25">
      <c r="L44" s="49"/>
      <c r="AE44" s="33">
        <v>20</v>
      </c>
      <c r="AF44" s="33">
        <f t="shared" si="11"/>
        <v>66.999999999999986</v>
      </c>
      <c r="AG44" s="33">
        <f>AG43+200</f>
        <v>2900</v>
      </c>
      <c r="AH44" s="33">
        <f t="shared" si="13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4">AF45+2.8</f>
        <v>72.59999999999998</v>
      </c>
      <c r="AG46" s="33">
        <f t="shared" ref="AG46:AG48" si="15">AG45+380</f>
        <v>3660</v>
      </c>
      <c r="AH46" s="33">
        <f t="shared" ref="AH46:AH49" si="16">AH45+1.6</f>
        <v>15.200000000000003</v>
      </c>
    </row>
    <row r="47" spans="1:42" x14ac:dyDescent="0.25">
      <c r="L47" s="49"/>
      <c r="AE47" s="33">
        <v>23</v>
      </c>
      <c r="AF47" s="33">
        <f t="shared" si="14"/>
        <v>75.399999999999977</v>
      </c>
      <c r="AG47" s="33">
        <f t="shared" si="15"/>
        <v>4040</v>
      </c>
      <c r="AH47" s="33">
        <f t="shared" si="16"/>
        <v>16.800000000000004</v>
      </c>
    </row>
    <row r="48" spans="1:42" x14ac:dyDescent="0.25">
      <c r="L48" s="49"/>
      <c r="AE48" s="33">
        <v>24</v>
      </c>
      <c r="AF48" s="33">
        <f t="shared" si="14"/>
        <v>78.199999999999974</v>
      </c>
      <c r="AG48" s="33">
        <f t="shared" si="15"/>
        <v>4420</v>
      </c>
      <c r="AH48" s="33">
        <f t="shared" si="16"/>
        <v>18.400000000000006</v>
      </c>
    </row>
    <row r="49" spans="12:34" x14ac:dyDescent="0.25">
      <c r="L49" s="49"/>
      <c r="AE49" s="33">
        <v>25</v>
      </c>
      <c r="AF49" s="33">
        <f t="shared" si="14"/>
        <v>80.999999999999972</v>
      </c>
      <c r="AG49" s="33">
        <v>4800</v>
      </c>
      <c r="AH49" s="33">
        <f t="shared" si="16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7">AF50+3</f>
        <v>86.999999999999972</v>
      </c>
      <c r="AG51" s="33">
        <f t="shared" ref="AG51:AG54" si="18">AG50+960</f>
        <v>6720</v>
      </c>
      <c r="AH51" s="33">
        <f t="shared" ref="AH51:AH54" si="19">AH50+4</f>
        <v>28.000000000000007</v>
      </c>
    </row>
    <row r="52" spans="12:34" x14ac:dyDescent="0.25">
      <c r="L52" s="49"/>
      <c r="AE52" s="33">
        <v>28</v>
      </c>
      <c r="AF52" s="33">
        <f t="shared" si="17"/>
        <v>89.999999999999972</v>
      </c>
      <c r="AG52" s="33">
        <f t="shared" si="18"/>
        <v>7680</v>
      </c>
      <c r="AH52" s="33">
        <f t="shared" si="19"/>
        <v>32.000000000000007</v>
      </c>
    </row>
    <row r="53" spans="12:34" x14ac:dyDescent="0.25">
      <c r="L53" s="49"/>
      <c r="AE53" s="33">
        <v>29</v>
      </c>
      <c r="AF53" s="33">
        <f t="shared" si="17"/>
        <v>92.999999999999972</v>
      </c>
      <c r="AG53" s="33">
        <f t="shared" si="18"/>
        <v>8640</v>
      </c>
      <c r="AH53" s="33">
        <f t="shared" si="19"/>
        <v>36.000000000000007</v>
      </c>
    </row>
    <row r="54" spans="12:34" x14ac:dyDescent="0.25">
      <c r="L54" s="49"/>
      <c r="AE54" s="33">
        <v>30</v>
      </c>
      <c r="AF54" s="33">
        <f t="shared" si="17"/>
        <v>95.999999999999972</v>
      </c>
      <c r="AG54" s="33">
        <f t="shared" si="18"/>
        <v>9600</v>
      </c>
      <c r="AH54" s="33">
        <f t="shared" si="19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20">AF55+3.8</f>
        <v>103.59999999999997</v>
      </c>
      <c r="AG56" s="33">
        <f t="shared" ref="AG56:AG59" si="21">AG55+480</f>
        <v>10560</v>
      </c>
      <c r="AH56" s="33">
        <f t="shared" ref="AH56:AH59" si="22">AH55+2</f>
        <v>44.000000000000007</v>
      </c>
    </row>
    <row r="57" spans="12:34" x14ac:dyDescent="0.25">
      <c r="L57" s="49"/>
      <c r="AE57" s="33">
        <v>33</v>
      </c>
      <c r="AF57" s="33">
        <f t="shared" si="20"/>
        <v>107.39999999999996</v>
      </c>
      <c r="AG57" s="33">
        <f t="shared" si="21"/>
        <v>11040</v>
      </c>
      <c r="AH57" s="33">
        <f t="shared" si="22"/>
        <v>46.000000000000007</v>
      </c>
    </row>
    <row r="58" spans="12:34" x14ac:dyDescent="0.25">
      <c r="L58" s="49"/>
      <c r="AE58" s="33">
        <v>34</v>
      </c>
      <c r="AF58" s="33">
        <f t="shared" si="20"/>
        <v>111.19999999999996</v>
      </c>
      <c r="AG58" s="33">
        <f t="shared" si="21"/>
        <v>11520</v>
      </c>
      <c r="AH58" s="33">
        <f t="shared" si="22"/>
        <v>48.000000000000007</v>
      </c>
    </row>
    <row r="59" spans="12:34" x14ac:dyDescent="0.25">
      <c r="L59" s="49"/>
      <c r="AE59" s="33">
        <v>35</v>
      </c>
      <c r="AF59" s="33">
        <f t="shared" si="20"/>
        <v>114.99999999999996</v>
      </c>
      <c r="AG59" s="33">
        <f t="shared" si="21"/>
        <v>12000</v>
      </c>
      <c r="AH59" s="33">
        <f t="shared" si="22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9:AP36 Q29:Q36 AJ25 AB25 N25 Q25:T25 W25:Z25 AM25:AR25 N29:N36">
    <cfRule type="expression" dxfId="3538" priority="19">
      <formula>$L25="API sand"</formula>
    </cfRule>
  </conditionalFormatting>
  <conditionalFormatting sqref="R29:S36 AB29:AB35 AJ29:AL36 Z29:Z36 AK25:AL25 N25 N29:N36">
    <cfRule type="expression" dxfId="3537" priority="18">
      <formula>$M25="API sand"</formula>
    </cfRule>
  </conditionalFormatting>
  <conditionalFormatting sqref="R29:T36 Z29:AB35 AK25:AL25 N25 AK29:AL36 N29:N36">
    <cfRule type="expression" dxfId="3536" priority="17">
      <formula>$M25="API clay"</formula>
    </cfRule>
  </conditionalFormatting>
  <conditionalFormatting sqref="U29:W36 N25:P25 AA25 AC25:AI25 AM25:AP25 U25:V25 AM29:AP36">
    <cfRule type="expression" dxfId="3535" priority="14">
      <formula>$L25="Stiff clay w/o free water"</formula>
    </cfRule>
    <cfRule type="expression" dxfId="3534" priority="16">
      <formula>$L25="API clay"</formula>
    </cfRule>
  </conditionalFormatting>
  <conditionalFormatting sqref="U29:Y36 N25:P25 AA25 AC25:AI25 AM25:AP25 U25:V25 AM29:AP36">
    <cfRule type="expression" dxfId="3533" priority="15">
      <formula>$L25="Kirsch soft clay"</formula>
    </cfRule>
  </conditionalFormatting>
  <conditionalFormatting sqref="U29:Y36 N25:P25 AA25 AC25:AI25 AM25:AP25 U25:V25 AM29:AP36">
    <cfRule type="expression" dxfId="3532" priority="13">
      <formula>$L25="Kirsch stiff clay"</formula>
    </cfRule>
  </conditionalFormatting>
  <conditionalFormatting sqref="AM29:AP36 Q29:Q36 X29:Y36 AJ25 AB25 N25 Q25:T25 W25:Z25 AM25:AR25 N29:N36">
    <cfRule type="expression" dxfId="3531" priority="12">
      <formula>$L25="Kirsch sand"</formula>
    </cfRule>
  </conditionalFormatting>
  <conditionalFormatting sqref="AC29:AD36 AI29:AI36 AM25:AP25 N25 AM29:AP36 N29:N36">
    <cfRule type="expression" dxfId="3530" priority="11">
      <formula>$L25="Modified Weak rock"</formula>
    </cfRule>
  </conditionalFormatting>
  <conditionalFormatting sqref="N25:P25 AA25 AC25:AI25 AM25:AP25 U25:V25 AM29:AP36 U29:V36">
    <cfRule type="expression" dxfId="3529" priority="10">
      <formula>$L25="Reese stiff clay"</formula>
    </cfRule>
  </conditionalFormatting>
  <conditionalFormatting sqref="AB36">
    <cfRule type="expression" dxfId="3528" priority="9">
      <formula>$M36="API sand"</formula>
    </cfRule>
  </conditionalFormatting>
  <conditionalFormatting sqref="Z36:AB36">
    <cfRule type="expression" dxfId="3527" priority="8">
      <formula>$M36="API clay"</formula>
    </cfRule>
  </conditionalFormatting>
  <conditionalFormatting sqref="N29:P36">
    <cfRule type="expression" dxfId="3526" priority="5">
      <formula>$L29="Stiff clay w/o free water"</formula>
    </cfRule>
    <cfRule type="expression" dxfId="3525" priority="7">
      <formula>$L29="API clay"</formula>
    </cfRule>
  </conditionalFormatting>
  <conditionalFormatting sqref="N29:P36">
    <cfRule type="expression" dxfId="3524" priority="6">
      <formula>$L29="Kirsch soft clay"</formula>
    </cfRule>
  </conditionalFormatting>
  <conditionalFormatting sqref="N29:P36">
    <cfRule type="expression" dxfId="3523" priority="4">
      <formula>$L29="Kirsch stiff clay"</formula>
    </cfRule>
  </conditionalFormatting>
  <conditionalFormatting sqref="N29:P36">
    <cfRule type="expression" dxfId="3522" priority="3">
      <formula>$L29="Reese stiff clay"</formula>
    </cfRule>
  </conditionalFormatting>
  <conditionalFormatting sqref="N25:P25 AA25 AC25:AI25 AM25:AP25 U25:V25">
    <cfRule type="expression" dxfId="3521" priority="2">
      <formula>$L25="PISA clay"</formula>
    </cfRule>
  </conditionalFormatting>
  <conditionalFormatting sqref="N25 AM25:AP25">
    <cfRule type="expression" dxfId="3520" priority="1">
      <formula>$L25="PISA sand"</formula>
    </cfRule>
  </conditionalFormatting>
  <conditionalFormatting sqref="AE37:AH37">
    <cfRule type="expression" dxfId="3519" priority="20">
      <formula>$L19="Modified Weak rock"</formula>
    </cfRule>
  </conditionalFormatting>
  <dataValidations count="4">
    <dataValidation type="list" showInputMessage="1" showErrorMessage="1" sqref="M11:M25 M29:M36" xr:uid="{35C17C55-C8E2-4C78-B705-DF7FD2C8881A}">
      <formula1>"',API sand,API clay"</formula1>
    </dataValidation>
    <dataValidation type="list" showInputMessage="1" showErrorMessage="1" sqref="M6:M25" xr:uid="{AE04A2DC-F529-456A-B9BC-A2539C8D87D2}">
      <formula1>"Zero soil,API sand,API clay"</formula1>
    </dataValidation>
    <dataValidation type="list" showInputMessage="1" showErrorMessage="1" sqref="L29:L255 L25" xr:uid="{9EA66345-442F-409B-9BA5-714B69878E80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21:L22" xr:uid="{1E0CFB99-C0ED-40C9-8FF9-FC903121AD49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45B7C-20E3-4AAF-B515-FB0DDC932732}">
  <sheetPr>
    <tabColor rgb="FFFF0000"/>
  </sheetPr>
  <dimension ref="A1:AS255"/>
  <sheetViews>
    <sheetView topLeftCell="I1" zoomScale="85" zoomScaleNormal="85" workbookViewId="0">
      <selection activeCell="I3" sqref="I3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Ak_kirsch_BH-53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2"/>
      <c r="R3" s="155"/>
      <c r="S3" s="155"/>
      <c r="T3" s="112"/>
      <c r="U3" s="155"/>
      <c r="V3" s="155"/>
      <c r="W3" s="112"/>
      <c r="X3" s="69"/>
      <c r="Y3" s="112"/>
      <c r="Z3" s="112"/>
      <c r="AA3" s="112"/>
      <c r="AB3" s="112"/>
      <c r="AC3" s="69"/>
      <c r="AD3" s="39"/>
      <c r="AE3" s="39"/>
      <c r="AF3" s="39"/>
      <c r="AG3" s="39"/>
      <c r="AH3" s="39"/>
      <c r="AI3" s="39"/>
      <c r="AJ3" s="112"/>
      <c r="AK3" s="112"/>
      <c r="AL3" s="112"/>
      <c r="AM3" s="112"/>
      <c r="AN3" s="112"/>
      <c r="AO3" s="112"/>
      <c r="AP3" s="112"/>
    </row>
    <row r="4" spans="1:45" x14ac:dyDescent="0.25">
      <c r="A4" s="40" t="s">
        <v>60</v>
      </c>
      <c r="B4" s="33">
        <f>COUNTIF(J:J,"&gt;0")</f>
        <v>19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3" t="s">
        <v>38</v>
      </c>
      <c r="K5" s="113" t="s">
        <v>30</v>
      </c>
      <c r="L5" s="113" t="s">
        <v>31</v>
      </c>
      <c r="M5" s="113" t="s">
        <v>31</v>
      </c>
      <c r="N5" s="113" t="s">
        <v>32</v>
      </c>
      <c r="O5" s="113" t="s">
        <v>33</v>
      </c>
      <c r="P5" s="113" t="s">
        <v>35</v>
      </c>
      <c r="Q5" s="113" t="s">
        <v>36</v>
      </c>
      <c r="R5" s="113" t="s">
        <v>36</v>
      </c>
      <c r="S5" s="113" t="s">
        <v>34</v>
      </c>
      <c r="T5" s="113" t="s">
        <v>33</v>
      </c>
      <c r="U5" s="113" t="s">
        <v>34</v>
      </c>
      <c r="V5" s="113" t="s">
        <v>62</v>
      </c>
      <c r="W5" s="113" t="s">
        <v>34</v>
      </c>
      <c r="X5" s="113" t="s">
        <v>33</v>
      </c>
      <c r="Y5" s="113" t="s">
        <v>35</v>
      </c>
      <c r="Z5" s="113" t="s">
        <v>33</v>
      </c>
      <c r="AA5" s="113" t="s">
        <v>34</v>
      </c>
      <c r="AB5" s="113" t="s">
        <v>33</v>
      </c>
      <c r="AC5" s="113" t="s">
        <v>33</v>
      </c>
      <c r="AD5" s="113" t="s">
        <v>35</v>
      </c>
      <c r="AE5" s="113" t="s">
        <v>34</v>
      </c>
      <c r="AF5" s="113" t="s">
        <v>33</v>
      </c>
      <c r="AG5" s="113" t="s">
        <v>35</v>
      </c>
      <c r="AH5" s="113" t="s">
        <v>34</v>
      </c>
      <c r="AI5" s="113" t="s">
        <v>34</v>
      </c>
      <c r="AJ5" s="113" t="s">
        <v>34</v>
      </c>
      <c r="AK5" s="113" t="s">
        <v>34</v>
      </c>
      <c r="AL5" s="113" t="s">
        <v>34</v>
      </c>
      <c r="AM5" s="113" t="s">
        <v>34</v>
      </c>
      <c r="AN5" s="113" t="s">
        <v>34</v>
      </c>
      <c r="AO5" s="113" t="s">
        <v>34</v>
      </c>
      <c r="AP5" s="113" t="s">
        <v>34</v>
      </c>
      <c r="AQ5" s="113" t="s">
        <v>103</v>
      </c>
      <c r="AR5" s="113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45</v>
      </c>
      <c r="R6" s="47">
        <f t="shared" ref="R6:R16" si="0">IF(Q6&lt;&gt;0,Q6-5,NA())</f>
        <v>40</v>
      </c>
      <c r="S6" s="47">
        <v>0.4</v>
      </c>
      <c r="T6" s="47">
        <v>0</v>
      </c>
      <c r="U6" s="75">
        <v>0</v>
      </c>
      <c r="V6" s="75">
        <v>0</v>
      </c>
      <c r="W6" s="47">
        <v>0</v>
      </c>
      <c r="X6" s="47">
        <v>100</v>
      </c>
      <c r="Y6" s="47">
        <v>150000</v>
      </c>
      <c r="Z6" s="47">
        <f t="shared" ref="Z6:Z10" si="1">VLOOKUP(R6,$AE$39:$AF$59,2)</f>
        <v>114.99999999999996</v>
      </c>
      <c r="AA6" s="47">
        <v>1</v>
      </c>
      <c r="AB6" s="47">
        <f t="shared" ref="AB6:AB10" si="2">VLOOKUP(R6,$AE$39:$AG$59,3)</f>
        <v>12000</v>
      </c>
      <c r="AC6" s="63">
        <v>8000</v>
      </c>
      <c r="AD6" s="63">
        <v>20000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>VLOOKUP(R6,$AE$39:$AH$59,4)</f>
        <v>50.000000000000007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100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-0.1</v>
      </c>
      <c r="L7" s="116" t="s">
        <v>106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45</v>
      </c>
      <c r="R7" s="47">
        <f t="shared" si="0"/>
        <v>40</v>
      </c>
      <c r="S7" s="47">
        <v>0.4</v>
      </c>
      <c r="T7" s="47">
        <v>0</v>
      </c>
      <c r="U7" s="75">
        <v>0</v>
      </c>
      <c r="V7" s="75">
        <v>0</v>
      </c>
      <c r="W7" s="47">
        <v>0</v>
      </c>
      <c r="X7" s="47">
        <v>15000</v>
      </c>
      <c r="Y7" s="47">
        <v>55000</v>
      </c>
      <c r="Z7" s="47">
        <f t="shared" si="1"/>
        <v>114.99999999999996</v>
      </c>
      <c r="AA7" s="47">
        <v>1</v>
      </c>
      <c r="AB7" s="47">
        <f t="shared" si="2"/>
        <v>12000</v>
      </c>
      <c r="AC7" s="63">
        <v>10000</v>
      </c>
      <c r="AD7" s="63">
        <v>25000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ref="AJ7:AJ10" si="3">VLOOKUP(R7,$AE$39:$AH$59,4)</f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">
        <v>279</v>
      </c>
      <c r="J8" s="47">
        <v>3</v>
      </c>
      <c r="K8" s="33">
        <v>-0.5</v>
      </c>
      <c r="L8" s="116" t="s">
        <v>106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45</v>
      </c>
      <c r="R8" s="47">
        <f t="shared" si="0"/>
        <v>40</v>
      </c>
      <c r="S8" s="47">
        <v>0.4</v>
      </c>
      <c r="T8" s="47">
        <v>0</v>
      </c>
      <c r="U8" s="75">
        <v>0</v>
      </c>
      <c r="V8" s="75">
        <v>0</v>
      </c>
      <c r="W8" s="47">
        <v>0</v>
      </c>
      <c r="X8" s="47">
        <v>37000</v>
      </c>
      <c r="Y8" s="47">
        <v>56000</v>
      </c>
      <c r="Z8" s="47">
        <f t="shared" si="1"/>
        <v>114.99999999999996</v>
      </c>
      <c r="AA8" s="47">
        <v>1</v>
      </c>
      <c r="AB8" s="47">
        <f t="shared" si="2"/>
        <v>12000</v>
      </c>
      <c r="AC8" s="63">
        <v>20000</v>
      </c>
      <c r="AD8" s="63">
        <v>22000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100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279</v>
      </c>
      <c r="J9" s="47">
        <v>4</v>
      </c>
      <c r="K9" s="33">
        <v>-1</v>
      </c>
      <c r="L9" s="116" t="s">
        <v>106</v>
      </c>
      <c r="M9" s="105" t="s">
        <v>64</v>
      </c>
      <c r="N9" s="47">
        <v>9.6999999999999993</v>
      </c>
      <c r="O9" s="63">
        <v>0</v>
      </c>
      <c r="P9" s="63">
        <v>0</v>
      </c>
      <c r="Q9" s="47">
        <v>45</v>
      </c>
      <c r="R9" s="47">
        <f t="shared" si="0"/>
        <v>40</v>
      </c>
      <c r="S9" s="47">
        <v>0.4</v>
      </c>
      <c r="T9" s="47">
        <v>0</v>
      </c>
      <c r="U9" s="75">
        <v>0</v>
      </c>
      <c r="V9" s="75">
        <v>0</v>
      </c>
      <c r="W9" s="47">
        <v>0</v>
      </c>
      <c r="X9" s="47">
        <v>65000</v>
      </c>
      <c r="Y9" s="47">
        <v>0</v>
      </c>
      <c r="Z9" s="47">
        <f t="shared" si="1"/>
        <v>114.99999999999996</v>
      </c>
      <c r="AA9" s="47">
        <v>1</v>
      </c>
      <c r="AB9" s="47">
        <f t="shared" si="2"/>
        <v>12000</v>
      </c>
      <c r="AC9" s="63">
        <v>31000</v>
      </c>
      <c r="AD9" s="63">
        <v>11000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3"/>
        <v>50.000000000000007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100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279</v>
      </c>
      <c r="J10" s="47">
        <v>5</v>
      </c>
      <c r="K10" s="56">
        <v>-2</v>
      </c>
      <c r="L10" s="116" t="s">
        <v>106</v>
      </c>
      <c r="M10" s="105" t="s">
        <v>64</v>
      </c>
      <c r="N10" s="47">
        <v>9.6999999999999993</v>
      </c>
      <c r="O10" s="63">
        <v>0</v>
      </c>
      <c r="P10" s="63">
        <v>0</v>
      </c>
      <c r="Q10" s="47">
        <v>45</v>
      </c>
      <c r="R10" s="47">
        <f t="shared" si="0"/>
        <v>40</v>
      </c>
      <c r="S10" s="47">
        <v>0.4</v>
      </c>
      <c r="T10" s="47">
        <v>0</v>
      </c>
      <c r="U10" s="75">
        <v>0</v>
      </c>
      <c r="V10" s="75">
        <v>0</v>
      </c>
      <c r="W10" s="47">
        <v>0</v>
      </c>
      <c r="X10" s="47">
        <v>65000</v>
      </c>
      <c r="Y10" s="47">
        <v>0</v>
      </c>
      <c r="Z10" s="47">
        <f t="shared" si="1"/>
        <v>114.99999999999996</v>
      </c>
      <c r="AA10" s="47">
        <v>1</v>
      </c>
      <c r="AB10" s="47">
        <f t="shared" si="2"/>
        <v>12000</v>
      </c>
      <c r="AC10" s="63">
        <v>42000</v>
      </c>
      <c r="AD10" s="63">
        <v>6000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3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100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56" t="s">
        <v>261</v>
      </c>
      <c r="J11" s="47">
        <v>6</v>
      </c>
      <c r="K11" s="19">
        <v>-2.2000000000000002</v>
      </c>
      <c r="L11" s="116" t="s">
        <v>106</v>
      </c>
      <c r="M11" s="105" t="s">
        <v>64</v>
      </c>
      <c r="N11" s="47">
        <v>9.9</v>
      </c>
      <c r="O11" s="63">
        <v>0</v>
      </c>
      <c r="P11" s="63">
        <v>0</v>
      </c>
      <c r="Q11" s="47">
        <v>44</v>
      </c>
      <c r="R11" s="47">
        <f t="shared" si="0"/>
        <v>39</v>
      </c>
      <c r="S11" s="47">
        <v>2.5</v>
      </c>
      <c r="T11" s="47">
        <v>0</v>
      </c>
      <c r="U11" s="75">
        <v>0</v>
      </c>
      <c r="V11" s="75">
        <v>0</v>
      </c>
      <c r="W11" s="47">
        <v>0</v>
      </c>
      <c r="X11" s="47">
        <v>28000</v>
      </c>
      <c r="Y11" s="47">
        <v>2000</v>
      </c>
      <c r="Z11" s="47">
        <f t="shared" ref="Z11:Z16" si="4">VLOOKUP(R11,$AE$39:$AF$59,2)</f>
        <v>114.99999999999996</v>
      </c>
      <c r="AA11" s="47">
        <v>1</v>
      </c>
      <c r="AB11" s="47">
        <f t="shared" ref="AB11:AB16" si="5">VLOOKUP(R11,$AE$39:$AG$59,3)</f>
        <v>12000</v>
      </c>
      <c r="AC11" s="63">
        <v>34900</v>
      </c>
      <c r="AD11" s="63">
        <v>3240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ref="AJ11:AJ16" si="6">VLOOKUP(R11,$AE$39:$AH$59,4)</f>
        <v>50.000000000000007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85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 t="s">
        <v>261</v>
      </c>
      <c r="J12" s="47">
        <v>7</v>
      </c>
      <c r="K12" s="19">
        <v>-5</v>
      </c>
      <c r="L12" s="116" t="s">
        <v>106</v>
      </c>
      <c r="M12" s="105" t="s">
        <v>64</v>
      </c>
      <c r="N12" s="47">
        <v>9.9</v>
      </c>
      <c r="O12" s="63">
        <v>0</v>
      </c>
      <c r="P12" s="63">
        <v>0</v>
      </c>
      <c r="Q12" s="47">
        <v>44</v>
      </c>
      <c r="R12" s="47">
        <f t="shared" si="0"/>
        <v>39</v>
      </c>
      <c r="S12" s="47">
        <v>2.5</v>
      </c>
      <c r="T12" s="47">
        <v>0</v>
      </c>
      <c r="U12" s="75">
        <v>0</v>
      </c>
      <c r="V12" s="75">
        <v>0</v>
      </c>
      <c r="W12" s="47">
        <v>0</v>
      </c>
      <c r="X12" s="47">
        <v>33000</v>
      </c>
      <c r="Y12" s="47">
        <v>2000</v>
      </c>
      <c r="Z12" s="47">
        <f t="shared" si="4"/>
        <v>114.99999999999996</v>
      </c>
      <c r="AA12" s="47">
        <v>1</v>
      </c>
      <c r="AB12" s="47">
        <f t="shared" si="5"/>
        <v>12000</v>
      </c>
      <c r="AC12" s="63">
        <v>43000</v>
      </c>
      <c r="AD12" s="63">
        <v>4000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6"/>
        <v>50.000000000000007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85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56" t="s">
        <v>261</v>
      </c>
      <c r="J13" s="47">
        <v>8</v>
      </c>
      <c r="K13" s="19">
        <v>-6</v>
      </c>
      <c r="L13" s="116" t="s">
        <v>106</v>
      </c>
      <c r="M13" s="105" t="s">
        <v>64</v>
      </c>
      <c r="N13" s="47">
        <v>9.9</v>
      </c>
      <c r="O13" s="63">
        <v>0</v>
      </c>
      <c r="P13" s="63">
        <v>0</v>
      </c>
      <c r="Q13" s="47">
        <v>44</v>
      </c>
      <c r="R13" s="47">
        <f t="shared" si="0"/>
        <v>39</v>
      </c>
      <c r="S13" s="47">
        <v>2.2000000000000002</v>
      </c>
      <c r="T13" s="47">
        <v>0</v>
      </c>
      <c r="U13" s="75">
        <v>0</v>
      </c>
      <c r="V13" s="75">
        <v>0</v>
      </c>
      <c r="W13" s="47">
        <v>0</v>
      </c>
      <c r="X13" s="47">
        <v>35000</v>
      </c>
      <c r="Y13" s="47">
        <v>2500</v>
      </c>
      <c r="Z13" s="47">
        <f t="shared" si="4"/>
        <v>114.99999999999996</v>
      </c>
      <c r="AA13" s="47">
        <v>1</v>
      </c>
      <c r="AB13" s="47">
        <f t="shared" si="5"/>
        <v>12000</v>
      </c>
      <c r="AC13" s="63">
        <v>47000</v>
      </c>
      <c r="AD13" s="63">
        <v>3000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6"/>
        <v>50.000000000000007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85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261</v>
      </c>
      <c r="J14" s="47">
        <v>9</v>
      </c>
      <c r="K14" s="19">
        <v>-8</v>
      </c>
      <c r="L14" s="116" t="s">
        <v>106</v>
      </c>
      <c r="M14" s="105" t="s">
        <v>64</v>
      </c>
      <c r="N14" s="47">
        <v>9.9</v>
      </c>
      <c r="O14" s="63">
        <v>0</v>
      </c>
      <c r="P14" s="63">
        <v>0</v>
      </c>
      <c r="Q14" s="47">
        <v>44</v>
      </c>
      <c r="R14" s="47">
        <f t="shared" si="0"/>
        <v>39</v>
      </c>
      <c r="S14" s="47">
        <v>1.9</v>
      </c>
      <c r="T14" s="47">
        <v>0</v>
      </c>
      <c r="U14" s="75">
        <v>0</v>
      </c>
      <c r="V14" s="75">
        <v>0</v>
      </c>
      <c r="W14" s="47">
        <v>0</v>
      </c>
      <c r="X14" s="47">
        <v>40000</v>
      </c>
      <c r="Y14" s="47">
        <v>2000</v>
      </c>
      <c r="Z14" s="47">
        <f t="shared" si="4"/>
        <v>114.99999999999996</v>
      </c>
      <c r="AA14" s="47">
        <v>1</v>
      </c>
      <c r="AB14" s="47">
        <f t="shared" si="5"/>
        <v>12000</v>
      </c>
      <c r="AC14" s="63">
        <v>53000</v>
      </c>
      <c r="AD14" s="63">
        <v>3500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6"/>
        <v>50.000000000000007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85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261</v>
      </c>
      <c r="J15" s="47">
        <v>10</v>
      </c>
      <c r="K15" s="19">
        <v>-10</v>
      </c>
      <c r="L15" s="116" t="s">
        <v>106</v>
      </c>
      <c r="M15" s="105" t="s">
        <v>64</v>
      </c>
      <c r="N15" s="47">
        <v>9.9</v>
      </c>
      <c r="O15" s="63">
        <v>0</v>
      </c>
      <c r="P15" s="63">
        <v>0</v>
      </c>
      <c r="Q15" s="47">
        <v>44</v>
      </c>
      <c r="R15" s="47">
        <f t="shared" si="0"/>
        <v>39</v>
      </c>
      <c r="S15" s="47">
        <v>1.7</v>
      </c>
      <c r="T15" s="47">
        <v>0</v>
      </c>
      <c r="U15" s="75">
        <v>0</v>
      </c>
      <c r="V15" s="75">
        <v>0</v>
      </c>
      <c r="W15" s="47">
        <v>0</v>
      </c>
      <c r="X15" s="47">
        <v>44000</v>
      </c>
      <c r="Y15" s="47">
        <v>2000</v>
      </c>
      <c r="Z15" s="47">
        <f t="shared" si="4"/>
        <v>114.99999999999996</v>
      </c>
      <c r="AA15" s="47">
        <v>1</v>
      </c>
      <c r="AB15" s="47">
        <f t="shared" si="5"/>
        <v>12000</v>
      </c>
      <c r="AC15" s="63">
        <v>60000</v>
      </c>
      <c r="AD15" s="63">
        <v>2500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6"/>
        <v>50.000000000000007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85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261</v>
      </c>
      <c r="J16" s="47">
        <v>11</v>
      </c>
      <c r="K16" s="19">
        <v>-12</v>
      </c>
      <c r="L16" s="116" t="s">
        <v>106</v>
      </c>
      <c r="M16" s="105" t="s">
        <v>64</v>
      </c>
      <c r="N16" s="47">
        <v>9.9</v>
      </c>
      <c r="O16" s="63">
        <v>0</v>
      </c>
      <c r="P16" s="63">
        <v>0</v>
      </c>
      <c r="Q16" s="47">
        <v>44</v>
      </c>
      <c r="R16" s="47">
        <f t="shared" si="0"/>
        <v>39</v>
      </c>
      <c r="S16" s="47">
        <v>1.6</v>
      </c>
      <c r="T16" s="47">
        <v>0</v>
      </c>
      <c r="U16" s="75">
        <v>0</v>
      </c>
      <c r="V16" s="75">
        <v>0</v>
      </c>
      <c r="W16" s="47">
        <v>0</v>
      </c>
      <c r="X16" s="47">
        <v>48000</v>
      </c>
      <c r="Y16" s="47">
        <v>2000</v>
      </c>
      <c r="Z16" s="47">
        <f t="shared" si="4"/>
        <v>114.99999999999996</v>
      </c>
      <c r="AA16" s="47">
        <v>1</v>
      </c>
      <c r="AB16" s="47">
        <f t="shared" si="5"/>
        <v>12000</v>
      </c>
      <c r="AC16" s="63">
        <v>65000</v>
      </c>
      <c r="AD16" s="63">
        <v>2666.67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>
        <f t="shared" si="6"/>
        <v>50.000000000000007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85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3"/>
      <c r="E17" s="113"/>
      <c r="I17" s="56" t="s">
        <v>292</v>
      </c>
      <c r="J17" s="47">
        <v>12</v>
      </c>
      <c r="K17" s="19">
        <v>-16.2</v>
      </c>
      <c r="L17" s="116" t="s">
        <v>106</v>
      </c>
      <c r="M17" s="105" t="s">
        <v>64</v>
      </c>
      <c r="N17" s="47">
        <v>10.199999999999999</v>
      </c>
      <c r="O17" s="63">
        <v>0</v>
      </c>
      <c r="P17" s="63">
        <v>0</v>
      </c>
      <c r="Q17" s="47">
        <v>44</v>
      </c>
      <c r="R17" s="47">
        <f t="shared" ref="R17" si="7">IF(Q17&lt;&gt;0,Q17-5,NA())</f>
        <v>39</v>
      </c>
      <c r="S17" s="47">
        <v>1.6</v>
      </c>
      <c r="T17" s="47">
        <v>0</v>
      </c>
      <c r="U17" s="75">
        <v>1.7999999999999999E-2</v>
      </c>
      <c r="V17" s="75">
        <v>0</v>
      </c>
      <c r="W17" s="47">
        <v>0</v>
      </c>
      <c r="X17" s="47">
        <v>73100</v>
      </c>
      <c r="Y17" s="47">
        <v>3117</v>
      </c>
      <c r="Z17" s="47">
        <f t="shared" ref="Z17" si="8">VLOOKUP(R17,$AE$39:$AF$59,2)</f>
        <v>114.99999999999996</v>
      </c>
      <c r="AA17" s="47">
        <v>1</v>
      </c>
      <c r="AB17" s="47">
        <f t="shared" ref="AB17" si="9">VLOOKUP(R17,$AE$39:$AG$59,3)</f>
        <v>12000</v>
      </c>
      <c r="AC17" s="63">
        <v>89700</v>
      </c>
      <c r="AD17" s="63">
        <v>2617.64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>
        <f t="shared" ref="AJ17" si="10">VLOOKUP(R17,$AE$39:$AH$59,4)</f>
        <v>50.000000000000007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80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264</v>
      </c>
      <c r="J18" s="47">
        <v>13</v>
      </c>
      <c r="K18" s="19">
        <v>-19.600000000000001</v>
      </c>
      <c r="L18" s="116" t="s">
        <v>106</v>
      </c>
      <c r="M18" s="105" t="s">
        <v>64</v>
      </c>
      <c r="N18" s="47">
        <v>8.5</v>
      </c>
      <c r="O18" s="63">
        <v>0</v>
      </c>
      <c r="P18" s="63">
        <v>0</v>
      </c>
      <c r="Q18" s="47">
        <v>37</v>
      </c>
      <c r="R18" s="47">
        <f t="shared" ref="R18:R24" si="11">IF(Q18&lt;&gt;0,Q18-5,NA())</f>
        <v>32</v>
      </c>
      <c r="S18" s="47">
        <v>1.41</v>
      </c>
      <c r="T18" s="47">
        <v>0</v>
      </c>
      <c r="U18" s="75">
        <v>0</v>
      </c>
      <c r="V18" s="75">
        <v>0</v>
      </c>
      <c r="W18" s="47">
        <v>0</v>
      </c>
      <c r="X18" s="47">
        <v>9900</v>
      </c>
      <c r="Y18" s="47">
        <v>250</v>
      </c>
      <c r="Z18" s="47">
        <f t="shared" ref="Z18:Z24" si="12">VLOOKUP(R18,$AE$39:$AF$59,2)</f>
        <v>103.59999999999997</v>
      </c>
      <c r="AA18" s="47">
        <v>1</v>
      </c>
      <c r="AB18" s="47">
        <f t="shared" ref="AB18:AB24" si="13">VLOOKUP(R18,$AE$39:$AG$59,3)</f>
        <v>10560</v>
      </c>
      <c r="AC18" s="63">
        <v>63500</v>
      </c>
      <c r="AD18" s="63">
        <v>1250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>
        <f t="shared" ref="AJ18:AJ24" si="14">VLOOKUP(R18,$AE$39:$AH$59,4)</f>
        <v>44.000000000000007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30</v>
      </c>
      <c r="AS18" s="33">
        <v>0.2</v>
      </c>
    </row>
    <row r="19" spans="1:45" x14ac:dyDescent="0.25">
      <c r="A19" s="113" t="s">
        <v>38</v>
      </c>
      <c r="B19" s="113" t="s">
        <v>30</v>
      </c>
      <c r="C19" s="113" t="s">
        <v>59</v>
      </c>
      <c r="D19" s="43"/>
      <c r="E19" s="35"/>
      <c r="I19" s="33" t="s">
        <v>264</v>
      </c>
      <c r="J19" s="47">
        <v>14</v>
      </c>
      <c r="K19" s="33">
        <v>-20</v>
      </c>
      <c r="L19" s="116" t="s">
        <v>106</v>
      </c>
      <c r="M19" s="105" t="s">
        <v>64</v>
      </c>
      <c r="N19" s="47">
        <v>8.5</v>
      </c>
      <c r="O19" s="63">
        <v>0</v>
      </c>
      <c r="P19" s="63">
        <v>0</v>
      </c>
      <c r="Q19" s="47">
        <v>37</v>
      </c>
      <c r="R19" s="47">
        <f t="shared" si="11"/>
        <v>32</v>
      </c>
      <c r="S19" s="47">
        <v>1.4</v>
      </c>
      <c r="T19" s="47">
        <v>0</v>
      </c>
      <c r="U19" s="75">
        <v>0</v>
      </c>
      <c r="V19" s="75">
        <v>0</v>
      </c>
      <c r="W19" s="47">
        <v>0</v>
      </c>
      <c r="X19" s="47">
        <v>10000</v>
      </c>
      <c r="Y19" s="47">
        <v>222</v>
      </c>
      <c r="Z19" s="47">
        <f t="shared" si="12"/>
        <v>103.59999999999997</v>
      </c>
      <c r="AA19" s="47">
        <v>1</v>
      </c>
      <c r="AB19" s="47">
        <f t="shared" si="13"/>
        <v>10560</v>
      </c>
      <c r="AC19" s="63">
        <v>64000</v>
      </c>
      <c r="AD19" s="63">
        <v>1222.22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>
        <f t="shared" si="14"/>
        <v>44.000000000000007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30</v>
      </c>
      <c r="AS19" s="33">
        <v>0.2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264</v>
      </c>
      <c r="J20" s="47">
        <v>15</v>
      </c>
      <c r="K20" s="33">
        <v>-29</v>
      </c>
      <c r="L20" s="116" t="s">
        <v>106</v>
      </c>
      <c r="M20" s="105" t="s">
        <v>64</v>
      </c>
      <c r="N20" s="47">
        <v>8.5</v>
      </c>
      <c r="O20" s="63">
        <v>0</v>
      </c>
      <c r="P20" s="63">
        <v>0</v>
      </c>
      <c r="Q20" s="47">
        <v>37</v>
      </c>
      <c r="R20" s="47">
        <f t="shared" si="11"/>
        <v>32</v>
      </c>
      <c r="S20" s="47">
        <v>1.4</v>
      </c>
      <c r="T20" s="47">
        <v>0</v>
      </c>
      <c r="U20" s="75">
        <v>0</v>
      </c>
      <c r="V20" s="75">
        <v>0</v>
      </c>
      <c r="W20" s="47">
        <v>0</v>
      </c>
      <c r="X20" s="47">
        <v>12000</v>
      </c>
      <c r="Y20" s="47">
        <v>0</v>
      </c>
      <c r="Z20" s="47">
        <f t="shared" si="12"/>
        <v>103.59999999999997</v>
      </c>
      <c r="AA20" s="47">
        <v>1</v>
      </c>
      <c r="AB20" s="47">
        <f t="shared" si="13"/>
        <v>10560</v>
      </c>
      <c r="AC20" s="63">
        <v>75000</v>
      </c>
      <c r="AD20" s="63">
        <v>0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>
        <f t="shared" si="14"/>
        <v>44.000000000000007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30</v>
      </c>
      <c r="AS20" s="33">
        <v>0.2</v>
      </c>
    </row>
    <row r="21" spans="1:45" x14ac:dyDescent="0.25">
      <c r="A21" s="66"/>
      <c r="B21" s="66"/>
      <c r="C21" s="67"/>
      <c r="D21" s="43"/>
      <c r="I21" s="33" t="s">
        <v>266</v>
      </c>
      <c r="J21" s="47">
        <v>16</v>
      </c>
      <c r="K21" s="19">
        <v>-32.299999999999997</v>
      </c>
      <c r="L21" s="116" t="s">
        <v>288</v>
      </c>
      <c r="M21" s="105" t="s">
        <v>65</v>
      </c>
      <c r="N21" s="47">
        <v>8.5</v>
      </c>
      <c r="O21" s="63">
        <v>281</v>
      </c>
      <c r="P21" s="63">
        <v>6.45</v>
      </c>
      <c r="Q21" s="47">
        <v>0</v>
      </c>
      <c r="R21" s="47" t="e">
        <f t="shared" si="11"/>
        <v>#N/A</v>
      </c>
      <c r="S21" s="47">
        <v>1.3</v>
      </c>
      <c r="T21" s="47">
        <v>0</v>
      </c>
      <c r="U21" s="75">
        <v>1.7999999999999999E-2</v>
      </c>
      <c r="V21" s="75">
        <v>0</v>
      </c>
      <c r="W21" s="47">
        <v>0.25</v>
      </c>
      <c r="X21" s="47">
        <v>20200</v>
      </c>
      <c r="Y21" s="47">
        <v>448.59</v>
      </c>
      <c r="Z21" s="47" t="e">
        <f t="shared" si="12"/>
        <v>#N/A</v>
      </c>
      <c r="AA21" s="47">
        <v>1</v>
      </c>
      <c r="AB21" s="47" t="e">
        <f t="shared" si="13"/>
        <v>#N/A</v>
      </c>
      <c r="AC21" s="63">
        <v>105000</v>
      </c>
      <c r="AD21" s="63">
        <v>2336</v>
      </c>
      <c r="AE21" s="63">
        <v>0.3</v>
      </c>
      <c r="AF21" s="63">
        <v>0</v>
      </c>
      <c r="AG21" s="63">
        <v>0</v>
      </c>
      <c r="AH21" s="63">
        <v>0</v>
      </c>
      <c r="AI21" s="63">
        <v>0</v>
      </c>
      <c r="AJ21" s="47" t="e">
        <f t="shared" si="14"/>
        <v>#N/A</v>
      </c>
      <c r="AK21" s="47">
        <v>1</v>
      </c>
      <c r="AL21" s="47">
        <v>1</v>
      </c>
      <c r="AM21" s="47">
        <v>1</v>
      </c>
      <c r="AN21" s="47">
        <v>1</v>
      </c>
      <c r="AO21" s="47">
        <v>1</v>
      </c>
      <c r="AP21" s="47">
        <v>1</v>
      </c>
      <c r="AQ21" s="47">
        <v>0</v>
      </c>
      <c r="AR21" s="47">
        <v>0</v>
      </c>
      <c r="AS21" s="33">
        <v>0.4</v>
      </c>
    </row>
    <row r="22" spans="1:45" x14ac:dyDescent="0.25">
      <c r="A22" s="66"/>
      <c r="B22" s="66"/>
      <c r="C22" s="67"/>
      <c r="D22" s="35"/>
      <c r="I22" s="33" t="s">
        <v>266</v>
      </c>
      <c r="J22" s="47">
        <v>17</v>
      </c>
      <c r="K22" s="33">
        <v>-43</v>
      </c>
      <c r="L22" s="116" t="s">
        <v>288</v>
      </c>
      <c r="M22" s="105" t="s">
        <v>65</v>
      </c>
      <c r="N22" s="47">
        <v>8.5</v>
      </c>
      <c r="O22" s="63">
        <v>350</v>
      </c>
      <c r="P22" s="63">
        <v>0</v>
      </c>
      <c r="Q22" s="47">
        <v>0</v>
      </c>
      <c r="R22" s="47" t="e">
        <f t="shared" si="11"/>
        <v>#N/A</v>
      </c>
      <c r="S22" s="47">
        <v>1.3</v>
      </c>
      <c r="T22" s="47">
        <v>0</v>
      </c>
      <c r="U22" s="75">
        <v>1.7999999999999999E-2</v>
      </c>
      <c r="V22" s="75">
        <v>0</v>
      </c>
      <c r="W22" s="47">
        <v>0.25</v>
      </c>
      <c r="X22" s="47">
        <v>25000</v>
      </c>
      <c r="Y22" s="47">
        <v>0</v>
      </c>
      <c r="Z22" s="47" t="e">
        <f t="shared" si="12"/>
        <v>#N/A</v>
      </c>
      <c r="AA22" s="47">
        <v>1</v>
      </c>
      <c r="AB22" s="47" t="e">
        <f t="shared" si="13"/>
        <v>#N/A</v>
      </c>
      <c r="AC22" s="63">
        <v>130000</v>
      </c>
      <c r="AD22" s="63">
        <v>0</v>
      </c>
      <c r="AE22" s="63">
        <v>0.3</v>
      </c>
      <c r="AF22" s="63">
        <v>0</v>
      </c>
      <c r="AG22" s="63">
        <v>0</v>
      </c>
      <c r="AH22" s="63">
        <v>0</v>
      </c>
      <c r="AI22" s="63">
        <v>0</v>
      </c>
      <c r="AJ22" s="47" t="e">
        <f t="shared" si="14"/>
        <v>#N/A</v>
      </c>
      <c r="AK22" s="47">
        <v>1</v>
      </c>
      <c r="AL22" s="47">
        <v>1</v>
      </c>
      <c r="AM22" s="47">
        <v>1</v>
      </c>
      <c r="AN22" s="47">
        <v>1</v>
      </c>
      <c r="AO22" s="47">
        <v>1</v>
      </c>
      <c r="AP22" s="47">
        <v>1</v>
      </c>
      <c r="AQ22" s="47">
        <v>0</v>
      </c>
      <c r="AR22" s="47">
        <v>0</v>
      </c>
      <c r="AS22" s="33">
        <v>0.4</v>
      </c>
    </row>
    <row r="23" spans="1:45" x14ac:dyDescent="0.25">
      <c r="A23" s="66"/>
      <c r="B23" s="66"/>
      <c r="C23" s="67"/>
      <c r="D23" s="35"/>
      <c r="I23" s="33" t="s">
        <v>268</v>
      </c>
      <c r="J23" s="47">
        <v>18</v>
      </c>
      <c r="K23" s="19">
        <v>-45.7</v>
      </c>
      <c r="L23" s="116" t="s">
        <v>106</v>
      </c>
      <c r="M23" s="105" t="s">
        <v>64</v>
      </c>
      <c r="N23" s="47">
        <v>9</v>
      </c>
      <c r="O23" s="63">
        <v>0</v>
      </c>
      <c r="P23" s="63">
        <v>0</v>
      </c>
      <c r="Q23" s="47">
        <v>40</v>
      </c>
      <c r="R23" s="47">
        <f t="shared" si="11"/>
        <v>35</v>
      </c>
      <c r="S23" s="47">
        <v>1.67</v>
      </c>
      <c r="T23" s="47">
        <v>0</v>
      </c>
      <c r="U23" s="75">
        <v>0</v>
      </c>
      <c r="V23" s="75">
        <v>0</v>
      </c>
      <c r="W23" s="47">
        <v>0</v>
      </c>
      <c r="X23" s="47">
        <v>40000</v>
      </c>
      <c r="Y23" s="47">
        <v>0</v>
      </c>
      <c r="Z23" s="47">
        <f t="shared" si="12"/>
        <v>114.99999999999996</v>
      </c>
      <c r="AA23" s="47">
        <v>1</v>
      </c>
      <c r="AB23" s="47">
        <f t="shared" si="13"/>
        <v>12000</v>
      </c>
      <c r="AC23" s="63">
        <v>107000</v>
      </c>
      <c r="AD23" s="63">
        <v>1162.79</v>
      </c>
      <c r="AE23" s="63">
        <v>0.3</v>
      </c>
      <c r="AF23" s="63">
        <v>0</v>
      </c>
      <c r="AG23" s="63">
        <v>0</v>
      </c>
      <c r="AH23" s="63">
        <v>0</v>
      </c>
      <c r="AI23" s="63">
        <v>0</v>
      </c>
      <c r="AJ23" s="47">
        <f t="shared" si="14"/>
        <v>50.000000000000007</v>
      </c>
      <c r="AK23" s="47">
        <v>1</v>
      </c>
      <c r="AL23" s="47">
        <v>1</v>
      </c>
      <c r="AM23" s="47">
        <v>1</v>
      </c>
      <c r="AN23" s="47">
        <v>1</v>
      </c>
      <c r="AO23" s="47">
        <v>1</v>
      </c>
      <c r="AP23" s="47">
        <v>1</v>
      </c>
      <c r="AQ23" s="47">
        <v>0</v>
      </c>
      <c r="AR23" s="47">
        <v>55</v>
      </c>
      <c r="AS23" s="33">
        <v>0.2</v>
      </c>
    </row>
    <row r="24" spans="1:45" x14ac:dyDescent="0.25">
      <c r="A24" s="66"/>
      <c r="B24" s="66"/>
      <c r="C24" s="67"/>
      <c r="D24" s="35"/>
      <c r="I24" s="33" t="s">
        <v>268</v>
      </c>
      <c r="J24" s="47">
        <v>19</v>
      </c>
      <c r="K24" s="33">
        <v>-50</v>
      </c>
      <c r="L24" s="116" t="s">
        <v>106</v>
      </c>
      <c r="M24" s="105" t="s">
        <v>64</v>
      </c>
      <c r="N24" s="47">
        <v>9</v>
      </c>
      <c r="O24" s="63">
        <v>0</v>
      </c>
      <c r="P24" s="63">
        <v>0</v>
      </c>
      <c r="Q24" s="47">
        <v>40</v>
      </c>
      <c r="R24" s="47">
        <f t="shared" si="11"/>
        <v>35</v>
      </c>
      <c r="S24" s="47">
        <v>1.5</v>
      </c>
      <c r="T24" s="47">
        <v>0</v>
      </c>
      <c r="U24" s="75">
        <v>0</v>
      </c>
      <c r="V24" s="75">
        <v>0</v>
      </c>
      <c r="W24" s="47">
        <v>0</v>
      </c>
      <c r="X24" s="47">
        <v>40000</v>
      </c>
      <c r="Y24" s="47">
        <v>0</v>
      </c>
      <c r="Z24" s="47">
        <f t="shared" si="12"/>
        <v>114.99999999999996</v>
      </c>
      <c r="AA24" s="47">
        <v>1</v>
      </c>
      <c r="AB24" s="47">
        <f t="shared" si="13"/>
        <v>12000</v>
      </c>
      <c r="AC24" s="63">
        <v>112000</v>
      </c>
      <c r="AD24" s="63">
        <v>0</v>
      </c>
      <c r="AE24" s="63">
        <v>0.3</v>
      </c>
      <c r="AF24" s="63">
        <v>0</v>
      </c>
      <c r="AG24" s="63">
        <v>0</v>
      </c>
      <c r="AH24" s="63">
        <v>0</v>
      </c>
      <c r="AI24" s="63">
        <v>0</v>
      </c>
      <c r="AJ24" s="47">
        <f t="shared" si="14"/>
        <v>50.000000000000007</v>
      </c>
      <c r="AK24" s="47">
        <v>1</v>
      </c>
      <c r="AL24" s="47">
        <v>1</v>
      </c>
      <c r="AM24" s="47">
        <v>1</v>
      </c>
      <c r="AN24" s="47">
        <v>1</v>
      </c>
      <c r="AO24" s="47">
        <v>1</v>
      </c>
      <c r="AP24" s="47">
        <v>1</v>
      </c>
      <c r="AQ24" s="47">
        <v>0</v>
      </c>
      <c r="AR24" s="47">
        <v>55</v>
      </c>
      <c r="AS24" s="33">
        <v>0.2</v>
      </c>
    </row>
    <row r="25" spans="1:45" x14ac:dyDescent="0.25">
      <c r="A25" s="66"/>
      <c r="B25" s="66"/>
      <c r="C25" s="67"/>
      <c r="D25" s="35"/>
      <c r="I25" s="56"/>
      <c r="J25" s="47"/>
      <c r="K25" s="19"/>
      <c r="L25" s="116"/>
      <c r="M25" s="105"/>
      <c r="N25" s="47"/>
      <c r="O25" s="63"/>
      <c r="P25" s="63"/>
      <c r="Q25" s="47"/>
      <c r="R25" s="47"/>
      <c r="S25" s="47"/>
      <c r="T25" s="47"/>
      <c r="U25" s="75"/>
      <c r="V25" s="75"/>
      <c r="W25" s="47"/>
      <c r="X25" s="47"/>
      <c r="Y25" s="47"/>
      <c r="Z25" s="47"/>
      <c r="AA25" s="47"/>
      <c r="AB25" s="47"/>
      <c r="AC25" s="63"/>
      <c r="AD25" s="63"/>
      <c r="AE25" s="63"/>
      <c r="AF25" s="63"/>
      <c r="AG25" s="63"/>
      <c r="AH25" s="63"/>
      <c r="AI25" s="63"/>
      <c r="AJ25" s="47"/>
      <c r="AK25" s="47"/>
      <c r="AL25" s="47"/>
      <c r="AM25" s="47"/>
      <c r="AN25" s="47"/>
      <c r="AO25" s="47"/>
      <c r="AP25" s="47"/>
      <c r="AQ25" s="47"/>
      <c r="AR25" s="47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15">AF40+3.8</f>
        <v>55.599999999999994</v>
      </c>
      <c r="AG41" s="33">
        <f t="shared" ref="AG41:AG43" si="16">AG40+200</f>
        <v>2300</v>
      </c>
      <c r="AH41" s="33">
        <f t="shared" ref="AH41:AH44" si="17">AH40+0.8</f>
        <v>9.6000000000000014</v>
      </c>
    </row>
    <row r="42" spans="1:42" x14ac:dyDescent="0.25">
      <c r="L42" s="49"/>
      <c r="AE42" s="33">
        <v>18</v>
      </c>
      <c r="AF42" s="33">
        <f t="shared" si="15"/>
        <v>59.399999999999991</v>
      </c>
      <c r="AG42" s="33">
        <f t="shared" si="16"/>
        <v>2500</v>
      </c>
      <c r="AH42" s="33">
        <f t="shared" si="17"/>
        <v>10.400000000000002</v>
      </c>
    </row>
    <row r="43" spans="1:42" x14ac:dyDescent="0.25">
      <c r="L43" s="49"/>
      <c r="AE43" s="33">
        <v>19</v>
      </c>
      <c r="AF43" s="33">
        <f t="shared" si="15"/>
        <v>63.199999999999989</v>
      </c>
      <c r="AG43" s="33">
        <f t="shared" si="16"/>
        <v>2700</v>
      </c>
      <c r="AH43" s="33">
        <f t="shared" si="17"/>
        <v>11.200000000000003</v>
      </c>
    </row>
    <row r="44" spans="1:42" x14ac:dyDescent="0.25">
      <c r="L44" s="49"/>
      <c r="AE44" s="33">
        <v>20</v>
      </c>
      <c r="AF44" s="33">
        <f t="shared" si="15"/>
        <v>66.999999999999986</v>
      </c>
      <c r="AG44" s="33">
        <f>AG43+200</f>
        <v>2900</v>
      </c>
      <c r="AH44" s="33">
        <f t="shared" si="17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8">AF45+2.8</f>
        <v>72.59999999999998</v>
      </c>
      <c r="AG46" s="33">
        <f t="shared" ref="AG46:AG48" si="19">AG45+380</f>
        <v>3660</v>
      </c>
      <c r="AH46" s="33">
        <f t="shared" ref="AH46:AH49" si="20">AH45+1.6</f>
        <v>15.200000000000003</v>
      </c>
    </row>
    <row r="47" spans="1:42" x14ac:dyDescent="0.25">
      <c r="L47" s="49"/>
      <c r="AE47" s="33">
        <v>23</v>
      </c>
      <c r="AF47" s="33">
        <f t="shared" si="18"/>
        <v>75.399999999999977</v>
      </c>
      <c r="AG47" s="33">
        <f t="shared" si="19"/>
        <v>4040</v>
      </c>
      <c r="AH47" s="33">
        <f t="shared" si="20"/>
        <v>16.800000000000004</v>
      </c>
    </row>
    <row r="48" spans="1:42" x14ac:dyDescent="0.25">
      <c r="L48" s="49"/>
      <c r="AE48" s="33">
        <v>24</v>
      </c>
      <c r="AF48" s="33">
        <f t="shared" si="18"/>
        <v>78.199999999999974</v>
      </c>
      <c r="AG48" s="33">
        <f t="shared" si="19"/>
        <v>4420</v>
      </c>
      <c r="AH48" s="33">
        <f t="shared" si="20"/>
        <v>18.400000000000006</v>
      </c>
    </row>
    <row r="49" spans="12:34" x14ac:dyDescent="0.25">
      <c r="L49" s="49"/>
      <c r="AE49" s="33">
        <v>25</v>
      </c>
      <c r="AF49" s="33">
        <f t="shared" si="18"/>
        <v>80.999999999999972</v>
      </c>
      <c r="AG49" s="33">
        <v>4800</v>
      </c>
      <c r="AH49" s="33">
        <f t="shared" si="20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21">AF50+3</f>
        <v>86.999999999999972</v>
      </c>
      <c r="AG51" s="33">
        <f t="shared" ref="AG51:AG54" si="22">AG50+960</f>
        <v>6720</v>
      </c>
      <c r="AH51" s="33">
        <f t="shared" ref="AH51:AH54" si="23">AH50+4</f>
        <v>28.000000000000007</v>
      </c>
    </row>
    <row r="52" spans="12:34" x14ac:dyDescent="0.25">
      <c r="L52" s="49"/>
      <c r="AE52" s="33">
        <v>28</v>
      </c>
      <c r="AF52" s="33">
        <f t="shared" si="21"/>
        <v>89.999999999999972</v>
      </c>
      <c r="AG52" s="33">
        <f t="shared" si="22"/>
        <v>7680</v>
      </c>
      <c r="AH52" s="33">
        <f t="shared" si="23"/>
        <v>32.000000000000007</v>
      </c>
    </row>
    <row r="53" spans="12:34" x14ac:dyDescent="0.25">
      <c r="L53" s="49"/>
      <c r="AE53" s="33">
        <v>29</v>
      </c>
      <c r="AF53" s="33">
        <f t="shared" si="21"/>
        <v>92.999999999999972</v>
      </c>
      <c r="AG53" s="33">
        <f t="shared" si="22"/>
        <v>8640</v>
      </c>
      <c r="AH53" s="33">
        <f t="shared" si="23"/>
        <v>36.000000000000007</v>
      </c>
    </row>
    <row r="54" spans="12:34" x14ac:dyDescent="0.25">
      <c r="L54" s="49"/>
      <c r="AE54" s="33">
        <v>30</v>
      </c>
      <c r="AF54" s="33">
        <f t="shared" si="21"/>
        <v>95.999999999999972</v>
      </c>
      <c r="AG54" s="33">
        <f t="shared" si="22"/>
        <v>9600</v>
      </c>
      <c r="AH54" s="33">
        <f t="shared" si="23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24">AF55+3.8</f>
        <v>103.59999999999997</v>
      </c>
      <c r="AG56" s="33">
        <f t="shared" ref="AG56:AG59" si="25">AG55+480</f>
        <v>10560</v>
      </c>
      <c r="AH56" s="33">
        <f t="shared" ref="AH56:AH59" si="26">AH55+2</f>
        <v>44.000000000000007</v>
      </c>
    </row>
    <row r="57" spans="12:34" x14ac:dyDescent="0.25">
      <c r="L57" s="49"/>
      <c r="AE57" s="33">
        <v>33</v>
      </c>
      <c r="AF57" s="33">
        <f t="shared" si="24"/>
        <v>107.39999999999996</v>
      </c>
      <c r="AG57" s="33">
        <f t="shared" si="25"/>
        <v>11040</v>
      </c>
      <c r="AH57" s="33">
        <f t="shared" si="26"/>
        <v>46.000000000000007</v>
      </c>
    </row>
    <row r="58" spans="12:34" x14ac:dyDescent="0.25">
      <c r="L58" s="49"/>
      <c r="AE58" s="33">
        <v>34</v>
      </c>
      <c r="AF58" s="33">
        <f t="shared" si="24"/>
        <v>111.19999999999996</v>
      </c>
      <c r="AG58" s="33">
        <f t="shared" si="25"/>
        <v>11520</v>
      </c>
      <c r="AH58" s="33">
        <f t="shared" si="26"/>
        <v>48.000000000000007</v>
      </c>
    </row>
    <row r="59" spans="12:34" x14ac:dyDescent="0.25">
      <c r="L59" s="49"/>
      <c r="AE59" s="33">
        <v>35</v>
      </c>
      <c r="AF59" s="33">
        <f t="shared" si="24"/>
        <v>114.99999999999996</v>
      </c>
      <c r="AG59" s="33">
        <f t="shared" si="25"/>
        <v>12000</v>
      </c>
      <c r="AH59" s="33">
        <f t="shared" si="26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9:AP36 Q29:Q36 AJ25 AB25 N25 Q25:T25 W25:Z25 AM25:AR25 N29:N36">
    <cfRule type="expression" dxfId="3518" priority="424">
      <formula>$L25="API sand"</formula>
    </cfRule>
  </conditionalFormatting>
  <conditionalFormatting sqref="R29:S36 AB29:AB35 AJ29:AL36 Z29:Z36 AK25:AL25 N25 N29:N36">
    <cfRule type="expression" dxfId="3517" priority="423">
      <formula>$M25="API sand"</formula>
    </cfRule>
  </conditionalFormatting>
  <conditionalFormatting sqref="R29:T36 Z29:AB35 AK25:AL25 N25 AK29:AL36 N29:N36">
    <cfRule type="expression" dxfId="3516" priority="422">
      <formula>$M25="API clay"</formula>
    </cfRule>
  </conditionalFormatting>
  <conditionalFormatting sqref="U29:W36 N25:P25 AA25 AC25:AI25 AM25:AP25 U25:V25 AM29:AP36">
    <cfRule type="expression" dxfId="3515" priority="419">
      <formula>$L25="Stiff clay w/o free water"</formula>
    </cfRule>
    <cfRule type="expression" dxfId="3514" priority="421">
      <formula>$L25="API clay"</formula>
    </cfRule>
  </conditionalFormatting>
  <conditionalFormatting sqref="U29:Y36 N25:P25 AA25 AC25:AI25 AM25:AP25 U25:V25 AM29:AP36">
    <cfRule type="expression" dxfId="3513" priority="420">
      <formula>$L25="Kirsch soft clay"</formula>
    </cfRule>
  </conditionalFormatting>
  <conditionalFormatting sqref="U29:Y36 N25:P25 AA25 AC25:AI25 AM25:AP25 U25:V25 AM29:AP36">
    <cfRule type="expression" dxfId="3512" priority="418">
      <formula>$L25="Kirsch stiff clay"</formula>
    </cfRule>
  </conditionalFormatting>
  <conditionalFormatting sqref="AM29:AP36 Q29:Q36 X29:Y36 AJ25 AB25 N25 Q25:T25 W25:Z25 AM25:AR25 N29:N36">
    <cfRule type="expression" dxfId="3511" priority="417">
      <formula>$L25="Kirsch sand"</formula>
    </cfRule>
  </conditionalFormatting>
  <conditionalFormatting sqref="AC29:AD36 AI29:AI36 AM25:AP25 N25 AM29:AP36 N29:N36">
    <cfRule type="expression" dxfId="3510" priority="416">
      <formula>$L25="Modified Weak rock"</formula>
    </cfRule>
  </conditionalFormatting>
  <conditionalFormatting sqref="N25:P25 AA25 AC25:AI25 AM25:AP25 U25:V25 AM29:AP36 U29:V36">
    <cfRule type="expression" dxfId="3509" priority="415">
      <formula>$L25="Reese stiff clay"</formula>
    </cfRule>
  </conditionalFormatting>
  <conditionalFormatting sqref="AB36">
    <cfRule type="expression" dxfId="3508" priority="413">
      <formula>$M36="API sand"</formula>
    </cfRule>
  </conditionalFormatting>
  <conditionalFormatting sqref="Z36:AB36">
    <cfRule type="expression" dxfId="3507" priority="412">
      <formula>$M36="API clay"</formula>
    </cfRule>
  </conditionalFormatting>
  <conditionalFormatting sqref="N29:P36">
    <cfRule type="expression" dxfId="3506" priority="409">
      <formula>$L29="Stiff clay w/o free water"</formula>
    </cfRule>
    <cfRule type="expression" dxfId="3505" priority="411">
      <formula>$L29="API clay"</formula>
    </cfRule>
  </conditionalFormatting>
  <conditionalFormatting sqref="N29:P36">
    <cfRule type="expression" dxfId="3504" priority="410">
      <formula>$L29="Kirsch soft clay"</formula>
    </cfRule>
  </conditionalFormatting>
  <conditionalFormatting sqref="N29:P36">
    <cfRule type="expression" dxfId="3503" priority="408">
      <formula>$L29="Kirsch stiff clay"</formula>
    </cfRule>
  </conditionalFormatting>
  <conditionalFormatting sqref="N29:P36">
    <cfRule type="expression" dxfId="3502" priority="405">
      <formula>$L29="Reese stiff clay"</formula>
    </cfRule>
  </conditionalFormatting>
  <conditionalFormatting sqref="N25:P25 AA25 AC25:AI25 AM25:AP25 U25:V25">
    <cfRule type="expression" dxfId="3501" priority="404">
      <formula>$L25="PISA clay"</formula>
    </cfRule>
  </conditionalFormatting>
  <conditionalFormatting sqref="N25 AM25:AP25">
    <cfRule type="expression" dxfId="3500" priority="403">
      <formula>$L25="PISA sand"</formula>
    </cfRule>
  </conditionalFormatting>
  <conditionalFormatting sqref="AE37:AH37">
    <cfRule type="expression" dxfId="3499" priority="425">
      <formula>$L19="Modified Weak rock"</formula>
    </cfRule>
  </conditionalFormatting>
  <dataValidations count="3">
    <dataValidation type="list" showInputMessage="1" showErrorMessage="1" sqref="L6:L25 L29:L255" xr:uid="{1F195434-87F3-472E-BD5E-B2C2FA666E44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25" xr:uid="{93E89664-9963-4ACD-940F-A4285145FE53}">
      <formula1>"Zero soil,API sand,API clay"</formula1>
    </dataValidation>
    <dataValidation type="list" showInputMessage="1" showErrorMessage="1" sqref="M11:M25 M29:M36" xr:uid="{D1F56B37-5123-47B7-BB8F-6EF07F782D0F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B8FD3-B81E-40DE-B29C-1ED8150CED6E}">
  <sheetPr>
    <tabColor rgb="FFFF99FF"/>
  </sheetPr>
  <dimension ref="A1:AS255"/>
  <sheetViews>
    <sheetView topLeftCell="I1" zoomScale="85" zoomScaleNormal="85" workbookViewId="0">
      <selection activeCell="K25" sqref="K25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Ak_Pisa_BH-55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8"/>
      <c r="R3" s="155"/>
      <c r="S3" s="155"/>
      <c r="T3" s="118"/>
      <c r="U3" s="155"/>
      <c r="V3" s="155"/>
      <c r="W3" s="118"/>
      <c r="X3" s="69"/>
      <c r="Y3" s="118"/>
      <c r="Z3" s="118"/>
      <c r="AA3" s="118"/>
      <c r="AB3" s="118"/>
      <c r="AC3" s="69"/>
      <c r="AD3" s="39"/>
      <c r="AE3" s="39"/>
      <c r="AF3" s="39"/>
      <c r="AG3" s="39"/>
      <c r="AH3" s="39"/>
      <c r="AI3" s="39"/>
      <c r="AJ3" s="118"/>
      <c r="AK3" s="118"/>
      <c r="AL3" s="118"/>
      <c r="AM3" s="118"/>
      <c r="AN3" s="118"/>
      <c r="AO3" s="118"/>
      <c r="AP3" s="118"/>
    </row>
    <row r="4" spans="1:45" x14ac:dyDescent="0.25">
      <c r="A4" s="40" t="s">
        <v>60</v>
      </c>
      <c r="B4" s="33">
        <f>COUNTIF(J:J,"&gt;0")</f>
        <v>17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9" t="s">
        <v>38</v>
      </c>
      <c r="K5" s="119" t="s">
        <v>30</v>
      </c>
      <c r="L5" s="119" t="s">
        <v>31</v>
      </c>
      <c r="M5" s="119" t="s">
        <v>31</v>
      </c>
      <c r="N5" s="119" t="s">
        <v>32</v>
      </c>
      <c r="O5" s="119" t="s">
        <v>33</v>
      </c>
      <c r="P5" s="119" t="s">
        <v>35</v>
      </c>
      <c r="Q5" s="119" t="s">
        <v>36</v>
      </c>
      <c r="R5" s="119" t="s">
        <v>36</v>
      </c>
      <c r="S5" s="119" t="s">
        <v>34</v>
      </c>
      <c r="T5" s="119" t="s">
        <v>33</v>
      </c>
      <c r="U5" s="119" t="s">
        <v>34</v>
      </c>
      <c r="V5" s="119" t="s">
        <v>62</v>
      </c>
      <c r="W5" s="119" t="s">
        <v>34</v>
      </c>
      <c r="X5" s="119" t="s">
        <v>33</v>
      </c>
      <c r="Y5" s="119" t="s">
        <v>35</v>
      </c>
      <c r="Z5" s="119" t="s">
        <v>33</v>
      </c>
      <c r="AA5" s="119" t="s">
        <v>34</v>
      </c>
      <c r="AB5" s="119" t="s">
        <v>33</v>
      </c>
      <c r="AC5" s="119" t="s">
        <v>33</v>
      </c>
      <c r="AD5" s="119" t="s">
        <v>35</v>
      </c>
      <c r="AE5" s="119" t="s">
        <v>34</v>
      </c>
      <c r="AF5" s="119" t="s">
        <v>33</v>
      </c>
      <c r="AG5" s="119" t="s">
        <v>35</v>
      </c>
      <c r="AH5" s="119" t="s">
        <v>34</v>
      </c>
      <c r="AI5" s="119" t="s">
        <v>34</v>
      </c>
      <c r="AJ5" s="119" t="s">
        <v>34</v>
      </c>
      <c r="AK5" s="119" t="s">
        <v>34</v>
      </c>
      <c r="AL5" s="119" t="s">
        <v>34</v>
      </c>
      <c r="AM5" s="119" t="s">
        <v>34</v>
      </c>
      <c r="AN5" s="119" t="s">
        <v>34</v>
      </c>
      <c r="AO5" s="119" t="s">
        <v>34</v>
      </c>
      <c r="AP5" s="119" t="s">
        <v>34</v>
      </c>
      <c r="AQ5" s="119" t="s">
        <v>103</v>
      </c>
      <c r="AR5" s="119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 t="shared" ref="L6:L14" si="0">"EW_sand_Ruled"&amp;"_"&amp;AR6</f>
        <v>EW_sand_Ruled_100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45</v>
      </c>
      <c r="R6" s="47">
        <f t="shared" ref="R6:R22" si="1">IF(Q6&lt;&gt;0,Q6-5,NA())</f>
        <v>40</v>
      </c>
      <c r="S6" s="47">
        <v>0.4</v>
      </c>
      <c r="T6" s="47">
        <v>0</v>
      </c>
      <c r="U6" s="75">
        <v>0</v>
      </c>
      <c r="V6" s="75">
        <v>0</v>
      </c>
      <c r="W6" s="47">
        <v>0</v>
      </c>
      <c r="X6" s="47">
        <v>100</v>
      </c>
      <c r="Y6" s="47">
        <v>150000</v>
      </c>
      <c r="Z6" s="47">
        <f>VLOOKUP(R6,$AE$39:$AF$59,2)</f>
        <v>114.99999999999996</v>
      </c>
      <c r="AA6" s="47">
        <v>1</v>
      </c>
      <c r="AB6" s="47">
        <f>VLOOKUP(R6,$AE$39:$AG$59,3)</f>
        <v>12000</v>
      </c>
      <c r="AC6" s="63">
        <v>8000</v>
      </c>
      <c r="AD6" s="63">
        <v>20000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>VLOOKUP(R6,$AE$39:$AH$59,4)</f>
        <v>50.000000000000007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100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-0.1</v>
      </c>
      <c r="L7" s="33" t="str">
        <f t="shared" si="0"/>
        <v>EW_sand_Ruled_100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45</v>
      </c>
      <c r="R7" s="47">
        <f t="shared" si="1"/>
        <v>40</v>
      </c>
      <c r="S7" s="47">
        <v>0.4</v>
      </c>
      <c r="T7" s="47">
        <v>0</v>
      </c>
      <c r="U7" s="75">
        <v>0</v>
      </c>
      <c r="V7" s="75">
        <v>0</v>
      </c>
      <c r="W7" s="47">
        <v>0</v>
      </c>
      <c r="X7" s="47">
        <v>15000</v>
      </c>
      <c r="Y7" s="47">
        <v>55000</v>
      </c>
      <c r="Z7" s="47">
        <f t="shared" ref="Z7:Z22" si="2">VLOOKUP(R7,$AE$39:$AF$59,2)</f>
        <v>114.99999999999996</v>
      </c>
      <c r="AA7" s="47">
        <v>1</v>
      </c>
      <c r="AB7" s="47">
        <f t="shared" ref="AB7:AB22" si="3">VLOOKUP(R7,$AE$39:$AG$59,3)</f>
        <v>12000</v>
      </c>
      <c r="AC7" s="63">
        <v>10000</v>
      </c>
      <c r="AD7" s="63">
        <v>25000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ref="AJ7:AJ22" si="4">VLOOKUP(R7,$AE$39:$AH$59,4)</f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">
        <v>279</v>
      </c>
      <c r="J8" s="47">
        <v>3</v>
      </c>
      <c r="K8" s="33">
        <v>-0.5</v>
      </c>
      <c r="L8" s="33" t="str">
        <f t="shared" si="0"/>
        <v>EW_sand_Ruled_100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45</v>
      </c>
      <c r="R8" s="47">
        <f t="shared" si="1"/>
        <v>40</v>
      </c>
      <c r="S8" s="47">
        <v>0.4</v>
      </c>
      <c r="T8" s="47">
        <v>0</v>
      </c>
      <c r="U8" s="75">
        <v>0</v>
      </c>
      <c r="V8" s="75">
        <v>0</v>
      </c>
      <c r="W8" s="47">
        <v>0</v>
      </c>
      <c r="X8" s="47">
        <v>37000</v>
      </c>
      <c r="Y8" s="47">
        <v>56000</v>
      </c>
      <c r="Z8" s="47">
        <f t="shared" si="2"/>
        <v>114.99999999999996</v>
      </c>
      <c r="AA8" s="47">
        <v>1</v>
      </c>
      <c r="AB8" s="47">
        <f t="shared" si="3"/>
        <v>12000</v>
      </c>
      <c r="AC8" s="63">
        <v>20000</v>
      </c>
      <c r="AD8" s="63">
        <v>22000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4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100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279</v>
      </c>
      <c r="J9" s="47">
        <v>4</v>
      </c>
      <c r="K9" s="33">
        <v>-1</v>
      </c>
      <c r="L9" s="33" t="str">
        <f t="shared" si="0"/>
        <v>EW_sand_Ruled_100</v>
      </c>
      <c r="M9" s="105" t="s">
        <v>64</v>
      </c>
      <c r="N9" s="47">
        <v>9.6999999999999993</v>
      </c>
      <c r="O9" s="63">
        <v>0</v>
      </c>
      <c r="P9" s="63">
        <v>0</v>
      </c>
      <c r="Q9" s="47">
        <v>45</v>
      </c>
      <c r="R9" s="47">
        <f t="shared" si="1"/>
        <v>40</v>
      </c>
      <c r="S9" s="47">
        <v>0.4</v>
      </c>
      <c r="T9" s="47">
        <v>0</v>
      </c>
      <c r="U9" s="75">
        <v>0</v>
      </c>
      <c r="V9" s="75">
        <v>0</v>
      </c>
      <c r="W9" s="47">
        <v>0</v>
      </c>
      <c r="X9" s="47">
        <v>65000</v>
      </c>
      <c r="Y9" s="47">
        <v>0</v>
      </c>
      <c r="Z9" s="47">
        <f t="shared" si="2"/>
        <v>114.99999999999996</v>
      </c>
      <c r="AA9" s="47">
        <v>1</v>
      </c>
      <c r="AB9" s="47">
        <f t="shared" si="3"/>
        <v>12000</v>
      </c>
      <c r="AC9" s="63">
        <v>31000</v>
      </c>
      <c r="AD9" s="63">
        <v>11000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4"/>
        <v>50.000000000000007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100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279</v>
      </c>
      <c r="J10" s="47">
        <v>5</v>
      </c>
      <c r="K10" s="56">
        <v>-2</v>
      </c>
      <c r="L10" s="33" t="str">
        <f t="shared" si="0"/>
        <v>EW_sand_Ruled_100</v>
      </c>
      <c r="M10" s="105" t="s">
        <v>64</v>
      </c>
      <c r="N10" s="47">
        <v>9.6999999999999993</v>
      </c>
      <c r="O10" s="63">
        <v>0</v>
      </c>
      <c r="P10" s="63">
        <v>0</v>
      </c>
      <c r="Q10" s="47">
        <v>45</v>
      </c>
      <c r="R10" s="47">
        <f t="shared" si="1"/>
        <v>40</v>
      </c>
      <c r="S10" s="47">
        <v>0.4</v>
      </c>
      <c r="T10" s="47">
        <v>0</v>
      </c>
      <c r="U10" s="75">
        <v>0</v>
      </c>
      <c r="V10" s="75">
        <v>0</v>
      </c>
      <c r="W10" s="47">
        <v>0</v>
      </c>
      <c r="X10" s="47">
        <v>65000</v>
      </c>
      <c r="Y10" s="47">
        <v>0</v>
      </c>
      <c r="Z10" s="47">
        <f t="shared" si="2"/>
        <v>114.99999999999996</v>
      </c>
      <c r="AA10" s="47">
        <v>1</v>
      </c>
      <c r="AB10" s="47">
        <f t="shared" si="3"/>
        <v>12000</v>
      </c>
      <c r="AC10" s="63">
        <v>42000</v>
      </c>
      <c r="AD10" s="63">
        <v>6000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4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100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279</v>
      </c>
      <c r="J11" s="47">
        <v>6</v>
      </c>
      <c r="K11" s="33">
        <v>-3</v>
      </c>
      <c r="L11" s="33" t="str">
        <f t="shared" si="0"/>
        <v>EW_sand_Ruled_100</v>
      </c>
      <c r="M11" s="105" t="s">
        <v>64</v>
      </c>
      <c r="N11" s="47">
        <v>9.6999999999999993</v>
      </c>
      <c r="O11" s="63">
        <v>0</v>
      </c>
      <c r="P11" s="63">
        <v>0</v>
      </c>
      <c r="Q11" s="47">
        <v>45</v>
      </c>
      <c r="R11" s="47">
        <f t="shared" si="1"/>
        <v>40</v>
      </c>
      <c r="S11" s="47">
        <v>0.4</v>
      </c>
      <c r="T11" s="47">
        <v>0</v>
      </c>
      <c r="U11" s="75">
        <v>0</v>
      </c>
      <c r="V11" s="75">
        <v>0</v>
      </c>
      <c r="W11" s="47">
        <v>0</v>
      </c>
      <c r="X11" s="47">
        <v>65000</v>
      </c>
      <c r="Y11" s="47">
        <v>-10000</v>
      </c>
      <c r="Z11" s="47">
        <f t="shared" si="2"/>
        <v>114.99999999999996</v>
      </c>
      <c r="AA11" s="47">
        <v>1</v>
      </c>
      <c r="AB11" s="47">
        <f t="shared" si="3"/>
        <v>12000</v>
      </c>
      <c r="AC11" s="63">
        <v>48000</v>
      </c>
      <c r="AD11" s="63">
        <v>5000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4"/>
        <v>50.000000000000007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100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295</v>
      </c>
      <c r="J12" s="47">
        <v>7</v>
      </c>
      <c r="K12" s="33">
        <v>-3.9</v>
      </c>
      <c r="L12" s="33" t="str">
        <f t="shared" si="0"/>
        <v>EW_sand_Ruled_80</v>
      </c>
      <c r="M12" s="105" t="s">
        <v>64</v>
      </c>
      <c r="N12" s="47">
        <v>9.4</v>
      </c>
      <c r="O12" s="63">
        <v>0</v>
      </c>
      <c r="P12" s="63">
        <v>0</v>
      </c>
      <c r="Q12" s="47">
        <v>43</v>
      </c>
      <c r="R12" s="47">
        <f t="shared" si="1"/>
        <v>38</v>
      </c>
      <c r="S12" s="47">
        <v>2.5</v>
      </c>
      <c r="T12" s="47">
        <v>0</v>
      </c>
      <c r="U12" s="75">
        <v>0</v>
      </c>
      <c r="V12" s="75">
        <v>0</v>
      </c>
      <c r="W12" s="47">
        <v>0</v>
      </c>
      <c r="X12" s="47">
        <v>45000</v>
      </c>
      <c r="Y12" s="47">
        <v>0</v>
      </c>
      <c r="Z12" s="47">
        <f t="shared" si="2"/>
        <v>114.99999999999996</v>
      </c>
      <c r="AA12" s="47">
        <v>1</v>
      </c>
      <c r="AB12" s="47">
        <f t="shared" si="3"/>
        <v>12000</v>
      </c>
      <c r="AC12" s="63">
        <v>43200</v>
      </c>
      <c r="AD12" s="63">
        <v>4363.63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4"/>
        <v>50.000000000000007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80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295</v>
      </c>
      <c r="J13" s="47">
        <v>8</v>
      </c>
      <c r="K13" s="33">
        <v>-5</v>
      </c>
      <c r="L13" s="33" t="str">
        <f t="shared" si="0"/>
        <v>EW_sand_Ruled_80</v>
      </c>
      <c r="M13" s="105" t="s">
        <v>64</v>
      </c>
      <c r="N13" s="47">
        <v>9.4</v>
      </c>
      <c r="O13" s="63">
        <v>0</v>
      </c>
      <c r="P13" s="63">
        <v>0</v>
      </c>
      <c r="Q13" s="47">
        <v>43</v>
      </c>
      <c r="R13" s="47">
        <f t="shared" si="1"/>
        <v>38</v>
      </c>
      <c r="S13" s="47">
        <v>2.2000000000000002</v>
      </c>
      <c r="T13" s="47">
        <v>0</v>
      </c>
      <c r="U13" s="75">
        <v>0</v>
      </c>
      <c r="V13" s="75">
        <v>0</v>
      </c>
      <c r="W13" s="47">
        <v>0</v>
      </c>
      <c r="X13" s="47">
        <v>45000</v>
      </c>
      <c r="Y13" s="47">
        <v>0</v>
      </c>
      <c r="Z13" s="47">
        <f t="shared" si="2"/>
        <v>114.99999999999996</v>
      </c>
      <c r="AA13" s="47">
        <v>1</v>
      </c>
      <c r="AB13" s="47">
        <f t="shared" si="3"/>
        <v>12000</v>
      </c>
      <c r="AC13" s="63">
        <v>52000</v>
      </c>
      <c r="AD13" s="63">
        <v>8000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4"/>
        <v>50.000000000000007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80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264</v>
      </c>
      <c r="J14" s="47">
        <v>9</v>
      </c>
      <c r="K14" s="33">
        <v>-6</v>
      </c>
      <c r="L14" s="33" t="str">
        <f t="shared" si="0"/>
        <v>EW_sand_Ruled_30</v>
      </c>
      <c r="M14" s="105" t="s">
        <v>64</v>
      </c>
      <c r="N14" s="47">
        <v>8.5</v>
      </c>
      <c r="O14" s="63">
        <v>0</v>
      </c>
      <c r="P14" s="63">
        <v>0</v>
      </c>
      <c r="Q14" s="47">
        <v>37</v>
      </c>
      <c r="R14" s="47">
        <f t="shared" si="1"/>
        <v>32</v>
      </c>
      <c r="S14" s="47">
        <v>2.5</v>
      </c>
      <c r="T14" s="47">
        <v>0</v>
      </c>
      <c r="U14" s="75">
        <v>0</v>
      </c>
      <c r="V14" s="75">
        <v>0</v>
      </c>
      <c r="W14" s="47">
        <v>0</v>
      </c>
      <c r="X14" s="47">
        <v>8000</v>
      </c>
      <c r="Y14" s="47">
        <v>0</v>
      </c>
      <c r="Z14" s="47">
        <f t="shared" si="2"/>
        <v>103.59999999999997</v>
      </c>
      <c r="AA14" s="47">
        <v>1</v>
      </c>
      <c r="AB14" s="47">
        <f t="shared" si="3"/>
        <v>10560</v>
      </c>
      <c r="AC14" s="63">
        <v>48000</v>
      </c>
      <c r="AD14" s="63">
        <v>1052.6300000000001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4"/>
        <v>44.000000000000007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30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266</v>
      </c>
      <c r="J15" s="47">
        <v>10</v>
      </c>
      <c r="K15" s="33">
        <v>-7.9</v>
      </c>
      <c r="L15" s="116" t="s">
        <v>275</v>
      </c>
      <c r="M15" s="105" t="s">
        <v>65</v>
      </c>
      <c r="N15" s="47">
        <v>8.5</v>
      </c>
      <c r="O15" s="63">
        <v>122.8</v>
      </c>
      <c r="P15" s="63">
        <v>6.54</v>
      </c>
      <c r="Q15" s="47">
        <v>0</v>
      </c>
      <c r="R15" s="47" t="e">
        <f t="shared" si="1"/>
        <v>#N/A</v>
      </c>
      <c r="S15" s="47">
        <v>2.1</v>
      </c>
      <c r="T15" s="47">
        <v>0</v>
      </c>
      <c r="U15" s="75">
        <v>1.7999999999999999E-2</v>
      </c>
      <c r="V15" s="75">
        <v>0</v>
      </c>
      <c r="W15" s="47">
        <v>0.5</v>
      </c>
      <c r="X15" s="47">
        <v>9000</v>
      </c>
      <c r="Y15" s="47">
        <v>909.09</v>
      </c>
      <c r="Z15" s="47" t="e">
        <f t="shared" si="2"/>
        <v>#N/A</v>
      </c>
      <c r="AA15" s="47">
        <v>1</v>
      </c>
      <c r="AB15" s="47" t="e">
        <f t="shared" si="3"/>
        <v>#N/A</v>
      </c>
      <c r="AC15" s="63">
        <v>47500</v>
      </c>
      <c r="AD15" s="63">
        <v>2272.7199999999998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4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266</v>
      </c>
      <c r="J16" s="47">
        <v>11</v>
      </c>
      <c r="K16" s="33">
        <v>-9</v>
      </c>
      <c r="L16" s="116" t="s">
        <v>275</v>
      </c>
      <c r="M16" s="105" t="s">
        <v>65</v>
      </c>
      <c r="N16" s="47">
        <v>8.5</v>
      </c>
      <c r="O16" s="63">
        <v>130</v>
      </c>
      <c r="P16" s="63">
        <v>6.47</v>
      </c>
      <c r="Q16" s="47">
        <v>0</v>
      </c>
      <c r="R16" s="47" t="e">
        <f t="shared" si="1"/>
        <v>#N/A</v>
      </c>
      <c r="S16" s="47">
        <v>2.1</v>
      </c>
      <c r="T16" s="47">
        <v>0</v>
      </c>
      <c r="U16" s="75">
        <v>1.7999999999999999E-2</v>
      </c>
      <c r="V16" s="75">
        <v>0</v>
      </c>
      <c r="W16" s="47">
        <v>0.5</v>
      </c>
      <c r="X16" s="47">
        <v>10000</v>
      </c>
      <c r="Y16" s="47">
        <v>476.19</v>
      </c>
      <c r="Z16" s="47" t="e">
        <f t="shared" si="2"/>
        <v>#N/A</v>
      </c>
      <c r="AA16" s="47">
        <v>1</v>
      </c>
      <c r="AB16" s="47" t="e">
        <f t="shared" si="3"/>
        <v>#N/A</v>
      </c>
      <c r="AC16" s="63">
        <v>50000</v>
      </c>
      <c r="AD16" s="63">
        <v>2238.09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4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9"/>
      <c r="E17" s="119"/>
      <c r="I17" s="33" t="s">
        <v>305</v>
      </c>
      <c r="J17" s="47">
        <v>12</v>
      </c>
      <c r="K17" s="56">
        <v>-11.1</v>
      </c>
      <c r="L17" s="116" t="s">
        <v>275</v>
      </c>
      <c r="M17" s="105" t="s">
        <v>65</v>
      </c>
      <c r="N17" s="47">
        <v>9.3000000000000007</v>
      </c>
      <c r="O17" s="63">
        <v>120</v>
      </c>
      <c r="P17" s="63">
        <v>6.81</v>
      </c>
      <c r="Q17" s="47">
        <v>0</v>
      </c>
      <c r="R17" s="47" t="e">
        <f t="shared" si="1"/>
        <v>#N/A</v>
      </c>
      <c r="S17" s="47">
        <v>2.1</v>
      </c>
      <c r="T17" s="47">
        <v>0</v>
      </c>
      <c r="U17" s="75">
        <v>1.7999999999999999E-2</v>
      </c>
      <c r="V17" s="75">
        <v>0</v>
      </c>
      <c r="W17" s="47">
        <v>0.5</v>
      </c>
      <c r="X17" s="47">
        <v>28000</v>
      </c>
      <c r="Y17" s="47">
        <v>1014.49</v>
      </c>
      <c r="Z17" s="47" t="e">
        <f t="shared" si="2"/>
        <v>#N/A</v>
      </c>
      <c r="AA17" s="47">
        <v>1</v>
      </c>
      <c r="AB17" s="47" t="e">
        <f t="shared" si="3"/>
        <v>#N/A</v>
      </c>
      <c r="AC17" s="63">
        <v>100000</v>
      </c>
      <c r="AD17" s="63">
        <v>6086.95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4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305</v>
      </c>
      <c r="J18" s="47">
        <v>13</v>
      </c>
      <c r="K18" s="56">
        <v>-18</v>
      </c>
      <c r="L18" s="116" t="s">
        <v>275</v>
      </c>
      <c r="M18" s="105" t="s">
        <v>65</v>
      </c>
      <c r="N18" s="47">
        <v>9.3000000000000007</v>
      </c>
      <c r="O18" s="63">
        <v>167</v>
      </c>
      <c r="P18" s="63">
        <v>6.65</v>
      </c>
      <c r="Q18" s="47">
        <v>0</v>
      </c>
      <c r="R18" s="47" t="e">
        <f t="shared" si="1"/>
        <v>#N/A</v>
      </c>
      <c r="S18" s="47">
        <v>1.9</v>
      </c>
      <c r="T18" s="47">
        <v>0</v>
      </c>
      <c r="U18" s="75">
        <v>1.7999999999999999E-2</v>
      </c>
      <c r="V18" s="75">
        <v>0</v>
      </c>
      <c r="W18" s="47">
        <v>0.5</v>
      </c>
      <c r="X18" s="47">
        <v>35000</v>
      </c>
      <c r="Y18" s="47">
        <v>1000</v>
      </c>
      <c r="Z18" s="47" t="e">
        <f t="shared" si="2"/>
        <v>#N/A</v>
      </c>
      <c r="AA18" s="47">
        <v>1</v>
      </c>
      <c r="AB18" s="47" t="e">
        <f t="shared" si="3"/>
        <v>#N/A</v>
      </c>
      <c r="AC18" s="63">
        <v>142000</v>
      </c>
      <c r="AD18" s="63">
        <v>5939.75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4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19" t="s">
        <v>38</v>
      </c>
      <c r="B19" s="119" t="s">
        <v>30</v>
      </c>
      <c r="C19" s="119" t="s">
        <v>59</v>
      </c>
      <c r="D19" s="43"/>
      <c r="E19" s="35"/>
      <c r="I19" s="33" t="s">
        <v>302</v>
      </c>
      <c r="J19" s="47">
        <v>14</v>
      </c>
      <c r="K19" s="56">
        <v>-26.3</v>
      </c>
      <c r="L19" s="33" t="str">
        <f>"EW_sand_Ruled"&amp;"_"&amp;AR19</f>
        <v>EW_sand_Ruled_60</v>
      </c>
      <c r="M19" s="105" t="s">
        <v>64</v>
      </c>
      <c r="N19" s="47">
        <v>9.3000000000000007</v>
      </c>
      <c r="O19" s="63">
        <v>0</v>
      </c>
      <c r="P19" s="63">
        <v>0</v>
      </c>
      <c r="Q19" s="47">
        <v>42</v>
      </c>
      <c r="R19" s="47">
        <f t="shared" si="1"/>
        <v>37</v>
      </c>
      <c r="S19" s="47">
        <v>2.4</v>
      </c>
      <c r="T19" s="47">
        <v>0</v>
      </c>
      <c r="U19" s="75">
        <v>0</v>
      </c>
      <c r="V19" s="75">
        <v>0</v>
      </c>
      <c r="W19" s="47">
        <v>0</v>
      </c>
      <c r="X19" s="47">
        <v>45700</v>
      </c>
      <c r="Y19" s="47">
        <v>407.94</v>
      </c>
      <c r="Z19" s="47">
        <f t="shared" si="2"/>
        <v>114.99999999999996</v>
      </c>
      <c r="AA19" s="47">
        <v>1</v>
      </c>
      <c r="AB19" s="47">
        <f t="shared" si="3"/>
        <v>12000</v>
      </c>
      <c r="AC19" s="63">
        <v>81800</v>
      </c>
      <c r="AD19" s="63">
        <v>1018.05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>
        <f t="shared" si="4"/>
        <v>50.000000000000007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60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302</v>
      </c>
      <c r="J20" s="47">
        <v>15</v>
      </c>
      <c r="K20" s="33">
        <v>-54</v>
      </c>
      <c r="L20" s="33" t="str">
        <f>"EW_sand_Ruled"&amp;"_"&amp;AR20</f>
        <v>EW_sand_Ruled_60</v>
      </c>
      <c r="M20" s="105" t="s">
        <v>64</v>
      </c>
      <c r="N20" s="47">
        <v>9.3000000000000007</v>
      </c>
      <c r="O20" s="63">
        <v>0</v>
      </c>
      <c r="P20" s="63">
        <v>0</v>
      </c>
      <c r="Q20" s="47">
        <v>42</v>
      </c>
      <c r="R20" s="47">
        <f t="shared" si="1"/>
        <v>37</v>
      </c>
      <c r="S20" s="47">
        <v>2.2000000000000002</v>
      </c>
      <c r="T20" s="47">
        <v>0</v>
      </c>
      <c r="U20" s="75">
        <v>0</v>
      </c>
      <c r="V20" s="75">
        <v>0</v>
      </c>
      <c r="W20" s="47">
        <v>0</v>
      </c>
      <c r="X20" s="47">
        <v>57000</v>
      </c>
      <c r="Y20" s="47">
        <v>400</v>
      </c>
      <c r="Z20" s="47">
        <f t="shared" si="2"/>
        <v>114.99999999999996</v>
      </c>
      <c r="AA20" s="47">
        <v>1</v>
      </c>
      <c r="AB20" s="47">
        <f t="shared" si="3"/>
        <v>12000</v>
      </c>
      <c r="AC20" s="63">
        <v>110000</v>
      </c>
      <c r="AD20" s="63">
        <v>1000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>
        <f t="shared" si="4"/>
        <v>50.000000000000007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60</v>
      </c>
      <c r="AS20" s="33">
        <v>0.4</v>
      </c>
    </row>
    <row r="21" spans="1:45" x14ac:dyDescent="0.25">
      <c r="A21" s="66"/>
      <c r="B21" s="66"/>
      <c r="C21" s="67"/>
      <c r="D21" s="43"/>
      <c r="I21" s="33" t="s">
        <v>302</v>
      </c>
      <c r="J21" s="47">
        <v>16</v>
      </c>
      <c r="K21" s="33">
        <v>-64</v>
      </c>
      <c r="L21" s="33" t="str">
        <f>"EW_sand_Ruled"&amp;"_"&amp;AR21</f>
        <v>EW_sand_Ruled_60</v>
      </c>
      <c r="M21" s="105" t="s">
        <v>64</v>
      </c>
      <c r="N21" s="47">
        <v>9.3000000000000007</v>
      </c>
      <c r="O21" s="63">
        <v>0</v>
      </c>
      <c r="P21" s="63">
        <v>0</v>
      </c>
      <c r="Q21" s="47">
        <v>42</v>
      </c>
      <c r="R21" s="47">
        <f t="shared" si="1"/>
        <v>37</v>
      </c>
      <c r="S21" s="47">
        <v>1.3</v>
      </c>
      <c r="T21" s="47">
        <v>0</v>
      </c>
      <c r="U21" s="75">
        <v>0</v>
      </c>
      <c r="V21" s="75">
        <v>0</v>
      </c>
      <c r="W21" s="47">
        <v>0</v>
      </c>
      <c r="X21" s="47">
        <v>61000</v>
      </c>
      <c r="Y21" s="47">
        <v>400</v>
      </c>
      <c r="Z21" s="47">
        <f t="shared" si="2"/>
        <v>114.99999999999996</v>
      </c>
      <c r="AA21" s="47">
        <v>1</v>
      </c>
      <c r="AB21" s="47">
        <f t="shared" si="3"/>
        <v>12000</v>
      </c>
      <c r="AC21" s="63">
        <v>120000</v>
      </c>
      <c r="AD21" s="63">
        <v>1000</v>
      </c>
      <c r="AE21" s="63">
        <v>0.3</v>
      </c>
      <c r="AF21" s="63">
        <v>0</v>
      </c>
      <c r="AG21" s="63">
        <v>0</v>
      </c>
      <c r="AH21" s="63">
        <v>0</v>
      </c>
      <c r="AI21" s="63">
        <v>0</v>
      </c>
      <c r="AJ21" s="47">
        <f t="shared" si="4"/>
        <v>50.000000000000007</v>
      </c>
      <c r="AK21" s="47">
        <v>1</v>
      </c>
      <c r="AL21" s="47">
        <v>1</v>
      </c>
      <c r="AM21" s="47">
        <v>1</v>
      </c>
      <c r="AN21" s="47">
        <v>1</v>
      </c>
      <c r="AO21" s="47">
        <v>1</v>
      </c>
      <c r="AP21" s="47">
        <v>1</v>
      </c>
      <c r="AQ21" s="47">
        <v>0</v>
      </c>
      <c r="AR21" s="47">
        <v>60</v>
      </c>
      <c r="AS21" s="33">
        <v>0.4</v>
      </c>
    </row>
    <row r="22" spans="1:45" x14ac:dyDescent="0.25">
      <c r="A22" s="66"/>
      <c r="B22" s="66"/>
      <c r="C22" s="67"/>
      <c r="D22" s="35"/>
      <c r="I22" s="33" t="s">
        <v>302</v>
      </c>
      <c r="J22" s="47">
        <v>17</v>
      </c>
      <c r="K22" s="33">
        <v>-74</v>
      </c>
      <c r="L22" s="33" t="str">
        <f>"EW_sand_Ruled"&amp;"_"&amp;AR22</f>
        <v>EW_sand_Ruled_60</v>
      </c>
      <c r="M22" s="105" t="s">
        <v>64</v>
      </c>
      <c r="N22" s="47">
        <v>9.3000000000000007</v>
      </c>
      <c r="O22" s="63">
        <v>0</v>
      </c>
      <c r="P22" s="63">
        <v>0</v>
      </c>
      <c r="Q22" s="47">
        <v>42</v>
      </c>
      <c r="R22" s="47">
        <f t="shared" si="1"/>
        <v>37</v>
      </c>
      <c r="S22" s="47">
        <v>1.3</v>
      </c>
      <c r="T22" s="47">
        <v>0</v>
      </c>
      <c r="U22" s="75">
        <v>0</v>
      </c>
      <c r="V22" s="75">
        <v>0</v>
      </c>
      <c r="W22" s="47">
        <v>0</v>
      </c>
      <c r="X22" s="47">
        <v>65000</v>
      </c>
      <c r="Y22" s="47">
        <v>0</v>
      </c>
      <c r="Z22" s="47">
        <f t="shared" si="2"/>
        <v>114.99999999999996</v>
      </c>
      <c r="AA22" s="47">
        <v>1</v>
      </c>
      <c r="AB22" s="47">
        <f t="shared" si="3"/>
        <v>12000</v>
      </c>
      <c r="AC22" s="63">
        <v>130000</v>
      </c>
      <c r="AD22" s="63">
        <v>0</v>
      </c>
      <c r="AE22" s="63">
        <v>0.3</v>
      </c>
      <c r="AF22" s="63">
        <v>0</v>
      </c>
      <c r="AG22" s="63">
        <v>0</v>
      </c>
      <c r="AH22" s="63">
        <v>0</v>
      </c>
      <c r="AI22" s="63">
        <v>0</v>
      </c>
      <c r="AJ22" s="47">
        <f t="shared" si="4"/>
        <v>50.000000000000007</v>
      </c>
      <c r="AK22" s="47">
        <v>1</v>
      </c>
      <c r="AL22" s="47">
        <v>1</v>
      </c>
      <c r="AM22" s="47">
        <v>1</v>
      </c>
      <c r="AN22" s="47">
        <v>1</v>
      </c>
      <c r="AO22" s="47">
        <v>1</v>
      </c>
      <c r="AP22" s="47">
        <v>1</v>
      </c>
      <c r="AQ22" s="47">
        <v>0</v>
      </c>
      <c r="AR22" s="47">
        <v>60</v>
      </c>
      <c r="AS22" s="33">
        <v>0.4</v>
      </c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  <c r="I25" s="56"/>
      <c r="J25" s="47"/>
      <c r="K25" s="19"/>
      <c r="L25" s="116"/>
      <c r="M25" s="105"/>
      <c r="N25" s="47"/>
      <c r="O25" s="63"/>
      <c r="P25" s="63"/>
      <c r="Q25" s="47"/>
      <c r="R25" s="47"/>
      <c r="S25" s="47"/>
      <c r="T25" s="47"/>
      <c r="U25" s="75"/>
      <c r="V25" s="75"/>
      <c r="W25" s="47"/>
      <c r="X25" s="47"/>
      <c r="Y25" s="47"/>
      <c r="Z25" s="47"/>
      <c r="AA25" s="47"/>
      <c r="AB25" s="47"/>
      <c r="AC25" s="63"/>
      <c r="AD25" s="63"/>
      <c r="AE25" s="63"/>
      <c r="AF25" s="63"/>
      <c r="AG25" s="63"/>
      <c r="AH25" s="63"/>
      <c r="AI25" s="63"/>
      <c r="AJ25" s="47"/>
      <c r="AK25" s="47"/>
      <c r="AL25" s="47"/>
      <c r="AM25" s="47"/>
      <c r="AN25" s="47"/>
      <c r="AO25" s="47"/>
      <c r="AP25" s="47"/>
      <c r="AQ25" s="47"/>
      <c r="AR25" s="47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I31" s="56"/>
      <c r="J31" s="47"/>
      <c r="K31" s="19"/>
      <c r="L31" s="116"/>
      <c r="M31" s="105"/>
      <c r="N31" s="47"/>
      <c r="O31" s="63"/>
      <c r="P31" s="63"/>
      <c r="Q31" s="47"/>
      <c r="R31" s="47"/>
      <c r="S31" s="47"/>
      <c r="T31" s="47"/>
      <c r="U31" s="75"/>
      <c r="V31" s="75"/>
      <c r="W31" s="47"/>
      <c r="X31" s="47"/>
      <c r="Y31" s="47"/>
      <c r="Z31" s="47"/>
      <c r="AA31" s="47"/>
      <c r="AB31" s="47"/>
      <c r="AC31" s="63"/>
      <c r="AD31" s="63"/>
      <c r="AE31" s="63"/>
      <c r="AF31" s="63"/>
      <c r="AG31" s="63"/>
      <c r="AH31" s="63"/>
      <c r="AI31" s="63"/>
      <c r="AJ31" s="47"/>
      <c r="AK31" s="47"/>
      <c r="AL31" s="47"/>
      <c r="AM31" s="47"/>
      <c r="AN31" s="47"/>
      <c r="AO31" s="47"/>
      <c r="AP31" s="47"/>
      <c r="AQ31" s="47"/>
      <c r="AR31" s="47"/>
    </row>
    <row r="32" spans="1:45" x14ac:dyDescent="0.25">
      <c r="A32" s="66"/>
      <c r="B32" s="66"/>
      <c r="C32" s="67"/>
      <c r="D32" s="35"/>
      <c r="I32" s="56"/>
      <c r="J32" s="47"/>
      <c r="K32" s="19"/>
      <c r="L32" s="116"/>
      <c r="M32" s="105"/>
      <c r="N32" s="47"/>
      <c r="O32" s="63"/>
      <c r="P32" s="63"/>
      <c r="Q32" s="47"/>
      <c r="R32" s="47"/>
      <c r="S32" s="47"/>
      <c r="T32" s="47"/>
      <c r="U32" s="75"/>
      <c r="V32" s="75"/>
      <c r="W32" s="47"/>
      <c r="X32" s="47"/>
      <c r="Y32" s="47"/>
      <c r="Z32" s="47"/>
      <c r="AA32" s="47"/>
      <c r="AB32" s="47"/>
      <c r="AC32" s="63"/>
      <c r="AD32" s="63"/>
      <c r="AE32" s="63"/>
      <c r="AF32" s="63"/>
      <c r="AG32" s="63"/>
      <c r="AH32" s="63"/>
      <c r="AI32" s="63"/>
      <c r="AJ32" s="47"/>
      <c r="AK32" s="47"/>
      <c r="AL32" s="47"/>
      <c r="AM32" s="47"/>
      <c r="AN32" s="47"/>
      <c r="AO32" s="47"/>
      <c r="AP32" s="47"/>
      <c r="AQ32" s="47"/>
      <c r="AR32" s="47"/>
    </row>
    <row r="33" spans="1:44" x14ac:dyDescent="0.25">
      <c r="A33" s="66"/>
      <c r="B33" s="66"/>
      <c r="C33" s="67"/>
      <c r="D33" s="35"/>
      <c r="I33" s="56"/>
      <c r="J33" s="47"/>
      <c r="K33" s="19"/>
      <c r="L33" s="116"/>
      <c r="M33" s="105"/>
      <c r="N33" s="47"/>
      <c r="O33" s="63"/>
      <c r="P33" s="63"/>
      <c r="Q33" s="47"/>
      <c r="R33" s="47"/>
      <c r="S33" s="47"/>
      <c r="T33" s="47"/>
      <c r="U33" s="75"/>
      <c r="V33" s="75"/>
      <c r="W33" s="47"/>
      <c r="X33" s="47"/>
      <c r="Y33" s="47"/>
      <c r="Z33" s="47"/>
      <c r="AA33" s="47"/>
      <c r="AB33" s="47"/>
      <c r="AC33" s="63"/>
      <c r="AD33" s="63"/>
      <c r="AE33" s="63"/>
      <c r="AF33" s="63"/>
      <c r="AG33" s="63"/>
      <c r="AH33" s="63"/>
      <c r="AI33" s="63"/>
      <c r="AJ33" s="47"/>
      <c r="AK33" s="47"/>
      <c r="AL33" s="47"/>
      <c r="AM33" s="47"/>
      <c r="AN33" s="47"/>
      <c r="AO33" s="47"/>
      <c r="AP33" s="47"/>
      <c r="AQ33" s="47"/>
      <c r="AR33" s="47"/>
    </row>
    <row r="34" spans="1:44" x14ac:dyDescent="0.25">
      <c r="I34" s="56"/>
      <c r="J34" s="47"/>
      <c r="K34" s="19"/>
      <c r="L34" s="116"/>
      <c r="M34" s="105"/>
      <c r="N34" s="47"/>
      <c r="O34" s="63"/>
      <c r="P34" s="63"/>
      <c r="Q34" s="47"/>
      <c r="R34" s="47"/>
      <c r="S34" s="47"/>
      <c r="T34" s="47"/>
      <c r="U34" s="75"/>
      <c r="V34" s="75"/>
      <c r="W34" s="47"/>
      <c r="X34" s="47"/>
      <c r="Y34" s="47"/>
      <c r="Z34" s="47"/>
      <c r="AA34" s="47"/>
      <c r="AB34" s="47"/>
      <c r="AC34" s="63"/>
      <c r="AD34" s="63"/>
      <c r="AE34" s="63"/>
      <c r="AF34" s="63"/>
      <c r="AG34" s="63"/>
      <c r="AH34" s="63"/>
      <c r="AI34" s="63"/>
      <c r="AJ34" s="47"/>
      <c r="AK34" s="47"/>
      <c r="AL34" s="47"/>
      <c r="AM34" s="47"/>
      <c r="AN34" s="47"/>
      <c r="AO34" s="47"/>
      <c r="AP34" s="47"/>
      <c r="AQ34" s="47"/>
      <c r="AR34" s="47"/>
    </row>
    <row r="35" spans="1:44" x14ac:dyDescent="0.25">
      <c r="I35" s="56"/>
      <c r="J35" s="47"/>
      <c r="K35" s="19"/>
      <c r="L35" s="116"/>
      <c r="M35" s="105"/>
      <c r="N35" s="47"/>
      <c r="O35" s="63"/>
      <c r="P35" s="63"/>
      <c r="Q35" s="47"/>
      <c r="R35" s="47"/>
      <c r="S35" s="47"/>
      <c r="T35" s="47"/>
      <c r="U35" s="75"/>
      <c r="V35" s="75"/>
      <c r="W35" s="47"/>
      <c r="X35" s="47"/>
      <c r="Y35" s="47"/>
      <c r="Z35" s="47"/>
      <c r="AA35" s="47"/>
      <c r="AB35" s="47"/>
      <c r="AC35" s="63"/>
      <c r="AD35" s="63"/>
      <c r="AE35" s="63"/>
      <c r="AF35" s="63"/>
      <c r="AG35" s="63"/>
      <c r="AH35" s="63"/>
      <c r="AI35" s="63"/>
      <c r="AJ35" s="47"/>
      <c r="AK35" s="47"/>
      <c r="AL35" s="47"/>
      <c r="AM35" s="47"/>
      <c r="AN35" s="47"/>
      <c r="AO35" s="47"/>
      <c r="AP35" s="47"/>
      <c r="AQ35" s="47"/>
      <c r="AR35" s="47"/>
    </row>
    <row r="36" spans="1:44" x14ac:dyDescent="0.25">
      <c r="I36" s="56"/>
      <c r="J36" s="47"/>
      <c r="K36" s="19"/>
      <c r="L36" s="116"/>
      <c r="M36" s="105"/>
      <c r="N36" s="47"/>
      <c r="O36" s="63"/>
      <c r="P36" s="63"/>
      <c r="Q36" s="47"/>
      <c r="R36" s="47"/>
      <c r="S36" s="47"/>
      <c r="T36" s="47"/>
      <c r="U36" s="75"/>
      <c r="V36" s="75"/>
      <c r="W36" s="47"/>
      <c r="X36" s="47"/>
      <c r="Y36" s="47"/>
      <c r="Z36" s="47"/>
      <c r="AA36" s="47"/>
      <c r="AB36" s="47"/>
      <c r="AC36" s="63"/>
      <c r="AD36" s="63"/>
      <c r="AE36" s="63"/>
      <c r="AF36" s="63"/>
      <c r="AG36" s="63"/>
      <c r="AH36" s="63"/>
      <c r="AI36" s="63"/>
      <c r="AJ36" s="47"/>
      <c r="AK36" s="47"/>
      <c r="AL36" s="47"/>
      <c r="AM36" s="47"/>
      <c r="AN36" s="47"/>
      <c r="AO36" s="47"/>
      <c r="AP36" s="47"/>
      <c r="AQ36" s="47"/>
      <c r="AR36" s="47"/>
    </row>
    <row r="37" spans="1:44" x14ac:dyDescent="0.25">
      <c r="I37" s="56"/>
      <c r="J37" s="47"/>
      <c r="K37" s="19"/>
      <c r="L37" s="116"/>
      <c r="M37" s="105"/>
      <c r="N37" s="47"/>
      <c r="O37" s="63"/>
      <c r="P37" s="63"/>
      <c r="Q37" s="47"/>
      <c r="R37" s="47"/>
      <c r="S37" s="47"/>
      <c r="T37" s="47"/>
      <c r="U37" s="75"/>
      <c r="V37" s="75"/>
      <c r="W37" s="47"/>
      <c r="X37" s="47"/>
      <c r="Y37" s="47"/>
      <c r="Z37" s="47"/>
      <c r="AA37" s="47"/>
      <c r="AB37" s="47"/>
      <c r="AC37" s="63"/>
      <c r="AD37" s="63"/>
      <c r="AE37" s="47"/>
      <c r="AF37" s="47" t="s">
        <v>104</v>
      </c>
      <c r="AG37" s="47" t="s">
        <v>105</v>
      </c>
      <c r="AH37" s="47" t="s">
        <v>66</v>
      </c>
      <c r="AI37" s="63"/>
      <c r="AJ37" s="47"/>
      <c r="AK37" s="47"/>
      <c r="AL37" s="47"/>
      <c r="AM37" s="47"/>
      <c r="AN37" s="47"/>
      <c r="AO37" s="47"/>
      <c r="AP37" s="47"/>
      <c r="AQ37" s="47"/>
      <c r="AR37" s="47"/>
    </row>
    <row r="38" spans="1:44" x14ac:dyDescent="0.25">
      <c r="J38" s="47"/>
      <c r="K38" s="19"/>
      <c r="L38" s="116"/>
      <c r="M38" s="105"/>
      <c r="N38" s="47"/>
      <c r="O38" s="63"/>
      <c r="P38" s="63"/>
      <c r="Q38" s="47"/>
      <c r="R38" s="47"/>
      <c r="S38" s="47"/>
      <c r="T38" s="47"/>
      <c r="U38" s="75"/>
      <c r="V38" s="75"/>
      <c r="W38" s="47"/>
      <c r="X38" s="47"/>
      <c r="Y38" s="47"/>
      <c r="Z38" s="47"/>
      <c r="AA38" s="47"/>
      <c r="AB38" s="47"/>
      <c r="AC38" s="63"/>
      <c r="AD38" s="63"/>
      <c r="AE38" s="33" t="s">
        <v>99</v>
      </c>
      <c r="AF38" s="33" t="s">
        <v>100</v>
      </c>
      <c r="AG38" s="33" t="s">
        <v>101</v>
      </c>
      <c r="AI38" s="63"/>
      <c r="AJ38" s="47"/>
      <c r="AK38" s="47"/>
      <c r="AL38" s="47"/>
      <c r="AM38" s="47"/>
      <c r="AN38" s="47"/>
      <c r="AO38" s="47"/>
      <c r="AP38" s="47"/>
      <c r="AQ38" s="47"/>
      <c r="AR38" s="47"/>
    </row>
    <row r="39" spans="1:44" x14ac:dyDescent="0.25">
      <c r="J39" s="47"/>
      <c r="L39" s="116"/>
      <c r="M39" s="105"/>
      <c r="N39" s="47"/>
      <c r="O39" s="63"/>
      <c r="P39" s="63"/>
      <c r="Q39" s="47"/>
      <c r="R39" s="47"/>
      <c r="S39" s="47"/>
      <c r="T39" s="47"/>
      <c r="U39" s="75"/>
      <c r="V39" s="75"/>
      <c r="W39" s="47"/>
      <c r="X39" s="47"/>
      <c r="Y39" s="47"/>
      <c r="Z39" s="47"/>
      <c r="AA39" s="47"/>
      <c r="AB39" s="47"/>
      <c r="AC39" s="63"/>
      <c r="AD39" s="63"/>
      <c r="AE39" s="33">
        <v>15</v>
      </c>
      <c r="AF39" s="33">
        <v>48</v>
      </c>
      <c r="AG39" s="33">
        <v>1900</v>
      </c>
      <c r="AH39" s="33">
        <v>8</v>
      </c>
      <c r="AI39" s="63"/>
      <c r="AJ39" s="47"/>
      <c r="AK39" s="47"/>
      <c r="AL39" s="47"/>
      <c r="AM39" s="47"/>
      <c r="AN39" s="47"/>
      <c r="AO39" s="47"/>
      <c r="AP39" s="47"/>
      <c r="AQ39" s="47"/>
      <c r="AR39" s="47"/>
    </row>
    <row r="40" spans="1:44" x14ac:dyDescent="0.25">
      <c r="J40" s="47"/>
      <c r="L40" s="116"/>
      <c r="M40" s="105"/>
      <c r="N40" s="47"/>
      <c r="O40" s="63"/>
      <c r="P40" s="63"/>
      <c r="Q40" s="47"/>
      <c r="R40" s="47"/>
      <c r="S40" s="47"/>
      <c r="T40" s="47"/>
      <c r="U40" s="75"/>
      <c r="V40" s="75"/>
      <c r="W40" s="47"/>
      <c r="X40" s="47"/>
      <c r="Y40" s="47"/>
      <c r="Z40" s="47"/>
      <c r="AA40" s="47"/>
      <c r="AB40" s="47"/>
      <c r="AC40" s="63"/>
      <c r="AD40" s="63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  <c r="AI40" s="63"/>
      <c r="AJ40" s="47"/>
      <c r="AK40" s="47"/>
      <c r="AL40" s="47"/>
      <c r="AM40" s="47"/>
      <c r="AN40" s="47"/>
      <c r="AO40" s="47"/>
      <c r="AP40" s="47"/>
      <c r="AQ40" s="47"/>
      <c r="AR40" s="47"/>
    </row>
    <row r="41" spans="1:44" x14ac:dyDescent="0.25">
      <c r="J41" s="47"/>
      <c r="K41" s="19"/>
      <c r="L41" s="116"/>
      <c r="M41" s="105"/>
      <c r="N41" s="47"/>
      <c r="O41" s="63"/>
      <c r="P41" s="63"/>
      <c r="Q41" s="47"/>
      <c r="R41" s="47"/>
      <c r="S41" s="47"/>
      <c r="T41" s="47"/>
      <c r="U41" s="75"/>
      <c r="V41" s="75"/>
      <c r="W41" s="47"/>
      <c r="X41" s="47"/>
      <c r="Y41" s="47"/>
      <c r="Z41" s="47"/>
      <c r="AA41" s="47"/>
      <c r="AB41" s="47"/>
      <c r="AC41" s="63"/>
      <c r="AD41" s="63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  <c r="AI41" s="63"/>
      <c r="AJ41" s="47"/>
      <c r="AK41" s="47"/>
      <c r="AL41" s="47"/>
      <c r="AM41" s="47"/>
      <c r="AN41" s="47"/>
      <c r="AO41" s="47"/>
      <c r="AP41" s="47"/>
      <c r="AQ41" s="47"/>
      <c r="AR41" s="47"/>
    </row>
    <row r="42" spans="1:44" x14ac:dyDescent="0.25">
      <c r="J42" s="47"/>
      <c r="L42" s="116"/>
      <c r="M42" s="105"/>
      <c r="N42" s="47"/>
      <c r="O42" s="63"/>
      <c r="P42" s="63"/>
      <c r="Q42" s="47"/>
      <c r="R42" s="47"/>
      <c r="S42" s="47"/>
      <c r="T42" s="47"/>
      <c r="U42" s="75"/>
      <c r="V42" s="75"/>
      <c r="W42" s="47"/>
      <c r="X42" s="47"/>
      <c r="Y42" s="47"/>
      <c r="Z42" s="47"/>
      <c r="AA42" s="47"/>
      <c r="AB42" s="47"/>
      <c r="AC42" s="63"/>
      <c r="AD42" s="63"/>
      <c r="AE42" s="33">
        <v>18</v>
      </c>
      <c r="AF42" s="33">
        <f t="shared" si="5"/>
        <v>59.399999999999991</v>
      </c>
      <c r="AG42" s="33">
        <f t="shared" si="6"/>
        <v>2500</v>
      </c>
      <c r="AH42" s="33">
        <f t="shared" si="7"/>
        <v>10.400000000000002</v>
      </c>
      <c r="AI42" s="63"/>
      <c r="AJ42" s="47"/>
      <c r="AK42" s="47"/>
      <c r="AL42" s="47"/>
      <c r="AM42" s="47"/>
      <c r="AN42" s="47"/>
      <c r="AO42" s="47"/>
      <c r="AP42" s="47"/>
      <c r="AQ42" s="47"/>
      <c r="AR42" s="47"/>
    </row>
    <row r="43" spans="1:44" x14ac:dyDescent="0.25">
      <c r="J43" s="47"/>
      <c r="K43" s="19"/>
      <c r="L43" s="116"/>
      <c r="M43" s="105"/>
      <c r="N43" s="47"/>
      <c r="O43" s="63"/>
      <c r="P43" s="63"/>
      <c r="Q43" s="47"/>
      <c r="R43" s="47"/>
      <c r="S43" s="47"/>
      <c r="T43" s="47"/>
      <c r="U43" s="75"/>
      <c r="V43" s="75"/>
      <c r="W43" s="47"/>
      <c r="X43" s="47"/>
      <c r="Y43" s="47"/>
      <c r="Z43" s="47"/>
      <c r="AA43" s="47"/>
      <c r="AB43" s="47"/>
      <c r="AC43" s="63"/>
      <c r="AD43" s="63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  <c r="AI43" s="63"/>
      <c r="AJ43" s="47"/>
      <c r="AK43" s="47"/>
      <c r="AL43" s="47"/>
      <c r="AM43" s="47"/>
      <c r="AN43" s="47"/>
      <c r="AO43" s="47"/>
      <c r="AP43" s="47"/>
      <c r="AQ43" s="47"/>
      <c r="AR43" s="47"/>
    </row>
    <row r="44" spans="1:44" x14ac:dyDescent="0.25">
      <c r="J44" s="47"/>
      <c r="L44" s="116"/>
      <c r="M44" s="105"/>
      <c r="N44" s="47"/>
      <c r="O44" s="63"/>
      <c r="P44" s="63"/>
      <c r="Q44" s="47"/>
      <c r="R44" s="47"/>
      <c r="S44" s="47"/>
      <c r="T44" s="47"/>
      <c r="U44" s="75"/>
      <c r="V44" s="75"/>
      <c r="W44" s="47"/>
      <c r="X44" s="47"/>
      <c r="Y44" s="47"/>
      <c r="Z44" s="47"/>
      <c r="AA44" s="47"/>
      <c r="AB44" s="47"/>
      <c r="AC44" s="63"/>
      <c r="AD44" s="63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  <c r="AI44" s="63"/>
      <c r="AJ44" s="47"/>
      <c r="AK44" s="47"/>
      <c r="AL44" s="47"/>
      <c r="AM44" s="47"/>
      <c r="AN44" s="47"/>
      <c r="AO44" s="47"/>
      <c r="AP44" s="47"/>
      <c r="AQ44" s="47"/>
      <c r="AR44" s="47"/>
    </row>
    <row r="45" spans="1:44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4" x14ac:dyDescent="0.25">
      <c r="L46" s="49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4" x14ac:dyDescent="0.25">
      <c r="L47" s="49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4" x14ac:dyDescent="0.25">
      <c r="L48" s="49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9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9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9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9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9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9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9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J25 AB25 N25 Q25:T25 W25:Z25 AM25:AR25 AM29:AP30 Q29:Q30 N29:N30">
    <cfRule type="expression" dxfId="3498" priority="13">
      <formula>$L25="API sand"</formula>
    </cfRule>
  </conditionalFormatting>
  <conditionalFormatting sqref="AK25:AL25 N25 R29:S30 AB29:AB30 AJ29:AL30 Z29:Z30 N29:N30">
    <cfRule type="expression" dxfId="3497" priority="12">
      <formula>$M25="API sand"</formula>
    </cfRule>
  </conditionalFormatting>
  <conditionalFormatting sqref="AK25:AL25 N25 R29:T30 Z29:AB30 AK29:AL30 N29:N30">
    <cfRule type="expression" dxfId="3496" priority="11">
      <formula>$M25="API clay"</formula>
    </cfRule>
  </conditionalFormatting>
  <conditionalFormatting sqref="N25:P25 AA25 AC25:AI25 AM25:AP25 U25:V25 U29:W30 AM29:AP30 N29:P30">
    <cfRule type="expression" dxfId="3495" priority="8">
      <formula>$L25="Stiff clay w/o free water"</formula>
    </cfRule>
    <cfRule type="expression" dxfId="3494" priority="10">
      <formula>$L25="API clay"</formula>
    </cfRule>
  </conditionalFormatting>
  <conditionalFormatting sqref="N25:P25 AA25 AC25:AI25 AM25:AP25 U25:V25 U29:Y30 AM29:AP30 N29:P30">
    <cfRule type="expression" dxfId="3493" priority="9">
      <formula>$L25="Kirsch soft clay"</formula>
    </cfRule>
  </conditionalFormatting>
  <conditionalFormatting sqref="N25:P25 AA25 AC25:AI25 AM25:AP25 U25:V25 U29:Y30 AM29:AP30 N29:P30">
    <cfRule type="expression" dxfId="3492" priority="7">
      <formula>$L25="Kirsch stiff clay"</formula>
    </cfRule>
  </conditionalFormatting>
  <conditionalFormatting sqref="AJ25 AB25 N25 Q25:T25 W25:Z25 AM25:AR25 AM29:AP30 Q29:Q30 X29:Y30 N29:N30">
    <cfRule type="expression" dxfId="3491" priority="6">
      <formula>$L25="Kirsch sand"</formula>
    </cfRule>
  </conditionalFormatting>
  <conditionalFormatting sqref="AM25:AP25 N25 AC29:AD30 AI29:AI30 AM29:AP30 N29:N30">
    <cfRule type="expression" dxfId="3490" priority="5">
      <formula>$L25="Modified Weak rock"</formula>
    </cfRule>
  </conditionalFormatting>
  <conditionalFormatting sqref="N25:P25 AA25 AC25:AI25 AM25:AP25 U25:V25 AM29:AP30 U29:V30 N29:P30">
    <cfRule type="expression" dxfId="3489" priority="4">
      <formula>$L25="Reese stiff clay"</formula>
    </cfRule>
  </conditionalFormatting>
  <conditionalFormatting sqref="N25:P25 AA25 AC25:AI25 AM25:AP25 U25:V25">
    <cfRule type="expression" dxfId="3488" priority="3">
      <formula>$L25="PISA clay"</formula>
    </cfRule>
  </conditionalFormatting>
  <conditionalFormatting sqref="N25 AM25:AP25">
    <cfRule type="expression" dxfId="3487" priority="2">
      <formula>$L25="PISA sand"</formula>
    </cfRule>
  </conditionalFormatting>
  <conditionalFormatting sqref="AE37:AH37">
    <cfRule type="expression" dxfId="3486" priority="1">
      <formula>$L19="Modified Weak rock"</formula>
    </cfRule>
  </conditionalFormatting>
  <dataValidations count="4">
    <dataValidation type="list" showInputMessage="1" showErrorMessage="1" sqref="M6:M22 M25 M31:M44" xr:uid="{85A6B461-A92A-4C1C-B2AB-5002CD641405}">
      <formula1>"Zero soil,API sand,API clay"</formula1>
    </dataValidation>
    <dataValidation type="list" showInputMessage="1" showErrorMessage="1" sqref="L29:L255 L25" xr:uid="{3A95A4EB-9A0F-4DE6-AA4B-654E2E5C4A43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29:M44 M25" xr:uid="{71C78628-9F5D-4ABA-B730-25829799D855}">
      <formula1>"',API sand,API clay"</formula1>
    </dataValidation>
    <dataValidation showInputMessage="1" showErrorMessage="1" sqref="L15:L18" xr:uid="{C9D30E47-FEA3-4E79-81C5-70351D3D109C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94077-68AC-48D9-AC7F-CE9D69AA61F2}">
  <sheetPr>
    <tabColor rgb="FFFF0000"/>
  </sheetPr>
  <dimension ref="A1:AS255"/>
  <sheetViews>
    <sheetView zoomScale="55" zoomScaleNormal="55" workbookViewId="0">
      <selection activeCell="I41" sqref="I4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Ak_kirsch_BH-55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8"/>
      <c r="R3" s="155"/>
      <c r="S3" s="155"/>
      <c r="T3" s="118"/>
      <c r="U3" s="155"/>
      <c r="V3" s="155"/>
      <c r="W3" s="118"/>
      <c r="X3" s="69"/>
      <c r="Y3" s="118"/>
      <c r="Z3" s="118"/>
      <c r="AA3" s="118"/>
      <c r="AB3" s="118"/>
      <c r="AC3" s="69"/>
      <c r="AD3" s="39"/>
      <c r="AE3" s="39"/>
      <c r="AF3" s="39"/>
      <c r="AG3" s="39"/>
      <c r="AH3" s="39"/>
      <c r="AI3" s="39"/>
      <c r="AJ3" s="118"/>
      <c r="AK3" s="118"/>
      <c r="AL3" s="118"/>
      <c r="AM3" s="118"/>
      <c r="AN3" s="118"/>
      <c r="AO3" s="118"/>
      <c r="AP3" s="118"/>
    </row>
    <row r="4" spans="1:45" x14ac:dyDescent="0.25">
      <c r="A4" s="40" t="s">
        <v>60</v>
      </c>
      <c r="B4" s="33">
        <f>COUNTIF(J:J,"&gt;0")</f>
        <v>17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9" t="s">
        <v>38</v>
      </c>
      <c r="K5" s="119" t="s">
        <v>30</v>
      </c>
      <c r="L5" s="119" t="s">
        <v>31</v>
      </c>
      <c r="M5" s="119" t="s">
        <v>31</v>
      </c>
      <c r="N5" s="119" t="s">
        <v>32</v>
      </c>
      <c r="O5" s="119" t="s">
        <v>33</v>
      </c>
      <c r="P5" s="119" t="s">
        <v>35</v>
      </c>
      <c r="Q5" s="119" t="s">
        <v>36</v>
      </c>
      <c r="R5" s="119" t="s">
        <v>36</v>
      </c>
      <c r="S5" s="119" t="s">
        <v>34</v>
      </c>
      <c r="T5" s="119" t="s">
        <v>33</v>
      </c>
      <c r="U5" s="119" t="s">
        <v>34</v>
      </c>
      <c r="V5" s="119" t="s">
        <v>62</v>
      </c>
      <c r="W5" s="119" t="s">
        <v>34</v>
      </c>
      <c r="X5" s="119" t="s">
        <v>33</v>
      </c>
      <c r="Y5" s="119" t="s">
        <v>35</v>
      </c>
      <c r="Z5" s="119" t="s">
        <v>33</v>
      </c>
      <c r="AA5" s="119" t="s">
        <v>34</v>
      </c>
      <c r="AB5" s="119" t="s">
        <v>33</v>
      </c>
      <c r="AC5" s="119" t="s">
        <v>33</v>
      </c>
      <c r="AD5" s="119" t="s">
        <v>35</v>
      </c>
      <c r="AE5" s="119" t="s">
        <v>34</v>
      </c>
      <c r="AF5" s="119" t="s">
        <v>33</v>
      </c>
      <c r="AG5" s="119" t="s">
        <v>35</v>
      </c>
      <c r="AH5" s="119" t="s">
        <v>34</v>
      </c>
      <c r="AI5" s="119" t="s">
        <v>34</v>
      </c>
      <c r="AJ5" s="119" t="s">
        <v>34</v>
      </c>
      <c r="AK5" s="119" t="s">
        <v>34</v>
      </c>
      <c r="AL5" s="119" t="s">
        <v>34</v>
      </c>
      <c r="AM5" s="119" t="s">
        <v>34</v>
      </c>
      <c r="AN5" s="119" t="s">
        <v>34</v>
      </c>
      <c r="AO5" s="119" t="s">
        <v>34</v>
      </c>
      <c r="AP5" s="119" t="s">
        <v>34</v>
      </c>
      <c r="AQ5" s="119" t="s">
        <v>103</v>
      </c>
      <c r="AR5" s="119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45</v>
      </c>
      <c r="R6" s="47">
        <f t="shared" ref="R6:R10" si="0">IF(Q6&lt;&gt;0,Q6-5,NA())</f>
        <v>40</v>
      </c>
      <c r="S6" s="47">
        <v>0.4</v>
      </c>
      <c r="T6" s="47">
        <v>0</v>
      </c>
      <c r="U6" s="75">
        <v>0</v>
      </c>
      <c r="V6" s="75">
        <v>0</v>
      </c>
      <c r="W6" s="47">
        <v>0</v>
      </c>
      <c r="X6" s="47">
        <v>100</v>
      </c>
      <c r="Y6" s="47">
        <v>150000</v>
      </c>
      <c r="Z6" s="47">
        <f>VLOOKUP(R6,$AE$39:$AF$59,2)</f>
        <v>114.99999999999996</v>
      </c>
      <c r="AA6" s="47">
        <v>1</v>
      </c>
      <c r="AB6" s="47">
        <f>VLOOKUP(R6,$AE$39:$AG$59,3)</f>
        <v>12000</v>
      </c>
      <c r="AC6" s="63">
        <v>8000</v>
      </c>
      <c r="AD6" s="63">
        <v>20000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>VLOOKUP(R6,$AE$39:$AH$59,4)</f>
        <v>50.000000000000007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100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-0.1</v>
      </c>
      <c r="L7" s="116" t="s">
        <v>106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45</v>
      </c>
      <c r="R7" s="47">
        <f t="shared" si="0"/>
        <v>40</v>
      </c>
      <c r="S7" s="47">
        <v>0.4</v>
      </c>
      <c r="T7" s="47">
        <v>0</v>
      </c>
      <c r="U7" s="75">
        <v>0</v>
      </c>
      <c r="V7" s="75">
        <v>0</v>
      </c>
      <c r="W7" s="47">
        <v>0</v>
      </c>
      <c r="X7" s="47">
        <v>15000</v>
      </c>
      <c r="Y7" s="47">
        <v>55000</v>
      </c>
      <c r="Z7" s="47">
        <f t="shared" ref="Z7:Z22" si="1">VLOOKUP(R7,$AE$39:$AF$59,2)</f>
        <v>114.99999999999996</v>
      </c>
      <c r="AA7" s="47">
        <v>1</v>
      </c>
      <c r="AB7" s="47">
        <f t="shared" ref="AB7:AB22" si="2">VLOOKUP(R7,$AE$39:$AG$59,3)</f>
        <v>12000</v>
      </c>
      <c r="AC7" s="63">
        <v>10000</v>
      </c>
      <c r="AD7" s="63">
        <v>25000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ref="AJ7:AJ22" si="3">VLOOKUP(R7,$AE$39:$AH$59,4)</f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">
        <v>279</v>
      </c>
      <c r="J8" s="47">
        <v>3</v>
      </c>
      <c r="K8" s="33">
        <v>-0.5</v>
      </c>
      <c r="L8" s="116" t="s">
        <v>106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45</v>
      </c>
      <c r="R8" s="47">
        <f t="shared" si="0"/>
        <v>40</v>
      </c>
      <c r="S8" s="47">
        <v>0.4</v>
      </c>
      <c r="T8" s="47">
        <v>0</v>
      </c>
      <c r="U8" s="75">
        <v>0</v>
      </c>
      <c r="V8" s="75">
        <v>0</v>
      </c>
      <c r="W8" s="47">
        <v>0</v>
      </c>
      <c r="X8" s="47">
        <v>37000</v>
      </c>
      <c r="Y8" s="47">
        <v>56000</v>
      </c>
      <c r="Z8" s="47">
        <f t="shared" si="1"/>
        <v>114.99999999999996</v>
      </c>
      <c r="AA8" s="47">
        <v>1</v>
      </c>
      <c r="AB8" s="47">
        <f t="shared" si="2"/>
        <v>12000</v>
      </c>
      <c r="AC8" s="63">
        <v>20000</v>
      </c>
      <c r="AD8" s="63">
        <v>22000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100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279</v>
      </c>
      <c r="J9" s="47">
        <v>4</v>
      </c>
      <c r="K9" s="33">
        <v>-1</v>
      </c>
      <c r="L9" s="116" t="s">
        <v>106</v>
      </c>
      <c r="M9" s="105" t="s">
        <v>64</v>
      </c>
      <c r="N9" s="47">
        <v>9.6999999999999993</v>
      </c>
      <c r="O9" s="63">
        <v>0</v>
      </c>
      <c r="P9" s="63">
        <v>0</v>
      </c>
      <c r="Q9" s="47">
        <v>45</v>
      </c>
      <c r="R9" s="47">
        <f t="shared" si="0"/>
        <v>40</v>
      </c>
      <c r="S9" s="47">
        <v>0.4</v>
      </c>
      <c r="T9" s="47">
        <v>0</v>
      </c>
      <c r="U9" s="75">
        <v>0</v>
      </c>
      <c r="V9" s="75">
        <v>0</v>
      </c>
      <c r="W9" s="47">
        <v>0</v>
      </c>
      <c r="X9" s="47">
        <v>65000</v>
      </c>
      <c r="Y9" s="47">
        <v>0</v>
      </c>
      <c r="Z9" s="47">
        <f t="shared" si="1"/>
        <v>114.99999999999996</v>
      </c>
      <c r="AA9" s="47">
        <v>1</v>
      </c>
      <c r="AB9" s="47">
        <f t="shared" si="2"/>
        <v>12000</v>
      </c>
      <c r="AC9" s="63">
        <v>31000</v>
      </c>
      <c r="AD9" s="63">
        <v>11000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3"/>
        <v>50.000000000000007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100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279</v>
      </c>
      <c r="J10" s="47">
        <v>5</v>
      </c>
      <c r="K10" s="56">
        <v>-2</v>
      </c>
      <c r="L10" s="116" t="s">
        <v>106</v>
      </c>
      <c r="M10" s="105" t="s">
        <v>64</v>
      </c>
      <c r="N10" s="47">
        <v>9.6999999999999993</v>
      </c>
      <c r="O10" s="63">
        <v>0</v>
      </c>
      <c r="P10" s="63">
        <v>0</v>
      </c>
      <c r="Q10" s="47">
        <v>45</v>
      </c>
      <c r="R10" s="47">
        <f t="shared" si="0"/>
        <v>40</v>
      </c>
      <c r="S10" s="47">
        <v>0.4</v>
      </c>
      <c r="T10" s="47">
        <v>0</v>
      </c>
      <c r="U10" s="75">
        <v>0</v>
      </c>
      <c r="V10" s="75">
        <v>0</v>
      </c>
      <c r="W10" s="47">
        <v>0</v>
      </c>
      <c r="X10" s="47">
        <v>65000</v>
      </c>
      <c r="Y10" s="47">
        <v>0</v>
      </c>
      <c r="Z10" s="47">
        <f t="shared" si="1"/>
        <v>114.99999999999996</v>
      </c>
      <c r="AA10" s="47">
        <v>1</v>
      </c>
      <c r="AB10" s="47">
        <f t="shared" si="2"/>
        <v>12000</v>
      </c>
      <c r="AC10" s="63">
        <v>42000</v>
      </c>
      <c r="AD10" s="63">
        <v>6000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3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100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279</v>
      </c>
      <c r="J11" s="47">
        <v>6</v>
      </c>
      <c r="K11" s="33">
        <v>-3</v>
      </c>
      <c r="L11" s="116" t="s">
        <v>106</v>
      </c>
      <c r="M11" s="105" t="s">
        <v>64</v>
      </c>
      <c r="N11" s="47">
        <v>9.6999999999999993</v>
      </c>
      <c r="O11" s="63">
        <v>0</v>
      </c>
      <c r="P11" s="63">
        <v>0</v>
      </c>
      <c r="Q11" s="47">
        <v>45</v>
      </c>
      <c r="R11" s="47">
        <f t="shared" ref="R11" si="4">IF(Q11&lt;&gt;0,Q11-5,NA())</f>
        <v>40</v>
      </c>
      <c r="S11" s="47">
        <v>0.4</v>
      </c>
      <c r="T11" s="47">
        <v>0</v>
      </c>
      <c r="U11" s="75">
        <v>0</v>
      </c>
      <c r="V11" s="75">
        <v>0</v>
      </c>
      <c r="W11" s="47">
        <v>0</v>
      </c>
      <c r="X11" s="47">
        <v>65000</v>
      </c>
      <c r="Y11" s="47">
        <v>-10000</v>
      </c>
      <c r="Z11" s="47">
        <f t="shared" si="1"/>
        <v>114.99999999999996</v>
      </c>
      <c r="AA11" s="47">
        <v>1</v>
      </c>
      <c r="AB11" s="47">
        <f t="shared" si="2"/>
        <v>12000</v>
      </c>
      <c r="AC11" s="63">
        <v>48000</v>
      </c>
      <c r="AD11" s="63">
        <v>5000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50.000000000000007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100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295</v>
      </c>
      <c r="J12" s="47">
        <v>7</v>
      </c>
      <c r="K12" s="33">
        <v>-3.9</v>
      </c>
      <c r="L12" s="116" t="s">
        <v>106</v>
      </c>
      <c r="M12" s="105" t="s">
        <v>64</v>
      </c>
      <c r="N12" s="47">
        <v>9.4</v>
      </c>
      <c r="O12" s="63">
        <v>0</v>
      </c>
      <c r="P12" s="63">
        <v>0</v>
      </c>
      <c r="Q12" s="47">
        <v>43</v>
      </c>
      <c r="R12" s="47">
        <f t="shared" ref="R12:R13" si="5">IF(Q12&lt;&gt;0,Q12-5,NA())</f>
        <v>38</v>
      </c>
      <c r="S12" s="47">
        <v>2.5</v>
      </c>
      <c r="T12" s="47">
        <v>0</v>
      </c>
      <c r="U12" s="75">
        <v>0</v>
      </c>
      <c r="V12" s="75">
        <v>0</v>
      </c>
      <c r="W12" s="47">
        <v>0</v>
      </c>
      <c r="X12" s="47">
        <v>45000</v>
      </c>
      <c r="Y12" s="47">
        <v>0</v>
      </c>
      <c r="Z12" s="47">
        <f t="shared" si="1"/>
        <v>114.99999999999996</v>
      </c>
      <c r="AA12" s="47">
        <v>1</v>
      </c>
      <c r="AB12" s="47">
        <f t="shared" si="2"/>
        <v>12000</v>
      </c>
      <c r="AC12" s="63">
        <v>43200</v>
      </c>
      <c r="AD12" s="63">
        <v>4363.63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3"/>
        <v>50.000000000000007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80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295</v>
      </c>
      <c r="J13" s="47">
        <v>8</v>
      </c>
      <c r="K13" s="33">
        <v>-5</v>
      </c>
      <c r="L13" s="116" t="s">
        <v>106</v>
      </c>
      <c r="M13" s="105" t="s">
        <v>64</v>
      </c>
      <c r="N13" s="47">
        <v>9.4</v>
      </c>
      <c r="O13" s="63">
        <v>0</v>
      </c>
      <c r="P13" s="63">
        <v>0</v>
      </c>
      <c r="Q13" s="47">
        <v>43</v>
      </c>
      <c r="R13" s="47">
        <f t="shared" si="5"/>
        <v>38</v>
      </c>
      <c r="S13" s="47">
        <v>2.2000000000000002</v>
      </c>
      <c r="T13" s="47">
        <v>0</v>
      </c>
      <c r="U13" s="75">
        <v>0</v>
      </c>
      <c r="V13" s="75">
        <v>0</v>
      </c>
      <c r="W13" s="47">
        <v>0</v>
      </c>
      <c r="X13" s="47">
        <v>45000</v>
      </c>
      <c r="Y13" s="47">
        <v>0</v>
      </c>
      <c r="Z13" s="47">
        <f t="shared" si="1"/>
        <v>114.99999999999996</v>
      </c>
      <c r="AA13" s="47">
        <v>1</v>
      </c>
      <c r="AB13" s="47">
        <f t="shared" si="2"/>
        <v>12000</v>
      </c>
      <c r="AC13" s="63">
        <v>52000</v>
      </c>
      <c r="AD13" s="63">
        <v>8000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50.000000000000007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80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264</v>
      </c>
      <c r="J14" s="47">
        <v>9</v>
      </c>
      <c r="K14" s="33">
        <v>-6</v>
      </c>
      <c r="L14" s="116" t="s">
        <v>106</v>
      </c>
      <c r="M14" s="105" t="s">
        <v>64</v>
      </c>
      <c r="N14" s="47">
        <v>8.5</v>
      </c>
      <c r="O14" s="63">
        <v>0</v>
      </c>
      <c r="P14" s="63">
        <v>0</v>
      </c>
      <c r="Q14" s="47">
        <v>37</v>
      </c>
      <c r="R14" s="47">
        <f t="shared" ref="R14" si="6">IF(Q14&lt;&gt;0,Q14-5,NA())</f>
        <v>32</v>
      </c>
      <c r="S14" s="47">
        <v>2.5</v>
      </c>
      <c r="T14" s="47">
        <v>0</v>
      </c>
      <c r="U14" s="75">
        <v>0</v>
      </c>
      <c r="V14" s="75">
        <v>0</v>
      </c>
      <c r="W14" s="47">
        <v>0</v>
      </c>
      <c r="X14" s="47">
        <v>8000</v>
      </c>
      <c r="Y14" s="47">
        <v>0</v>
      </c>
      <c r="Z14" s="47">
        <f t="shared" si="1"/>
        <v>103.59999999999997</v>
      </c>
      <c r="AA14" s="47">
        <v>1</v>
      </c>
      <c r="AB14" s="47">
        <f t="shared" si="2"/>
        <v>10560</v>
      </c>
      <c r="AC14" s="63">
        <v>48000</v>
      </c>
      <c r="AD14" s="63">
        <v>1052.6300000000001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44.000000000000007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30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266</v>
      </c>
      <c r="J15" s="47">
        <v>10</v>
      </c>
      <c r="K15" s="33">
        <v>-7.9</v>
      </c>
      <c r="L15" s="116" t="s">
        <v>107</v>
      </c>
      <c r="M15" s="105" t="s">
        <v>65</v>
      </c>
      <c r="N15" s="47">
        <v>8.5</v>
      </c>
      <c r="O15" s="63">
        <v>122.8</v>
      </c>
      <c r="P15" s="63">
        <v>6.54</v>
      </c>
      <c r="Q15" s="47">
        <v>0</v>
      </c>
      <c r="R15" s="47" t="e">
        <f t="shared" ref="R15:R16" si="7">IF(Q15&lt;&gt;0,Q15-5,NA())</f>
        <v>#N/A</v>
      </c>
      <c r="S15" s="47">
        <v>2.1</v>
      </c>
      <c r="T15" s="47">
        <v>0</v>
      </c>
      <c r="U15" s="75">
        <v>1.7999999999999999E-2</v>
      </c>
      <c r="V15" s="75">
        <v>0</v>
      </c>
      <c r="W15" s="47">
        <v>0.5</v>
      </c>
      <c r="X15" s="47">
        <v>9000</v>
      </c>
      <c r="Y15" s="47">
        <v>909.09</v>
      </c>
      <c r="Z15" s="47" t="e">
        <f t="shared" si="1"/>
        <v>#N/A</v>
      </c>
      <c r="AA15" s="47">
        <v>1</v>
      </c>
      <c r="AB15" s="47" t="e">
        <f t="shared" si="2"/>
        <v>#N/A</v>
      </c>
      <c r="AC15" s="63">
        <v>47500</v>
      </c>
      <c r="AD15" s="63">
        <v>2272.7199999999998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3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266</v>
      </c>
      <c r="J16" s="47">
        <v>11</v>
      </c>
      <c r="K16" s="33">
        <v>-9</v>
      </c>
      <c r="L16" s="116" t="s">
        <v>107</v>
      </c>
      <c r="M16" s="105" t="s">
        <v>65</v>
      </c>
      <c r="N16" s="47">
        <v>8.5</v>
      </c>
      <c r="O16" s="63">
        <v>130</v>
      </c>
      <c r="P16" s="63">
        <v>6.47</v>
      </c>
      <c r="Q16" s="47">
        <v>0</v>
      </c>
      <c r="R16" s="47" t="e">
        <f t="shared" si="7"/>
        <v>#N/A</v>
      </c>
      <c r="S16" s="47">
        <v>2.1</v>
      </c>
      <c r="T16" s="47">
        <v>0</v>
      </c>
      <c r="U16" s="75">
        <v>1.7999999999999999E-2</v>
      </c>
      <c r="V16" s="75">
        <v>0</v>
      </c>
      <c r="W16" s="47">
        <v>0.5</v>
      </c>
      <c r="X16" s="47">
        <v>10000</v>
      </c>
      <c r="Y16" s="47">
        <v>476.19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50000</v>
      </c>
      <c r="AD16" s="63">
        <v>2238.09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9"/>
      <c r="E17" s="119"/>
      <c r="I17" s="33" t="s">
        <v>305</v>
      </c>
      <c r="J17" s="47">
        <v>12</v>
      </c>
      <c r="K17" s="56">
        <v>-11.1</v>
      </c>
      <c r="L17" s="116" t="s">
        <v>107</v>
      </c>
      <c r="M17" s="105" t="s">
        <v>65</v>
      </c>
      <c r="N17" s="47">
        <v>9.3000000000000007</v>
      </c>
      <c r="O17" s="63">
        <v>120</v>
      </c>
      <c r="P17" s="63">
        <v>6.81</v>
      </c>
      <c r="Q17" s="47">
        <v>0</v>
      </c>
      <c r="R17" s="47" t="e">
        <f t="shared" ref="R17:R22" si="8">IF(Q17&lt;&gt;0,Q17-5,NA())</f>
        <v>#N/A</v>
      </c>
      <c r="S17" s="47">
        <v>2.1</v>
      </c>
      <c r="T17" s="47">
        <v>0</v>
      </c>
      <c r="U17" s="75">
        <v>1.7999999999999999E-2</v>
      </c>
      <c r="V17" s="75">
        <v>0</v>
      </c>
      <c r="W17" s="47">
        <v>0.5</v>
      </c>
      <c r="X17" s="47">
        <v>28000</v>
      </c>
      <c r="Y17" s="47">
        <v>1014.49</v>
      </c>
      <c r="Z17" s="47" t="e">
        <f t="shared" si="1"/>
        <v>#N/A</v>
      </c>
      <c r="AA17" s="47">
        <v>1</v>
      </c>
      <c r="AB17" s="47" t="e">
        <f t="shared" si="2"/>
        <v>#N/A</v>
      </c>
      <c r="AC17" s="63">
        <v>100000</v>
      </c>
      <c r="AD17" s="63">
        <v>6086.95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3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305</v>
      </c>
      <c r="J18" s="47">
        <v>13</v>
      </c>
      <c r="K18" s="56">
        <v>-18</v>
      </c>
      <c r="L18" s="116" t="s">
        <v>107</v>
      </c>
      <c r="M18" s="105" t="s">
        <v>65</v>
      </c>
      <c r="N18" s="47">
        <v>9.3000000000000007</v>
      </c>
      <c r="O18" s="63">
        <v>167</v>
      </c>
      <c r="P18" s="63">
        <v>6.65</v>
      </c>
      <c r="Q18" s="47">
        <v>0</v>
      </c>
      <c r="R18" s="47" t="e">
        <f t="shared" si="8"/>
        <v>#N/A</v>
      </c>
      <c r="S18" s="47">
        <v>1.9</v>
      </c>
      <c r="T18" s="47">
        <v>0</v>
      </c>
      <c r="U18" s="75">
        <v>1.7999999999999999E-2</v>
      </c>
      <c r="V18" s="75">
        <v>0</v>
      </c>
      <c r="W18" s="47">
        <v>0.5</v>
      </c>
      <c r="X18" s="47">
        <v>35000</v>
      </c>
      <c r="Y18" s="47">
        <v>1000</v>
      </c>
      <c r="Z18" s="47" t="e">
        <f t="shared" si="1"/>
        <v>#N/A</v>
      </c>
      <c r="AA18" s="47">
        <v>1</v>
      </c>
      <c r="AB18" s="47" t="e">
        <f t="shared" si="2"/>
        <v>#N/A</v>
      </c>
      <c r="AC18" s="63">
        <v>142000</v>
      </c>
      <c r="AD18" s="63">
        <v>5939.75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3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19" t="s">
        <v>38</v>
      </c>
      <c r="B19" s="119" t="s">
        <v>30</v>
      </c>
      <c r="C19" s="119" t="s">
        <v>59</v>
      </c>
      <c r="D19" s="43"/>
      <c r="E19" s="35"/>
      <c r="I19" s="33" t="s">
        <v>302</v>
      </c>
      <c r="J19" s="47">
        <v>14</v>
      </c>
      <c r="K19" s="56">
        <v>-26.3</v>
      </c>
      <c r="L19" s="116" t="s">
        <v>106</v>
      </c>
      <c r="M19" s="105" t="s">
        <v>64</v>
      </c>
      <c r="N19" s="47">
        <v>9.3000000000000007</v>
      </c>
      <c r="O19" s="63">
        <v>0</v>
      </c>
      <c r="P19" s="63">
        <v>0</v>
      </c>
      <c r="Q19" s="47">
        <v>42</v>
      </c>
      <c r="R19" s="47">
        <f t="shared" si="8"/>
        <v>37</v>
      </c>
      <c r="S19" s="47">
        <v>2.4</v>
      </c>
      <c r="T19" s="47">
        <v>0</v>
      </c>
      <c r="U19" s="75">
        <v>0</v>
      </c>
      <c r="V19" s="75">
        <v>0</v>
      </c>
      <c r="W19" s="47">
        <v>0</v>
      </c>
      <c r="X19" s="47">
        <v>45700</v>
      </c>
      <c r="Y19" s="47">
        <v>407.94</v>
      </c>
      <c r="Z19" s="47">
        <f t="shared" si="1"/>
        <v>114.99999999999996</v>
      </c>
      <c r="AA19" s="47">
        <v>1</v>
      </c>
      <c r="AB19" s="47">
        <f t="shared" si="2"/>
        <v>12000</v>
      </c>
      <c r="AC19" s="63">
        <v>81800</v>
      </c>
      <c r="AD19" s="63">
        <v>1018.05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>
        <f t="shared" si="3"/>
        <v>50.000000000000007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60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302</v>
      </c>
      <c r="J20" s="47">
        <v>15</v>
      </c>
      <c r="K20" s="33">
        <v>-54</v>
      </c>
      <c r="L20" s="116" t="s">
        <v>106</v>
      </c>
      <c r="M20" s="105" t="s">
        <v>64</v>
      </c>
      <c r="N20" s="47">
        <v>9.3000000000000007</v>
      </c>
      <c r="O20" s="63">
        <v>0</v>
      </c>
      <c r="P20" s="63">
        <v>0</v>
      </c>
      <c r="Q20" s="47">
        <v>42</v>
      </c>
      <c r="R20" s="47">
        <f t="shared" si="8"/>
        <v>37</v>
      </c>
      <c r="S20" s="47">
        <v>2.2000000000000002</v>
      </c>
      <c r="T20" s="47">
        <v>0</v>
      </c>
      <c r="U20" s="75">
        <v>0</v>
      </c>
      <c r="V20" s="75">
        <v>0</v>
      </c>
      <c r="W20" s="47">
        <v>0</v>
      </c>
      <c r="X20" s="47">
        <v>57000</v>
      </c>
      <c r="Y20" s="47">
        <v>400</v>
      </c>
      <c r="Z20" s="47">
        <f t="shared" si="1"/>
        <v>114.99999999999996</v>
      </c>
      <c r="AA20" s="47">
        <v>1</v>
      </c>
      <c r="AB20" s="47">
        <f t="shared" si="2"/>
        <v>12000</v>
      </c>
      <c r="AC20" s="63">
        <v>110000</v>
      </c>
      <c r="AD20" s="63">
        <v>1000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>
        <f t="shared" si="3"/>
        <v>50.000000000000007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60</v>
      </c>
      <c r="AS20" s="33">
        <v>0.4</v>
      </c>
    </row>
    <row r="21" spans="1:45" x14ac:dyDescent="0.25">
      <c r="A21" s="66"/>
      <c r="B21" s="66"/>
      <c r="C21" s="67"/>
      <c r="D21" s="43"/>
      <c r="I21" s="33" t="s">
        <v>302</v>
      </c>
      <c r="J21" s="47">
        <v>16</v>
      </c>
      <c r="K21" s="33">
        <v>-64</v>
      </c>
      <c r="L21" s="116" t="s">
        <v>106</v>
      </c>
      <c r="M21" s="105" t="s">
        <v>64</v>
      </c>
      <c r="N21" s="47">
        <v>9.3000000000000007</v>
      </c>
      <c r="O21" s="63">
        <v>0</v>
      </c>
      <c r="P21" s="63">
        <v>0</v>
      </c>
      <c r="Q21" s="47">
        <v>42</v>
      </c>
      <c r="R21" s="47">
        <f t="shared" si="8"/>
        <v>37</v>
      </c>
      <c r="S21" s="47">
        <v>1.3</v>
      </c>
      <c r="T21" s="47">
        <v>0</v>
      </c>
      <c r="U21" s="75">
        <v>0</v>
      </c>
      <c r="V21" s="75">
        <v>0</v>
      </c>
      <c r="W21" s="47">
        <v>0</v>
      </c>
      <c r="X21" s="47">
        <v>61000</v>
      </c>
      <c r="Y21" s="47">
        <v>400</v>
      </c>
      <c r="Z21" s="47">
        <f t="shared" si="1"/>
        <v>114.99999999999996</v>
      </c>
      <c r="AA21" s="47">
        <v>1</v>
      </c>
      <c r="AB21" s="47">
        <f t="shared" si="2"/>
        <v>12000</v>
      </c>
      <c r="AC21" s="63">
        <v>120000</v>
      </c>
      <c r="AD21" s="63">
        <v>1000</v>
      </c>
      <c r="AE21" s="63">
        <v>0.3</v>
      </c>
      <c r="AF21" s="63">
        <v>0</v>
      </c>
      <c r="AG21" s="63">
        <v>0</v>
      </c>
      <c r="AH21" s="63">
        <v>0</v>
      </c>
      <c r="AI21" s="63">
        <v>0</v>
      </c>
      <c r="AJ21" s="47">
        <f t="shared" si="3"/>
        <v>50.000000000000007</v>
      </c>
      <c r="AK21" s="47">
        <v>1</v>
      </c>
      <c r="AL21" s="47">
        <v>1</v>
      </c>
      <c r="AM21" s="47">
        <v>1</v>
      </c>
      <c r="AN21" s="47">
        <v>1</v>
      </c>
      <c r="AO21" s="47">
        <v>1</v>
      </c>
      <c r="AP21" s="47">
        <v>1</v>
      </c>
      <c r="AQ21" s="47">
        <v>0</v>
      </c>
      <c r="AR21" s="47">
        <v>60</v>
      </c>
      <c r="AS21" s="33">
        <v>0.4</v>
      </c>
    </row>
    <row r="22" spans="1:45" x14ac:dyDescent="0.25">
      <c r="A22" s="66"/>
      <c r="B22" s="66"/>
      <c r="C22" s="67"/>
      <c r="D22" s="35"/>
      <c r="I22" s="33" t="s">
        <v>302</v>
      </c>
      <c r="J22" s="47">
        <v>17</v>
      </c>
      <c r="K22" s="33">
        <v>-74</v>
      </c>
      <c r="L22" s="116" t="s">
        <v>106</v>
      </c>
      <c r="M22" s="105" t="s">
        <v>64</v>
      </c>
      <c r="N22" s="47">
        <v>9.3000000000000007</v>
      </c>
      <c r="O22" s="63">
        <v>0</v>
      </c>
      <c r="P22" s="63">
        <v>0</v>
      </c>
      <c r="Q22" s="47">
        <v>42</v>
      </c>
      <c r="R22" s="47">
        <f t="shared" si="8"/>
        <v>37</v>
      </c>
      <c r="S22" s="47">
        <v>1.3</v>
      </c>
      <c r="T22" s="47">
        <v>0</v>
      </c>
      <c r="U22" s="75">
        <v>0</v>
      </c>
      <c r="V22" s="75">
        <v>0</v>
      </c>
      <c r="W22" s="47">
        <v>0</v>
      </c>
      <c r="X22" s="47">
        <v>65000</v>
      </c>
      <c r="Y22" s="47">
        <v>0</v>
      </c>
      <c r="Z22" s="47">
        <f t="shared" si="1"/>
        <v>114.99999999999996</v>
      </c>
      <c r="AA22" s="47">
        <v>1</v>
      </c>
      <c r="AB22" s="47">
        <f t="shared" si="2"/>
        <v>12000</v>
      </c>
      <c r="AC22" s="63">
        <v>130000</v>
      </c>
      <c r="AD22" s="63">
        <v>0</v>
      </c>
      <c r="AE22" s="63">
        <v>0.3</v>
      </c>
      <c r="AF22" s="63">
        <v>0</v>
      </c>
      <c r="AG22" s="63">
        <v>0</v>
      </c>
      <c r="AH22" s="63">
        <v>0</v>
      </c>
      <c r="AI22" s="63">
        <v>0</v>
      </c>
      <c r="AJ22" s="47">
        <f t="shared" si="3"/>
        <v>50.000000000000007</v>
      </c>
      <c r="AK22" s="47">
        <v>1</v>
      </c>
      <c r="AL22" s="47">
        <v>1</v>
      </c>
      <c r="AM22" s="47">
        <v>1</v>
      </c>
      <c r="AN22" s="47">
        <v>1</v>
      </c>
      <c r="AO22" s="47">
        <v>1</v>
      </c>
      <c r="AP22" s="47">
        <v>1</v>
      </c>
      <c r="AQ22" s="47">
        <v>0</v>
      </c>
      <c r="AR22" s="47">
        <v>60</v>
      </c>
      <c r="AS22" s="33">
        <v>0.4</v>
      </c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  <c r="I25" s="56"/>
      <c r="J25" s="47"/>
      <c r="K25" s="19"/>
      <c r="L25" s="116"/>
      <c r="M25" s="105"/>
      <c r="N25" s="47"/>
      <c r="O25" s="63"/>
      <c r="P25" s="63"/>
      <c r="Q25" s="47"/>
      <c r="R25" s="47"/>
      <c r="S25" s="47"/>
      <c r="T25" s="47"/>
      <c r="U25" s="75"/>
      <c r="V25" s="75"/>
      <c r="W25" s="47"/>
      <c r="X25" s="47"/>
      <c r="Y25" s="47"/>
      <c r="Z25" s="47"/>
      <c r="AA25" s="47"/>
      <c r="AB25" s="47"/>
      <c r="AC25" s="63"/>
      <c r="AD25" s="63"/>
      <c r="AE25" s="63"/>
      <c r="AF25" s="63"/>
      <c r="AG25" s="63"/>
      <c r="AH25" s="63"/>
      <c r="AI25" s="63"/>
      <c r="AJ25" s="47"/>
      <c r="AK25" s="47"/>
      <c r="AL25" s="47"/>
      <c r="AM25" s="47"/>
      <c r="AN25" s="47"/>
      <c r="AO25" s="47"/>
      <c r="AP25" s="47"/>
      <c r="AQ25" s="47"/>
      <c r="AR25" s="47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I31" s="56"/>
      <c r="J31" s="47"/>
      <c r="K31" s="19"/>
      <c r="L31" s="116"/>
      <c r="M31" s="105"/>
      <c r="N31" s="47"/>
      <c r="O31" s="63"/>
      <c r="P31" s="63"/>
      <c r="Q31" s="47"/>
      <c r="R31" s="47"/>
      <c r="S31" s="47"/>
      <c r="T31" s="47"/>
      <c r="U31" s="75"/>
      <c r="V31" s="75"/>
      <c r="W31" s="47"/>
      <c r="X31" s="47"/>
      <c r="Y31" s="47"/>
      <c r="Z31" s="47"/>
      <c r="AA31" s="47"/>
      <c r="AB31" s="47"/>
      <c r="AC31" s="63"/>
      <c r="AD31" s="63"/>
      <c r="AE31" s="63"/>
      <c r="AF31" s="63"/>
      <c r="AG31" s="63"/>
      <c r="AH31" s="63"/>
      <c r="AI31" s="63"/>
      <c r="AJ31" s="47"/>
      <c r="AK31" s="47"/>
      <c r="AL31" s="47"/>
      <c r="AM31" s="47"/>
      <c r="AN31" s="47"/>
      <c r="AO31" s="47"/>
      <c r="AP31" s="47"/>
      <c r="AQ31" s="47"/>
      <c r="AR31" s="47"/>
    </row>
    <row r="32" spans="1:45" x14ac:dyDescent="0.25">
      <c r="A32" s="66"/>
      <c r="B32" s="66"/>
      <c r="C32" s="67"/>
      <c r="D32" s="35"/>
      <c r="I32" s="56"/>
      <c r="J32" s="47"/>
      <c r="K32" s="19"/>
      <c r="L32" s="116"/>
      <c r="M32" s="105"/>
      <c r="N32" s="47"/>
      <c r="O32" s="63"/>
      <c r="P32" s="63"/>
      <c r="Q32" s="47"/>
      <c r="R32" s="47"/>
      <c r="S32" s="47"/>
      <c r="T32" s="47"/>
      <c r="U32" s="75"/>
      <c r="V32" s="75"/>
      <c r="W32" s="47"/>
      <c r="X32" s="47"/>
      <c r="Y32" s="47"/>
      <c r="Z32" s="47"/>
      <c r="AA32" s="47"/>
      <c r="AB32" s="47"/>
      <c r="AC32" s="63"/>
      <c r="AD32" s="63"/>
      <c r="AE32" s="63"/>
      <c r="AF32" s="63"/>
      <c r="AG32" s="63"/>
      <c r="AH32" s="63"/>
      <c r="AI32" s="63"/>
      <c r="AJ32" s="47"/>
      <c r="AK32" s="47"/>
      <c r="AL32" s="47"/>
      <c r="AM32" s="47"/>
      <c r="AN32" s="47"/>
      <c r="AO32" s="47"/>
      <c r="AP32" s="47"/>
      <c r="AQ32" s="47"/>
      <c r="AR32" s="47"/>
    </row>
    <row r="33" spans="1:44" x14ac:dyDescent="0.25">
      <c r="A33" s="66"/>
      <c r="B33" s="66"/>
      <c r="C33" s="67"/>
      <c r="D33" s="35"/>
      <c r="I33" s="56"/>
      <c r="J33" s="47"/>
      <c r="K33" s="19"/>
      <c r="L33" s="116"/>
      <c r="M33" s="105"/>
      <c r="N33" s="47"/>
      <c r="O33" s="63"/>
      <c r="P33" s="63"/>
      <c r="Q33" s="47"/>
      <c r="R33" s="47"/>
      <c r="S33" s="47"/>
      <c r="T33" s="47"/>
      <c r="U33" s="75"/>
      <c r="V33" s="75"/>
      <c r="W33" s="47"/>
      <c r="X33" s="47"/>
      <c r="Y33" s="47"/>
      <c r="Z33" s="47"/>
      <c r="AA33" s="47"/>
      <c r="AB33" s="47"/>
      <c r="AC33" s="63"/>
      <c r="AD33" s="63"/>
      <c r="AE33" s="63"/>
      <c r="AF33" s="63"/>
      <c r="AG33" s="63"/>
      <c r="AH33" s="63"/>
      <c r="AI33" s="63"/>
      <c r="AJ33" s="47"/>
      <c r="AK33" s="47"/>
      <c r="AL33" s="47"/>
      <c r="AM33" s="47"/>
      <c r="AN33" s="47"/>
      <c r="AO33" s="47"/>
      <c r="AP33" s="47"/>
      <c r="AQ33" s="47"/>
      <c r="AR33" s="47"/>
    </row>
    <row r="34" spans="1:44" x14ac:dyDescent="0.25">
      <c r="I34" s="56"/>
      <c r="J34" s="47"/>
      <c r="K34" s="19"/>
      <c r="L34" s="116"/>
      <c r="M34" s="105"/>
      <c r="N34" s="47"/>
      <c r="O34" s="63"/>
      <c r="P34" s="63"/>
      <c r="Q34" s="47"/>
      <c r="R34" s="47"/>
      <c r="S34" s="47"/>
      <c r="T34" s="47"/>
      <c r="U34" s="75"/>
      <c r="V34" s="75"/>
      <c r="W34" s="47"/>
      <c r="X34" s="47"/>
      <c r="Y34" s="47"/>
      <c r="Z34" s="47"/>
      <c r="AA34" s="47"/>
      <c r="AB34" s="47"/>
      <c r="AC34" s="63"/>
      <c r="AD34" s="63"/>
      <c r="AE34" s="63"/>
      <c r="AF34" s="63"/>
      <c r="AG34" s="63"/>
      <c r="AH34" s="63"/>
      <c r="AI34" s="63"/>
      <c r="AJ34" s="47"/>
      <c r="AK34" s="47"/>
      <c r="AL34" s="47"/>
      <c r="AM34" s="47"/>
      <c r="AN34" s="47"/>
      <c r="AO34" s="47"/>
      <c r="AP34" s="47"/>
      <c r="AQ34" s="47"/>
      <c r="AR34" s="47"/>
    </row>
    <row r="35" spans="1:44" x14ac:dyDescent="0.25">
      <c r="I35" s="56"/>
      <c r="J35" s="47"/>
      <c r="K35" s="19"/>
      <c r="L35" s="116"/>
      <c r="M35" s="105"/>
      <c r="N35" s="47"/>
      <c r="O35" s="63"/>
      <c r="P35" s="63"/>
      <c r="Q35" s="47"/>
      <c r="R35" s="47"/>
      <c r="S35" s="47"/>
      <c r="T35" s="47"/>
      <c r="U35" s="75"/>
      <c r="V35" s="75"/>
      <c r="W35" s="47"/>
      <c r="X35" s="47"/>
      <c r="Y35" s="47"/>
      <c r="Z35" s="47"/>
      <c r="AA35" s="47"/>
      <c r="AB35" s="47"/>
      <c r="AC35" s="63"/>
      <c r="AD35" s="63"/>
      <c r="AE35" s="63"/>
      <c r="AF35" s="63"/>
      <c r="AG35" s="63"/>
      <c r="AH35" s="63"/>
      <c r="AI35" s="63"/>
      <c r="AJ35" s="47"/>
      <c r="AK35" s="47"/>
      <c r="AL35" s="47"/>
      <c r="AM35" s="47"/>
      <c r="AN35" s="47"/>
      <c r="AO35" s="47"/>
      <c r="AP35" s="47"/>
      <c r="AQ35" s="47"/>
      <c r="AR35" s="47"/>
    </row>
    <row r="36" spans="1:44" x14ac:dyDescent="0.25">
      <c r="I36" s="56"/>
      <c r="J36" s="47"/>
      <c r="K36" s="19"/>
      <c r="L36" s="116"/>
      <c r="M36" s="105"/>
      <c r="N36" s="47"/>
      <c r="O36" s="63"/>
      <c r="P36" s="63"/>
      <c r="Q36" s="47"/>
      <c r="R36" s="47"/>
      <c r="S36" s="47"/>
      <c r="T36" s="47"/>
      <c r="U36" s="75"/>
      <c r="V36" s="75"/>
      <c r="W36" s="47"/>
      <c r="X36" s="47"/>
      <c r="Y36" s="47"/>
      <c r="Z36" s="47"/>
      <c r="AA36" s="47"/>
      <c r="AB36" s="47"/>
      <c r="AC36" s="63"/>
      <c r="AD36" s="63"/>
      <c r="AE36" s="63"/>
      <c r="AF36" s="63"/>
      <c r="AG36" s="63"/>
      <c r="AH36" s="63"/>
      <c r="AI36" s="63"/>
      <c r="AJ36" s="47"/>
      <c r="AK36" s="47"/>
      <c r="AL36" s="47"/>
      <c r="AM36" s="47"/>
      <c r="AN36" s="47"/>
      <c r="AO36" s="47"/>
      <c r="AP36" s="47"/>
      <c r="AQ36" s="47"/>
      <c r="AR36" s="47"/>
    </row>
    <row r="37" spans="1:44" x14ac:dyDescent="0.25">
      <c r="I37" s="56"/>
      <c r="J37" s="47"/>
      <c r="K37" s="19"/>
      <c r="L37" s="116"/>
      <c r="M37" s="105"/>
      <c r="N37" s="47"/>
      <c r="O37" s="63"/>
      <c r="P37" s="63"/>
      <c r="Q37" s="47"/>
      <c r="R37" s="47"/>
      <c r="S37" s="47"/>
      <c r="T37" s="47"/>
      <c r="U37" s="75"/>
      <c r="V37" s="75"/>
      <c r="W37" s="47"/>
      <c r="X37" s="47"/>
      <c r="Y37" s="47"/>
      <c r="Z37" s="47"/>
      <c r="AA37" s="47"/>
      <c r="AB37" s="47"/>
      <c r="AC37" s="63"/>
      <c r="AD37" s="63"/>
      <c r="AE37" s="47"/>
      <c r="AF37" s="47" t="s">
        <v>104</v>
      </c>
      <c r="AG37" s="47" t="s">
        <v>105</v>
      </c>
      <c r="AH37" s="47" t="s">
        <v>66</v>
      </c>
      <c r="AI37" s="63"/>
      <c r="AJ37" s="47"/>
      <c r="AK37" s="47"/>
      <c r="AL37" s="47"/>
      <c r="AM37" s="47"/>
      <c r="AN37" s="47"/>
      <c r="AO37" s="47"/>
      <c r="AP37" s="47"/>
      <c r="AQ37" s="47"/>
      <c r="AR37" s="47"/>
    </row>
    <row r="38" spans="1:44" x14ac:dyDescent="0.25">
      <c r="J38" s="47"/>
      <c r="K38" s="19"/>
      <c r="L38" s="116"/>
      <c r="M38" s="105"/>
      <c r="N38" s="47"/>
      <c r="O38" s="63"/>
      <c r="P38" s="63"/>
      <c r="Q38" s="47"/>
      <c r="R38" s="47"/>
      <c r="S38" s="47"/>
      <c r="T38" s="47"/>
      <c r="U38" s="75"/>
      <c r="V38" s="75"/>
      <c r="W38" s="47"/>
      <c r="X38" s="47"/>
      <c r="Y38" s="47"/>
      <c r="Z38" s="47"/>
      <c r="AA38" s="47"/>
      <c r="AB38" s="47"/>
      <c r="AC38" s="63"/>
      <c r="AD38" s="63"/>
      <c r="AE38" s="33" t="s">
        <v>99</v>
      </c>
      <c r="AF38" s="33" t="s">
        <v>100</v>
      </c>
      <c r="AG38" s="33" t="s">
        <v>101</v>
      </c>
      <c r="AI38" s="63"/>
      <c r="AJ38" s="47"/>
      <c r="AK38" s="47"/>
      <c r="AL38" s="47"/>
      <c r="AM38" s="47"/>
      <c r="AN38" s="47"/>
      <c r="AO38" s="47"/>
      <c r="AP38" s="47"/>
      <c r="AQ38" s="47"/>
      <c r="AR38" s="47"/>
    </row>
    <row r="39" spans="1:44" x14ac:dyDescent="0.25">
      <c r="J39" s="47"/>
      <c r="L39" s="116"/>
      <c r="M39" s="105"/>
      <c r="N39" s="47"/>
      <c r="O39" s="63"/>
      <c r="P39" s="63"/>
      <c r="Q39" s="47"/>
      <c r="R39" s="47"/>
      <c r="S39" s="47"/>
      <c r="T39" s="47"/>
      <c r="U39" s="75"/>
      <c r="V39" s="75"/>
      <c r="W39" s="47"/>
      <c r="X39" s="47"/>
      <c r="Y39" s="47"/>
      <c r="Z39" s="47"/>
      <c r="AA39" s="47"/>
      <c r="AB39" s="47"/>
      <c r="AC39" s="63"/>
      <c r="AD39" s="63"/>
      <c r="AE39" s="33">
        <v>15</v>
      </c>
      <c r="AF39" s="33">
        <v>48</v>
      </c>
      <c r="AG39" s="33">
        <v>1900</v>
      </c>
      <c r="AH39" s="33">
        <v>8</v>
      </c>
      <c r="AI39" s="63"/>
      <c r="AJ39" s="47"/>
      <c r="AK39" s="47"/>
      <c r="AL39" s="47"/>
      <c r="AM39" s="47"/>
      <c r="AN39" s="47"/>
      <c r="AO39" s="47"/>
      <c r="AP39" s="47"/>
      <c r="AQ39" s="47"/>
      <c r="AR39" s="47"/>
    </row>
    <row r="40" spans="1:44" x14ac:dyDescent="0.25">
      <c r="J40" s="47"/>
      <c r="L40" s="116"/>
      <c r="M40" s="105"/>
      <c r="N40" s="47"/>
      <c r="O40" s="63"/>
      <c r="P40" s="63"/>
      <c r="Q40" s="47"/>
      <c r="R40" s="47"/>
      <c r="S40" s="47"/>
      <c r="T40" s="47"/>
      <c r="U40" s="75"/>
      <c r="V40" s="75"/>
      <c r="W40" s="47"/>
      <c r="X40" s="47"/>
      <c r="Y40" s="47"/>
      <c r="Z40" s="47"/>
      <c r="AA40" s="47"/>
      <c r="AB40" s="47"/>
      <c r="AC40" s="63"/>
      <c r="AD40" s="63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  <c r="AI40" s="63"/>
      <c r="AJ40" s="47"/>
      <c r="AK40" s="47"/>
      <c r="AL40" s="47"/>
      <c r="AM40" s="47"/>
      <c r="AN40" s="47"/>
      <c r="AO40" s="47"/>
      <c r="AP40" s="47"/>
      <c r="AQ40" s="47"/>
      <c r="AR40" s="47"/>
    </row>
    <row r="41" spans="1:44" x14ac:dyDescent="0.25">
      <c r="J41" s="47"/>
      <c r="K41" s="19"/>
      <c r="L41" s="116"/>
      <c r="M41" s="105"/>
      <c r="N41" s="47"/>
      <c r="O41" s="63"/>
      <c r="P41" s="63"/>
      <c r="Q41" s="47"/>
      <c r="R41" s="47"/>
      <c r="S41" s="47"/>
      <c r="T41" s="47"/>
      <c r="U41" s="75"/>
      <c r="V41" s="75"/>
      <c r="W41" s="47"/>
      <c r="X41" s="47"/>
      <c r="Y41" s="47"/>
      <c r="Z41" s="47"/>
      <c r="AA41" s="47"/>
      <c r="AB41" s="47"/>
      <c r="AC41" s="63"/>
      <c r="AD41" s="63"/>
      <c r="AE41" s="33">
        <v>17</v>
      </c>
      <c r="AF41" s="33">
        <f t="shared" ref="AF41:AF44" si="9">AF40+3.8</f>
        <v>55.599999999999994</v>
      </c>
      <c r="AG41" s="33">
        <f t="shared" ref="AG41:AG43" si="10">AG40+200</f>
        <v>2300</v>
      </c>
      <c r="AH41" s="33">
        <f t="shared" ref="AH41:AH44" si="11">AH40+0.8</f>
        <v>9.6000000000000014</v>
      </c>
      <c r="AI41" s="63"/>
      <c r="AJ41" s="47"/>
      <c r="AK41" s="47"/>
      <c r="AL41" s="47"/>
      <c r="AM41" s="47"/>
      <c r="AN41" s="47"/>
      <c r="AO41" s="47"/>
      <c r="AP41" s="47"/>
      <c r="AQ41" s="47"/>
      <c r="AR41" s="47"/>
    </row>
    <row r="42" spans="1:44" x14ac:dyDescent="0.25">
      <c r="J42" s="47"/>
      <c r="L42" s="116"/>
      <c r="M42" s="105"/>
      <c r="N42" s="47"/>
      <c r="O42" s="63"/>
      <c r="P42" s="63"/>
      <c r="Q42" s="47"/>
      <c r="R42" s="47"/>
      <c r="S42" s="47"/>
      <c r="T42" s="47"/>
      <c r="U42" s="75"/>
      <c r="V42" s="75"/>
      <c r="W42" s="47"/>
      <c r="X42" s="47"/>
      <c r="Y42" s="47"/>
      <c r="Z42" s="47"/>
      <c r="AA42" s="47"/>
      <c r="AB42" s="47"/>
      <c r="AC42" s="63"/>
      <c r="AD42" s="63"/>
      <c r="AE42" s="33">
        <v>18</v>
      </c>
      <c r="AF42" s="33">
        <f t="shared" si="9"/>
        <v>59.399999999999991</v>
      </c>
      <c r="AG42" s="33">
        <f t="shared" si="10"/>
        <v>2500</v>
      </c>
      <c r="AH42" s="33">
        <f t="shared" si="11"/>
        <v>10.400000000000002</v>
      </c>
      <c r="AI42" s="63"/>
      <c r="AJ42" s="47"/>
      <c r="AK42" s="47"/>
      <c r="AL42" s="47"/>
      <c r="AM42" s="47"/>
      <c r="AN42" s="47"/>
      <c r="AO42" s="47"/>
      <c r="AP42" s="47"/>
      <c r="AQ42" s="47"/>
      <c r="AR42" s="47"/>
    </row>
    <row r="43" spans="1:44" x14ac:dyDescent="0.25">
      <c r="J43" s="47"/>
      <c r="K43" s="19"/>
      <c r="L43" s="116"/>
      <c r="M43" s="105"/>
      <c r="N43" s="47"/>
      <c r="O43" s="63"/>
      <c r="P43" s="63"/>
      <c r="Q43" s="47"/>
      <c r="R43" s="47"/>
      <c r="S43" s="47"/>
      <c r="T43" s="47"/>
      <c r="U43" s="75"/>
      <c r="V43" s="75"/>
      <c r="W43" s="47"/>
      <c r="X43" s="47"/>
      <c r="Y43" s="47"/>
      <c r="Z43" s="47"/>
      <c r="AA43" s="47"/>
      <c r="AB43" s="47"/>
      <c r="AC43" s="63"/>
      <c r="AD43" s="63"/>
      <c r="AE43" s="33">
        <v>19</v>
      </c>
      <c r="AF43" s="33">
        <f t="shared" si="9"/>
        <v>63.199999999999989</v>
      </c>
      <c r="AG43" s="33">
        <f t="shared" si="10"/>
        <v>2700</v>
      </c>
      <c r="AH43" s="33">
        <f t="shared" si="11"/>
        <v>11.200000000000003</v>
      </c>
      <c r="AI43" s="63"/>
      <c r="AJ43" s="47"/>
      <c r="AK43" s="47"/>
      <c r="AL43" s="47"/>
      <c r="AM43" s="47"/>
      <c r="AN43" s="47"/>
      <c r="AO43" s="47"/>
      <c r="AP43" s="47"/>
      <c r="AQ43" s="47"/>
      <c r="AR43" s="47"/>
    </row>
    <row r="44" spans="1:44" x14ac:dyDescent="0.25">
      <c r="J44" s="47"/>
      <c r="L44" s="116"/>
      <c r="M44" s="105"/>
      <c r="N44" s="47"/>
      <c r="O44" s="63"/>
      <c r="P44" s="63"/>
      <c r="Q44" s="47"/>
      <c r="R44" s="47"/>
      <c r="S44" s="47"/>
      <c r="T44" s="47"/>
      <c r="U44" s="75"/>
      <c r="V44" s="75"/>
      <c r="W44" s="47"/>
      <c r="X44" s="47"/>
      <c r="Y44" s="47"/>
      <c r="Z44" s="47"/>
      <c r="AA44" s="47"/>
      <c r="AB44" s="47"/>
      <c r="AC44" s="63"/>
      <c r="AD44" s="63"/>
      <c r="AE44" s="33">
        <v>20</v>
      </c>
      <c r="AF44" s="33">
        <f t="shared" si="9"/>
        <v>66.999999999999986</v>
      </c>
      <c r="AG44" s="33">
        <f>AG43+200</f>
        <v>2900</v>
      </c>
      <c r="AH44" s="33">
        <f t="shared" si="11"/>
        <v>12.000000000000004</v>
      </c>
      <c r="AI44" s="63"/>
      <c r="AJ44" s="47"/>
      <c r="AK44" s="47"/>
      <c r="AL44" s="47"/>
      <c r="AM44" s="47"/>
      <c r="AN44" s="47"/>
      <c r="AO44" s="47"/>
      <c r="AP44" s="47"/>
      <c r="AQ44" s="47"/>
      <c r="AR44" s="47"/>
    </row>
    <row r="45" spans="1:44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4" x14ac:dyDescent="0.25">
      <c r="L46" s="49"/>
      <c r="AE46" s="33">
        <v>22</v>
      </c>
      <c r="AF46" s="33">
        <f t="shared" ref="AF46:AF49" si="12">AF45+2.8</f>
        <v>72.59999999999998</v>
      </c>
      <c r="AG46" s="33">
        <f t="shared" ref="AG46:AG48" si="13">AG45+380</f>
        <v>3660</v>
      </c>
      <c r="AH46" s="33">
        <f t="shared" ref="AH46:AH49" si="14">AH45+1.6</f>
        <v>15.200000000000003</v>
      </c>
    </row>
    <row r="47" spans="1:44" x14ac:dyDescent="0.25">
      <c r="L47" s="49"/>
      <c r="AE47" s="33">
        <v>23</v>
      </c>
      <c r="AF47" s="33">
        <f t="shared" si="12"/>
        <v>75.399999999999977</v>
      </c>
      <c r="AG47" s="33">
        <f t="shared" si="13"/>
        <v>4040</v>
      </c>
      <c r="AH47" s="33">
        <f t="shared" si="14"/>
        <v>16.800000000000004</v>
      </c>
    </row>
    <row r="48" spans="1:44" x14ac:dyDescent="0.25">
      <c r="L48" s="49"/>
      <c r="AE48" s="33">
        <v>24</v>
      </c>
      <c r="AF48" s="33">
        <f t="shared" si="12"/>
        <v>78.199999999999974</v>
      </c>
      <c r="AG48" s="33">
        <f t="shared" si="13"/>
        <v>4420</v>
      </c>
      <c r="AH48" s="33">
        <f t="shared" si="14"/>
        <v>18.400000000000006</v>
      </c>
    </row>
    <row r="49" spans="12:34" x14ac:dyDescent="0.25">
      <c r="L49" s="49"/>
      <c r="AE49" s="33">
        <v>25</v>
      </c>
      <c r="AF49" s="33">
        <f t="shared" si="12"/>
        <v>80.999999999999972</v>
      </c>
      <c r="AG49" s="33">
        <v>4800</v>
      </c>
      <c r="AH49" s="33">
        <f t="shared" si="14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5">AF50+3</f>
        <v>86.999999999999972</v>
      </c>
      <c r="AG51" s="33">
        <f t="shared" ref="AG51:AG54" si="16">AG50+960</f>
        <v>6720</v>
      </c>
      <c r="AH51" s="33">
        <f t="shared" ref="AH51:AH54" si="17">AH50+4</f>
        <v>28.000000000000007</v>
      </c>
    </row>
    <row r="52" spans="12:34" x14ac:dyDescent="0.25">
      <c r="L52" s="49"/>
      <c r="AE52" s="33">
        <v>28</v>
      </c>
      <c r="AF52" s="33">
        <f t="shared" si="15"/>
        <v>89.999999999999972</v>
      </c>
      <c r="AG52" s="33">
        <f t="shared" si="16"/>
        <v>7680</v>
      </c>
      <c r="AH52" s="33">
        <f t="shared" si="17"/>
        <v>32.000000000000007</v>
      </c>
    </row>
    <row r="53" spans="12:34" x14ac:dyDescent="0.25">
      <c r="L53" s="49"/>
      <c r="AE53" s="33">
        <v>29</v>
      </c>
      <c r="AF53" s="33">
        <f t="shared" si="15"/>
        <v>92.999999999999972</v>
      </c>
      <c r="AG53" s="33">
        <f t="shared" si="16"/>
        <v>8640</v>
      </c>
      <c r="AH53" s="33">
        <f t="shared" si="17"/>
        <v>36.000000000000007</v>
      </c>
    </row>
    <row r="54" spans="12:34" x14ac:dyDescent="0.25">
      <c r="L54" s="49"/>
      <c r="AE54" s="33">
        <v>30</v>
      </c>
      <c r="AF54" s="33">
        <f t="shared" si="15"/>
        <v>95.999999999999972</v>
      </c>
      <c r="AG54" s="33">
        <f t="shared" si="16"/>
        <v>9600</v>
      </c>
      <c r="AH54" s="33">
        <f t="shared" si="17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8">AF55+3.8</f>
        <v>103.59999999999997</v>
      </c>
      <c r="AG56" s="33">
        <f t="shared" ref="AG56:AG59" si="19">AG55+480</f>
        <v>10560</v>
      </c>
      <c r="AH56" s="33">
        <f t="shared" ref="AH56:AH59" si="20">AH55+2</f>
        <v>44.000000000000007</v>
      </c>
    </row>
    <row r="57" spans="12:34" x14ac:dyDescent="0.25">
      <c r="L57" s="49"/>
      <c r="AE57" s="33">
        <v>33</v>
      </c>
      <c r="AF57" s="33">
        <f t="shared" si="18"/>
        <v>107.39999999999996</v>
      </c>
      <c r="AG57" s="33">
        <f t="shared" si="19"/>
        <v>11040</v>
      </c>
      <c r="AH57" s="33">
        <f t="shared" si="20"/>
        <v>46.000000000000007</v>
      </c>
    </row>
    <row r="58" spans="12:34" x14ac:dyDescent="0.25">
      <c r="L58" s="49"/>
      <c r="AE58" s="33">
        <v>34</v>
      </c>
      <c r="AF58" s="33">
        <f t="shared" si="18"/>
        <v>111.19999999999996</v>
      </c>
      <c r="AG58" s="33">
        <f t="shared" si="19"/>
        <v>11520</v>
      </c>
      <c r="AH58" s="33">
        <f t="shared" si="20"/>
        <v>48.000000000000007</v>
      </c>
    </row>
    <row r="59" spans="12:34" x14ac:dyDescent="0.25">
      <c r="L59" s="49"/>
      <c r="AE59" s="33">
        <v>35</v>
      </c>
      <c r="AF59" s="33">
        <f t="shared" si="18"/>
        <v>114.99999999999996</v>
      </c>
      <c r="AG59" s="33">
        <f t="shared" si="19"/>
        <v>12000</v>
      </c>
      <c r="AH59" s="33">
        <f t="shared" si="20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J25 AB25 N25 Q25:T25 W25:Z25 AM25:AR25 AM29:AP30 Q29:Q30 N29:N30">
    <cfRule type="expression" dxfId="3485" priority="20">
      <formula>$L25="API sand"</formula>
    </cfRule>
  </conditionalFormatting>
  <conditionalFormatting sqref="AK25:AL25 N25 R29:S30 AB29:AB30 AJ29:AL30 Z29:Z30 N29:N30">
    <cfRule type="expression" dxfId="3484" priority="19">
      <formula>$M25="API sand"</formula>
    </cfRule>
  </conditionalFormatting>
  <conditionalFormatting sqref="AK25:AL25 N25 R29:T30 Z29:AB30 AK29:AL30 N29:N30">
    <cfRule type="expression" dxfId="3483" priority="18">
      <formula>$M25="API clay"</formula>
    </cfRule>
  </conditionalFormatting>
  <conditionalFormatting sqref="N25:P25 AA25 AC25:AI25 AM25:AP25 U25:V25 U29:W30 AM29:AP30 N29:P30">
    <cfRule type="expression" dxfId="3482" priority="15">
      <formula>$L25="Stiff clay w/o free water"</formula>
    </cfRule>
    <cfRule type="expression" dxfId="3481" priority="17">
      <formula>$L25="API clay"</formula>
    </cfRule>
  </conditionalFormatting>
  <conditionalFormatting sqref="N25:P25 AA25 AC25:AI25 AM25:AP25 U25:V25 U29:Y30 AM29:AP30 N29:P30">
    <cfRule type="expression" dxfId="3480" priority="16">
      <formula>$L25="Kirsch soft clay"</formula>
    </cfRule>
  </conditionalFormatting>
  <conditionalFormatting sqref="N25:P25 AA25 AC25:AI25 AM25:AP25 U25:V25 U29:Y30 AM29:AP30 N29:P30">
    <cfRule type="expression" dxfId="3479" priority="14">
      <formula>$L25="Kirsch stiff clay"</formula>
    </cfRule>
  </conditionalFormatting>
  <conditionalFormatting sqref="AJ25 AB25 N25 Q25:T25 W25:Z25 AM25:AR25 AM29:AP30 Q29:Q30 X29:Y30 N29:N30">
    <cfRule type="expression" dxfId="3478" priority="13">
      <formula>$L25="Kirsch sand"</formula>
    </cfRule>
  </conditionalFormatting>
  <conditionalFormatting sqref="AM25:AP25 N25 AC29:AD30 AI29:AI30 AM29:AP30 N29:N30">
    <cfRule type="expression" dxfId="3477" priority="12">
      <formula>$L25="Modified Weak rock"</formula>
    </cfRule>
  </conditionalFormatting>
  <conditionalFormatting sqref="N25:P25 AA25 AC25:AI25 AM25:AP25 U25:V25 AM29:AP30 U29:V30 N29:P30">
    <cfRule type="expression" dxfId="3476" priority="11">
      <formula>$L25="Reese stiff clay"</formula>
    </cfRule>
  </conditionalFormatting>
  <conditionalFormatting sqref="N25:P25 AA25 AC25:AI25 AM25:AP25 U25:V25">
    <cfRule type="expression" dxfId="3475" priority="3">
      <formula>$L25="PISA clay"</formula>
    </cfRule>
  </conditionalFormatting>
  <conditionalFormatting sqref="N25 AM25:AP25">
    <cfRule type="expression" dxfId="3474" priority="2">
      <formula>$L25="PISA sand"</formula>
    </cfRule>
  </conditionalFormatting>
  <conditionalFormatting sqref="AE37:AH37">
    <cfRule type="expression" dxfId="3473" priority="1">
      <formula>$L19="Modified Weak rock"</formula>
    </cfRule>
  </conditionalFormatting>
  <dataValidations disablePrompts="1" count="3">
    <dataValidation type="list" showInputMessage="1" showErrorMessage="1" sqref="M29:M44 M25" xr:uid="{1105F4DF-0DCA-48AA-8907-C8FF4CA8D6E3}">
      <formula1>"',API sand,API clay"</formula1>
    </dataValidation>
    <dataValidation type="list" showInputMessage="1" showErrorMessage="1" sqref="L29:L255 L6:L22 L25" xr:uid="{4947A3A6-47EC-4EC5-86D8-4D4CA36DE2AD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22 M25 M31:M44" xr:uid="{21F2DB93-BF40-4A22-9C7F-87B0C8B02FC9}">
      <formula1>"Zero soil,API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E1E8F-AEAF-4A16-9A38-97A35596FE8D}">
  <sheetPr>
    <tabColor rgb="FF00B0F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Ak_Pisa_WTG8_ULSF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51"/>
      <c r="R3" s="155"/>
      <c r="S3" s="155"/>
      <c r="T3" s="151"/>
      <c r="U3" s="155"/>
      <c r="V3" s="155"/>
      <c r="W3" s="151"/>
      <c r="X3" s="69"/>
      <c r="Y3" s="151"/>
      <c r="Z3" s="151"/>
      <c r="AA3" s="151"/>
      <c r="AB3" s="151"/>
      <c r="AC3" s="69"/>
      <c r="AD3" s="39"/>
      <c r="AE3" s="39"/>
      <c r="AF3" s="39"/>
      <c r="AG3" s="39"/>
      <c r="AH3" s="39"/>
      <c r="AI3" s="39"/>
      <c r="AJ3" s="151"/>
      <c r="AK3" s="151"/>
      <c r="AL3" s="151"/>
      <c r="AM3" s="151"/>
      <c r="AN3" s="151"/>
      <c r="AO3" s="151"/>
      <c r="AP3" s="151"/>
    </row>
    <row r="4" spans="1:45" x14ac:dyDescent="0.25">
      <c r="A4" s="40" t="s">
        <v>60</v>
      </c>
      <c r="B4" s="33">
        <f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2" t="s">
        <v>38</v>
      </c>
      <c r="K5" s="152" t="s">
        <v>30</v>
      </c>
      <c r="L5" s="152" t="s">
        <v>31</v>
      </c>
      <c r="M5" s="152" t="s">
        <v>31</v>
      </c>
      <c r="N5" s="152" t="s">
        <v>32</v>
      </c>
      <c r="O5" s="152" t="s">
        <v>33</v>
      </c>
      <c r="P5" s="152" t="s">
        <v>35</v>
      </c>
      <c r="Q5" s="152" t="s">
        <v>36</v>
      </c>
      <c r="R5" s="152" t="s">
        <v>36</v>
      </c>
      <c r="S5" s="152" t="s">
        <v>34</v>
      </c>
      <c r="T5" s="152" t="s">
        <v>33</v>
      </c>
      <c r="U5" s="152" t="s">
        <v>34</v>
      </c>
      <c r="V5" s="152" t="s">
        <v>62</v>
      </c>
      <c r="W5" s="152" t="s">
        <v>34</v>
      </c>
      <c r="X5" s="152" t="s">
        <v>33</v>
      </c>
      <c r="Y5" s="152" t="s">
        <v>35</v>
      </c>
      <c r="Z5" s="152" t="s">
        <v>33</v>
      </c>
      <c r="AA5" s="152" t="s">
        <v>34</v>
      </c>
      <c r="AB5" s="152" t="s">
        <v>33</v>
      </c>
      <c r="AC5" s="152" t="s">
        <v>33</v>
      </c>
      <c r="AD5" s="152" t="s">
        <v>35</v>
      </c>
      <c r="AE5" s="152" t="s">
        <v>34</v>
      </c>
      <c r="AF5" s="152" t="s">
        <v>33</v>
      </c>
      <c r="AG5" s="152" t="s">
        <v>35</v>
      </c>
      <c r="AH5" s="152" t="s">
        <v>34</v>
      </c>
      <c r="AI5" s="152" t="s">
        <v>34</v>
      </c>
      <c r="AJ5" s="152" t="s">
        <v>34</v>
      </c>
      <c r="AK5" s="152" t="s">
        <v>34</v>
      </c>
      <c r="AL5" s="152" t="s">
        <v>34</v>
      </c>
      <c r="AM5" s="152" t="s">
        <v>34</v>
      </c>
      <c r="AN5" s="152" t="s">
        <v>34</v>
      </c>
      <c r="AO5" s="152" t="s">
        <v>34</v>
      </c>
      <c r="AP5" s="152" t="s">
        <v>34</v>
      </c>
      <c r="AQ5" s="152" t="s">
        <v>103</v>
      </c>
      <c r="AR5" s="152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EW_sand_Ruled_94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38</v>
      </c>
      <c r="R6" s="47">
        <f t="shared" ref="R6:R8" si="0">IF(Q6&lt;&gt;0,Q6-5,NA())</f>
        <v>33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12800</v>
      </c>
      <c r="Y6" s="47">
        <v>0</v>
      </c>
      <c r="Z6" s="47">
        <f>VLOOKUP(R6,$AE$39:$AF$59,2)</f>
        <v>107.39999999999996</v>
      </c>
      <c r="AA6" s="47">
        <v>1</v>
      </c>
      <c r="AB6" s="47">
        <f>VLOOKUP(R6,$AE$39:$AG$59,3)</f>
        <v>11040</v>
      </c>
      <c r="AC6" s="63">
        <v>6000</v>
      </c>
      <c r="AD6" s="63">
        <v>33333.33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>VLOOKUP(R6,$AE$39:$AH$59,4)</f>
        <v>46.000000000000007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94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19">
        <v>-0.9</v>
      </c>
      <c r="L7" s="33" t="str">
        <f>"EW_sand_Ruled"&amp;"_"&amp;AR7</f>
        <v>EW_sand_Ruled_77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39</v>
      </c>
      <c r="R7" s="47">
        <f t="shared" si="0"/>
        <v>34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26200</v>
      </c>
      <c r="Y7" s="47">
        <v>0</v>
      </c>
      <c r="Z7" s="47">
        <f t="shared" ref="Z7:Z19" si="1">VLOOKUP(R7,$AE$39:$AF$59,2)</f>
        <v>111.19999999999996</v>
      </c>
      <c r="AA7" s="47">
        <v>1</v>
      </c>
      <c r="AB7" s="47">
        <f t="shared" ref="AB7:AB19" si="2">VLOOKUP(R7,$AE$39:$AG$59,3)</f>
        <v>11520</v>
      </c>
      <c r="AC7" s="63">
        <v>39000</v>
      </c>
      <c r="AD7" s="63">
        <v>1111.1099999999999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ref="AJ7:AJ19" si="3">VLOOKUP(R7,$AE$39:$AH$59,4)</f>
        <v>48.000000000000007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77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19553.605729106632</v>
      </c>
      <c r="H8" s="45" t="s">
        <v>53</v>
      </c>
      <c r="I8" s="33" t="s">
        <v>279</v>
      </c>
      <c r="J8" s="47">
        <v>3</v>
      </c>
      <c r="K8" s="19">
        <v>-1.8</v>
      </c>
      <c r="L8" s="33" t="str">
        <f>"EW_sand_Ruled"&amp;"_"&amp;AR8</f>
        <v>EW_sand_Ruled_51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36</v>
      </c>
      <c r="R8" s="47">
        <f t="shared" si="0"/>
        <v>31</v>
      </c>
      <c r="S8" s="47">
        <v>0.5</v>
      </c>
      <c r="T8" s="47">
        <v>0</v>
      </c>
      <c r="U8" s="75">
        <v>0</v>
      </c>
      <c r="V8" s="75">
        <v>0</v>
      </c>
      <c r="W8" s="47">
        <v>0</v>
      </c>
      <c r="X8" s="47">
        <v>15900</v>
      </c>
      <c r="Y8" s="47">
        <v>0</v>
      </c>
      <c r="Z8" s="47">
        <f t="shared" si="1"/>
        <v>99.799999999999969</v>
      </c>
      <c r="AA8" s="47">
        <v>1</v>
      </c>
      <c r="AB8" s="47">
        <f t="shared" si="2"/>
        <v>10080</v>
      </c>
      <c r="AC8" s="63">
        <v>40000</v>
      </c>
      <c r="AD8" s="63">
        <v>-3333.33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42.000000000000007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51</v>
      </c>
      <c r="AS8" s="33">
        <v>0.4</v>
      </c>
    </row>
    <row r="9" spans="1:45" x14ac:dyDescent="0.25">
      <c r="A9" s="33" t="s">
        <v>68</v>
      </c>
      <c r="B9" s="57">
        <v>34</v>
      </c>
      <c r="C9" s="45" t="s">
        <v>28</v>
      </c>
      <c r="D9" s="57">
        <v>28</v>
      </c>
      <c r="F9" s="33" t="s">
        <v>96</v>
      </c>
      <c r="G9" s="76">
        <v>-756235.05035897798</v>
      </c>
      <c r="H9" s="45" t="s">
        <v>54</v>
      </c>
      <c r="I9" s="33" t="s">
        <v>216</v>
      </c>
      <c r="J9" s="47">
        <v>4</v>
      </c>
      <c r="K9" s="19">
        <v>-2.4</v>
      </c>
      <c r="L9" s="116" t="s">
        <v>275</v>
      </c>
      <c r="M9" s="105" t="s">
        <v>65</v>
      </c>
      <c r="N9" s="47">
        <v>9.3000000000000007</v>
      </c>
      <c r="O9" s="63">
        <v>20</v>
      </c>
      <c r="P9" s="63">
        <v>25</v>
      </c>
      <c r="Q9" s="47">
        <v>0</v>
      </c>
      <c r="R9" s="47">
        <v>0</v>
      </c>
      <c r="S9" s="47">
        <v>3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2900</v>
      </c>
      <c r="Y9" s="47">
        <v>0</v>
      </c>
      <c r="Z9" s="47" t="e">
        <f t="shared" si="1"/>
        <v>#N/A</v>
      </c>
      <c r="AA9" s="47">
        <v>1</v>
      </c>
      <c r="AB9" s="47" t="e">
        <f t="shared" si="2"/>
        <v>#N/A</v>
      </c>
      <c r="AC9" s="63">
        <v>18000</v>
      </c>
      <c r="AD9" s="63">
        <v>190000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3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34</v>
      </c>
      <c r="C10" s="45" t="s">
        <v>28</v>
      </c>
      <c r="D10" s="58">
        <v>28</v>
      </c>
      <c r="F10" s="33" t="s">
        <v>51</v>
      </c>
      <c r="G10" s="71">
        <v>34236.799306227294</v>
      </c>
      <c r="H10" s="45" t="s">
        <v>53</v>
      </c>
      <c r="I10" s="33" t="s">
        <v>217</v>
      </c>
      <c r="J10" s="47">
        <v>5</v>
      </c>
      <c r="K10" s="19">
        <v>-3.4</v>
      </c>
      <c r="L10" s="33" t="str">
        <f>"EW_sand_Ruled"&amp;"_"&amp;AR10</f>
        <v>EW_sand_Ruled_59</v>
      </c>
      <c r="M10" s="105" t="s">
        <v>64</v>
      </c>
      <c r="N10" s="47">
        <v>10</v>
      </c>
      <c r="O10" s="63">
        <v>0</v>
      </c>
      <c r="P10" s="63">
        <v>0</v>
      </c>
      <c r="Q10" s="47">
        <v>28</v>
      </c>
      <c r="R10" s="47">
        <f t="shared" ref="R10:R11" si="4">IF(Q10&lt;&gt;0,Q10-5,NA())</f>
        <v>23</v>
      </c>
      <c r="S10" s="47">
        <v>1.7</v>
      </c>
      <c r="T10" s="47">
        <v>0</v>
      </c>
      <c r="U10" s="75">
        <v>0</v>
      </c>
      <c r="V10" s="75">
        <v>0</v>
      </c>
      <c r="W10" s="47">
        <v>0</v>
      </c>
      <c r="X10" s="47">
        <v>13700</v>
      </c>
      <c r="Y10" s="47">
        <v>0</v>
      </c>
      <c r="Z10" s="47">
        <f t="shared" si="1"/>
        <v>75.399999999999977</v>
      </c>
      <c r="AA10" s="47">
        <v>1</v>
      </c>
      <c r="AB10" s="47">
        <f t="shared" si="2"/>
        <v>4040</v>
      </c>
      <c r="AC10" s="63">
        <v>57000</v>
      </c>
      <c r="AD10" s="63">
        <v>6071.42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3"/>
        <v>16.800000000000004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59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217</v>
      </c>
      <c r="J11" s="47">
        <v>6</v>
      </c>
      <c r="K11" s="19">
        <v>-9</v>
      </c>
      <c r="L11" s="33" t="str">
        <f>"EW_sand_Ruled"&amp;"_"&amp;AR11</f>
        <v>EW_sand_Ruled_70</v>
      </c>
      <c r="M11" s="105" t="s">
        <v>64</v>
      </c>
      <c r="N11" s="47">
        <v>10</v>
      </c>
      <c r="O11" s="63">
        <v>0</v>
      </c>
      <c r="P11" s="63">
        <v>0</v>
      </c>
      <c r="Q11" s="47">
        <v>28</v>
      </c>
      <c r="R11" s="47">
        <f t="shared" si="4"/>
        <v>23</v>
      </c>
      <c r="S11" s="47">
        <v>1.6</v>
      </c>
      <c r="T11" s="47">
        <v>0</v>
      </c>
      <c r="U11" s="75">
        <v>0</v>
      </c>
      <c r="V11" s="75">
        <v>0</v>
      </c>
      <c r="W11" s="47">
        <v>0</v>
      </c>
      <c r="X11" s="47">
        <v>25400</v>
      </c>
      <c r="Y11" s="47">
        <v>0</v>
      </c>
      <c r="Z11" s="47">
        <f t="shared" si="1"/>
        <v>75.399999999999977</v>
      </c>
      <c r="AA11" s="47">
        <v>1</v>
      </c>
      <c r="AB11" s="47">
        <f t="shared" si="2"/>
        <v>4040</v>
      </c>
      <c r="AC11" s="63">
        <v>96000</v>
      </c>
      <c r="AD11" s="63">
        <v>5689.65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16.800000000000004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70</v>
      </c>
      <c r="AS11" s="33">
        <v>0.4</v>
      </c>
    </row>
    <row r="12" spans="1:45" x14ac:dyDescent="0.25">
      <c r="A12" s="33" t="s">
        <v>74</v>
      </c>
      <c r="B12" s="57">
        <v>9.3000000000000007</v>
      </c>
      <c r="C12" s="45" t="s">
        <v>28</v>
      </c>
      <c r="E12" s="59"/>
      <c r="F12" s="56" t="s">
        <v>97</v>
      </c>
      <c r="G12" s="71">
        <v>4820.0097470429773</v>
      </c>
      <c r="H12" s="45" t="s">
        <v>53</v>
      </c>
      <c r="I12" s="33" t="s">
        <v>218</v>
      </c>
      <c r="J12" s="47">
        <v>7</v>
      </c>
      <c r="K12" s="19">
        <v>-14.8</v>
      </c>
      <c r="L12" s="116" t="s">
        <v>275</v>
      </c>
      <c r="M12" s="105" t="s">
        <v>65</v>
      </c>
      <c r="N12" s="47">
        <v>8.3000000000000007</v>
      </c>
      <c r="O12" s="63">
        <v>122</v>
      </c>
      <c r="P12" s="63">
        <v>7.32</v>
      </c>
      <c r="Q12" s="47">
        <v>0</v>
      </c>
      <c r="R12" s="47">
        <v>0</v>
      </c>
      <c r="S12" s="47">
        <v>2.6</v>
      </c>
      <c r="T12" s="47">
        <v>0</v>
      </c>
      <c r="U12" s="75">
        <v>1.7999999999999999E-2</v>
      </c>
      <c r="V12" s="75">
        <v>0</v>
      </c>
      <c r="W12" s="47">
        <v>0.5</v>
      </c>
      <c r="X12" s="47">
        <v>17300</v>
      </c>
      <c r="Y12" s="47">
        <v>0</v>
      </c>
      <c r="Z12" s="47" t="e">
        <f t="shared" si="1"/>
        <v>#N/A</v>
      </c>
      <c r="AA12" s="47">
        <v>1</v>
      </c>
      <c r="AB12" s="47" t="e">
        <f t="shared" si="2"/>
        <v>#N/A</v>
      </c>
      <c r="AC12" s="63">
        <v>159000</v>
      </c>
      <c r="AD12" s="63">
        <v>10000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3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219</v>
      </c>
      <c r="J13" s="47">
        <v>8</v>
      </c>
      <c r="K13" s="19">
        <v>-32</v>
      </c>
      <c r="L13" s="116" t="s">
        <v>275</v>
      </c>
      <c r="M13" s="105" t="s">
        <v>65</v>
      </c>
      <c r="N13" s="47">
        <v>8.5</v>
      </c>
      <c r="O13" s="63">
        <v>403</v>
      </c>
      <c r="P13" s="63">
        <v>-27.5</v>
      </c>
      <c r="Q13" s="47">
        <v>0</v>
      </c>
      <c r="R13" s="47">
        <v>0</v>
      </c>
      <c r="S13" s="47">
        <v>3</v>
      </c>
      <c r="T13" s="47">
        <v>0</v>
      </c>
      <c r="U13" s="75">
        <v>1.7999999999999999E-2</v>
      </c>
      <c r="V13" s="75">
        <v>0</v>
      </c>
      <c r="W13" s="47">
        <v>0.25</v>
      </c>
      <c r="X13" s="47">
        <v>31000</v>
      </c>
      <c r="Y13" s="47">
        <v>0</v>
      </c>
      <c r="Z13" s="47" t="e">
        <f t="shared" si="1"/>
        <v>#N/A</v>
      </c>
      <c r="AA13" s="47">
        <v>1</v>
      </c>
      <c r="AB13" s="47" t="e">
        <f t="shared" si="2"/>
        <v>#N/A</v>
      </c>
      <c r="AC13" s="63">
        <v>568000</v>
      </c>
      <c r="AD13" s="63">
        <v>-39500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3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220</v>
      </c>
      <c r="J14" s="47">
        <v>9</v>
      </c>
      <c r="K14" s="19">
        <v>-36</v>
      </c>
      <c r="L14" s="116" t="s">
        <v>275</v>
      </c>
      <c r="M14" s="105" t="s">
        <v>65</v>
      </c>
      <c r="N14" s="47">
        <v>8.8000000000000007</v>
      </c>
      <c r="O14" s="63">
        <v>1118</v>
      </c>
      <c r="P14" s="63">
        <v>-132.25</v>
      </c>
      <c r="Q14" s="47">
        <v>0</v>
      </c>
      <c r="R14" s="47">
        <v>0</v>
      </c>
      <c r="S14" s="47">
        <v>3</v>
      </c>
      <c r="T14" s="47">
        <v>0</v>
      </c>
      <c r="U14" s="75">
        <v>1.7999999999999999E-2</v>
      </c>
      <c r="V14" s="75">
        <v>0</v>
      </c>
      <c r="W14" s="47">
        <v>0.25</v>
      </c>
      <c r="X14" s="47">
        <v>69900</v>
      </c>
      <c r="Y14" s="47">
        <v>0</v>
      </c>
      <c r="Z14" s="47" t="e">
        <f t="shared" si="1"/>
        <v>#N/A</v>
      </c>
      <c r="AA14" s="47">
        <v>1</v>
      </c>
      <c r="AB14" s="47" t="e">
        <f t="shared" si="2"/>
        <v>#N/A</v>
      </c>
      <c r="AC14" s="63">
        <v>1282000</v>
      </c>
      <c r="AD14" s="63">
        <v>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 t="e">
        <f t="shared" si="3"/>
        <v>#N/A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220</v>
      </c>
      <c r="J15" s="47">
        <v>10</v>
      </c>
      <c r="K15" s="19">
        <v>-40</v>
      </c>
      <c r="L15" s="116" t="s">
        <v>275</v>
      </c>
      <c r="M15" s="105" t="s">
        <v>65</v>
      </c>
      <c r="N15" s="47">
        <v>8.8000000000000007</v>
      </c>
      <c r="O15" s="63">
        <v>409</v>
      </c>
      <c r="P15" s="63">
        <v>40</v>
      </c>
      <c r="Q15" s="47">
        <v>0</v>
      </c>
      <c r="R15" s="47">
        <v>0</v>
      </c>
      <c r="S15" s="47">
        <v>3</v>
      </c>
      <c r="T15" s="47">
        <v>0</v>
      </c>
      <c r="U15" s="75">
        <v>1.7999999999999999E-2</v>
      </c>
      <c r="V15" s="75">
        <v>0</v>
      </c>
      <c r="W15" s="47">
        <v>0.25</v>
      </c>
      <c r="X15" s="47">
        <v>40800</v>
      </c>
      <c r="Y15" s="47">
        <v>0</v>
      </c>
      <c r="Z15" s="47" t="e">
        <f t="shared" si="1"/>
        <v>#N/A</v>
      </c>
      <c r="AA15" s="47">
        <v>1</v>
      </c>
      <c r="AB15" s="47" t="e">
        <f t="shared" si="2"/>
        <v>#N/A</v>
      </c>
      <c r="AC15" s="63">
        <v>596000</v>
      </c>
      <c r="AD15" s="63">
        <v>65600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3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220</v>
      </c>
      <c r="J16" s="47">
        <v>11</v>
      </c>
      <c r="K16" s="19">
        <v>-45</v>
      </c>
      <c r="L16" s="116" t="s">
        <v>275</v>
      </c>
      <c r="M16" s="105" t="s">
        <v>65</v>
      </c>
      <c r="N16" s="47">
        <v>8.8000000000000007</v>
      </c>
      <c r="O16" s="63">
        <v>1214</v>
      </c>
      <c r="P16" s="63">
        <v>4.8</v>
      </c>
      <c r="Q16" s="47">
        <v>0</v>
      </c>
      <c r="R16" s="47">
        <v>0</v>
      </c>
      <c r="S16" s="47">
        <v>3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101700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2042000</v>
      </c>
      <c r="AD16" s="63">
        <v>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52"/>
      <c r="E17" s="152"/>
      <c r="I17" s="33" t="s">
        <v>221</v>
      </c>
      <c r="J17" s="47">
        <v>12</v>
      </c>
      <c r="K17" s="19">
        <v>-50</v>
      </c>
      <c r="L17" s="116" t="s">
        <v>275</v>
      </c>
      <c r="M17" s="105" t="s">
        <v>65</v>
      </c>
      <c r="N17" s="47">
        <v>8.5</v>
      </c>
      <c r="O17" s="63">
        <v>1365</v>
      </c>
      <c r="P17" s="63">
        <v>0</v>
      </c>
      <c r="Q17" s="47">
        <v>0</v>
      </c>
      <c r="R17" s="47">
        <v>0</v>
      </c>
      <c r="S17" s="47">
        <v>3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117100</v>
      </c>
      <c r="Y17" s="47">
        <v>0</v>
      </c>
      <c r="Z17" s="47" t="e">
        <f t="shared" si="1"/>
        <v>#N/A</v>
      </c>
      <c r="AA17" s="47">
        <v>1</v>
      </c>
      <c r="AB17" s="47" t="e">
        <f t="shared" si="2"/>
        <v>#N/A</v>
      </c>
      <c r="AC17" s="63">
        <v>2396000</v>
      </c>
      <c r="AD17" s="63">
        <v>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3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306</v>
      </c>
      <c r="J18" s="47">
        <v>13</v>
      </c>
      <c r="K18" s="19">
        <v>-57</v>
      </c>
      <c r="L18" s="116" t="s">
        <v>275</v>
      </c>
      <c r="M18" s="105" t="s">
        <v>65</v>
      </c>
      <c r="N18" s="47">
        <v>8.1</v>
      </c>
      <c r="O18" s="63">
        <v>465</v>
      </c>
      <c r="P18" s="63">
        <v>4.34</v>
      </c>
      <c r="Q18" s="47">
        <v>0</v>
      </c>
      <c r="R18" s="47">
        <v>0</v>
      </c>
      <c r="S18" s="47">
        <v>2</v>
      </c>
      <c r="T18" s="47">
        <v>0</v>
      </c>
      <c r="U18" s="75">
        <v>1.7999999999999999E-2</v>
      </c>
      <c r="V18" s="75">
        <v>0</v>
      </c>
      <c r="W18" s="47">
        <v>0.25</v>
      </c>
      <c r="X18" s="47">
        <v>45000</v>
      </c>
      <c r="Y18" s="47">
        <v>0</v>
      </c>
      <c r="Z18" s="47" t="e">
        <f t="shared" si="1"/>
        <v>#N/A</v>
      </c>
      <c r="AA18" s="47">
        <v>1</v>
      </c>
      <c r="AB18" s="47" t="e">
        <f t="shared" si="2"/>
        <v>#N/A</v>
      </c>
      <c r="AC18" s="63">
        <v>680000</v>
      </c>
      <c r="AD18" s="63">
        <v>8043.47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3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52" t="s">
        <v>38</v>
      </c>
      <c r="B19" s="152" t="s">
        <v>30</v>
      </c>
      <c r="C19" s="152" t="s">
        <v>59</v>
      </c>
      <c r="D19" s="43"/>
      <c r="E19" s="35"/>
      <c r="I19" s="33" t="s">
        <v>306</v>
      </c>
      <c r="J19" s="47">
        <v>14</v>
      </c>
      <c r="K19" s="19">
        <v>-80</v>
      </c>
      <c r="L19" s="116" t="s">
        <v>275</v>
      </c>
      <c r="M19" s="105" t="s">
        <v>65</v>
      </c>
      <c r="N19" s="47">
        <v>8.1</v>
      </c>
      <c r="O19" s="63">
        <v>565</v>
      </c>
      <c r="P19" s="63">
        <v>0</v>
      </c>
      <c r="Q19" s="47">
        <v>0</v>
      </c>
      <c r="R19" s="47">
        <v>0</v>
      </c>
      <c r="S19" s="47">
        <v>2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45000</v>
      </c>
      <c r="Y19" s="47">
        <v>0</v>
      </c>
      <c r="Z19" s="47" t="e">
        <f t="shared" si="1"/>
        <v>#N/A</v>
      </c>
      <c r="AA19" s="47">
        <v>1</v>
      </c>
      <c r="AB19" s="47" t="e">
        <f t="shared" si="2"/>
        <v>#N/A</v>
      </c>
      <c r="AC19" s="63">
        <v>865000</v>
      </c>
      <c r="AD19" s="63">
        <v>0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3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</row>
    <row r="30" spans="1:45" x14ac:dyDescent="0.25">
      <c r="A30" s="66"/>
      <c r="B30" s="66"/>
      <c r="C30" s="67"/>
      <c r="D30" s="35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</row>
    <row r="42" spans="1:42" x14ac:dyDescent="0.25">
      <c r="L42" s="49"/>
      <c r="AE42" s="33">
        <v>18</v>
      </c>
      <c r="AF42" s="33">
        <f t="shared" si="5"/>
        <v>59.399999999999991</v>
      </c>
      <c r="AG42" s="33">
        <f t="shared" si="6"/>
        <v>2500</v>
      </c>
      <c r="AH42" s="33">
        <f t="shared" si="7"/>
        <v>10.400000000000002</v>
      </c>
    </row>
    <row r="43" spans="1:42" x14ac:dyDescent="0.25">
      <c r="L43" s="49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</row>
    <row r="44" spans="1:42" x14ac:dyDescent="0.25">
      <c r="L44" s="49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2" x14ac:dyDescent="0.25">
      <c r="L47" s="49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2" x14ac:dyDescent="0.25">
      <c r="L48" s="49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9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9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9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9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9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9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9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1:AP36 Q31:Q36 AM20:AP21 N31:N36 Q20:Q21 N20:N21">
    <cfRule type="expression" dxfId="3472" priority="14">
      <formula>$L20="API sand"</formula>
    </cfRule>
  </conditionalFormatting>
  <conditionalFormatting sqref="R20:S20 R31:S36 AB31:AB35 AJ31:AL36 Z31:Z36 S21 AD21 AB20:AB21 N31:N36 AJ20:AL21 Z20:Z21 N20:N21">
    <cfRule type="expression" dxfId="3471" priority="13">
      <formula>$M20="API sand"</formula>
    </cfRule>
  </conditionalFormatting>
  <conditionalFormatting sqref="R20:T20 R31:T36 Z31:AB35 S21:T21 AD21 AK31:AL36 N31:N36 Z20:AB21 N20:N21 AK20:AL21">
    <cfRule type="expression" dxfId="3470" priority="12">
      <formula>$M20="API clay"</formula>
    </cfRule>
  </conditionalFormatting>
  <conditionalFormatting sqref="U31:W36 U20:W21 AM31:AP36 N31:P36 N20:N21 P20:P21 AM20:AP21">
    <cfRule type="expression" dxfId="3469" priority="9">
      <formula>$L20="Stiff clay w/o free water"</formula>
    </cfRule>
    <cfRule type="expression" dxfId="3468" priority="11">
      <formula>$L20="API clay"</formula>
    </cfRule>
  </conditionalFormatting>
  <conditionalFormatting sqref="U31:Y36 U20:Y21 AM31:AP36 N31:P36 N20:N21 P20:P21 AM20:AP21">
    <cfRule type="expression" dxfId="3467" priority="10">
      <formula>$L20="Kirsch soft clay"</formula>
    </cfRule>
  </conditionalFormatting>
  <conditionalFormatting sqref="U31:Y36 U20:Y21 AM31:AP36 N31:P36 N20:N21 P20:P21 AM20:AP21">
    <cfRule type="expression" dxfId="3466" priority="8">
      <formula>$L20="Kirsch stiff clay"</formula>
    </cfRule>
  </conditionalFormatting>
  <conditionalFormatting sqref="AM31:AP36 Q31:Q36 X31:Y36 AM20:AP21 N31:N36 X20:Y21 Q20:Q21 N20:N21">
    <cfRule type="expression" dxfId="3465" priority="7">
      <formula>$L20="Kirsch sand"</formula>
    </cfRule>
  </conditionalFormatting>
  <conditionalFormatting sqref="AC31:AD36 AI31:AI36 AM31:AP36 N31:N36 AI20:AI21 AC20:AD21 N20:N21 AM20:AP21">
    <cfRule type="expression" dxfId="3464" priority="6">
      <formula>$L20="Modified Weak rock"</formula>
    </cfRule>
  </conditionalFormatting>
  <conditionalFormatting sqref="AM31:AP36 N31:P36 N20:N21 P20:P21 U31:V36 U20:V21 AM20:AP21">
    <cfRule type="expression" dxfId="3463" priority="5">
      <formula>$L20="Reese stiff clay"</formula>
    </cfRule>
  </conditionalFormatting>
  <conditionalFormatting sqref="AB36">
    <cfRule type="expression" dxfId="3462" priority="4">
      <formula>$M36="API sand"</formula>
    </cfRule>
  </conditionalFormatting>
  <conditionalFormatting sqref="Z36:AB36">
    <cfRule type="expression" dxfId="3461" priority="3">
      <formula>$M36="API clay"</formula>
    </cfRule>
  </conditionalFormatting>
  <conditionalFormatting sqref="O20:O21">
    <cfRule type="expression" dxfId="3460" priority="2">
      <formula>$L20="API sand"</formula>
    </cfRule>
  </conditionalFormatting>
  <conditionalFormatting sqref="O20:O21">
    <cfRule type="expression" dxfId="3459" priority="1">
      <formula>$L20="Kirsch sand"</formula>
    </cfRule>
  </conditionalFormatting>
  <conditionalFormatting sqref="AE37:AH37">
    <cfRule type="expression" dxfId="3458" priority="15">
      <formula>$L19="Modified Weak rock"</formula>
    </cfRule>
  </conditionalFormatting>
  <dataValidations count="4">
    <dataValidation type="list" showInputMessage="1" showErrorMessage="1" sqref="L31:L255 L20:L21" xr:uid="{DA162140-94D4-485B-9964-FA84B465DCBD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9" xr:uid="{077CD8A1-E610-458D-B89C-08C95510E8E5}">
      <formula1>"Zero soil,API sand,API clay"</formula1>
    </dataValidation>
    <dataValidation type="list" showInputMessage="1" showErrorMessage="1" sqref="M31:M36 M20:M21" xr:uid="{69134625-C5BB-4712-A660-7734223E3AF7}">
      <formula1>"',API sand,API clay"</formula1>
    </dataValidation>
    <dataValidation showInputMessage="1" showErrorMessage="1" sqref="L9 L12:L19" xr:uid="{B8C547BF-CB05-41F8-90C8-4E1FC3E96C22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D3BDA-E3A7-4177-B8B0-83CE01E3FBC9}">
  <sheetPr>
    <tabColor rgb="FF00B0F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Ak_Pisa_WTG8_RBB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51"/>
      <c r="R3" s="155"/>
      <c r="S3" s="155"/>
      <c r="T3" s="151"/>
      <c r="U3" s="155"/>
      <c r="V3" s="155"/>
      <c r="W3" s="151"/>
      <c r="X3" s="69"/>
      <c r="Y3" s="151"/>
      <c r="Z3" s="151"/>
      <c r="AA3" s="151"/>
      <c r="AB3" s="151"/>
      <c r="AC3" s="69"/>
      <c r="AD3" s="39"/>
      <c r="AE3" s="39"/>
      <c r="AF3" s="39"/>
      <c r="AG3" s="39"/>
      <c r="AH3" s="39"/>
      <c r="AI3" s="39"/>
      <c r="AJ3" s="151"/>
      <c r="AK3" s="151"/>
      <c r="AL3" s="151"/>
      <c r="AM3" s="151"/>
      <c r="AN3" s="151"/>
      <c r="AO3" s="151"/>
      <c r="AP3" s="151"/>
    </row>
    <row r="4" spans="1:45" x14ac:dyDescent="0.25">
      <c r="A4" s="40" t="s">
        <v>60</v>
      </c>
      <c r="B4" s="33">
        <f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2" t="s">
        <v>38</v>
      </c>
      <c r="K5" s="152" t="s">
        <v>30</v>
      </c>
      <c r="L5" s="152" t="s">
        <v>31</v>
      </c>
      <c r="M5" s="152" t="s">
        <v>31</v>
      </c>
      <c r="N5" s="152" t="s">
        <v>32</v>
      </c>
      <c r="O5" s="152" t="s">
        <v>33</v>
      </c>
      <c r="P5" s="152" t="s">
        <v>35</v>
      </c>
      <c r="Q5" s="152" t="s">
        <v>36</v>
      </c>
      <c r="R5" s="152" t="s">
        <v>36</v>
      </c>
      <c r="S5" s="152" t="s">
        <v>34</v>
      </c>
      <c r="T5" s="152" t="s">
        <v>33</v>
      </c>
      <c r="U5" s="152" t="s">
        <v>34</v>
      </c>
      <c r="V5" s="152" t="s">
        <v>62</v>
      </c>
      <c r="W5" s="152" t="s">
        <v>34</v>
      </c>
      <c r="X5" s="152" t="s">
        <v>33</v>
      </c>
      <c r="Y5" s="152" t="s">
        <v>35</v>
      </c>
      <c r="Z5" s="152" t="s">
        <v>33</v>
      </c>
      <c r="AA5" s="152" t="s">
        <v>34</v>
      </c>
      <c r="AB5" s="152" t="s">
        <v>33</v>
      </c>
      <c r="AC5" s="152" t="s">
        <v>33</v>
      </c>
      <c r="AD5" s="152" t="s">
        <v>35</v>
      </c>
      <c r="AE5" s="152" t="s">
        <v>34</v>
      </c>
      <c r="AF5" s="152" t="s">
        <v>33</v>
      </c>
      <c r="AG5" s="152" t="s">
        <v>35</v>
      </c>
      <c r="AH5" s="152" t="s">
        <v>34</v>
      </c>
      <c r="AI5" s="152" t="s">
        <v>34</v>
      </c>
      <c r="AJ5" s="152" t="s">
        <v>34</v>
      </c>
      <c r="AK5" s="152" t="s">
        <v>34</v>
      </c>
      <c r="AL5" s="152" t="s">
        <v>34</v>
      </c>
      <c r="AM5" s="152" t="s">
        <v>34</v>
      </c>
      <c r="AN5" s="152" t="s">
        <v>34</v>
      </c>
      <c r="AO5" s="152" t="s">
        <v>34</v>
      </c>
      <c r="AP5" s="152" t="s">
        <v>34</v>
      </c>
      <c r="AQ5" s="152" t="s">
        <v>103</v>
      </c>
      <c r="AR5" s="152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EW_sand_Ruled_94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38</v>
      </c>
      <c r="R6" s="47">
        <f t="shared" ref="R6:R8" si="0">IF(Q6&lt;&gt;0,Q6-5,NA())</f>
        <v>33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12800</v>
      </c>
      <c r="Y6" s="47">
        <v>0</v>
      </c>
      <c r="Z6" s="47">
        <f>VLOOKUP(R6,$AE$39:$AF$59,2)</f>
        <v>107.39999999999996</v>
      </c>
      <c r="AA6" s="47">
        <v>1</v>
      </c>
      <c r="AB6" s="47">
        <f>VLOOKUP(R6,$AE$39:$AG$59,3)</f>
        <v>11040</v>
      </c>
      <c r="AC6" s="63">
        <v>6000</v>
      </c>
      <c r="AD6" s="63">
        <v>33333.33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>VLOOKUP(R6,$AE$39:$AH$59,4)</f>
        <v>46.000000000000007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94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19">
        <v>-0.9</v>
      </c>
      <c r="L7" s="33" t="str">
        <f>"EW_sand_Ruled"&amp;"_"&amp;AR7</f>
        <v>EW_sand_Ruled_77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39</v>
      </c>
      <c r="R7" s="47">
        <f t="shared" si="0"/>
        <v>34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26200</v>
      </c>
      <c r="Y7" s="47">
        <v>0</v>
      </c>
      <c r="Z7" s="47">
        <f t="shared" ref="Z7:Z19" si="1">VLOOKUP(R7,$AE$39:$AF$59,2)</f>
        <v>111.19999999999996</v>
      </c>
      <c r="AA7" s="47">
        <v>1</v>
      </c>
      <c r="AB7" s="47">
        <f t="shared" ref="AB7:AB19" si="2">VLOOKUP(R7,$AE$39:$AG$59,3)</f>
        <v>11520</v>
      </c>
      <c r="AC7" s="63">
        <v>39000</v>
      </c>
      <c r="AD7" s="63">
        <v>1111.1099999999999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ref="AJ7:AJ19" si="3">VLOOKUP(R7,$AE$39:$AH$59,4)</f>
        <v>48.000000000000007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77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31880.742314246338</v>
      </c>
      <c r="H8" s="45" t="s">
        <v>53</v>
      </c>
      <c r="I8" s="33" t="s">
        <v>279</v>
      </c>
      <c r="J8" s="47">
        <v>3</v>
      </c>
      <c r="K8" s="19">
        <v>-1.8</v>
      </c>
      <c r="L8" s="33" t="str">
        <f>"EW_sand_Ruled"&amp;"_"&amp;AR8</f>
        <v>EW_sand_Ruled_51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36</v>
      </c>
      <c r="R8" s="47">
        <f t="shared" si="0"/>
        <v>31</v>
      </c>
      <c r="S8" s="47">
        <v>0.5</v>
      </c>
      <c r="T8" s="47">
        <v>0</v>
      </c>
      <c r="U8" s="75">
        <v>0</v>
      </c>
      <c r="V8" s="75">
        <v>0</v>
      </c>
      <c r="W8" s="47">
        <v>0</v>
      </c>
      <c r="X8" s="47">
        <v>15900</v>
      </c>
      <c r="Y8" s="47">
        <v>0</v>
      </c>
      <c r="Z8" s="47">
        <f t="shared" si="1"/>
        <v>99.799999999999969</v>
      </c>
      <c r="AA8" s="47">
        <v>1</v>
      </c>
      <c r="AB8" s="47">
        <f t="shared" si="2"/>
        <v>10080</v>
      </c>
      <c r="AC8" s="63">
        <v>40000</v>
      </c>
      <c r="AD8" s="63">
        <v>-3333.33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42.000000000000007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51</v>
      </c>
      <c r="AS8" s="33">
        <v>0.4</v>
      </c>
    </row>
    <row r="9" spans="1:45" x14ac:dyDescent="0.25">
      <c r="A9" s="33" t="s">
        <v>68</v>
      </c>
      <c r="B9" s="57">
        <v>34</v>
      </c>
      <c r="C9" s="45" t="s">
        <v>28</v>
      </c>
      <c r="D9" s="57">
        <v>28</v>
      </c>
      <c r="F9" s="33" t="s">
        <v>96</v>
      </c>
      <c r="G9" s="76">
        <v>-1034274.53928079</v>
      </c>
      <c r="H9" s="45" t="s">
        <v>54</v>
      </c>
      <c r="I9" s="33" t="s">
        <v>216</v>
      </c>
      <c r="J9" s="47">
        <v>4</v>
      </c>
      <c r="K9" s="19">
        <v>-2.4</v>
      </c>
      <c r="L9" s="116" t="s">
        <v>275</v>
      </c>
      <c r="M9" s="105" t="s">
        <v>65</v>
      </c>
      <c r="N9" s="47">
        <v>9.3000000000000007</v>
      </c>
      <c r="O9" s="63">
        <v>20</v>
      </c>
      <c r="P9" s="63">
        <v>25</v>
      </c>
      <c r="Q9" s="47">
        <v>0</v>
      </c>
      <c r="R9" s="47">
        <v>0</v>
      </c>
      <c r="S9" s="47">
        <v>3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2900</v>
      </c>
      <c r="Y9" s="47">
        <v>0</v>
      </c>
      <c r="Z9" s="47" t="e">
        <f t="shared" si="1"/>
        <v>#N/A</v>
      </c>
      <c r="AA9" s="47">
        <v>1</v>
      </c>
      <c r="AB9" s="47" t="e">
        <f t="shared" si="2"/>
        <v>#N/A</v>
      </c>
      <c r="AC9" s="63">
        <v>18000</v>
      </c>
      <c r="AD9" s="63">
        <v>190000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3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34</v>
      </c>
      <c r="C10" s="45" t="s">
        <v>28</v>
      </c>
      <c r="D10" s="58">
        <v>28</v>
      </c>
      <c r="F10" s="33" t="s">
        <v>51</v>
      </c>
      <c r="G10" s="71">
        <v>24726.251557448941</v>
      </c>
      <c r="H10" s="45" t="s">
        <v>53</v>
      </c>
      <c r="I10" s="33" t="s">
        <v>217</v>
      </c>
      <c r="J10" s="47">
        <v>5</v>
      </c>
      <c r="K10" s="19">
        <v>-3.4</v>
      </c>
      <c r="L10" s="33" t="str">
        <f>"EW_sand_Ruled"&amp;"_"&amp;AR10</f>
        <v>EW_sand_Ruled_59</v>
      </c>
      <c r="M10" s="105" t="s">
        <v>64</v>
      </c>
      <c r="N10" s="47">
        <v>10</v>
      </c>
      <c r="O10" s="63">
        <v>0</v>
      </c>
      <c r="P10" s="63">
        <v>0</v>
      </c>
      <c r="Q10" s="47">
        <v>28</v>
      </c>
      <c r="R10" s="47">
        <f t="shared" ref="R10:R11" si="4">IF(Q10&lt;&gt;0,Q10-5,NA())</f>
        <v>23</v>
      </c>
      <c r="S10" s="47">
        <v>1.7</v>
      </c>
      <c r="T10" s="47">
        <v>0</v>
      </c>
      <c r="U10" s="75">
        <v>0</v>
      </c>
      <c r="V10" s="75">
        <v>0</v>
      </c>
      <c r="W10" s="47">
        <v>0</v>
      </c>
      <c r="X10" s="47">
        <v>13700</v>
      </c>
      <c r="Y10" s="47">
        <v>0</v>
      </c>
      <c r="Z10" s="47">
        <f t="shared" si="1"/>
        <v>75.399999999999977</v>
      </c>
      <c r="AA10" s="47">
        <v>1</v>
      </c>
      <c r="AB10" s="47">
        <f t="shared" si="2"/>
        <v>4040</v>
      </c>
      <c r="AC10" s="63">
        <v>57000</v>
      </c>
      <c r="AD10" s="63">
        <v>6071.42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3"/>
        <v>16.800000000000004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59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217</v>
      </c>
      <c r="J11" s="47">
        <v>6</v>
      </c>
      <c r="K11" s="19">
        <v>-9</v>
      </c>
      <c r="L11" s="33" t="str">
        <f>"EW_sand_Ruled"&amp;"_"&amp;AR11</f>
        <v>EW_sand_Ruled_70</v>
      </c>
      <c r="M11" s="105" t="s">
        <v>64</v>
      </c>
      <c r="N11" s="47">
        <v>10</v>
      </c>
      <c r="O11" s="63">
        <v>0</v>
      </c>
      <c r="P11" s="63">
        <v>0</v>
      </c>
      <c r="Q11" s="47">
        <v>28</v>
      </c>
      <c r="R11" s="47">
        <f t="shared" si="4"/>
        <v>23</v>
      </c>
      <c r="S11" s="47">
        <v>1.6</v>
      </c>
      <c r="T11" s="47">
        <v>0</v>
      </c>
      <c r="U11" s="75">
        <v>0</v>
      </c>
      <c r="V11" s="75">
        <v>0</v>
      </c>
      <c r="W11" s="47">
        <v>0</v>
      </c>
      <c r="X11" s="47">
        <v>25400</v>
      </c>
      <c r="Y11" s="47">
        <v>0</v>
      </c>
      <c r="Z11" s="47">
        <f t="shared" si="1"/>
        <v>75.399999999999977</v>
      </c>
      <c r="AA11" s="47">
        <v>1</v>
      </c>
      <c r="AB11" s="47">
        <f t="shared" si="2"/>
        <v>4040</v>
      </c>
      <c r="AC11" s="63">
        <v>96000</v>
      </c>
      <c r="AD11" s="63">
        <v>5689.65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16.800000000000004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70</v>
      </c>
      <c r="AS11" s="33">
        <v>0.4</v>
      </c>
    </row>
    <row r="12" spans="1:45" x14ac:dyDescent="0.25">
      <c r="A12" s="33" t="s">
        <v>74</v>
      </c>
      <c r="B12" s="57">
        <v>9.3000000000000007</v>
      </c>
      <c r="C12" s="45" t="s">
        <v>28</v>
      </c>
      <c r="E12" s="59"/>
      <c r="F12" s="56" t="s">
        <v>97</v>
      </c>
      <c r="G12" s="71">
        <v>5239.6506589399823</v>
      </c>
      <c r="H12" s="45" t="s">
        <v>53</v>
      </c>
      <c r="I12" s="33" t="s">
        <v>218</v>
      </c>
      <c r="J12" s="47">
        <v>7</v>
      </c>
      <c r="K12" s="19">
        <v>-14.8</v>
      </c>
      <c r="L12" s="116" t="s">
        <v>275</v>
      </c>
      <c r="M12" s="105" t="s">
        <v>65</v>
      </c>
      <c r="N12" s="47">
        <v>8.3000000000000007</v>
      </c>
      <c r="O12" s="63">
        <v>122</v>
      </c>
      <c r="P12" s="63">
        <v>7.32</v>
      </c>
      <c r="Q12" s="47">
        <v>0</v>
      </c>
      <c r="R12" s="47">
        <v>0</v>
      </c>
      <c r="S12" s="47">
        <v>2.6</v>
      </c>
      <c r="T12" s="47">
        <v>0</v>
      </c>
      <c r="U12" s="75">
        <v>1.7999999999999999E-2</v>
      </c>
      <c r="V12" s="75">
        <v>0</v>
      </c>
      <c r="W12" s="47">
        <v>0.5</v>
      </c>
      <c r="X12" s="47">
        <v>17300</v>
      </c>
      <c r="Y12" s="47">
        <v>0</v>
      </c>
      <c r="Z12" s="47" t="e">
        <f t="shared" si="1"/>
        <v>#N/A</v>
      </c>
      <c r="AA12" s="47">
        <v>1</v>
      </c>
      <c r="AB12" s="47" t="e">
        <f t="shared" si="2"/>
        <v>#N/A</v>
      </c>
      <c r="AC12" s="63">
        <v>159000</v>
      </c>
      <c r="AD12" s="63">
        <v>10000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3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219</v>
      </c>
      <c r="J13" s="47">
        <v>8</v>
      </c>
      <c r="K13" s="19">
        <v>-32</v>
      </c>
      <c r="L13" s="116" t="s">
        <v>275</v>
      </c>
      <c r="M13" s="105" t="s">
        <v>65</v>
      </c>
      <c r="N13" s="47">
        <v>8.5</v>
      </c>
      <c r="O13" s="63">
        <v>403</v>
      </c>
      <c r="P13" s="63">
        <v>-27.5</v>
      </c>
      <c r="Q13" s="47">
        <v>0</v>
      </c>
      <c r="R13" s="47">
        <v>0</v>
      </c>
      <c r="S13" s="47">
        <v>3</v>
      </c>
      <c r="T13" s="47">
        <v>0</v>
      </c>
      <c r="U13" s="75">
        <v>1.7999999999999999E-2</v>
      </c>
      <c r="V13" s="75">
        <v>0</v>
      </c>
      <c r="W13" s="47">
        <v>0.25</v>
      </c>
      <c r="X13" s="47">
        <v>31000</v>
      </c>
      <c r="Y13" s="47">
        <v>0</v>
      </c>
      <c r="Z13" s="47" t="e">
        <f t="shared" si="1"/>
        <v>#N/A</v>
      </c>
      <c r="AA13" s="47">
        <v>1</v>
      </c>
      <c r="AB13" s="47" t="e">
        <f t="shared" si="2"/>
        <v>#N/A</v>
      </c>
      <c r="AC13" s="63">
        <v>568000</v>
      </c>
      <c r="AD13" s="63">
        <v>-39500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3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220</v>
      </c>
      <c r="J14" s="47">
        <v>9</v>
      </c>
      <c r="K14" s="19">
        <v>-36</v>
      </c>
      <c r="L14" s="116" t="s">
        <v>275</v>
      </c>
      <c r="M14" s="105" t="s">
        <v>65</v>
      </c>
      <c r="N14" s="47">
        <v>8.8000000000000007</v>
      </c>
      <c r="O14" s="63">
        <v>1118</v>
      </c>
      <c r="P14" s="63">
        <v>-132.25</v>
      </c>
      <c r="Q14" s="47">
        <v>0</v>
      </c>
      <c r="R14" s="47">
        <v>0</v>
      </c>
      <c r="S14" s="47">
        <v>3</v>
      </c>
      <c r="T14" s="47">
        <v>0</v>
      </c>
      <c r="U14" s="75">
        <v>1.7999999999999999E-2</v>
      </c>
      <c r="V14" s="75">
        <v>0</v>
      </c>
      <c r="W14" s="47">
        <v>0.25</v>
      </c>
      <c r="X14" s="47">
        <v>69900</v>
      </c>
      <c r="Y14" s="47">
        <v>0</v>
      </c>
      <c r="Z14" s="47" t="e">
        <f t="shared" si="1"/>
        <v>#N/A</v>
      </c>
      <c r="AA14" s="47">
        <v>1</v>
      </c>
      <c r="AB14" s="47" t="e">
        <f t="shared" si="2"/>
        <v>#N/A</v>
      </c>
      <c r="AC14" s="63">
        <v>1282000</v>
      </c>
      <c r="AD14" s="63">
        <v>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 t="e">
        <f t="shared" si="3"/>
        <v>#N/A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220</v>
      </c>
      <c r="J15" s="47">
        <v>10</v>
      </c>
      <c r="K15" s="19">
        <v>-40</v>
      </c>
      <c r="L15" s="116" t="s">
        <v>275</v>
      </c>
      <c r="M15" s="105" t="s">
        <v>65</v>
      </c>
      <c r="N15" s="47">
        <v>8.8000000000000007</v>
      </c>
      <c r="O15" s="63">
        <v>409</v>
      </c>
      <c r="P15" s="63">
        <v>40</v>
      </c>
      <c r="Q15" s="47">
        <v>0</v>
      </c>
      <c r="R15" s="47">
        <v>0</v>
      </c>
      <c r="S15" s="47">
        <v>3</v>
      </c>
      <c r="T15" s="47">
        <v>0</v>
      </c>
      <c r="U15" s="75">
        <v>1.7999999999999999E-2</v>
      </c>
      <c r="V15" s="75">
        <v>0</v>
      </c>
      <c r="W15" s="47">
        <v>0.25</v>
      </c>
      <c r="X15" s="47">
        <v>40800</v>
      </c>
      <c r="Y15" s="47">
        <v>0</v>
      </c>
      <c r="Z15" s="47" t="e">
        <f t="shared" si="1"/>
        <v>#N/A</v>
      </c>
      <c r="AA15" s="47">
        <v>1</v>
      </c>
      <c r="AB15" s="47" t="e">
        <f t="shared" si="2"/>
        <v>#N/A</v>
      </c>
      <c r="AC15" s="63">
        <v>596000</v>
      </c>
      <c r="AD15" s="63">
        <v>65600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3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220</v>
      </c>
      <c r="J16" s="47">
        <v>11</v>
      </c>
      <c r="K16" s="19">
        <v>-45</v>
      </c>
      <c r="L16" s="116" t="s">
        <v>275</v>
      </c>
      <c r="M16" s="105" t="s">
        <v>65</v>
      </c>
      <c r="N16" s="47">
        <v>8.8000000000000007</v>
      </c>
      <c r="O16" s="63">
        <v>1214</v>
      </c>
      <c r="P16" s="63">
        <v>4.8</v>
      </c>
      <c r="Q16" s="47">
        <v>0</v>
      </c>
      <c r="R16" s="47">
        <v>0</v>
      </c>
      <c r="S16" s="47">
        <v>3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101700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2042000</v>
      </c>
      <c r="AD16" s="63">
        <v>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52"/>
      <c r="E17" s="152"/>
      <c r="I17" s="33" t="s">
        <v>221</v>
      </c>
      <c r="J17" s="47">
        <v>12</v>
      </c>
      <c r="K17" s="19">
        <v>-50</v>
      </c>
      <c r="L17" s="116" t="s">
        <v>275</v>
      </c>
      <c r="M17" s="105" t="s">
        <v>65</v>
      </c>
      <c r="N17" s="47">
        <v>8.5</v>
      </c>
      <c r="O17" s="63">
        <v>1365</v>
      </c>
      <c r="P17" s="63">
        <v>0</v>
      </c>
      <c r="Q17" s="47">
        <v>0</v>
      </c>
      <c r="R17" s="47">
        <v>0</v>
      </c>
      <c r="S17" s="47">
        <v>3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117100</v>
      </c>
      <c r="Y17" s="47">
        <v>0</v>
      </c>
      <c r="Z17" s="47" t="e">
        <f t="shared" si="1"/>
        <v>#N/A</v>
      </c>
      <c r="AA17" s="47">
        <v>1</v>
      </c>
      <c r="AB17" s="47" t="e">
        <f t="shared" si="2"/>
        <v>#N/A</v>
      </c>
      <c r="AC17" s="63">
        <v>2396000</v>
      </c>
      <c r="AD17" s="63">
        <v>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3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306</v>
      </c>
      <c r="J18" s="47">
        <v>13</v>
      </c>
      <c r="K18" s="19">
        <v>-57</v>
      </c>
      <c r="L18" s="116" t="s">
        <v>275</v>
      </c>
      <c r="M18" s="105" t="s">
        <v>65</v>
      </c>
      <c r="N18" s="47">
        <v>8.1</v>
      </c>
      <c r="O18" s="63">
        <v>465</v>
      </c>
      <c r="P18" s="63">
        <v>4.34</v>
      </c>
      <c r="Q18" s="47">
        <v>0</v>
      </c>
      <c r="R18" s="47">
        <v>0</v>
      </c>
      <c r="S18" s="47">
        <v>2</v>
      </c>
      <c r="T18" s="47">
        <v>0</v>
      </c>
      <c r="U18" s="75">
        <v>1.7999999999999999E-2</v>
      </c>
      <c r="V18" s="75">
        <v>0</v>
      </c>
      <c r="W18" s="47">
        <v>0.25</v>
      </c>
      <c r="X18" s="47">
        <v>45000</v>
      </c>
      <c r="Y18" s="47">
        <v>0</v>
      </c>
      <c r="Z18" s="47" t="e">
        <f t="shared" si="1"/>
        <v>#N/A</v>
      </c>
      <c r="AA18" s="47">
        <v>1</v>
      </c>
      <c r="AB18" s="47" t="e">
        <f t="shared" si="2"/>
        <v>#N/A</v>
      </c>
      <c r="AC18" s="63">
        <v>680000</v>
      </c>
      <c r="AD18" s="63">
        <v>8043.47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3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52" t="s">
        <v>38</v>
      </c>
      <c r="B19" s="152" t="s">
        <v>30</v>
      </c>
      <c r="C19" s="152" t="s">
        <v>59</v>
      </c>
      <c r="D19" s="43"/>
      <c r="E19" s="35"/>
      <c r="I19" s="33" t="s">
        <v>306</v>
      </c>
      <c r="J19" s="47">
        <v>14</v>
      </c>
      <c r="K19" s="19">
        <v>-80</v>
      </c>
      <c r="L19" s="116" t="s">
        <v>275</v>
      </c>
      <c r="M19" s="105" t="s">
        <v>65</v>
      </c>
      <c r="N19" s="47">
        <v>8.1</v>
      </c>
      <c r="O19" s="63">
        <v>565</v>
      </c>
      <c r="P19" s="63">
        <v>0</v>
      </c>
      <c r="Q19" s="47">
        <v>0</v>
      </c>
      <c r="R19" s="47">
        <v>0</v>
      </c>
      <c r="S19" s="47">
        <v>2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45000</v>
      </c>
      <c r="Y19" s="47">
        <v>0</v>
      </c>
      <c r="Z19" s="47" t="e">
        <f t="shared" si="1"/>
        <v>#N/A</v>
      </c>
      <c r="AA19" s="47">
        <v>1</v>
      </c>
      <c r="AB19" s="47" t="e">
        <f t="shared" si="2"/>
        <v>#N/A</v>
      </c>
      <c r="AC19" s="63">
        <v>865000</v>
      </c>
      <c r="AD19" s="63">
        <v>0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3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</row>
    <row r="30" spans="1:45" x14ac:dyDescent="0.25">
      <c r="A30" s="66"/>
      <c r="B30" s="66"/>
      <c r="C30" s="67"/>
      <c r="D30" s="35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</row>
    <row r="42" spans="1:42" x14ac:dyDescent="0.25">
      <c r="L42" s="49"/>
      <c r="AE42" s="33">
        <v>18</v>
      </c>
      <c r="AF42" s="33">
        <f t="shared" si="5"/>
        <v>59.399999999999991</v>
      </c>
      <c r="AG42" s="33">
        <f t="shared" si="6"/>
        <v>2500</v>
      </c>
      <c r="AH42" s="33">
        <f t="shared" si="7"/>
        <v>10.400000000000002</v>
      </c>
    </row>
    <row r="43" spans="1:42" x14ac:dyDescent="0.25">
      <c r="L43" s="49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</row>
    <row r="44" spans="1:42" x14ac:dyDescent="0.25">
      <c r="L44" s="49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2" x14ac:dyDescent="0.25">
      <c r="L47" s="49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2" x14ac:dyDescent="0.25">
      <c r="L48" s="49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9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9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9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9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9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9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9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1:AP36 Q31:Q36 AM20:AP21 N31:N36 Q20:Q21 N20:N21">
    <cfRule type="expression" dxfId="3457" priority="14">
      <formula>$L20="API sand"</formula>
    </cfRule>
  </conditionalFormatting>
  <conditionalFormatting sqref="R20:S20 R31:S36 AB31:AB35 AJ31:AL36 Z31:Z36 S21 AD21 AB20:AB21 N31:N36 AJ20:AL21 Z20:Z21 N20:N21">
    <cfRule type="expression" dxfId="3456" priority="13">
      <formula>$M20="API sand"</formula>
    </cfRule>
  </conditionalFormatting>
  <conditionalFormatting sqref="R20:T20 R31:T36 Z31:AB35 S21:T21 AD21 AK31:AL36 N31:N36 Z20:AB21 N20:N21 AK20:AL21">
    <cfRule type="expression" dxfId="3455" priority="12">
      <formula>$M20="API clay"</formula>
    </cfRule>
  </conditionalFormatting>
  <conditionalFormatting sqref="U31:W36 U20:W21 AM31:AP36 N31:P36 N20:N21 P20:P21 AM20:AP21">
    <cfRule type="expression" dxfId="3454" priority="9">
      <formula>$L20="Stiff clay w/o free water"</formula>
    </cfRule>
    <cfRule type="expression" dxfId="3453" priority="11">
      <formula>$L20="API clay"</formula>
    </cfRule>
  </conditionalFormatting>
  <conditionalFormatting sqref="U31:Y36 U20:Y21 AM31:AP36 N31:P36 N20:N21 P20:P21 AM20:AP21">
    <cfRule type="expression" dxfId="3452" priority="10">
      <formula>$L20="Kirsch soft clay"</formula>
    </cfRule>
  </conditionalFormatting>
  <conditionalFormatting sqref="U31:Y36 U20:Y21 AM31:AP36 N31:P36 N20:N21 P20:P21 AM20:AP21">
    <cfRule type="expression" dxfId="3451" priority="8">
      <formula>$L20="Kirsch stiff clay"</formula>
    </cfRule>
  </conditionalFormatting>
  <conditionalFormatting sqref="AM31:AP36 Q31:Q36 X31:Y36 AM20:AP21 N31:N36 X20:Y21 Q20:Q21 N20:N21">
    <cfRule type="expression" dxfId="3450" priority="7">
      <formula>$L20="Kirsch sand"</formula>
    </cfRule>
  </conditionalFormatting>
  <conditionalFormatting sqref="AC31:AD36 AI31:AI36 AM31:AP36 N31:N36 AI20:AI21 AC20:AD21 N20:N21 AM20:AP21">
    <cfRule type="expression" dxfId="3449" priority="6">
      <formula>$L20="Modified Weak rock"</formula>
    </cfRule>
  </conditionalFormatting>
  <conditionalFormatting sqref="AM31:AP36 N31:P36 N20:N21 P20:P21 U31:V36 U20:V21 AM20:AP21">
    <cfRule type="expression" dxfId="3448" priority="5">
      <formula>$L20="Reese stiff clay"</formula>
    </cfRule>
  </conditionalFormatting>
  <conditionalFormatting sqref="AB36">
    <cfRule type="expression" dxfId="3447" priority="4">
      <formula>$M36="API sand"</formula>
    </cfRule>
  </conditionalFormatting>
  <conditionalFormatting sqref="Z36:AB36">
    <cfRule type="expression" dxfId="3446" priority="3">
      <formula>$M36="API clay"</formula>
    </cfRule>
  </conditionalFormatting>
  <conditionalFormatting sqref="O20:O21">
    <cfRule type="expression" dxfId="3445" priority="2">
      <formula>$L20="API sand"</formula>
    </cfRule>
  </conditionalFormatting>
  <conditionalFormatting sqref="O20:O21">
    <cfRule type="expression" dxfId="3444" priority="1">
      <formula>$L20="Kirsch sand"</formula>
    </cfRule>
  </conditionalFormatting>
  <conditionalFormatting sqref="AE37:AH37">
    <cfRule type="expression" dxfId="3443" priority="15">
      <formula>$L19="Modified Weak rock"</formula>
    </cfRule>
  </conditionalFormatting>
  <dataValidations count="4">
    <dataValidation showInputMessage="1" showErrorMessage="1" sqref="L9 L12:L19" xr:uid="{4F882FAD-A1F0-45AA-BCC6-57F920BCB61B}"/>
    <dataValidation type="list" showInputMessage="1" showErrorMessage="1" sqref="M31:M36 M20:M21" xr:uid="{EEDD1369-699B-493E-A43E-9C6764D7E4B0}">
      <formula1>"',API sand,API clay"</formula1>
    </dataValidation>
    <dataValidation type="list" showInputMessage="1" showErrorMessage="1" sqref="M6:M19" xr:uid="{E3A4D0A6-DC53-4DD2-AD3E-990009A7F6B7}">
      <formula1>"Zero soil,API sand,API clay"</formula1>
    </dataValidation>
    <dataValidation type="list" showInputMessage="1" showErrorMessage="1" sqref="L31:L255 L20:L21" xr:uid="{ABA77254-4994-4242-9DB5-173185317AEE}">
      <formula1>"Zero soil,API sand,Kirsch sand,Kallehave sand,PISA sand, PISA clay, API clay,Stiff clay w/o free water,Reese stiff clay,Kirsch soft clay,Kirsch stiff clay,Modified Weak rock"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09F37-D843-4323-B9FF-301A1BFB1B95}">
  <sheetPr>
    <tabColor rgb="FF00B0F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Ak_Pisa_WTG8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8"/>
      <c r="R3" s="155"/>
      <c r="S3" s="155"/>
      <c r="T3" s="118"/>
      <c r="U3" s="155"/>
      <c r="V3" s="155"/>
      <c r="W3" s="118"/>
      <c r="X3" s="69"/>
      <c r="Y3" s="118"/>
      <c r="Z3" s="118"/>
      <c r="AA3" s="118"/>
      <c r="AB3" s="118"/>
      <c r="AC3" s="69"/>
      <c r="AD3" s="39"/>
      <c r="AE3" s="39"/>
      <c r="AF3" s="39"/>
      <c r="AG3" s="39"/>
      <c r="AH3" s="39"/>
      <c r="AI3" s="39"/>
      <c r="AJ3" s="118"/>
      <c r="AK3" s="118"/>
      <c r="AL3" s="118"/>
      <c r="AM3" s="118"/>
      <c r="AN3" s="118"/>
      <c r="AO3" s="118"/>
      <c r="AP3" s="118"/>
    </row>
    <row r="4" spans="1:45" x14ac:dyDescent="0.25">
      <c r="A4" s="40" t="s">
        <v>60</v>
      </c>
      <c r="B4" s="33">
        <f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9" t="s">
        <v>38</v>
      </c>
      <c r="K5" s="119" t="s">
        <v>30</v>
      </c>
      <c r="L5" s="119" t="s">
        <v>31</v>
      </c>
      <c r="M5" s="119" t="s">
        <v>31</v>
      </c>
      <c r="N5" s="119" t="s">
        <v>32</v>
      </c>
      <c r="O5" s="119" t="s">
        <v>33</v>
      </c>
      <c r="P5" s="119" t="s">
        <v>35</v>
      </c>
      <c r="Q5" s="119" t="s">
        <v>36</v>
      </c>
      <c r="R5" s="119" t="s">
        <v>36</v>
      </c>
      <c r="S5" s="119" t="s">
        <v>34</v>
      </c>
      <c r="T5" s="119" t="s">
        <v>33</v>
      </c>
      <c r="U5" s="119" t="s">
        <v>34</v>
      </c>
      <c r="V5" s="119" t="s">
        <v>62</v>
      </c>
      <c r="W5" s="119" t="s">
        <v>34</v>
      </c>
      <c r="X5" s="119" t="s">
        <v>33</v>
      </c>
      <c r="Y5" s="119" t="s">
        <v>35</v>
      </c>
      <c r="Z5" s="119" t="s">
        <v>33</v>
      </c>
      <c r="AA5" s="119" t="s">
        <v>34</v>
      </c>
      <c r="AB5" s="119" t="s">
        <v>33</v>
      </c>
      <c r="AC5" s="119" t="s">
        <v>33</v>
      </c>
      <c r="AD5" s="119" t="s">
        <v>35</v>
      </c>
      <c r="AE5" s="119" t="s">
        <v>34</v>
      </c>
      <c r="AF5" s="119" t="s">
        <v>33</v>
      </c>
      <c r="AG5" s="119" t="s">
        <v>35</v>
      </c>
      <c r="AH5" s="119" t="s">
        <v>34</v>
      </c>
      <c r="AI5" s="119" t="s">
        <v>34</v>
      </c>
      <c r="AJ5" s="119" t="s">
        <v>34</v>
      </c>
      <c r="AK5" s="119" t="s">
        <v>34</v>
      </c>
      <c r="AL5" s="119" t="s">
        <v>34</v>
      </c>
      <c r="AM5" s="119" t="s">
        <v>34</v>
      </c>
      <c r="AN5" s="119" t="s">
        <v>34</v>
      </c>
      <c r="AO5" s="119" t="s">
        <v>34</v>
      </c>
      <c r="AP5" s="119" t="s">
        <v>34</v>
      </c>
      <c r="AQ5" s="119" t="s">
        <v>103</v>
      </c>
      <c r="AR5" s="119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EW_sand_Ruled_94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38</v>
      </c>
      <c r="R6" s="47">
        <f t="shared" ref="R6:R8" si="0">IF(Q6&lt;&gt;0,Q6-5,NA())</f>
        <v>33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12800</v>
      </c>
      <c r="Y6" s="47">
        <v>0</v>
      </c>
      <c r="Z6" s="47">
        <f>VLOOKUP(R6,$AE$39:$AF$59,2)</f>
        <v>107.39999999999996</v>
      </c>
      <c r="AA6" s="47">
        <v>1</v>
      </c>
      <c r="AB6" s="47">
        <f>VLOOKUP(R6,$AE$39:$AG$59,3)</f>
        <v>11040</v>
      </c>
      <c r="AC6" s="63">
        <v>6000</v>
      </c>
      <c r="AD6" s="63">
        <v>33333.33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>VLOOKUP(R6,$AE$39:$AH$59,4)</f>
        <v>46.000000000000007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94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19">
        <v>-0.9</v>
      </c>
      <c r="L7" s="33" t="str">
        <f>"EW_sand_Ruled"&amp;"_"&amp;AR7</f>
        <v>EW_sand_Ruled_77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39</v>
      </c>
      <c r="R7" s="47">
        <f t="shared" si="0"/>
        <v>34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26200</v>
      </c>
      <c r="Y7" s="47">
        <v>0</v>
      </c>
      <c r="Z7" s="47">
        <f t="shared" ref="Z7:Z19" si="1">VLOOKUP(R7,$AE$39:$AF$59,2)</f>
        <v>111.19999999999996</v>
      </c>
      <c r="AA7" s="47">
        <v>1</v>
      </c>
      <c r="AB7" s="47">
        <f t="shared" ref="AB7:AB19" si="2">VLOOKUP(R7,$AE$39:$AG$59,3)</f>
        <v>11520</v>
      </c>
      <c r="AC7" s="63">
        <v>39000</v>
      </c>
      <c r="AD7" s="63">
        <v>1111.1099999999999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ref="AJ7:AJ19" si="3">VLOOKUP(R7,$AE$39:$AH$59,4)</f>
        <v>48.000000000000007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77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14484.152391930837</v>
      </c>
      <c r="H8" s="45" t="s">
        <v>53</v>
      </c>
      <c r="I8" s="33" t="s">
        <v>279</v>
      </c>
      <c r="J8" s="47">
        <v>3</v>
      </c>
      <c r="K8" s="19">
        <v>-1.8</v>
      </c>
      <c r="L8" s="33" t="str">
        <f>"EW_sand_Ruled"&amp;"_"&amp;AR8</f>
        <v>EW_sand_Ruled_51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36</v>
      </c>
      <c r="R8" s="47">
        <f t="shared" si="0"/>
        <v>31</v>
      </c>
      <c r="S8" s="47">
        <v>0.5</v>
      </c>
      <c r="T8" s="47">
        <v>0</v>
      </c>
      <c r="U8" s="75">
        <v>0</v>
      </c>
      <c r="V8" s="75">
        <v>0</v>
      </c>
      <c r="W8" s="47">
        <v>0</v>
      </c>
      <c r="X8" s="47">
        <v>15900</v>
      </c>
      <c r="Y8" s="47">
        <v>0</v>
      </c>
      <c r="Z8" s="47">
        <f t="shared" si="1"/>
        <v>99.799999999999969</v>
      </c>
      <c r="AA8" s="47">
        <v>1</v>
      </c>
      <c r="AB8" s="47">
        <f t="shared" si="2"/>
        <v>10080</v>
      </c>
      <c r="AC8" s="63">
        <v>40000</v>
      </c>
      <c r="AD8" s="63">
        <v>-3333.33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42.000000000000007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51</v>
      </c>
      <c r="AS8" s="33">
        <v>0.4</v>
      </c>
    </row>
    <row r="9" spans="1:45" x14ac:dyDescent="0.25">
      <c r="A9" s="33" t="s">
        <v>68</v>
      </c>
      <c r="B9" s="57">
        <v>34</v>
      </c>
      <c r="C9" s="45" t="s">
        <v>28</v>
      </c>
      <c r="D9" s="57">
        <v>28</v>
      </c>
      <c r="F9" s="33" t="s">
        <v>96</v>
      </c>
      <c r="G9" s="76">
        <v>-560174.11137702002</v>
      </c>
      <c r="H9" s="45" t="s">
        <v>54</v>
      </c>
      <c r="I9" s="33" t="s">
        <v>216</v>
      </c>
      <c r="J9" s="47">
        <v>4</v>
      </c>
      <c r="K9" s="19">
        <v>-2.4</v>
      </c>
      <c r="L9" s="116" t="s">
        <v>275</v>
      </c>
      <c r="M9" s="105" t="s">
        <v>65</v>
      </c>
      <c r="N9" s="47">
        <v>9.3000000000000007</v>
      </c>
      <c r="O9" s="63">
        <v>20</v>
      </c>
      <c r="P9" s="63">
        <v>25</v>
      </c>
      <c r="Q9" s="47">
        <v>0</v>
      </c>
      <c r="R9" s="47">
        <v>0</v>
      </c>
      <c r="S9" s="47">
        <v>3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2900</v>
      </c>
      <c r="Y9" s="47">
        <v>0</v>
      </c>
      <c r="Z9" s="47" t="e">
        <f t="shared" si="1"/>
        <v>#N/A</v>
      </c>
      <c r="AA9" s="47">
        <v>1</v>
      </c>
      <c r="AB9" s="47" t="e">
        <f t="shared" si="2"/>
        <v>#N/A</v>
      </c>
      <c r="AC9" s="63">
        <v>18000</v>
      </c>
      <c r="AD9" s="63">
        <v>190000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3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34</v>
      </c>
      <c r="C10" s="45" t="s">
        <v>28</v>
      </c>
      <c r="D10" s="58">
        <v>28</v>
      </c>
      <c r="F10" s="33" t="s">
        <v>51</v>
      </c>
      <c r="G10" s="71">
        <v>25360.592078686881</v>
      </c>
      <c r="H10" s="45" t="s">
        <v>53</v>
      </c>
      <c r="I10" s="33" t="s">
        <v>217</v>
      </c>
      <c r="J10" s="47">
        <v>5</v>
      </c>
      <c r="K10" s="19">
        <v>-3.4</v>
      </c>
      <c r="L10" s="33" t="str">
        <f>"EW_sand_Ruled"&amp;"_"&amp;AR10</f>
        <v>EW_sand_Ruled_59</v>
      </c>
      <c r="M10" s="105" t="s">
        <v>64</v>
      </c>
      <c r="N10" s="47">
        <v>10</v>
      </c>
      <c r="O10" s="63">
        <v>0</v>
      </c>
      <c r="P10" s="63">
        <v>0</v>
      </c>
      <c r="Q10" s="47">
        <v>28</v>
      </c>
      <c r="R10" s="47">
        <f t="shared" ref="R10:R11" si="4">IF(Q10&lt;&gt;0,Q10-5,NA())</f>
        <v>23</v>
      </c>
      <c r="S10" s="47">
        <v>1.7</v>
      </c>
      <c r="T10" s="47">
        <v>0</v>
      </c>
      <c r="U10" s="75">
        <v>0</v>
      </c>
      <c r="V10" s="75">
        <v>0</v>
      </c>
      <c r="W10" s="47">
        <v>0</v>
      </c>
      <c r="X10" s="47">
        <v>13700</v>
      </c>
      <c r="Y10" s="47">
        <v>0</v>
      </c>
      <c r="Z10" s="47">
        <f t="shared" si="1"/>
        <v>75.399999999999977</v>
      </c>
      <c r="AA10" s="47">
        <v>1</v>
      </c>
      <c r="AB10" s="47">
        <f t="shared" si="2"/>
        <v>4040</v>
      </c>
      <c r="AC10" s="63">
        <v>57000</v>
      </c>
      <c r="AD10" s="63">
        <v>6071.42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3"/>
        <v>16.800000000000004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59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217</v>
      </c>
      <c r="J11" s="47">
        <v>6</v>
      </c>
      <c r="K11" s="19">
        <v>-9</v>
      </c>
      <c r="L11" s="33" t="str">
        <f>"EW_sand_Ruled"&amp;"_"&amp;AR11</f>
        <v>EW_sand_Ruled_70</v>
      </c>
      <c r="M11" s="105" t="s">
        <v>64</v>
      </c>
      <c r="N11" s="47">
        <v>10</v>
      </c>
      <c r="O11" s="63">
        <v>0</v>
      </c>
      <c r="P11" s="63">
        <v>0</v>
      </c>
      <c r="Q11" s="47">
        <v>28</v>
      </c>
      <c r="R11" s="47">
        <f t="shared" si="4"/>
        <v>23</v>
      </c>
      <c r="S11" s="47">
        <v>1.6</v>
      </c>
      <c r="T11" s="47">
        <v>0</v>
      </c>
      <c r="U11" s="75">
        <v>0</v>
      </c>
      <c r="V11" s="75">
        <v>0</v>
      </c>
      <c r="W11" s="47">
        <v>0</v>
      </c>
      <c r="X11" s="47">
        <v>25400</v>
      </c>
      <c r="Y11" s="47">
        <v>0</v>
      </c>
      <c r="Z11" s="47">
        <f t="shared" si="1"/>
        <v>75.399999999999977</v>
      </c>
      <c r="AA11" s="47">
        <v>1</v>
      </c>
      <c r="AB11" s="47">
        <f t="shared" si="2"/>
        <v>4040</v>
      </c>
      <c r="AC11" s="63">
        <v>96000</v>
      </c>
      <c r="AD11" s="63">
        <v>5689.65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16.800000000000004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70</v>
      </c>
      <c r="AS11" s="33">
        <v>0.4</v>
      </c>
    </row>
    <row r="12" spans="1:45" x14ac:dyDescent="0.25">
      <c r="A12" s="33" t="s">
        <v>74</v>
      </c>
      <c r="B12" s="57">
        <v>9.3000000000000007</v>
      </c>
      <c r="C12" s="45" t="s">
        <v>28</v>
      </c>
      <c r="E12" s="59"/>
      <c r="F12" s="56" t="s">
        <v>97</v>
      </c>
      <c r="G12" s="71">
        <v>3570.377590402205</v>
      </c>
      <c r="H12" s="45" t="s">
        <v>53</v>
      </c>
      <c r="I12" s="33" t="s">
        <v>218</v>
      </c>
      <c r="J12" s="47">
        <v>7</v>
      </c>
      <c r="K12" s="19">
        <v>-14.8</v>
      </c>
      <c r="L12" s="116" t="s">
        <v>275</v>
      </c>
      <c r="M12" s="105" t="s">
        <v>65</v>
      </c>
      <c r="N12" s="47">
        <v>8.3000000000000007</v>
      </c>
      <c r="O12" s="63">
        <v>122</v>
      </c>
      <c r="P12" s="63">
        <v>7.32</v>
      </c>
      <c r="Q12" s="47">
        <v>0</v>
      </c>
      <c r="R12" s="47">
        <v>0</v>
      </c>
      <c r="S12" s="47">
        <v>2.6</v>
      </c>
      <c r="T12" s="47">
        <v>0</v>
      </c>
      <c r="U12" s="75">
        <v>1.7999999999999999E-2</v>
      </c>
      <c r="V12" s="75">
        <v>0</v>
      </c>
      <c r="W12" s="47">
        <v>0.5</v>
      </c>
      <c r="X12" s="47">
        <v>17300</v>
      </c>
      <c r="Y12" s="47">
        <v>0</v>
      </c>
      <c r="Z12" s="47" t="e">
        <f t="shared" si="1"/>
        <v>#N/A</v>
      </c>
      <c r="AA12" s="47">
        <v>1</v>
      </c>
      <c r="AB12" s="47" t="e">
        <f t="shared" si="2"/>
        <v>#N/A</v>
      </c>
      <c r="AC12" s="63">
        <v>159000</v>
      </c>
      <c r="AD12" s="63">
        <v>10000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3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219</v>
      </c>
      <c r="J13" s="47">
        <v>8</v>
      </c>
      <c r="K13" s="19">
        <v>-32</v>
      </c>
      <c r="L13" s="116" t="s">
        <v>275</v>
      </c>
      <c r="M13" s="105" t="s">
        <v>65</v>
      </c>
      <c r="N13" s="47">
        <v>8.5</v>
      </c>
      <c r="O13" s="63">
        <v>403</v>
      </c>
      <c r="P13" s="63">
        <v>-27.5</v>
      </c>
      <c r="Q13" s="47">
        <v>0</v>
      </c>
      <c r="R13" s="47">
        <v>0</v>
      </c>
      <c r="S13" s="47">
        <v>3</v>
      </c>
      <c r="T13" s="47">
        <v>0</v>
      </c>
      <c r="U13" s="75">
        <v>1.7999999999999999E-2</v>
      </c>
      <c r="V13" s="75">
        <v>0</v>
      </c>
      <c r="W13" s="47">
        <v>0.25</v>
      </c>
      <c r="X13" s="47">
        <v>31000</v>
      </c>
      <c r="Y13" s="47">
        <v>0</v>
      </c>
      <c r="Z13" s="47" t="e">
        <f t="shared" si="1"/>
        <v>#N/A</v>
      </c>
      <c r="AA13" s="47">
        <v>1</v>
      </c>
      <c r="AB13" s="47" t="e">
        <f t="shared" si="2"/>
        <v>#N/A</v>
      </c>
      <c r="AC13" s="63">
        <v>568000</v>
      </c>
      <c r="AD13" s="63">
        <v>-39500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3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220</v>
      </c>
      <c r="J14" s="47">
        <v>9</v>
      </c>
      <c r="K14" s="19">
        <v>-36</v>
      </c>
      <c r="L14" s="116" t="s">
        <v>275</v>
      </c>
      <c r="M14" s="105" t="s">
        <v>65</v>
      </c>
      <c r="N14" s="47">
        <v>8.8000000000000007</v>
      </c>
      <c r="O14" s="63">
        <v>1118</v>
      </c>
      <c r="P14" s="63">
        <v>-132.25</v>
      </c>
      <c r="Q14" s="47">
        <v>0</v>
      </c>
      <c r="R14" s="47">
        <v>0</v>
      </c>
      <c r="S14" s="47">
        <v>3</v>
      </c>
      <c r="T14" s="47">
        <v>0</v>
      </c>
      <c r="U14" s="75">
        <v>1.7999999999999999E-2</v>
      </c>
      <c r="V14" s="75">
        <v>0</v>
      </c>
      <c r="W14" s="47">
        <v>0.25</v>
      </c>
      <c r="X14" s="47">
        <v>69900</v>
      </c>
      <c r="Y14" s="47">
        <v>0</v>
      </c>
      <c r="Z14" s="47" t="e">
        <f t="shared" si="1"/>
        <v>#N/A</v>
      </c>
      <c r="AA14" s="47">
        <v>1</v>
      </c>
      <c r="AB14" s="47" t="e">
        <f t="shared" si="2"/>
        <v>#N/A</v>
      </c>
      <c r="AC14" s="63">
        <v>1282000</v>
      </c>
      <c r="AD14" s="63">
        <v>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 t="e">
        <f t="shared" si="3"/>
        <v>#N/A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220</v>
      </c>
      <c r="J15" s="47">
        <v>10</v>
      </c>
      <c r="K15" s="19">
        <v>-40</v>
      </c>
      <c r="L15" s="116" t="s">
        <v>275</v>
      </c>
      <c r="M15" s="105" t="s">
        <v>65</v>
      </c>
      <c r="N15" s="47">
        <v>8.8000000000000007</v>
      </c>
      <c r="O15" s="63">
        <v>409</v>
      </c>
      <c r="P15" s="63">
        <v>40</v>
      </c>
      <c r="Q15" s="47">
        <v>0</v>
      </c>
      <c r="R15" s="47">
        <v>0</v>
      </c>
      <c r="S15" s="47">
        <v>3</v>
      </c>
      <c r="T15" s="47">
        <v>0</v>
      </c>
      <c r="U15" s="75">
        <v>1.7999999999999999E-2</v>
      </c>
      <c r="V15" s="75">
        <v>0</v>
      </c>
      <c r="W15" s="47">
        <v>0.25</v>
      </c>
      <c r="X15" s="47">
        <v>40800</v>
      </c>
      <c r="Y15" s="47">
        <v>0</v>
      </c>
      <c r="Z15" s="47" t="e">
        <f t="shared" si="1"/>
        <v>#N/A</v>
      </c>
      <c r="AA15" s="47">
        <v>1</v>
      </c>
      <c r="AB15" s="47" t="e">
        <f t="shared" si="2"/>
        <v>#N/A</v>
      </c>
      <c r="AC15" s="63">
        <v>596000</v>
      </c>
      <c r="AD15" s="63">
        <v>65600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3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220</v>
      </c>
      <c r="J16" s="47">
        <v>11</v>
      </c>
      <c r="K16" s="19">
        <v>-45</v>
      </c>
      <c r="L16" s="116" t="s">
        <v>275</v>
      </c>
      <c r="M16" s="105" t="s">
        <v>65</v>
      </c>
      <c r="N16" s="47">
        <v>8.8000000000000007</v>
      </c>
      <c r="O16" s="63">
        <v>1214</v>
      </c>
      <c r="P16" s="63">
        <v>4.8</v>
      </c>
      <c r="Q16" s="47">
        <v>0</v>
      </c>
      <c r="R16" s="47">
        <v>0</v>
      </c>
      <c r="S16" s="47">
        <v>3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101700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2042000</v>
      </c>
      <c r="AD16" s="63">
        <v>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9"/>
      <c r="E17" s="119"/>
      <c r="I17" s="33" t="s">
        <v>221</v>
      </c>
      <c r="J17" s="47">
        <v>12</v>
      </c>
      <c r="K17" s="19">
        <v>-50</v>
      </c>
      <c r="L17" s="116" t="s">
        <v>275</v>
      </c>
      <c r="M17" s="105" t="s">
        <v>65</v>
      </c>
      <c r="N17" s="47">
        <v>8.5</v>
      </c>
      <c r="O17" s="63">
        <v>1365</v>
      </c>
      <c r="P17" s="63">
        <v>0</v>
      </c>
      <c r="Q17" s="47">
        <v>0</v>
      </c>
      <c r="R17" s="47">
        <v>0</v>
      </c>
      <c r="S17" s="47">
        <v>3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117100</v>
      </c>
      <c r="Y17" s="47">
        <v>0</v>
      </c>
      <c r="Z17" s="47" t="e">
        <f t="shared" si="1"/>
        <v>#N/A</v>
      </c>
      <c r="AA17" s="47">
        <v>1</v>
      </c>
      <c r="AB17" s="47" t="e">
        <f t="shared" si="2"/>
        <v>#N/A</v>
      </c>
      <c r="AC17" s="63">
        <v>2396000</v>
      </c>
      <c r="AD17" s="63">
        <v>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3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306</v>
      </c>
      <c r="J18" s="47">
        <v>13</v>
      </c>
      <c r="K18" s="19">
        <v>-57</v>
      </c>
      <c r="L18" s="116" t="s">
        <v>275</v>
      </c>
      <c r="M18" s="105" t="s">
        <v>65</v>
      </c>
      <c r="N18" s="47">
        <v>8.1</v>
      </c>
      <c r="O18" s="63">
        <v>465</v>
      </c>
      <c r="P18" s="63">
        <v>4.34</v>
      </c>
      <c r="Q18" s="47">
        <v>0</v>
      </c>
      <c r="R18" s="47">
        <v>0</v>
      </c>
      <c r="S18" s="47">
        <v>2</v>
      </c>
      <c r="T18" s="47">
        <v>0</v>
      </c>
      <c r="U18" s="75">
        <v>1.7999999999999999E-2</v>
      </c>
      <c r="V18" s="75">
        <v>0</v>
      </c>
      <c r="W18" s="47">
        <v>0.25</v>
      </c>
      <c r="X18" s="47">
        <v>45000</v>
      </c>
      <c r="Y18" s="47">
        <v>0</v>
      </c>
      <c r="Z18" s="47" t="e">
        <f t="shared" si="1"/>
        <v>#N/A</v>
      </c>
      <c r="AA18" s="47">
        <v>1</v>
      </c>
      <c r="AB18" s="47" t="e">
        <f t="shared" si="2"/>
        <v>#N/A</v>
      </c>
      <c r="AC18" s="63">
        <v>680000</v>
      </c>
      <c r="AD18" s="63">
        <v>8043.47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3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19" t="s">
        <v>38</v>
      </c>
      <c r="B19" s="119" t="s">
        <v>30</v>
      </c>
      <c r="C19" s="119" t="s">
        <v>59</v>
      </c>
      <c r="D19" s="43"/>
      <c r="E19" s="35"/>
      <c r="I19" s="33" t="s">
        <v>306</v>
      </c>
      <c r="J19" s="47">
        <v>14</v>
      </c>
      <c r="K19" s="19">
        <v>-80</v>
      </c>
      <c r="L19" s="116" t="s">
        <v>275</v>
      </c>
      <c r="M19" s="105" t="s">
        <v>65</v>
      </c>
      <c r="N19" s="47">
        <v>8.1</v>
      </c>
      <c r="O19" s="63">
        <v>565</v>
      </c>
      <c r="P19" s="63">
        <v>0</v>
      </c>
      <c r="Q19" s="47">
        <v>0</v>
      </c>
      <c r="R19" s="47">
        <v>0</v>
      </c>
      <c r="S19" s="47">
        <v>2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45000</v>
      </c>
      <c r="Y19" s="47">
        <v>0</v>
      </c>
      <c r="Z19" s="47" t="e">
        <f t="shared" si="1"/>
        <v>#N/A</v>
      </c>
      <c r="AA19" s="47">
        <v>1</v>
      </c>
      <c r="AB19" s="47" t="e">
        <f t="shared" si="2"/>
        <v>#N/A</v>
      </c>
      <c r="AC19" s="63">
        <v>865000</v>
      </c>
      <c r="AD19" s="63">
        <v>0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3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</row>
    <row r="30" spans="1:45" x14ac:dyDescent="0.25">
      <c r="A30" s="66"/>
      <c r="B30" s="66"/>
      <c r="C30" s="67"/>
      <c r="D30" s="35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</row>
    <row r="42" spans="1:42" x14ac:dyDescent="0.25">
      <c r="L42" s="49"/>
      <c r="AE42" s="33">
        <v>18</v>
      </c>
      <c r="AF42" s="33">
        <f t="shared" si="5"/>
        <v>59.399999999999991</v>
      </c>
      <c r="AG42" s="33">
        <f t="shared" si="6"/>
        <v>2500</v>
      </c>
      <c r="AH42" s="33">
        <f t="shared" si="7"/>
        <v>10.400000000000002</v>
      </c>
    </row>
    <row r="43" spans="1:42" x14ac:dyDescent="0.25">
      <c r="L43" s="49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</row>
    <row r="44" spans="1:42" x14ac:dyDescent="0.25">
      <c r="L44" s="49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2" x14ac:dyDescent="0.25">
      <c r="L47" s="49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2" x14ac:dyDescent="0.25">
      <c r="L48" s="49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9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9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9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9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9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9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9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1:AP36 Q31:Q36 AM20:AP21 N31:N36 Q20:Q21 N20:N21">
    <cfRule type="expression" dxfId="3442" priority="14">
      <formula>$L20="API sand"</formula>
    </cfRule>
  </conditionalFormatting>
  <conditionalFormatting sqref="R20:S20 R31:S36 AB31:AB35 AJ31:AL36 Z31:Z36 S21 AD21 AB20:AB21 N31:N36 AJ20:AL21 Z20:Z21 N20:N21">
    <cfRule type="expression" dxfId="3441" priority="13">
      <formula>$M20="API sand"</formula>
    </cfRule>
  </conditionalFormatting>
  <conditionalFormatting sqref="R20:T20 R31:T36 Z31:AB35 S21:T21 AD21 AK31:AL36 N31:N36 Z20:AB21 N20:N21 AK20:AL21">
    <cfRule type="expression" dxfId="3440" priority="12">
      <formula>$M20="API clay"</formula>
    </cfRule>
  </conditionalFormatting>
  <conditionalFormatting sqref="U31:W36 U20:W21 AM31:AP36 N31:P36 N20:N21 P20:P21 AM20:AP21">
    <cfRule type="expression" dxfId="3439" priority="9">
      <formula>$L20="Stiff clay w/o free water"</formula>
    </cfRule>
    <cfRule type="expression" dxfId="3438" priority="11">
      <formula>$L20="API clay"</formula>
    </cfRule>
  </conditionalFormatting>
  <conditionalFormatting sqref="U31:Y36 U20:Y21 AM31:AP36 N31:P36 N20:N21 P20:P21 AM20:AP21">
    <cfRule type="expression" dxfId="3437" priority="10">
      <formula>$L20="Kirsch soft clay"</formula>
    </cfRule>
  </conditionalFormatting>
  <conditionalFormatting sqref="U31:Y36 U20:Y21 AM31:AP36 N31:P36 N20:N21 P20:P21 AM20:AP21">
    <cfRule type="expression" dxfId="3436" priority="8">
      <formula>$L20="Kirsch stiff clay"</formula>
    </cfRule>
  </conditionalFormatting>
  <conditionalFormatting sqref="AM31:AP36 Q31:Q36 X31:Y36 AM20:AP21 N31:N36 X20:Y21 Q20:Q21 N20:N21">
    <cfRule type="expression" dxfId="3435" priority="7">
      <formula>$L20="Kirsch sand"</formula>
    </cfRule>
  </conditionalFormatting>
  <conditionalFormatting sqref="AC31:AD36 AI31:AI36 AM31:AP36 N31:N36 AI20:AI21 AC20:AD21 N20:N21 AM20:AP21">
    <cfRule type="expression" dxfId="3434" priority="6">
      <formula>$L20="Modified Weak rock"</formula>
    </cfRule>
  </conditionalFormatting>
  <conditionalFormatting sqref="AM31:AP36 N31:P36 N20:N21 P20:P21 U31:V36 U20:V21 AM20:AP21">
    <cfRule type="expression" dxfId="3433" priority="5">
      <formula>$L20="Reese stiff clay"</formula>
    </cfRule>
  </conditionalFormatting>
  <conditionalFormatting sqref="AB36">
    <cfRule type="expression" dxfId="3432" priority="4">
      <formula>$M36="API sand"</formula>
    </cfRule>
  </conditionalFormatting>
  <conditionalFormatting sqref="Z36:AB36">
    <cfRule type="expression" dxfId="3431" priority="3">
      <formula>$M36="API clay"</formula>
    </cfRule>
  </conditionalFormatting>
  <conditionalFormatting sqref="O20:O21">
    <cfRule type="expression" dxfId="3430" priority="2">
      <formula>$L20="API sand"</formula>
    </cfRule>
  </conditionalFormatting>
  <conditionalFormatting sqref="O20:O21">
    <cfRule type="expression" dxfId="3429" priority="1">
      <formula>$L20="Kirsch sand"</formula>
    </cfRule>
  </conditionalFormatting>
  <conditionalFormatting sqref="AE37:AH37">
    <cfRule type="expression" dxfId="3428" priority="15">
      <formula>$L19="Modified Weak rock"</formula>
    </cfRule>
  </conditionalFormatting>
  <dataValidations count="4">
    <dataValidation type="list" showInputMessage="1" showErrorMessage="1" sqref="L31:L255 L20:L21" xr:uid="{A4BB4352-1353-4211-9CBE-4D18FB548FD7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9" xr:uid="{615BA591-D649-44A5-B348-C2A63FF33C21}">
      <formula1>"Zero soil,API sand,API clay"</formula1>
    </dataValidation>
    <dataValidation type="list" showInputMessage="1" showErrorMessage="1" sqref="M31:M36 M20:M21" xr:uid="{D978A88A-5233-4CAB-BD8F-9030ECE08BCF}">
      <formula1>"',API sand,API clay"</formula1>
    </dataValidation>
    <dataValidation showInputMessage="1" showErrorMessage="1" sqref="L9 L12:L19" xr:uid="{F99C9614-55D7-45CB-B099-1D0E07F6D12D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B7815-3663-4099-943C-E2DE7469E9CE}">
  <sheetPr>
    <tabColor rgb="FF00B05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Ak_kirsch_WTG8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8"/>
      <c r="R3" s="155"/>
      <c r="S3" s="155"/>
      <c r="T3" s="118"/>
      <c r="U3" s="155"/>
      <c r="V3" s="155"/>
      <c r="W3" s="118"/>
      <c r="X3" s="69"/>
      <c r="Y3" s="118"/>
      <c r="Z3" s="118"/>
      <c r="AA3" s="118"/>
      <c r="AB3" s="118"/>
      <c r="AC3" s="69"/>
      <c r="AD3" s="39"/>
      <c r="AE3" s="39"/>
      <c r="AF3" s="39"/>
      <c r="AG3" s="39"/>
      <c r="AH3" s="39"/>
      <c r="AI3" s="39"/>
      <c r="AJ3" s="118"/>
      <c r="AK3" s="118"/>
      <c r="AL3" s="118"/>
      <c r="AM3" s="118"/>
      <c r="AN3" s="118"/>
      <c r="AO3" s="118"/>
      <c r="AP3" s="118"/>
    </row>
    <row r="4" spans="1:45" x14ac:dyDescent="0.25">
      <c r="A4" s="40" t="s">
        <v>60</v>
      </c>
      <c r="B4" s="33">
        <f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9" t="s">
        <v>38</v>
      </c>
      <c r="K5" s="119" t="s">
        <v>30</v>
      </c>
      <c r="L5" s="119" t="s">
        <v>31</v>
      </c>
      <c r="M5" s="119" t="s">
        <v>31</v>
      </c>
      <c r="N5" s="119" t="s">
        <v>32</v>
      </c>
      <c r="O5" s="119" t="s">
        <v>33</v>
      </c>
      <c r="P5" s="119" t="s">
        <v>35</v>
      </c>
      <c r="Q5" s="119" t="s">
        <v>36</v>
      </c>
      <c r="R5" s="119" t="s">
        <v>36</v>
      </c>
      <c r="S5" s="119" t="s">
        <v>34</v>
      </c>
      <c r="T5" s="119" t="s">
        <v>33</v>
      </c>
      <c r="U5" s="119" t="s">
        <v>34</v>
      </c>
      <c r="V5" s="119" t="s">
        <v>62</v>
      </c>
      <c r="W5" s="119" t="s">
        <v>34</v>
      </c>
      <c r="X5" s="119" t="s">
        <v>33</v>
      </c>
      <c r="Y5" s="119" t="s">
        <v>35</v>
      </c>
      <c r="Z5" s="119" t="s">
        <v>33</v>
      </c>
      <c r="AA5" s="119" t="s">
        <v>34</v>
      </c>
      <c r="AB5" s="119" t="s">
        <v>33</v>
      </c>
      <c r="AC5" s="119" t="s">
        <v>33</v>
      </c>
      <c r="AD5" s="119" t="s">
        <v>35</v>
      </c>
      <c r="AE5" s="119" t="s">
        <v>34</v>
      </c>
      <c r="AF5" s="119" t="s">
        <v>33</v>
      </c>
      <c r="AG5" s="119" t="s">
        <v>35</v>
      </c>
      <c r="AH5" s="119" t="s">
        <v>34</v>
      </c>
      <c r="AI5" s="119" t="s">
        <v>34</v>
      </c>
      <c r="AJ5" s="119" t="s">
        <v>34</v>
      </c>
      <c r="AK5" s="119" t="s">
        <v>34</v>
      </c>
      <c r="AL5" s="119" t="s">
        <v>34</v>
      </c>
      <c r="AM5" s="119" t="s">
        <v>34</v>
      </c>
      <c r="AN5" s="119" t="s">
        <v>34</v>
      </c>
      <c r="AO5" s="119" t="s">
        <v>34</v>
      </c>
      <c r="AP5" s="119" t="s">
        <v>34</v>
      </c>
      <c r="AQ5" s="119" t="s">
        <v>103</v>
      </c>
      <c r="AR5" s="119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38</v>
      </c>
      <c r="R6" s="47">
        <f t="shared" ref="R6" si="0">IF(Q6&lt;&gt;0,Q6-5,NA())</f>
        <v>33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12800</v>
      </c>
      <c r="Y6" s="47">
        <v>0</v>
      </c>
      <c r="Z6" s="47">
        <f>VLOOKUP(R6,$AE$39:$AF$59,2)</f>
        <v>107.39999999999996</v>
      </c>
      <c r="AA6" s="47">
        <v>1</v>
      </c>
      <c r="AB6" s="47">
        <f>VLOOKUP(R6,$AE$39:$AG$59,3)</f>
        <v>11040</v>
      </c>
      <c r="AC6" s="63">
        <v>6000</v>
      </c>
      <c r="AD6" s="63">
        <v>33333.33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>VLOOKUP(R6,$AE$39:$AH$59,4)</f>
        <v>46.000000000000007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94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19">
        <v>-0.9</v>
      </c>
      <c r="L7" s="116" t="s">
        <v>106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39</v>
      </c>
      <c r="R7" s="47">
        <f t="shared" ref="R7:R8" si="1">IF(Q7&lt;&gt;0,Q7-5,NA())</f>
        <v>34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26200</v>
      </c>
      <c r="Y7" s="47">
        <v>0</v>
      </c>
      <c r="Z7" s="47">
        <f t="shared" ref="Z7:Z18" si="2">VLOOKUP(R7,$AE$39:$AF$59,2)</f>
        <v>111.19999999999996</v>
      </c>
      <c r="AA7" s="47">
        <v>1</v>
      </c>
      <c r="AB7" s="47">
        <f t="shared" ref="AB7:AB19" si="3">VLOOKUP(R7,$AE$39:$AG$59,3)</f>
        <v>11520</v>
      </c>
      <c r="AC7" s="63">
        <v>39000</v>
      </c>
      <c r="AD7" s="63">
        <v>1111.1099999999999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ref="AJ7:AJ19" si="4">VLOOKUP(R7,$AE$39:$AH$59,4)</f>
        <v>48.000000000000007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77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">
        <v>279</v>
      </c>
      <c r="J8" s="47">
        <v>3</v>
      </c>
      <c r="K8" s="19">
        <v>-1.8</v>
      </c>
      <c r="L8" s="116" t="s">
        <v>106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36</v>
      </c>
      <c r="R8" s="47">
        <f t="shared" si="1"/>
        <v>31</v>
      </c>
      <c r="S8" s="47">
        <v>0.5</v>
      </c>
      <c r="T8" s="47">
        <v>0</v>
      </c>
      <c r="U8" s="75">
        <v>0</v>
      </c>
      <c r="V8" s="75">
        <v>0</v>
      </c>
      <c r="W8" s="47">
        <v>0</v>
      </c>
      <c r="X8" s="47">
        <v>15900</v>
      </c>
      <c r="Y8" s="47">
        <v>0</v>
      </c>
      <c r="Z8" s="47">
        <f t="shared" si="2"/>
        <v>99.799999999999969</v>
      </c>
      <c r="AA8" s="47">
        <v>1</v>
      </c>
      <c r="AB8" s="47">
        <f t="shared" si="3"/>
        <v>10080</v>
      </c>
      <c r="AC8" s="63">
        <v>40000</v>
      </c>
      <c r="AD8" s="63">
        <v>-3333.33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4"/>
        <v>42.000000000000007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51</v>
      </c>
      <c r="AS8" s="33">
        <v>0.4</v>
      </c>
    </row>
    <row r="9" spans="1:45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216</v>
      </c>
      <c r="J9" s="47">
        <v>4</v>
      </c>
      <c r="K9" s="19">
        <v>-2.4</v>
      </c>
      <c r="L9" s="116" t="s">
        <v>107</v>
      </c>
      <c r="M9" s="105" t="s">
        <v>65</v>
      </c>
      <c r="N9" s="47">
        <v>9.3000000000000007</v>
      </c>
      <c r="O9" s="63">
        <v>20</v>
      </c>
      <c r="P9" s="63">
        <v>25</v>
      </c>
      <c r="Q9" s="47">
        <v>0</v>
      </c>
      <c r="R9" s="47">
        <v>0</v>
      </c>
      <c r="S9" s="47">
        <v>3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2900</v>
      </c>
      <c r="Y9" s="47">
        <v>0</v>
      </c>
      <c r="Z9" s="47" t="e">
        <f t="shared" si="2"/>
        <v>#N/A</v>
      </c>
      <c r="AA9" s="47">
        <v>1</v>
      </c>
      <c r="AB9" s="47" t="e">
        <f t="shared" si="3"/>
        <v>#N/A</v>
      </c>
      <c r="AC9" s="63">
        <v>18000</v>
      </c>
      <c r="AD9" s="63">
        <v>190000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4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217</v>
      </c>
      <c r="J10" s="47">
        <v>5</v>
      </c>
      <c r="K10" s="19">
        <v>-3.4</v>
      </c>
      <c r="L10" s="116" t="s">
        <v>106</v>
      </c>
      <c r="M10" s="105" t="s">
        <v>64</v>
      </c>
      <c r="N10" s="47">
        <v>10</v>
      </c>
      <c r="O10" s="63">
        <v>0</v>
      </c>
      <c r="P10" s="63">
        <v>0</v>
      </c>
      <c r="Q10" s="47">
        <v>28</v>
      </c>
      <c r="R10" s="47">
        <f t="shared" ref="R10" si="5">IF(Q10&lt;&gt;0,Q10-5,NA())</f>
        <v>23</v>
      </c>
      <c r="S10" s="47">
        <v>1.7</v>
      </c>
      <c r="T10" s="47">
        <v>0</v>
      </c>
      <c r="U10" s="75">
        <v>0</v>
      </c>
      <c r="V10" s="75">
        <v>0</v>
      </c>
      <c r="W10" s="47">
        <v>0</v>
      </c>
      <c r="X10" s="47">
        <v>13700</v>
      </c>
      <c r="Y10" s="47">
        <v>0</v>
      </c>
      <c r="Z10" s="47">
        <f t="shared" si="2"/>
        <v>75.399999999999977</v>
      </c>
      <c r="AA10" s="47">
        <v>1</v>
      </c>
      <c r="AB10" s="47">
        <f t="shared" si="3"/>
        <v>4040</v>
      </c>
      <c r="AC10" s="63">
        <v>57000</v>
      </c>
      <c r="AD10" s="63">
        <v>6071.42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4"/>
        <v>16.800000000000004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59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217</v>
      </c>
      <c r="J11" s="47">
        <v>6</v>
      </c>
      <c r="K11" s="19">
        <v>-9</v>
      </c>
      <c r="L11" s="116" t="s">
        <v>106</v>
      </c>
      <c r="M11" s="105" t="s">
        <v>64</v>
      </c>
      <c r="N11" s="47">
        <v>10</v>
      </c>
      <c r="O11" s="63">
        <v>0</v>
      </c>
      <c r="P11" s="63">
        <v>0</v>
      </c>
      <c r="Q11" s="47">
        <v>28</v>
      </c>
      <c r="R11" s="47">
        <f t="shared" ref="R11" si="6">IF(Q11&lt;&gt;0,Q11-5,NA())</f>
        <v>23</v>
      </c>
      <c r="S11" s="47">
        <v>1.6</v>
      </c>
      <c r="T11" s="47">
        <v>0</v>
      </c>
      <c r="U11" s="75">
        <v>0</v>
      </c>
      <c r="V11" s="75">
        <v>0</v>
      </c>
      <c r="W11" s="47">
        <v>0</v>
      </c>
      <c r="X11" s="47">
        <v>25400</v>
      </c>
      <c r="Y11" s="47">
        <v>0</v>
      </c>
      <c r="Z11" s="47">
        <f t="shared" si="2"/>
        <v>75.399999999999977</v>
      </c>
      <c r="AA11" s="47">
        <v>1</v>
      </c>
      <c r="AB11" s="47">
        <f t="shared" si="3"/>
        <v>4040</v>
      </c>
      <c r="AC11" s="63">
        <v>96000</v>
      </c>
      <c r="AD11" s="63">
        <v>5689.65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4"/>
        <v>16.800000000000004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70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218</v>
      </c>
      <c r="J12" s="47">
        <v>7</v>
      </c>
      <c r="K12" s="19">
        <v>-14.8</v>
      </c>
      <c r="L12" s="116" t="s">
        <v>107</v>
      </c>
      <c r="M12" s="105" t="s">
        <v>65</v>
      </c>
      <c r="N12" s="47">
        <v>8.3000000000000007</v>
      </c>
      <c r="O12" s="63">
        <v>122</v>
      </c>
      <c r="P12" s="63">
        <v>7.32</v>
      </c>
      <c r="Q12" s="47">
        <v>0</v>
      </c>
      <c r="R12" s="47">
        <v>0</v>
      </c>
      <c r="S12" s="47">
        <v>2.6</v>
      </c>
      <c r="T12" s="47">
        <v>0</v>
      </c>
      <c r="U12" s="75">
        <v>1.7999999999999999E-2</v>
      </c>
      <c r="V12" s="75">
        <v>0</v>
      </c>
      <c r="W12" s="47">
        <v>0.5</v>
      </c>
      <c r="X12" s="47">
        <v>17300</v>
      </c>
      <c r="Y12" s="47">
        <v>0</v>
      </c>
      <c r="Z12" s="47" t="e">
        <f t="shared" si="2"/>
        <v>#N/A</v>
      </c>
      <c r="AA12" s="47">
        <v>1</v>
      </c>
      <c r="AB12" s="47" t="e">
        <f t="shared" si="3"/>
        <v>#N/A</v>
      </c>
      <c r="AC12" s="63">
        <v>159000</v>
      </c>
      <c r="AD12" s="63">
        <v>10000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4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219</v>
      </c>
      <c r="J13" s="47">
        <v>8</v>
      </c>
      <c r="K13" s="19">
        <v>-32</v>
      </c>
      <c r="L13" s="116" t="s">
        <v>288</v>
      </c>
      <c r="M13" s="105" t="s">
        <v>65</v>
      </c>
      <c r="N13" s="47">
        <v>8.5</v>
      </c>
      <c r="O13" s="63">
        <v>403</v>
      </c>
      <c r="P13" s="63">
        <v>-27.5</v>
      </c>
      <c r="Q13" s="47">
        <v>0</v>
      </c>
      <c r="R13" s="47">
        <v>0</v>
      </c>
      <c r="S13" s="47">
        <v>3</v>
      </c>
      <c r="T13" s="47">
        <v>0</v>
      </c>
      <c r="U13" s="75">
        <v>1.7999999999999999E-2</v>
      </c>
      <c r="V13" s="75">
        <v>0</v>
      </c>
      <c r="W13" s="47">
        <v>0.25</v>
      </c>
      <c r="X13" s="47">
        <v>31000</v>
      </c>
      <c r="Y13" s="47">
        <v>0</v>
      </c>
      <c r="Z13" s="47" t="e">
        <f t="shared" si="2"/>
        <v>#N/A</v>
      </c>
      <c r="AA13" s="47">
        <v>1</v>
      </c>
      <c r="AB13" s="47" t="e">
        <f t="shared" si="3"/>
        <v>#N/A</v>
      </c>
      <c r="AC13" s="63">
        <v>568000</v>
      </c>
      <c r="AD13" s="63">
        <v>-39500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4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220</v>
      </c>
      <c r="J14" s="47">
        <v>9</v>
      </c>
      <c r="K14" s="19">
        <v>-36</v>
      </c>
      <c r="L14" s="116" t="s">
        <v>288</v>
      </c>
      <c r="M14" s="105" t="s">
        <v>65</v>
      </c>
      <c r="N14" s="47">
        <v>8.8000000000000007</v>
      </c>
      <c r="O14" s="63">
        <v>1118</v>
      </c>
      <c r="P14" s="63">
        <v>-132.25</v>
      </c>
      <c r="Q14" s="47">
        <v>0</v>
      </c>
      <c r="R14" s="47">
        <v>0</v>
      </c>
      <c r="S14" s="47">
        <v>3</v>
      </c>
      <c r="T14" s="47">
        <v>0</v>
      </c>
      <c r="U14" s="75">
        <v>1.7999999999999999E-2</v>
      </c>
      <c r="V14" s="75">
        <v>0</v>
      </c>
      <c r="W14" s="47">
        <v>0.25</v>
      </c>
      <c r="X14" s="47">
        <v>69900</v>
      </c>
      <c r="Y14" s="47">
        <v>0</v>
      </c>
      <c r="Z14" s="47" t="e">
        <f t="shared" si="2"/>
        <v>#N/A</v>
      </c>
      <c r="AA14" s="47">
        <v>1</v>
      </c>
      <c r="AB14" s="47" t="e">
        <f t="shared" si="3"/>
        <v>#N/A</v>
      </c>
      <c r="AC14" s="63">
        <v>1282000</v>
      </c>
      <c r="AD14" s="63">
        <v>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 t="e">
        <f t="shared" si="4"/>
        <v>#N/A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220</v>
      </c>
      <c r="J15" s="47">
        <v>10</v>
      </c>
      <c r="K15" s="19">
        <v>-40</v>
      </c>
      <c r="L15" s="116" t="s">
        <v>288</v>
      </c>
      <c r="M15" s="105" t="s">
        <v>65</v>
      </c>
      <c r="N15" s="47">
        <v>8.8000000000000007</v>
      </c>
      <c r="O15" s="63">
        <v>409</v>
      </c>
      <c r="P15" s="63">
        <v>40</v>
      </c>
      <c r="Q15" s="47">
        <v>0</v>
      </c>
      <c r="R15" s="47">
        <v>0</v>
      </c>
      <c r="S15" s="47">
        <v>3</v>
      </c>
      <c r="T15" s="47">
        <v>0</v>
      </c>
      <c r="U15" s="75">
        <v>1.7999999999999999E-2</v>
      </c>
      <c r="V15" s="75">
        <v>0</v>
      </c>
      <c r="W15" s="47">
        <v>0.25</v>
      </c>
      <c r="X15" s="47">
        <v>40800</v>
      </c>
      <c r="Y15" s="47">
        <v>0</v>
      </c>
      <c r="Z15" s="47" t="e">
        <f t="shared" si="2"/>
        <v>#N/A</v>
      </c>
      <c r="AA15" s="47">
        <v>1</v>
      </c>
      <c r="AB15" s="47" t="e">
        <f t="shared" si="3"/>
        <v>#N/A</v>
      </c>
      <c r="AC15" s="63">
        <v>596000</v>
      </c>
      <c r="AD15" s="63">
        <v>65600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4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220</v>
      </c>
      <c r="J16" s="47">
        <v>11</v>
      </c>
      <c r="K16" s="19">
        <v>-45</v>
      </c>
      <c r="L16" s="116" t="s">
        <v>288</v>
      </c>
      <c r="M16" s="105" t="s">
        <v>65</v>
      </c>
      <c r="N16" s="47">
        <v>8.8000000000000007</v>
      </c>
      <c r="O16" s="63">
        <v>1214</v>
      </c>
      <c r="P16" s="63">
        <v>4.8</v>
      </c>
      <c r="Q16" s="47">
        <v>0</v>
      </c>
      <c r="R16" s="47">
        <v>0</v>
      </c>
      <c r="S16" s="47">
        <v>3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101700</v>
      </c>
      <c r="Y16" s="47">
        <v>0</v>
      </c>
      <c r="Z16" s="47" t="e">
        <f t="shared" si="2"/>
        <v>#N/A</v>
      </c>
      <c r="AA16" s="47">
        <v>1</v>
      </c>
      <c r="AB16" s="47" t="e">
        <f t="shared" si="3"/>
        <v>#N/A</v>
      </c>
      <c r="AC16" s="63">
        <v>2042000</v>
      </c>
      <c r="AD16" s="63">
        <v>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4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9"/>
      <c r="E17" s="119"/>
      <c r="I17" s="33" t="s">
        <v>221</v>
      </c>
      <c r="J17" s="47">
        <v>12</v>
      </c>
      <c r="K17" s="19">
        <v>-50</v>
      </c>
      <c r="L17" s="116" t="s">
        <v>288</v>
      </c>
      <c r="M17" s="105" t="s">
        <v>65</v>
      </c>
      <c r="N17" s="47">
        <v>8.5</v>
      </c>
      <c r="O17" s="63">
        <v>1365</v>
      </c>
      <c r="P17" s="63">
        <v>0</v>
      </c>
      <c r="Q17" s="47">
        <v>0</v>
      </c>
      <c r="R17" s="47">
        <v>0</v>
      </c>
      <c r="S17" s="47">
        <v>3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117100</v>
      </c>
      <c r="Y17" s="47">
        <v>0</v>
      </c>
      <c r="Z17" s="47" t="e">
        <f t="shared" si="2"/>
        <v>#N/A</v>
      </c>
      <c r="AA17" s="47">
        <v>1</v>
      </c>
      <c r="AB17" s="47" t="e">
        <f t="shared" si="3"/>
        <v>#N/A</v>
      </c>
      <c r="AC17" s="63">
        <v>2396000</v>
      </c>
      <c r="AD17" s="63">
        <v>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4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306</v>
      </c>
      <c r="J18" s="47">
        <v>13</v>
      </c>
      <c r="K18" s="19">
        <v>-57</v>
      </c>
      <c r="L18" s="116" t="s">
        <v>288</v>
      </c>
      <c r="M18" s="105" t="s">
        <v>65</v>
      </c>
      <c r="N18" s="47">
        <v>8.1</v>
      </c>
      <c r="O18" s="63">
        <v>465</v>
      </c>
      <c r="P18" s="63">
        <v>4.34</v>
      </c>
      <c r="Q18" s="47">
        <v>0</v>
      </c>
      <c r="R18" s="47">
        <v>0</v>
      </c>
      <c r="S18" s="47">
        <v>2</v>
      </c>
      <c r="T18" s="47">
        <v>0</v>
      </c>
      <c r="U18" s="75">
        <v>1.7999999999999999E-2</v>
      </c>
      <c r="V18" s="75">
        <v>0</v>
      </c>
      <c r="W18" s="47">
        <v>0.25</v>
      </c>
      <c r="X18" s="47">
        <v>45000</v>
      </c>
      <c r="Y18" s="47">
        <v>0</v>
      </c>
      <c r="Z18" s="47" t="e">
        <f t="shared" si="2"/>
        <v>#N/A</v>
      </c>
      <c r="AA18" s="47">
        <v>1</v>
      </c>
      <c r="AB18" s="47" t="e">
        <f t="shared" si="3"/>
        <v>#N/A</v>
      </c>
      <c r="AC18" s="63">
        <v>680000</v>
      </c>
      <c r="AD18" s="63">
        <v>8043.47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4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19" t="s">
        <v>38</v>
      </c>
      <c r="B19" s="119" t="s">
        <v>30</v>
      </c>
      <c r="C19" s="119" t="s">
        <v>59</v>
      </c>
      <c r="D19" s="43"/>
      <c r="E19" s="35"/>
      <c r="I19" s="33" t="s">
        <v>306</v>
      </c>
      <c r="J19" s="47">
        <v>14</v>
      </c>
      <c r="K19" s="19">
        <v>-80</v>
      </c>
      <c r="L19" s="116" t="s">
        <v>288</v>
      </c>
      <c r="M19" s="105" t="s">
        <v>65</v>
      </c>
      <c r="N19" s="47">
        <v>8.1</v>
      </c>
      <c r="O19" s="63">
        <v>565</v>
      </c>
      <c r="P19" s="63">
        <v>0</v>
      </c>
      <c r="Q19" s="47">
        <v>0</v>
      </c>
      <c r="R19" s="47">
        <v>0</v>
      </c>
      <c r="S19" s="47">
        <v>2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45000</v>
      </c>
      <c r="Y19" s="47">
        <v>0</v>
      </c>
      <c r="Z19" s="47" t="e">
        <f>VLOOKUP(R19,$AE$39:$AF$59,2)</f>
        <v>#N/A</v>
      </c>
      <c r="AA19" s="47">
        <v>1</v>
      </c>
      <c r="AB19" s="47" t="e">
        <f t="shared" si="3"/>
        <v>#N/A</v>
      </c>
      <c r="AC19" s="63">
        <v>865000</v>
      </c>
      <c r="AD19" s="63">
        <v>0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4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</row>
    <row r="30" spans="1:45" x14ac:dyDescent="0.25">
      <c r="A30" s="66"/>
      <c r="B30" s="66"/>
      <c r="C30" s="67"/>
      <c r="D30" s="35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7">AF40+3.8</f>
        <v>55.599999999999994</v>
      </c>
      <c r="AG41" s="33">
        <f t="shared" ref="AG41:AG43" si="8">AG40+200</f>
        <v>2300</v>
      </c>
      <c r="AH41" s="33">
        <f t="shared" ref="AH41:AH44" si="9">AH40+0.8</f>
        <v>9.6000000000000014</v>
      </c>
    </row>
    <row r="42" spans="1:42" x14ac:dyDescent="0.25">
      <c r="L42" s="49"/>
      <c r="AE42" s="33">
        <v>18</v>
      </c>
      <c r="AF42" s="33">
        <f t="shared" si="7"/>
        <v>59.399999999999991</v>
      </c>
      <c r="AG42" s="33">
        <f t="shared" si="8"/>
        <v>2500</v>
      </c>
      <c r="AH42" s="33">
        <f t="shared" si="9"/>
        <v>10.400000000000002</v>
      </c>
    </row>
    <row r="43" spans="1:42" x14ac:dyDescent="0.25">
      <c r="L43" s="49"/>
      <c r="AE43" s="33">
        <v>19</v>
      </c>
      <c r="AF43" s="33">
        <f t="shared" si="7"/>
        <v>63.199999999999989</v>
      </c>
      <c r="AG43" s="33">
        <f t="shared" si="8"/>
        <v>2700</v>
      </c>
      <c r="AH43" s="33">
        <f t="shared" si="9"/>
        <v>11.200000000000003</v>
      </c>
    </row>
    <row r="44" spans="1:42" x14ac:dyDescent="0.25">
      <c r="L44" s="49"/>
      <c r="AE44" s="33">
        <v>20</v>
      </c>
      <c r="AF44" s="33">
        <f t="shared" si="7"/>
        <v>66.999999999999986</v>
      </c>
      <c r="AG44" s="33">
        <f>AG43+200</f>
        <v>2900</v>
      </c>
      <c r="AH44" s="33">
        <f t="shared" si="9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0">AF45+2.8</f>
        <v>72.59999999999998</v>
      </c>
      <c r="AG46" s="33">
        <f t="shared" ref="AG46:AG48" si="11">AG45+380</f>
        <v>3660</v>
      </c>
      <c r="AH46" s="33">
        <f t="shared" ref="AH46:AH49" si="12">AH45+1.6</f>
        <v>15.200000000000003</v>
      </c>
    </row>
    <row r="47" spans="1:42" x14ac:dyDescent="0.25">
      <c r="L47" s="49"/>
      <c r="AE47" s="33">
        <v>23</v>
      </c>
      <c r="AF47" s="33">
        <f t="shared" si="10"/>
        <v>75.399999999999977</v>
      </c>
      <c r="AG47" s="33">
        <f t="shared" si="11"/>
        <v>4040</v>
      </c>
      <c r="AH47" s="33">
        <f t="shared" si="12"/>
        <v>16.800000000000004</v>
      </c>
    </row>
    <row r="48" spans="1:42" x14ac:dyDescent="0.25">
      <c r="L48" s="49"/>
      <c r="AE48" s="33">
        <v>24</v>
      </c>
      <c r="AF48" s="33">
        <f t="shared" si="10"/>
        <v>78.199999999999974</v>
      </c>
      <c r="AG48" s="33">
        <f t="shared" si="11"/>
        <v>4420</v>
      </c>
      <c r="AH48" s="33">
        <f t="shared" si="12"/>
        <v>18.400000000000006</v>
      </c>
    </row>
    <row r="49" spans="12:34" x14ac:dyDescent="0.25">
      <c r="L49" s="49"/>
      <c r="AE49" s="33">
        <v>25</v>
      </c>
      <c r="AF49" s="33">
        <f t="shared" si="10"/>
        <v>80.999999999999972</v>
      </c>
      <c r="AG49" s="33">
        <v>4800</v>
      </c>
      <c r="AH49" s="33">
        <f t="shared" si="12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3">AF50+3</f>
        <v>86.999999999999972</v>
      </c>
      <c r="AG51" s="33">
        <f t="shared" ref="AG51:AG54" si="14">AG50+960</f>
        <v>6720</v>
      </c>
      <c r="AH51" s="33">
        <f t="shared" ref="AH51:AH54" si="15">AH50+4</f>
        <v>28.000000000000007</v>
      </c>
    </row>
    <row r="52" spans="12:34" x14ac:dyDescent="0.25">
      <c r="L52" s="49"/>
      <c r="AE52" s="33">
        <v>28</v>
      </c>
      <c r="AF52" s="33">
        <f t="shared" si="13"/>
        <v>89.999999999999972</v>
      </c>
      <c r="AG52" s="33">
        <f t="shared" si="14"/>
        <v>7680</v>
      </c>
      <c r="AH52" s="33">
        <f t="shared" si="15"/>
        <v>32.000000000000007</v>
      </c>
    </row>
    <row r="53" spans="12:34" x14ac:dyDescent="0.25">
      <c r="L53" s="49"/>
      <c r="AE53" s="33">
        <v>29</v>
      </c>
      <c r="AF53" s="33">
        <f t="shared" si="13"/>
        <v>92.999999999999972</v>
      </c>
      <c r="AG53" s="33">
        <f t="shared" si="14"/>
        <v>8640</v>
      </c>
      <c r="AH53" s="33">
        <f t="shared" si="15"/>
        <v>36.000000000000007</v>
      </c>
    </row>
    <row r="54" spans="12:34" x14ac:dyDescent="0.25">
      <c r="L54" s="49"/>
      <c r="AE54" s="33">
        <v>30</v>
      </c>
      <c r="AF54" s="33">
        <f t="shared" si="13"/>
        <v>95.999999999999972</v>
      </c>
      <c r="AG54" s="33">
        <f t="shared" si="14"/>
        <v>9600</v>
      </c>
      <c r="AH54" s="33">
        <f t="shared" si="15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6">AF55+3.8</f>
        <v>103.59999999999997</v>
      </c>
      <c r="AG56" s="33">
        <f t="shared" ref="AG56:AG59" si="17">AG55+480</f>
        <v>10560</v>
      </c>
      <c r="AH56" s="33">
        <f t="shared" ref="AH56:AH59" si="18">AH55+2</f>
        <v>44.000000000000007</v>
      </c>
    </row>
    <row r="57" spans="12:34" x14ac:dyDescent="0.25">
      <c r="L57" s="49"/>
      <c r="AE57" s="33">
        <v>33</v>
      </c>
      <c r="AF57" s="33">
        <f t="shared" si="16"/>
        <v>107.39999999999996</v>
      </c>
      <c r="AG57" s="33">
        <f t="shared" si="17"/>
        <v>11040</v>
      </c>
      <c r="AH57" s="33">
        <f t="shared" si="18"/>
        <v>46.000000000000007</v>
      </c>
    </row>
    <row r="58" spans="12:34" x14ac:dyDescent="0.25">
      <c r="L58" s="49"/>
      <c r="AE58" s="33">
        <v>34</v>
      </c>
      <c r="AF58" s="33">
        <f t="shared" si="16"/>
        <v>111.19999999999996</v>
      </c>
      <c r="AG58" s="33">
        <f t="shared" si="17"/>
        <v>11520</v>
      </c>
      <c r="AH58" s="33">
        <f t="shared" si="18"/>
        <v>48.000000000000007</v>
      </c>
    </row>
    <row r="59" spans="12:34" x14ac:dyDescent="0.25">
      <c r="L59" s="49"/>
      <c r="AE59" s="33">
        <v>35</v>
      </c>
      <c r="AF59" s="33">
        <f t="shared" si="16"/>
        <v>114.99999999999996</v>
      </c>
      <c r="AG59" s="33">
        <f t="shared" si="17"/>
        <v>12000</v>
      </c>
      <c r="AH59" s="33">
        <f t="shared" si="18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1:AP36 Q31:Q36 AM20:AP21 N31:N36 Q20:Q21 N20:N21">
    <cfRule type="expression" dxfId="3427" priority="14">
      <formula>$L20="API sand"</formula>
    </cfRule>
  </conditionalFormatting>
  <conditionalFormatting sqref="R20:S20 R31:S36 AB31:AB35 AJ31:AL36 Z31:Z36 S21 AD21 AB20:AB21 N31:N36 AJ20:AL21 Z20:Z21 N20:N21">
    <cfRule type="expression" dxfId="3426" priority="13">
      <formula>$M20="API sand"</formula>
    </cfRule>
  </conditionalFormatting>
  <conditionalFormatting sqref="R20:T20 R31:T36 Z31:AB35 S21:T21 AD21 AK31:AL36 N31:N36 Z20:AB21 N20:N21 AK20:AL21">
    <cfRule type="expression" dxfId="3425" priority="12">
      <formula>$M20="API clay"</formula>
    </cfRule>
  </conditionalFormatting>
  <conditionalFormatting sqref="U31:W36 U20:W21 AM31:AP36 N31:P36 N20:N21 P20:P21 AM20:AP21">
    <cfRule type="expression" dxfId="3424" priority="9">
      <formula>$L20="Stiff clay w/o free water"</formula>
    </cfRule>
    <cfRule type="expression" dxfId="3423" priority="11">
      <formula>$L20="API clay"</formula>
    </cfRule>
  </conditionalFormatting>
  <conditionalFormatting sqref="U31:Y36 U20:Y21 AM31:AP36 N31:P36 N20:N21 P20:P21 AM20:AP21">
    <cfRule type="expression" dxfId="3422" priority="10">
      <formula>$L20="Kirsch soft clay"</formula>
    </cfRule>
  </conditionalFormatting>
  <conditionalFormatting sqref="U31:Y36 U20:Y21 AM31:AP36 N31:P36 N20:N21 P20:P21 AM20:AP21">
    <cfRule type="expression" dxfId="3421" priority="8">
      <formula>$L20="Kirsch stiff clay"</formula>
    </cfRule>
  </conditionalFormatting>
  <conditionalFormatting sqref="AM31:AP36 Q31:Q36 X31:Y36 AM20:AP21 N31:N36 X20:Y21 Q20:Q21 N20:N21">
    <cfRule type="expression" dxfId="3420" priority="7">
      <formula>$L20="Kirsch sand"</formula>
    </cfRule>
  </conditionalFormatting>
  <conditionalFormatting sqref="AC31:AD36 AI31:AI36 AM31:AP36 N31:N36 AI20:AI21 AC20:AD21 N20:N21 AM20:AP21">
    <cfRule type="expression" dxfId="3419" priority="6">
      <formula>$L20="Modified Weak rock"</formula>
    </cfRule>
  </conditionalFormatting>
  <conditionalFormatting sqref="AM31:AP36 N31:P36 N20:N21 P20:P21 U31:V36 U20:V21 AM20:AP21">
    <cfRule type="expression" dxfId="3418" priority="5">
      <formula>$L20="Reese stiff clay"</formula>
    </cfRule>
  </conditionalFormatting>
  <conditionalFormatting sqref="AB36">
    <cfRule type="expression" dxfId="3417" priority="4">
      <formula>$M36="API sand"</formula>
    </cfRule>
  </conditionalFormatting>
  <conditionalFormatting sqref="Z36:AB36">
    <cfRule type="expression" dxfId="3416" priority="3">
      <formula>$M36="API clay"</formula>
    </cfRule>
  </conditionalFormatting>
  <conditionalFormatting sqref="O20:O21">
    <cfRule type="expression" dxfId="3415" priority="2">
      <formula>$L20="API sand"</formula>
    </cfRule>
  </conditionalFormatting>
  <conditionalFormatting sqref="O20:O21">
    <cfRule type="expression" dxfId="3414" priority="1">
      <formula>$L20="Kirsch sand"</formula>
    </cfRule>
  </conditionalFormatting>
  <conditionalFormatting sqref="AE37:AH37">
    <cfRule type="expression" dxfId="3413" priority="15">
      <formula>$L19="Modified Weak rock"</formula>
    </cfRule>
  </conditionalFormatting>
  <dataValidations count="3">
    <dataValidation type="list" showInputMessage="1" showErrorMessage="1" sqref="M31:M36 M20:M21" xr:uid="{FACE41B2-F267-4A64-BFA6-1C5098186F30}">
      <formula1>"',API sand,API clay"</formula1>
    </dataValidation>
    <dataValidation type="list" showInputMessage="1" showErrorMessage="1" sqref="M6:M19" xr:uid="{272C627C-3F8B-47C6-AC24-6A4752A85F60}">
      <formula1>"Zero soil,API sand,API clay"</formula1>
    </dataValidation>
    <dataValidation type="list" showInputMessage="1" showErrorMessage="1" sqref="L31:L255 L6:L21" xr:uid="{E38D67CF-5317-4552-B98B-C78E2BC3AA14}">
      <formula1>"Zero soil,API sand,Kirsch sand,Kallehave sand,PISA sand, PISA clay, API clay,Stiff clay w/o free water,Reese stiff clay,Kirsch soft clay,Kirsch stiff clay,Modified Weak rock"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7E4CF-6299-4273-AA33-F920FD3DF972}">
  <sheetPr>
    <tabColor rgb="FF00B0F0"/>
  </sheetPr>
  <dimension ref="A1:AS255"/>
  <sheetViews>
    <sheetView zoomScale="85" zoomScaleNormal="85" workbookViewId="0">
      <selection activeCell="B7" sqref="B7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Ak_Pisa_WTG11_ULSF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51"/>
      <c r="R3" s="155"/>
      <c r="S3" s="155"/>
      <c r="T3" s="151"/>
      <c r="U3" s="155"/>
      <c r="V3" s="155"/>
      <c r="W3" s="151"/>
      <c r="X3" s="69"/>
      <c r="Y3" s="151"/>
      <c r="Z3" s="151"/>
      <c r="AA3" s="151"/>
      <c r="AB3" s="151"/>
      <c r="AC3" s="69"/>
      <c r="AD3" s="39"/>
      <c r="AE3" s="39"/>
      <c r="AF3" s="39"/>
      <c r="AG3" s="39"/>
      <c r="AH3" s="39"/>
      <c r="AI3" s="39"/>
      <c r="AJ3" s="151"/>
      <c r="AK3" s="151"/>
      <c r="AL3" s="151"/>
      <c r="AM3" s="151"/>
      <c r="AN3" s="151"/>
      <c r="AO3" s="151"/>
      <c r="AP3" s="151"/>
    </row>
    <row r="4" spans="1:45" x14ac:dyDescent="0.25">
      <c r="A4" s="40" t="s">
        <v>60</v>
      </c>
      <c r="B4" s="33">
        <f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2" t="s">
        <v>38</v>
      </c>
      <c r="K5" s="152" t="s">
        <v>30</v>
      </c>
      <c r="L5" s="152" t="s">
        <v>31</v>
      </c>
      <c r="M5" s="152" t="s">
        <v>31</v>
      </c>
      <c r="N5" s="152" t="s">
        <v>32</v>
      </c>
      <c r="O5" s="152" t="s">
        <v>33</v>
      </c>
      <c r="P5" s="152" t="s">
        <v>35</v>
      </c>
      <c r="Q5" s="152" t="s">
        <v>36</v>
      </c>
      <c r="R5" s="152" t="s">
        <v>36</v>
      </c>
      <c r="S5" s="152" t="s">
        <v>34</v>
      </c>
      <c r="T5" s="152" t="s">
        <v>33</v>
      </c>
      <c r="U5" s="152" t="s">
        <v>34</v>
      </c>
      <c r="V5" s="152" t="s">
        <v>62</v>
      </c>
      <c r="W5" s="152" t="s">
        <v>34</v>
      </c>
      <c r="X5" s="152" t="s">
        <v>33</v>
      </c>
      <c r="Y5" s="152" t="s">
        <v>35</v>
      </c>
      <c r="Z5" s="152" t="s">
        <v>33</v>
      </c>
      <c r="AA5" s="152" t="s">
        <v>34</v>
      </c>
      <c r="AB5" s="152" t="s">
        <v>33</v>
      </c>
      <c r="AC5" s="152" t="s">
        <v>33</v>
      </c>
      <c r="AD5" s="152" t="s">
        <v>35</v>
      </c>
      <c r="AE5" s="152" t="s">
        <v>34</v>
      </c>
      <c r="AF5" s="152" t="s">
        <v>33</v>
      </c>
      <c r="AG5" s="152" t="s">
        <v>35</v>
      </c>
      <c r="AH5" s="152" t="s">
        <v>34</v>
      </c>
      <c r="AI5" s="152" t="s">
        <v>34</v>
      </c>
      <c r="AJ5" s="152" t="s">
        <v>34</v>
      </c>
      <c r="AK5" s="152" t="s">
        <v>34</v>
      </c>
      <c r="AL5" s="152" t="s">
        <v>34</v>
      </c>
      <c r="AM5" s="152" t="s">
        <v>34</v>
      </c>
      <c r="AN5" s="152" t="s">
        <v>34</v>
      </c>
      <c r="AO5" s="152" t="s">
        <v>34</v>
      </c>
      <c r="AP5" s="152" t="s">
        <v>34</v>
      </c>
      <c r="AQ5" s="152" t="s">
        <v>103</v>
      </c>
      <c r="AR5" s="152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EW_sand_Ruled_32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31</v>
      </c>
      <c r="R6" s="47">
        <f t="shared" ref="R6:R8" si="0">IF(Q6&lt;&gt;0,Q6-5,NA())</f>
        <v>26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2800</v>
      </c>
      <c r="Y6" s="47">
        <v>0</v>
      </c>
      <c r="Z6" s="47">
        <f t="shared" ref="Z6:Z16" si="1">VLOOKUP(R6,$AE$39:$AF$59,2)</f>
        <v>83.999999999999972</v>
      </c>
      <c r="AA6" s="47">
        <v>1</v>
      </c>
      <c r="AB6" s="47">
        <f t="shared" ref="AB6:AB16" si="2">VLOOKUP(R6,$AE$39:$AG$59,3)</f>
        <v>5760</v>
      </c>
      <c r="AC6" s="63">
        <v>7000</v>
      </c>
      <c r="AD6" s="63">
        <v>13636.36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6" si="3">VLOOKUP(R6,$AE$39:$AH$59,4)</f>
        <v>24.000000000000007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32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271</v>
      </c>
      <c r="J7" s="47">
        <v>2</v>
      </c>
      <c r="K7" s="19">
        <v>-1.1000000000000001</v>
      </c>
      <c r="L7" s="33" t="str">
        <f>"EW_sand_Ruled"&amp;"_"&amp;AR7</f>
        <v>EW_sand_Ruled_99</v>
      </c>
      <c r="M7" s="105" t="s">
        <v>64</v>
      </c>
      <c r="N7" s="47">
        <v>9.8000000000000007</v>
      </c>
      <c r="O7" s="63">
        <v>0</v>
      </c>
      <c r="P7" s="63">
        <v>0</v>
      </c>
      <c r="Q7" s="47">
        <v>31</v>
      </c>
      <c r="R7" s="47">
        <f t="shared" si="0"/>
        <v>26</v>
      </c>
      <c r="S7" s="47">
        <v>3</v>
      </c>
      <c r="T7" s="47">
        <v>0</v>
      </c>
      <c r="U7" s="75">
        <v>0</v>
      </c>
      <c r="V7" s="75">
        <v>0</v>
      </c>
      <c r="W7" s="47">
        <v>0</v>
      </c>
      <c r="X7" s="47">
        <v>32900</v>
      </c>
      <c r="Y7" s="47">
        <v>0</v>
      </c>
      <c r="Z7" s="47">
        <f t="shared" si="1"/>
        <v>83.999999999999972</v>
      </c>
      <c r="AA7" s="47">
        <v>1</v>
      </c>
      <c r="AB7" s="47">
        <f t="shared" si="2"/>
        <v>5760</v>
      </c>
      <c r="AC7" s="63">
        <v>45000</v>
      </c>
      <c r="AD7" s="63">
        <v>16315.78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24.000000000000007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99</v>
      </c>
      <c r="AS7" s="33">
        <v>0.2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20110.312800000003</v>
      </c>
      <c r="H8" s="45" t="s">
        <v>53</v>
      </c>
      <c r="I8" s="33" t="s">
        <v>271</v>
      </c>
      <c r="J8" s="47">
        <v>3</v>
      </c>
      <c r="K8" s="19">
        <v>-3</v>
      </c>
      <c r="L8" s="33" t="str">
        <f>"EW_sand_Ruled"&amp;"_"&amp;AR8</f>
        <v>EW_sand_Ruled_100</v>
      </c>
      <c r="M8" s="105" t="s">
        <v>64</v>
      </c>
      <c r="N8" s="47">
        <v>9.8000000000000007</v>
      </c>
      <c r="O8" s="63">
        <v>0</v>
      </c>
      <c r="P8" s="63">
        <v>0</v>
      </c>
      <c r="Q8" s="47">
        <v>32</v>
      </c>
      <c r="R8" s="47">
        <f t="shared" si="0"/>
        <v>27</v>
      </c>
      <c r="S8" s="47">
        <v>3</v>
      </c>
      <c r="T8" s="47">
        <v>0</v>
      </c>
      <c r="U8" s="75">
        <v>0</v>
      </c>
      <c r="V8" s="75">
        <v>0</v>
      </c>
      <c r="W8" s="47">
        <v>0</v>
      </c>
      <c r="X8" s="47">
        <v>59400</v>
      </c>
      <c r="Y8" s="47">
        <v>0</v>
      </c>
      <c r="Z8" s="47">
        <f t="shared" si="1"/>
        <v>86.999999999999972</v>
      </c>
      <c r="AA8" s="47">
        <v>1</v>
      </c>
      <c r="AB8" s="47">
        <f t="shared" si="2"/>
        <v>6720</v>
      </c>
      <c r="AC8" s="63">
        <v>83000</v>
      </c>
      <c r="AD8" s="63">
        <v>8695.65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28.000000000000007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100</v>
      </c>
      <c r="AS8" s="33">
        <v>0.2</v>
      </c>
    </row>
    <row r="9" spans="1:45" x14ac:dyDescent="0.25">
      <c r="A9" s="33" t="s">
        <v>68</v>
      </c>
      <c r="B9" s="57">
        <v>38</v>
      </c>
      <c r="C9" s="45" t="s">
        <v>28</v>
      </c>
      <c r="D9" s="57">
        <v>28</v>
      </c>
      <c r="F9" s="33" t="s">
        <v>96</v>
      </c>
      <c r="G9" s="76">
        <v>-814615.71023076901</v>
      </c>
      <c r="H9" s="45" t="s">
        <v>54</v>
      </c>
      <c r="I9" s="33" t="s">
        <v>216</v>
      </c>
      <c r="J9" s="47">
        <v>4</v>
      </c>
      <c r="K9" s="19">
        <v>-5.3</v>
      </c>
      <c r="L9" s="116" t="s">
        <v>321</v>
      </c>
      <c r="M9" s="105" t="s">
        <v>65</v>
      </c>
      <c r="N9" s="47">
        <v>9.3000000000000007</v>
      </c>
      <c r="O9" s="63">
        <v>156</v>
      </c>
      <c r="P9" s="63">
        <v>78.23</v>
      </c>
      <c r="Q9" s="47">
        <v>0</v>
      </c>
      <c r="R9" s="47" t="e">
        <f>IF(Q9&lt;&gt;0,Q9-5,NA())</f>
        <v>#N/A</v>
      </c>
      <c r="S9" s="47">
        <v>3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21400</v>
      </c>
      <c r="Y9" s="47">
        <v>0</v>
      </c>
      <c r="Z9" s="47" t="e">
        <f t="shared" si="1"/>
        <v>#N/A</v>
      </c>
      <c r="AA9" s="47">
        <v>1</v>
      </c>
      <c r="AB9" s="47" t="e">
        <f t="shared" si="2"/>
        <v>#N/A</v>
      </c>
      <c r="AC9" s="63">
        <v>185000</v>
      </c>
      <c r="AD9" s="63">
        <v>92941.17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3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38</v>
      </c>
      <c r="C10" s="45" t="s">
        <v>28</v>
      </c>
      <c r="D10" s="58">
        <v>28</v>
      </c>
      <c r="F10" s="33" t="s">
        <v>51</v>
      </c>
      <c r="G10" s="71">
        <v>35382.235153846159</v>
      </c>
      <c r="H10" s="45" t="s">
        <v>53</v>
      </c>
      <c r="I10" s="33" t="s">
        <v>308</v>
      </c>
      <c r="J10" s="47">
        <v>5</v>
      </c>
      <c r="K10" s="19">
        <v>-7</v>
      </c>
      <c r="L10" s="116" t="s">
        <v>321</v>
      </c>
      <c r="M10" s="105" t="s">
        <v>65</v>
      </c>
      <c r="N10" s="47">
        <v>8.3000000000000007</v>
      </c>
      <c r="O10" s="63">
        <v>238</v>
      </c>
      <c r="P10" s="63">
        <v>-92</v>
      </c>
      <c r="Q10" s="47">
        <v>0</v>
      </c>
      <c r="R10" s="47" t="e">
        <f>IF(Q10&lt;&gt;0,Q10-5,NA())</f>
        <v>#N/A</v>
      </c>
      <c r="S10" s="47">
        <v>3</v>
      </c>
      <c r="T10" s="47">
        <v>0</v>
      </c>
      <c r="U10" s="75">
        <v>1.7999999999999999E-2</v>
      </c>
      <c r="V10" s="75">
        <v>0</v>
      </c>
      <c r="W10" s="47">
        <v>0.5</v>
      </c>
      <c r="X10" s="47">
        <v>20000</v>
      </c>
      <c r="Y10" s="47">
        <v>0</v>
      </c>
      <c r="Z10" s="47" t="e">
        <f t="shared" si="1"/>
        <v>#N/A</v>
      </c>
      <c r="AA10" s="47">
        <v>1</v>
      </c>
      <c r="AB10" s="47" t="e">
        <f t="shared" si="2"/>
        <v>#N/A</v>
      </c>
      <c r="AC10" s="63">
        <v>297000</v>
      </c>
      <c r="AD10" s="63">
        <v>-114000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 t="e">
        <f t="shared" si="3"/>
        <v>#N/A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308</v>
      </c>
      <c r="J11" s="47">
        <v>6</v>
      </c>
      <c r="K11" s="19">
        <v>-8</v>
      </c>
      <c r="L11" s="116" t="s">
        <v>321</v>
      </c>
      <c r="M11" s="105" t="s">
        <v>65</v>
      </c>
      <c r="N11" s="47">
        <v>8.3000000000000007</v>
      </c>
      <c r="O11" s="63">
        <v>102</v>
      </c>
      <c r="P11" s="63">
        <v>10.18</v>
      </c>
      <c r="Q11" s="47">
        <v>0</v>
      </c>
      <c r="R11" s="47" t="e">
        <f>IF(Q11&lt;&gt;0,Q11-5,NA())</f>
        <v>#N/A</v>
      </c>
      <c r="S11" s="47">
        <v>3</v>
      </c>
      <c r="T11" s="47">
        <v>0</v>
      </c>
      <c r="U11" s="75">
        <v>1.7999999999999999E-2</v>
      </c>
      <c r="V11" s="75">
        <v>0</v>
      </c>
      <c r="W11" s="47">
        <v>0.5</v>
      </c>
      <c r="X11" s="47">
        <v>17600</v>
      </c>
      <c r="Y11" s="47">
        <v>0</v>
      </c>
      <c r="Z11" s="47" t="e">
        <f t="shared" si="1"/>
        <v>#N/A</v>
      </c>
      <c r="AA11" s="47">
        <v>1</v>
      </c>
      <c r="AB11" s="47" t="e">
        <f t="shared" si="2"/>
        <v>#N/A</v>
      </c>
      <c r="AC11" s="63">
        <v>126000</v>
      </c>
      <c r="AD11" s="63">
        <v>13454.54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 t="e">
        <f t="shared" si="3"/>
        <v>#N/A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33">
        <v>0.4</v>
      </c>
    </row>
    <row r="12" spans="1:45" x14ac:dyDescent="0.25">
      <c r="A12" s="33" t="s">
        <v>74</v>
      </c>
      <c r="B12" s="57">
        <v>9.6</v>
      </c>
      <c r="C12" s="45" t="s">
        <v>28</v>
      </c>
      <c r="E12" s="59"/>
      <c r="F12" s="56" t="s">
        <v>97</v>
      </c>
      <c r="G12" s="71">
        <v>4547.3411007692312</v>
      </c>
      <c r="H12" s="45" t="s">
        <v>53</v>
      </c>
      <c r="I12" s="33" t="s">
        <v>309</v>
      </c>
      <c r="J12" s="47">
        <v>7</v>
      </c>
      <c r="K12" s="19">
        <v>-24.5</v>
      </c>
      <c r="L12" s="33" t="str">
        <f>"EW_sand_Ruled"&amp;"_"&amp;AR12</f>
        <v>EW_sand_Ruled_64</v>
      </c>
      <c r="M12" s="105" t="s">
        <v>64</v>
      </c>
      <c r="N12" s="47">
        <v>9.1</v>
      </c>
      <c r="O12" s="63">
        <v>0</v>
      </c>
      <c r="P12" s="63">
        <v>0</v>
      </c>
      <c r="Q12" s="47">
        <v>27</v>
      </c>
      <c r="R12" s="47">
        <f t="shared" ref="R12" si="4">IF(Q12&lt;&gt;0,Q12-5,NA())</f>
        <v>22</v>
      </c>
      <c r="S12" s="47">
        <v>0.8</v>
      </c>
      <c r="T12" s="47">
        <v>0</v>
      </c>
      <c r="U12" s="75">
        <v>0</v>
      </c>
      <c r="V12" s="75">
        <v>0</v>
      </c>
      <c r="W12" s="47">
        <v>0</v>
      </c>
      <c r="X12" s="47">
        <v>20000</v>
      </c>
      <c r="Y12" s="47">
        <v>0</v>
      </c>
      <c r="Z12" s="47">
        <f t="shared" si="1"/>
        <v>72.59999999999998</v>
      </c>
      <c r="AA12" s="47">
        <v>1</v>
      </c>
      <c r="AB12" s="47">
        <f t="shared" si="2"/>
        <v>3660</v>
      </c>
      <c r="AC12" s="63">
        <v>133000</v>
      </c>
      <c r="AD12" s="63">
        <v>-1785.71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3"/>
        <v>15.200000000000003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64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220</v>
      </c>
      <c r="J13" s="47">
        <v>8</v>
      </c>
      <c r="K13" s="19">
        <v>-27.3</v>
      </c>
      <c r="L13" s="116" t="s">
        <v>321</v>
      </c>
      <c r="M13" s="105" t="s">
        <v>65</v>
      </c>
      <c r="N13" s="47">
        <v>8.8000000000000007</v>
      </c>
      <c r="O13" s="63">
        <v>101</v>
      </c>
      <c r="P13" s="63">
        <v>24.42</v>
      </c>
      <c r="Q13" s="47">
        <v>0</v>
      </c>
      <c r="R13" s="47" t="e">
        <f>IF(Q13&lt;&gt;0,Q13-5,NA())</f>
        <v>#N/A</v>
      </c>
      <c r="S13" s="47">
        <v>2.7</v>
      </c>
      <c r="T13" s="47">
        <v>0</v>
      </c>
      <c r="U13" s="75">
        <v>1.7999999999999999E-2</v>
      </c>
      <c r="V13" s="75">
        <v>0</v>
      </c>
      <c r="W13" s="47">
        <v>0.5</v>
      </c>
      <c r="X13" s="47">
        <v>27400</v>
      </c>
      <c r="Y13" s="47">
        <v>0</v>
      </c>
      <c r="Z13" s="47" t="e">
        <f t="shared" si="1"/>
        <v>#N/A</v>
      </c>
      <c r="AA13" s="47">
        <v>1</v>
      </c>
      <c r="AB13" s="47" t="e">
        <f t="shared" si="2"/>
        <v>#N/A</v>
      </c>
      <c r="AC13" s="63">
        <v>146000</v>
      </c>
      <c r="AD13" s="63">
        <v>35238.089999999997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3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221</v>
      </c>
      <c r="J14" s="47">
        <v>9</v>
      </c>
      <c r="K14" s="19">
        <v>-42</v>
      </c>
      <c r="L14" s="116" t="s">
        <v>321</v>
      </c>
      <c r="M14" s="105" t="s">
        <v>65</v>
      </c>
      <c r="N14" s="47">
        <v>8.5</v>
      </c>
      <c r="O14" s="63">
        <v>90</v>
      </c>
      <c r="P14" s="63">
        <v>1.83</v>
      </c>
      <c r="Q14" s="47">
        <v>0</v>
      </c>
      <c r="R14" s="47" t="e">
        <f>IF(Q14&lt;&gt;0,Q14-5,NA())</f>
        <v>#N/A</v>
      </c>
      <c r="S14" s="47">
        <v>0.7</v>
      </c>
      <c r="T14" s="47">
        <v>0</v>
      </c>
      <c r="U14" s="75">
        <v>1.7999999999999999E-2</v>
      </c>
      <c r="V14" s="75">
        <v>0</v>
      </c>
      <c r="W14" s="47">
        <v>0.5</v>
      </c>
      <c r="X14" s="47">
        <v>9700</v>
      </c>
      <c r="Y14" s="47">
        <v>0</v>
      </c>
      <c r="Z14" s="47" t="e">
        <f t="shared" si="1"/>
        <v>#N/A</v>
      </c>
      <c r="AA14" s="47">
        <v>1</v>
      </c>
      <c r="AB14" s="47" t="e">
        <f t="shared" si="2"/>
        <v>#N/A</v>
      </c>
      <c r="AC14" s="63">
        <v>134000</v>
      </c>
      <c r="AD14" s="63">
        <v>2666.67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 t="e">
        <f t="shared" si="3"/>
        <v>#N/A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310</v>
      </c>
      <c r="J15" s="47">
        <v>10</v>
      </c>
      <c r="K15" s="19">
        <v>-48</v>
      </c>
      <c r="L15" s="116" t="s">
        <v>321</v>
      </c>
      <c r="M15" s="105" t="s">
        <v>65</v>
      </c>
      <c r="N15" s="47">
        <v>8.6999999999999993</v>
      </c>
      <c r="O15" s="63">
        <v>559</v>
      </c>
      <c r="P15" s="63">
        <v>2.15</v>
      </c>
      <c r="Q15" s="47">
        <v>0</v>
      </c>
      <c r="R15" s="47" t="e">
        <f>IF(Q15&lt;&gt;0,Q15-5,NA())</f>
        <v>#N/A</v>
      </c>
      <c r="S15" s="47">
        <v>2.5</v>
      </c>
      <c r="T15" s="47">
        <v>0</v>
      </c>
      <c r="U15" s="75">
        <v>1.7999999999999999E-2</v>
      </c>
      <c r="V15" s="75">
        <v>0</v>
      </c>
      <c r="W15" s="47">
        <v>0.25</v>
      </c>
      <c r="X15" s="47">
        <v>51400</v>
      </c>
      <c r="Y15" s="47">
        <v>0</v>
      </c>
      <c r="Z15" s="47" t="e">
        <f t="shared" si="1"/>
        <v>#N/A</v>
      </c>
      <c r="AA15" s="47">
        <v>1</v>
      </c>
      <c r="AB15" s="47" t="e">
        <f t="shared" si="2"/>
        <v>#N/A</v>
      </c>
      <c r="AC15" s="63">
        <v>839000</v>
      </c>
      <c r="AD15" s="63">
        <v>5000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3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310</v>
      </c>
      <c r="J16" s="47">
        <v>11</v>
      </c>
      <c r="K16" s="19">
        <v>-80</v>
      </c>
      <c r="L16" s="116" t="s">
        <v>321</v>
      </c>
      <c r="M16" s="105" t="s">
        <v>65</v>
      </c>
      <c r="N16" s="47">
        <v>8.6999999999999993</v>
      </c>
      <c r="O16" s="63">
        <v>628</v>
      </c>
      <c r="P16" s="63">
        <v>0</v>
      </c>
      <c r="Q16" s="47">
        <v>0</v>
      </c>
      <c r="R16" s="47" t="e">
        <f>IF(Q16&lt;&gt;0,Q16-5,NA())</f>
        <v>#N/A</v>
      </c>
      <c r="S16" s="47">
        <v>2.5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51400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999000</v>
      </c>
      <c r="AD16" s="63">
        <v>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52"/>
      <c r="E17" s="152"/>
      <c r="J17" s="47"/>
      <c r="K17" s="19"/>
      <c r="L17" s="116"/>
      <c r="M17" s="105"/>
      <c r="N17" s="47"/>
      <c r="O17" s="63"/>
      <c r="P17" s="63"/>
      <c r="Q17" s="47"/>
      <c r="R17" s="47"/>
      <c r="S17" s="47"/>
      <c r="T17" s="47"/>
      <c r="U17" s="75"/>
      <c r="V17" s="75"/>
      <c r="W17" s="47"/>
      <c r="X17" s="47"/>
      <c r="Y17" s="47"/>
      <c r="Z17" s="47"/>
      <c r="AA17" s="47"/>
      <c r="AB17" s="47"/>
      <c r="AC17" s="63"/>
      <c r="AD17" s="63"/>
      <c r="AE17" s="63"/>
      <c r="AF17" s="63"/>
      <c r="AG17" s="63"/>
      <c r="AH17" s="63"/>
      <c r="AI17" s="63"/>
      <c r="AJ17" s="47"/>
      <c r="AK17" s="47"/>
      <c r="AL17" s="47"/>
      <c r="AM17" s="47"/>
      <c r="AN17" s="47"/>
      <c r="AO17" s="47"/>
      <c r="AP17" s="47"/>
      <c r="AQ17" s="47"/>
      <c r="AR17" s="47"/>
      <c r="AS17" s="33"/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 s="116"/>
      <c r="M18" s="105"/>
      <c r="N18" s="47"/>
      <c r="O18" s="63"/>
      <c r="P18" s="63"/>
      <c r="Q18" s="47"/>
      <c r="R18" s="47"/>
      <c r="S18" s="47"/>
      <c r="T18" s="47"/>
      <c r="U18" s="75"/>
      <c r="V18" s="75"/>
      <c r="W18" s="47"/>
      <c r="X18" s="47"/>
      <c r="Y18" s="47"/>
      <c r="Z18" s="47"/>
      <c r="AA18" s="47"/>
      <c r="AB18" s="47"/>
      <c r="AC18" s="63"/>
      <c r="AD18" s="63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5" x14ac:dyDescent="0.25">
      <c r="A19" s="152" t="s">
        <v>38</v>
      </c>
      <c r="B19" s="152" t="s">
        <v>30</v>
      </c>
      <c r="C19" s="152" t="s">
        <v>59</v>
      </c>
      <c r="D19" s="43"/>
      <c r="E19" s="35"/>
      <c r="J19" s="47"/>
      <c r="K19" s="19"/>
      <c r="L19" s="116"/>
      <c r="M19" s="105"/>
      <c r="N19" s="47"/>
      <c r="O19" s="63"/>
      <c r="P19" s="63"/>
      <c r="Q19" s="47"/>
      <c r="R19" s="47"/>
      <c r="S19" s="47"/>
      <c r="T19" s="47"/>
      <c r="U19" s="75"/>
      <c r="V19" s="75"/>
      <c r="W19" s="47"/>
      <c r="X19" s="47"/>
      <c r="Y19" s="47"/>
      <c r="Z19" s="47"/>
      <c r="AA19" s="47"/>
      <c r="AB19" s="47"/>
      <c r="AC19" s="63"/>
      <c r="AD19" s="63"/>
      <c r="AE19" s="63"/>
      <c r="AF19" s="63"/>
      <c r="AG19" s="63"/>
      <c r="AH19" s="63"/>
      <c r="AI19" s="63"/>
      <c r="AJ19" s="47"/>
      <c r="AK19" s="47"/>
      <c r="AL19" s="47"/>
      <c r="AM19" s="47"/>
      <c r="AN19" s="47"/>
      <c r="AO19" s="47"/>
      <c r="AP19" s="47"/>
      <c r="AQ19" s="47"/>
      <c r="AR19" s="47"/>
    </row>
    <row r="20" spans="1:45" x14ac:dyDescent="0.25">
      <c r="A20" s="66">
        <v>1</v>
      </c>
      <c r="B20" s="66">
        <v>0</v>
      </c>
      <c r="C20" s="67">
        <v>0.09</v>
      </c>
      <c r="D20" s="43"/>
      <c r="I20" s="56"/>
      <c r="J20" s="47"/>
      <c r="K20" s="19"/>
      <c r="L20" s="116"/>
      <c r="M20" s="105"/>
      <c r="N20" s="47"/>
      <c r="O20" s="63"/>
      <c r="P20" s="63"/>
      <c r="Q20" s="47"/>
      <c r="R20" s="47"/>
      <c r="S20" s="47"/>
      <c r="T20" s="47"/>
      <c r="U20" s="75"/>
      <c r="V20" s="75"/>
      <c r="W20" s="47"/>
      <c r="X20" s="47"/>
      <c r="Y20" s="47"/>
      <c r="Z20" s="47"/>
      <c r="AA20" s="47"/>
      <c r="AB20" s="47"/>
      <c r="AC20" s="63"/>
      <c r="AD20" s="63"/>
      <c r="AE20" s="63"/>
      <c r="AF20" s="63"/>
      <c r="AG20" s="63"/>
      <c r="AH20" s="63"/>
      <c r="AI20" s="63"/>
      <c r="AJ20" s="47"/>
      <c r="AK20" s="47"/>
      <c r="AL20" s="47"/>
      <c r="AM20" s="47"/>
      <c r="AN20" s="47"/>
      <c r="AO20" s="47"/>
      <c r="AP20" s="47"/>
      <c r="AQ20" s="47"/>
      <c r="AR20" s="47"/>
    </row>
    <row r="21" spans="1:45" x14ac:dyDescent="0.25">
      <c r="A21" s="66"/>
      <c r="B21" s="66"/>
      <c r="C21" s="67"/>
      <c r="D21" s="43"/>
      <c r="I21" s="56"/>
      <c r="J21" s="47"/>
      <c r="K21" s="19"/>
      <c r="L21" s="116"/>
      <c r="M21" s="105"/>
      <c r="N21" s="47"/>
      <c r="O21" s="63"/>
      <c r="P21" s="63"/>
      <c r="Q21" s="47"/>
      <c r="R21" s="47"/>
      <c r="S21" s="47"/>
      <c r="T21" s="47"/>
      <c r="U21" s="75"/>
      <c r="V21" s="75"/>
      <c r="W21" s="47"/>
      <c r="X21" s="47"/>
      <c r="Y21" s="47"/>
      <c r="Z21" s="47"/>
      <c r="AA21" s="47"/>
      <c r="AB21" s="47"/>
      <c r="AC21" s="63"/>
      <c r="AD21" s="63"/>
      <c r="AE21" s="63"/>
      <c r="AF21" s="63"/>
      <c r="AG21" s="63"/>
      <c r="AH21" s="63"/>
      <c r="AI21" s="63"/>
      <c r="AJ21" s="47"/>
      <c r="AK21" s="47"/>
      <c r="AL21" s="47"/>
      <c r="AM21" s="47"/>
      <c r="AN21" s="47"/>
      <c r="AO21" s="47"/>
      <c r="AP21" s="47"/>
      <c r="AQ21" s="47"/>
      <c r="AR21" s="47"/>
    </row>
    <row r="22" spans="1:45" x14ac:dyDescent="0.25">
      <c r="A22" s="66"/>
      <c r="B22" s="66"/>
      <c r="C22" s="67"/>
      <c r="D22" s="35"/>
      <c r="J22" s="47"/>
      <c r="K22" s="19"/>
      <c r="L22" s="116"/>
      <c r="M22" s="105"/>
      <c r="N22" s="47"/>
      <c r="O22" s="63"/>
      <c r="P22" s="63"/>
      <c r="Q22" s="47"/>
      <c r="R22" s="47"/>
      <c r="S22" s="47"/>
      <c r="T22" s="47"/>
      <c r="U22" s="75"/>
      <c r="V22" s="75"/>
      <c r="W22" s="47"/>
      <c r="X22" s="47"/>
      <c r="Y22" s="47"/>
      <c r="Z22" s="47"/>
      <c r="AA22" s="47"/>
      <c r="AB22" s="47"/>
      <c r="AC22" s="63"/>
      <c r="AD22" s="63"/>
      <c r="AE22" s="63"/>
      <c r="AF22" s="63"/>
      <c r="AG22" s="63"/>
      <c r="AH22" s="63"/>
      <c r="AI22" s="63"/>
      <c r="AJ22" s="47"/>
      <c r="AK22" s="47"/>
      <c r="AL22" s="47"/>
      <c r="AM22" s="47"/>
      <c r="AN22" s="47"/>
      <c r="AO22" s="47"/>
      <c r="AP22" s="47"/>
      <c r="AQ22" s="47"/>
      <c r="AR22" s="47"/>
    </row>
    <row r="23" spans="1:45" x14ac:dyDescent="0.25">
      <c r="A23" s="66"/>
      <c r="B23" s="66"/>
      <c r="C23" s="67"/>
      <c r="D23" s="35"/>
      <c r="I23" s="56"/>
      <c r="J23" s="47"/>
      <c r="K23" s="56"/>
      <c r="L23" s="116"/>
      <c r="M23" s="105"/>
      <c r="N23" s="47"/>
      <c r="O23" s="63"/>
      <c r="P23" s="63"/>
      <c r="Q23" s="47"/>
      <c r="R23" s="47"/>
      <c r="S23" s="47"/>
      <c r="T23" s="47"/>
      <c r="U23" s="75"/>
      <c r="V23" s="75"/>
      <c r="W23" s="47"/>
      <c r="X23" s="47"/>
      <c r="Y23" s="47"/>
      <c r="Z23" s="47"/>
      <c r="AA23" s="47"/>
      <c r="AB23" s="47"/>
      <c r="AC23" s="63"/>
      <c r="AD23" s="63"/>
      <c r="AE23" s="63"/>
      <c r="AF23" s="63"/>
      <c r="AG23" s="63"/>
      <c r="AH23" s="63"/>
      <c r="AI23" s="63"/>
      <c r="AJ23" s="47"/>
      <c r="AK23" s="47"/>
      <c r="AL23" s="47"/>
      <c r="AM23" s="47"/>
      <c r="AN23" s="47"/>
      <c r="AO23" s="47"/>
      <c r="AP23" s="47"/>
      <c r="AQ23" s="47"/>
      <c r="AR23" s="47"/>
    </row>
    <row r="24" spans="1:45" x14ac:dyDescent="0.25">
      <c r="A24" s="66"/>
      <c r="B24" s="66"/>
      <c r="C24" s="67"/>
      <c r="D24" s="35"/>
      <c r="J24" s="47"/>
      <c r="K24" s="19"/>
      <c r="L24" s="116"/>
      <c r="M24" s="105"/>
      <c r="N24" s="47"/>
      <c r="O24" s="63"/>
      <c r="P24" s="63"/>
      <c r="Q24" s="47"/>
      <c r="R24" s="47"/>
      <c r="S24" s="47"/>
      <c r="T24" s="47"/>
      <c r="U24" s="75"/>
      <c r="V24" s="75"/>
      <c r="W24" s="47"/>
      <c r="X24" s="47"/>
      <c r="Y24" s="47"/>
      <c r="Z24" s="47"/>
      <c r="AA24" s="47"/>
      <c r="AB24" s="47"/>
      <c r="AC24" s="63"/>
      <c r="AD24" s="63"/>
      <c r="AE24" s="63"/>
      <c r="AF24" s="63"/>
      <c r="AG24" s="63"/>
      <c r="AH24" s="63"/>
      <c r="AI24" s="63"/>
      <c r="AJ24" s="47"/>
      <c r="AK24" s="47"/>
      <c r="AL24" s="47"/>
      <c r="AM24" s="47"/>
      <c r="AN24" s="47"/>
      <c r="AO24" s="47"/>
      <c r="AP24" s="47"/>
      <c r="AQ24" s="47"/>
      <c r="AR24" s="47"/>
    </row>
    <row r="25" spans="1:45" x14ac:dyDescent="0.25">
      <c r="A25" s="66"/>
      <c r="B25" s="66"/>
      <c r="C25" s="67"/>
      <c r="D25" s="35"/>
      <c r="J25" s="47"/>
      <c r="L25" s="116"/>
      <c r="M25" s="105"/>
      <c r="N25" s="47"/>
      <c r="O25" s="63"/>
      <c r="P25" s="63"/>
      <c r="Q25" s="47"/>
      <c r="R25" s="47"/>
      <c r="S25" s="47"/>
      <c r="T25" s="47"/>
      <c r="U25" s="75"/>
      <c r="V25" s="75"/>
      <c r="W25" s="47"/>
      <c r="X25" s="47"/>
      <c r="Y25" s="47"/>
      <c r="Z25" s="47"/>
      <c r="AA25" s="47"/>
      <c r="AB25" s="47"/>
      <c r="AC25" s="63"/>
      <c r="AD25" s="63"/>
      <c r="AE25" s="63"/>
      <c r="AF25" s="63"/>
      <c r="AG25" s="63"/>
      <c r="AH25" s="63"/>
      <c r="AI25" s="63"/>
      <c r="AJ25" s="47"/>
      <c r="AK25" s="47"/>
      <c r="AL25" s="47"/>
      <c r="AM25" s="47"/>
      <c r="AN25" s="47"/>
      <c r="AO25" s="47"/>
      <c r="AP25" s="47"/>
      <c r="AQ25" s="47"/>
      <c r="AR25" s="47"/>
    </row>
    <row r="26" spans="1:45" x14ac:dyDescent="0.25">
      <c r="A26" s="66"/>
      <c r="B26" s="66"/>
      <c r="C26" s="67"/>
      <c r="D26" s="35"/>
      <c r="J26" s="47"/>
      <c r="L26" s="116"/>
      <c r="M26" s="105"/>
      <c r="N26" s="47"/>
      <c r="O26" s="63"/>
      <c r="P26" s="63"/>
      <c r="Q26" s="47"/>
      <c r="R26" s="47"/>
      <c r="S26" s="47"/>
      <c r="T26" s="47"/>
      <c r="U26" s="75"/>
      <c r="V26" s="75"/>
      <c r="W26" s="47"/>
      <c r="X26" s="47"/>
      <c r="Y26" s="47"/>
      <c r="Z26" s="47"/>
      <c r="AA26" s="47"/>
      <c r="AB26" s="47"/>
      <c r="AC26" s="63"/>
      <c r="AD26" s="63"/>
      <c r="AE26" s="63"/>
      <c r="AF26" s="63"/>
      <c r="AG26" s="63"/>
      <c r="AH26" s="63"/>
      <c r="AI26" s="63"/>
      <c r="AJ26" s="47"/>
      <c r="AK26" s="47"/>
      <c r="AL26" s="47"/>
      <c r="AM26" s="47"/>
      <c r="AN26" s="47"/>
      <c r="AO26" s="47"/>
      <c r="AP26" s="47"/>
      <c r="AQ26" s="47"/>
      <c r="AR26" s="47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</row>
    <row r="30" spans="1:45" x14ac:dyDescent="0.25">
      <c r="A30" s="66"/>
      <c r="B30" s="66"/>
      <c r="C30" s="67"/>
      <c r="D30" s="35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</row>
    <row r="42" spans="1:42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42" x14ac:dyDescent="0.25">
      <c r="L43" s="49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</row>
    <row r="44" spans="1:42" x14ac:dyDescent="0.25">
      <c r="L44" s="49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2" x14ac:dyDescent="0.25">
      <c r="L47" s="49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2" x14ac:dyDescent="0.25">
      <c r="L48" s="49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9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9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9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9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9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9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9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1:AP36 Q31:Q36 N31:N36">
    <cfRule type="expression" dxfId="3412" priority="12">
      <formula>$L31="API sand"</formula>
    </cfRule>
  </conditionalFormatting>
  <conditionalFormatting sqref="R31:S36 AB31:AB35 AJ31:AL36 Z31:Z36 N31:N36">
    <cfRule type="expression" dxfId="3411" priority="11">
      <formula>$M31="API sand"</formula>
    </cfRule>
  </conditionalFormatting>
  <conditionalFormatting sqref="R31:T36 Z31:AB35 AK31:AL36 N31:N36">
    <cfRule type="expression" dxfId="3410" priority="10">
      <formula>$M31="API clay"</formula>
    </cfRule>
  </conditionalFormatting>
  <conditionalFormatting sqref="U31:W36 AM31:AP36 N31:P36">
    <cfRule type="expression" dxfId="3409" priority="7">
      <formula>$L31="Stiff clay w/o free water"</formula>
    </cfRule>
    <cfRule type="expression" dxfId="3408" priority="9">
      <formula>$L31="API clay"</formula>
    </cfRule>
  </conditionalFormatting>
  <conditionalFormatting sqref="U31:Y36 AM31:AP36 N31:P36">
    <cfRule type="expression" dxfId="3407" priority="8">
      <formula>$L31="Kirsch soft clay"</formula>
    </cfRule>
  </conditionalFormatting>
  <conditionalFormatting sqref="U31:Y36 AM31:AP36 N31:P36">
    <cfRule type="expression" dxfId="3406" priority="6">
      <formula>$L31="Kirsch stiff clay"</formula>
    </cfRule>
  </conditionalFormatting>
  <conditionalFormatting sqref="AM31:AP36 Q31:Q36 X31:Y36 N31:N36">
    <cfRule type="expression" dxfId="3405" priority="5">
      <formula>$L31="Kirsch sand"</formula>
    </cfRule>
  </conditionalFormatting>
  <conditionalFormatting sqref="AC31:AD36 AI31:AI36 AM31:AP36 N31:N36">
    <cfRule type="expression" dxfId="3404" priority="4">
      <formula>$L31="Modified Weak rock"</formula>
    </cfRule>
  </conditionalFormatting>
  <conditionalFormatting sqref="AM31:AP36 N31:P36 U31:V36">
    <cfRule type="expression" dxfId="3403" priority="3">
      <formula>$L31="Reese stiff clay"</formula>
    </cfRule>
  </conditionalFormatting>
  <conditionalFormatting sqref="AB36">
    <cfRule type="expression" dxfId="3402" priority="2">
      <formula>$M36="API sand"</formula>
    </cfRule>
  </conditionalFormatting>
  <conditionalFormatting sqref="Z36:AB36">
    <cfRule type="expression" dxfId="3401" priority="1">
      <formula>$M36="API clay"</formula>
    </cfRule>
  </conditionalFormatting>
  <conditionalFormatting sqref="AE37:AH37">
    <cfRule type="expression" dxfId="3400" priority="13">
      <formula>$L19="Modified Weak rock"</formula>
    </cfRule>
  </conditionalFormatting>
  <dataValidations count="4">
    <dataValidation type="list" showInputMessage="1" showErrorMessage="1" sqref="M6:M26" xr:uid="{2E30536F-164A-4D66-8577-231AA903CD0E}">
      <formula1>"Zero soil,API sand,API clay"</formula1>
    </dataValidation>
    <dataValidation type="list" showInputMessage="1" showErrorMessage="1" sqref="L31:L255 L17:L26" xr:uid="{7518D6A0-26E6-4885-BCAA-6EFE4AF5AFF3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1:M36 M9:M11 M13:M26" xr:uid="{AC90751E-3BE3-4034-B5DA-44EC896954DD}">
      <formula1>"',API sand,API clay"</formula1>
    </dataValidation>
    <dataValidation showInputMessage="1" showErrorMessage="1" sqref="L13:L16 L9:L11" xr:uid="{8988CBDB-1896-4272-A8A2-4DF6B0D08A53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3FF0E-FCA7-463A-BE9A-E6B13BA8CBAC}">
  <sheetPr>
    <tabColor rgb="FF00B0F0"/>
  </sheetPr>
  <dimension ref="A1:AS255"/>
  <sheetViews>
    <sheetView zoomScale="85" zoomScaleNormal="85" workbookViewId="0">
      <selection activeCell="L16" sqref="L16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Ak_Pisa_WTG11_RBB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51"/>
      <c r="R3" s="155"/>
      <c r="S3" s="155"/>
      <c r="T3" s="151"/>
      <c r="U3" s="155"/>
      <c r="V3" s="155"/>
      <c r="W3" s="151"/>
      <c r="X3" s="69"/>
      <c r="Y3" s="151"/>
      <c r="Z3" s="151"/>
      <c r="AA3" s="151"/>
      <c r="AB3" s="151"/>
      <c r="AC3" s="69"/>
      <c r="AD3" s="39"/>
      <c r="AE3" s="39"/>
      <c r="AF3" s="39"/>
      <c r="AG3" s="39"/>
      <c r="AH3" s="39"/>
      <c r="AI3" s="39"/>
      <c r="AJ3" s="151"/>
      <c r="AK3" s="151"/>
      <c r="AL3" s="151"/>
      <c r="AM3" s="151"/>
      <c r="AN3" s="151"/>
      <c r="AO3" s="151"/>
      <c r="AP3" s="151"/>
    </row>
    <row r="4" spans="1:45" x14ac:dyDescent="0.25">
      <c r="A4" s="40" t="s">
        <v>60</v>
      </c>
      <c r="B4" s="33">
        <f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2" t="s">
        <v>38</v>
      </c>
      <c r="K5" s="152" t="s">
        <v>30</v>
      </c>
      <c r="L5" s="152" t="s">
        <v>31</v>
      </c>
      <c r="M5" s="152" t="s">
        <v>31</v>
      </c>
      <c r="N5" s="152" t="s">
        <v>32</v>
      </c>
      <c r="O5" s="152" t="s">
        <v>33</v>
      </c>
      <c r="P5" s="152" t="s">
        <v>35</v>
      </c>
      <c r="Q5" s="152" t="s">
        <v>36</v>
      </c>
      <c r="R5" s="152" t="s">
        <v>36</v>
      </c>
      <c r="S5" s="152" t="s">
        <v>34</v>
      </c>
      <c r="T5" s="152" t="s">
        <v>33</v>
      </c>
      <c r="U5" s="152" t="s">
        <v>34</v>
      </c>
      <c r="V5" s="152" t="s">
        <v>62</v>
      </c>
      <c r="W5" s="152" t="s">
        <v>34</v>
      </c>
      <c r="X5" s="152" t="s">
        <v>33</v>
      </c>
      <c r="Y5" s="152" t="s">
        <v>35</v>
      </c>
      <c r="Z5" s="152" t="s">
        <v>33</v>
      </c>
      <c r="AA5" s="152" t="s">
        <v>34</v>
      </c>
      <c r="AB5" s="152" t="s">
        <v>33</v>
      </c>
      <c r="AC5" s="152" t="s">
        <v>33</v>
      </c>
      <c r="AD5" s="152" t="s">
        <v>35</v>
      </c>
      <c r="AE5" s="152" t="s">
        <v>34</v>
      </c>
      <c r="AF5" s="152" t="s">
        <v>33</v>
      </c>
      <c r="AG5" s="152" t="s">
        <v>35</v>
      </c>
      <c r="AH5" s="152" t="s">
        <v>34</v>
      </c>
      <c r="AI5" s="152" t="s">
        <v>34</v>
      </c>
      <c r="AJ5" s="152" t="s">
        <v>34</v>
      </c>
      <c r="AK5" s="152" t="s">
        <v>34</v>
      </c>
      <c r="AL5" s="152" t="s">
        <v>34</v>
      </c>
      <c r="AM5" s="152" t="s">
        <v>34</v>
      </c>
      <c r="AN5" s="152" t="s">
        <v>34</v>
      </c>
      <c r="AO5" s="152" t="s">
        <v>34</v>
      </c>
      <c r="AP5" s="152" t="s">
        <v>34</v>
      </c>
      <c r="AQ5" s="152" t="s">
        <v>103</v>
      </c>
      <c r="AR5" s="152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EW_sand_Ruled_32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31</v>
      </c>
      <c r="R6" s="47">
        <f t="shared" ref="R6:R8" si="0">IF(Q6&lt;&gt;0,Q6-5,NA())</f>
        <v>26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2800</v>
      </c>
      <c r="Y6" s="47">
        <v>0</v>
      </c>
      <c r="Z6" s="47">
        <f t="shared" ref="Z6:Z16" si="1">VLOOKUP(R6,$AE$39:$AF$59,2)</f>
        <v>83.999999999999972</v>
      </c>
      <c r="AA6" s="47">
        <v>1</v>
      </c>
      <c r="AB6" s="47">
        <f t="shared" ref="AB6:AB16" si="2">VLOOKUP(R6,$AE$39:$AG$59,3)</f>
        <v>5760</v>
      </c>
      <c r="AC6" s="63">
        <v>7000</v>
      </c>
      <c r="AD6" s="63">
        <v>13636.36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6" si="3">VLOOKUP(R6,$AE$39:$AH$59,4)</f>
        <v>24.000000000000007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32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271</v>
      </c>
      <c r="J7" s="47">
        <v>2</v>
      </c>
      <c r="K7" s="19">
        <v>-1.1000000000000001</v>
      </c>
      <c r="L7" s="33" t="str">
        <f>"EW_sand_Ruled"&amp;"_"&amp;AR7</f>
        <v>EW_sand_Ruled_99</v>
      </c>
      <c r="M7" s="105" t="s">
        <v>64</v>
      </c>
      <c r="N7" s="47">
        <v>9.8000000000000007</v>
      </c>
      <c r="O7" s="63">
        <v>0</v>
      </c>
      <c r="P7" s="63">
        <v>0</v>
      </c>
      <c r="Q7" s="47">
        <v>31</v>
      </c>
      <c r="R7" s="47">
        <f t="shared" si="0"/>
        <v>26</v>
      </c>
      <c r="S7" s="47">
        <v>3</v>
      </c>
      <c r="T7" s="47">
        <v>0</v>
      </c>
      <c r="U7" s="75">
        <v>0</v>
      </c>
      <c r="V7" s="75">
        <v>0</v>
      </c>
      <c r="W7" s="47">
        <v>0</v>
      </c>
      <c r="X7" s="47">
        <v>32900</v>
      </c>
      <c r="Y7" s="47">
        <v>0</v>
      </c>
      <c r="Z7" s="47">
        <f t="shared" si="1"/>
        <v>83.999999999999972</v>
      </c>
      <c r="AA7" s="47">
        <v>1</v>
      </c>
      <c r="AB7" s="47">
        <f t="shared" si="2"/>
        <v>5760</v>
      </c>
      <c r="AC7" s="63">
        <v>45000</v>
      </c>
      <c r="AD7" s="63">
        <v>16315.78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24.000000000000007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99</v>
      </c>
      <c r="AS7" s="33">
        <v>0.2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33425.199999999997</v>
      </c>
      <c r="H8" s="45" t="s">
        <v>53</v>
      </c>
      <c r="I8" s="33" t="s">
        <v>271</v>
      </c>
      <c r="J8" s="47">
        <v>3</v>
      </c>
      <c r="K8" s="19">
        <v>-3</v>
      </c>
      <c r="L8" s="33" t="str">
        <f>"EW_sand_Ruled"&amp;"_"&amp;AR8</f>
        <v>EW_sand_Ruled_100</v>
      </c>
      <c r="M8" s="105" t="s">
        <v>64</v>
      </c>
      <c r="N8" s="47">
        <v>9.8000000000000007</v>
      </c>
      <c r="O8" s="63">
        <v>0</v>
      </c>
      <c r="P8" s="63">
        <v>0</v>
      </c>
      <c r="Q8" s="47">
        <v>32</v>
      </c>
      <c r="R8" s="47">
        <f t="shared" si="0"/>
        <v>27</v>
      </c>
      <c r="S8" s="47">
        <v>3</v>
      </c>
      <c r="T8" s="47">
        <v>0</v>
      </c>
      <c r="U8" s="75">
        <v>0</v>
      </c>
      <c r="V8" s="75">
        <v>0</v>
      </c>
      <c r="W8" s="47">
        <v>0</v>
      </c>
      <c r="X8" s="47">
        <v>59400</v>
      </c>
      <c r="Y8" s="47">
        <v>0</v>
      </c>
      <c r="Z8" s="47">
        <f t="shared" si="1"/>
        <v>86.999999999999972</v>
      </c>
      <c r="AA8" s="47">
        <v>1</v>
      </c>
      <c r="AB8" s="47">
        <f t="shared" si="2"/>
        <v>6720</v>
      </c>
      <c r="AC8" s="63">
        <v>83000</v>
      </c>
      <c r="AD8" s="63">
        <v>8695.65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28.000000000000007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100</v>
      </c>
      <c r="AS8" s="33">
        <v>0.2</v>
      </c>
    </row>
    <row r="9" spans="1:45" x14ac:dyDescent="0.25">
      <c r="A9" s="33" t="s">
        <v>68</v>
      </c>
      <c r="B9" s="57">
        <v>38</v>
      </c>
      <c r="C9" s="45" t="s">
        <v>28</v>
      </c>
      <c r="D9" s="57">
        <v>28</v>
      </c>
      <c r="F9" s="33" t="s">
        <v>96</v>
      </c>
      <c r="G9" s="76">
        <v>-1129921</v>
      </c>
      <c r="H9" s="45" t="s">
        <v>54</v>
      </c>
      <c r="I9" s="33" t="s">
        <v>216</v>
      </c>
      <c r="J9" s="47">
        <v>4</v>
      </c>
      <c r="K9" s="19">
        <v>-5.3</v>
      </c>
      <c r="L9" s="116" t="s">
        <v>275</v>
      </c>
      <c r="M9" s="105" t="s">
        <v>65</v>
      </c>
      <c r="N9" s="47">
        <v>9.3000000000000007</v>
      </c>
      <c r="O9" s="63">
        <v>156</v>
      </c>
      <c r="P9" s="63">
        <v>78.23</v>
      </c>
      <c r="Q9" s="47">
        <v>0</v>
      </c>
      <c r="R9" s="47" t="e">
        <f>IF(Q9&lt;&gt;0,Q9-5,NA())</f>
        <v>#N/A</v>
      </c>
      <c r="S9" s="47">
        <v>3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21400</v>
      </c>
      <c r="Y9" s="47">
        <v>0</v>
      </c>
      <c r="Z9" s="47" t="e">
        <f t="shared" si="1"/>
        <v>#N/A</v>
      </c>
      <c r="AA9" s="47">
        <v>1</v>
      </c>
      <c r="AB9" s="47" t="e">
        <f t="shared" si="2"/>
        <v>#N/A</v>
      </c>
      <c r="AC9" s="63">
        <v>185000</v>
      </c>
      <c r="AD9" s="63">
        <v>92941.17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3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38</v>
      </c>
      <c r="C10" s="45" t="s">
        <v>28</v>
      </c>
      <c r="D10" s="58">
        <v>28</v>
      </c>
      <c r="F10" s="33" t="s">
        <v>51</v>
      </c>
      <c r="G10" s="71">
        <v>25618.9</v>
      </c>
      <c r="H10" s="45" t="s">
        <v>53</v>
      </c>
      <c r="I10" s="33" t="s">
        <v>308</v>
      </c>
      <c r="J10" s="47">
        <v>5</v>
      </c>
      <c r="K10" s="19">
        <v>-7</v>
      </c>
      <c r="L10" s="116" t="s">
        <v>275</v>
      </c>
      <c r="M10" s="105" t="s">
        <v>65</v>
      </c>
      <c r="N10" s="47">
        <v>8.3000000000000007</v>
      </c>
      <c r="O10" s="63">
        <v>238</v>
      </c>
      <c r="P10" s="63">
        <v>-92</v>
      </c>
      <c r="Q10" s="47">
        <v>0</v>
      </c>
      <c r="R10" s="47" t="e">
        <f>IF(Q10&lt;&gt;0,Q10-5,NA())</f>
        <v>#N/A</v>
      </c>
      <c r="S10" s="47">
        <v>3</v>
      </c>
      <c r="T10" s="47">
        <v>0</v>
      </c>
      <c r="U10" s="75">
        <v>1.7999999999999999E-2</v>
      </c>
      <c r="V10" s="75">
        <v>0</v>
      </c>
      <c r="W10" s="47">
        <v>0.5</v>
      </c>
      <c r="X10" s="47">
        <v>20000</v>
      </c>
      <c r="Y10" s="47">
        <v>0</v>
      </c>
      <c r="Z10" s="47" t="e">
        <f t="shared" si="1"/>
        <v>#N/A</v>
      </c>
      <c r="AA10" s="47">
        <v>1</v>
      </c>
      <c r="AB10" s="47" t="e">
        <f t="shared" si="2"/>
        <v>#N/A</v>
      </c>
      <c r="AC10" s="63">
        <v>297000</v>
      </c>
      <c r="AD10" s="63">
        <v>-114000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 t="e">
        <f t="shared" si="3"/>
        <v>#N/A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308</v>
      </c>
      <c r="J11" s="47">
        <v>6</v>
      </c>
      <c r="K11" s="19">
        <v>-8</v>
      </c>
      <c r="L11" s="116" t="s">
        <v>275</v>
      </c>
      <c r="M11" s="105" t="s">
        <v>65</v>
      </c>
      <c r="N11" s="47">
        <v>8.3000000000000007</v>
      </c>
      <c r="O11" s="63">
        <v>102</v>
      </c>
      <c r="P11" s="63">
        <v>10.18</v>
      </c>
      <c r="Q11" s="47">
        <v>0</v>
      </c>
      <c r="R11" s="47" t="e">
        <f>IF(Q11&lt;&gt;0,Q11-5,NA())</f>
        <v>#N/A</v>
      </c>
      <c r="S11" s="47">
        <v>3</v>
      </c>
      <c r="T11" s="47">
        <v>0</v>
      </c>
      <c r="U11" s="75">
        <v>1.7999999999999999E-2</v>
      </c>
      <c r="V11" s="75">
        <v>0</v>
      </c>
      <c r="W11" s="47">
        <v>0.5</v>
      </c>
      <c r="X11" s="47">
        <v>17600</v>
      </c>
      <c r="Y11" s="47">
        <v>0</v>
      </c>
      <c r="Z11" s="47" t="e">
        <f t="shared" si="1"/>
        <v>#N/A</v>
      </c>
      <c r="AA11" s="47">
        <v>1</v>
      </c>
      <c r="AB11" s="47" t="e">
        <f t="shared" si="2"/>
        <v>#N/A</v>
      </c>
      <c r="AC11" s="63">
        <v>126000</v>
      </c>
      <c r="AD11" s="63">
        <v>13454.54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 t="e">
        <f t="shared" si="3"/>
        <v>#N/A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33">
        <v>0.4</v>
      </c>
    </row>
    <row r="12" spans="1:45" x14ac:dyDescent="0.25">
      <c r="A12" s="33" t="s">
        <v>74</v>
      </c>
      <c r="B12" s="57">
        <v>9.6</v>
      </c>
      <c r="C12" s="45" t="s">
        <v>28</v>
      </c>
      <c r="E12" s="59"/>
      <c r="F12" s="56" t="s">
        <v>97</v>
      </c>
      <c r="G12" s="71">
        <v>4010.3649999999998</v>
      </c>
      <c r="H12" s="45" t="s">
        <v>53</v>
      </c>
      <c r="I12" s="33" t="s">
        <v>309</v>
      </c>
      <c r="J12" s="47">
        <v>7</v>
      </c>
      <c r="K12" s="19">
        <v>-24.5</v>
      </c>
      <c r="L12" s="33" t="str">
        <f>"EW_sand_Ruled"&amp;"_"&amp;AR12</f>
        <v>EW_sand_Ruled_64</v>
      </c>
      <c r="M12" s="105" t="s">
        <v>64</v>
      </c>
      <c r="N12" s="47">
        <v>9.1</v>
      </c>
      <c r="O12" s="63">
        <v>0</v>
      </c>
      <c r="P12" s="63">
        <v>0</v>
      </c>
      <c r="Q12" s="47">
        <v>27</v>
      </c>
      <c r="R12" s="47">
        <f t="shared" ref="R12" si="4">IF(Q12&lt;&gt;0,Q12-5,NA())</f>
        <v>22</v>
      </c>
      <c r="S12" s="47">
        <v>0.8</v>
      </c>
      <c r="T12" s="47">
        <v>0</v>
      </c>
      <c r="U12" s="75">
        <v>0</v>
      </c>
      <c r="V12" s="75">
        <v>0</v>
      </c>
      <c r="W12" s="47">
        <v>0</v>
      </c>
      <c r="X12" s="47">
        <v>20000</v>
      </c>
      <c r="Y12" s="47">
        <v>0</v>
      </c>
      <c r="Z12" s="47">
        <f t="shared" si="1"/>
        <v>72.59999999999998</v>
      </c>
      <c r="AA12" s="47">
        <v>1</v>
      </c>
      <c r="AB12" s="47">
        <f t="shared" si="2"/>
        <v>3660</v>
      </c>
      <c r="AC12" s="63">
        <v>133000</v>
      </c>
      <c r="AD12" s="63">
        <v>-1785.71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3"/>
        <v>15.200000000000003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64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220</v>
      </c>
      <c r="J13" s="47">
        <v>8</v>
      </c>
      <c r="K13" s="19">
        <v>-27.3</v>
      </c>
      <c r="L13" s="116" t="s">
        <v>275</v>
      </c>
      <c r="M13" s="105" t="s">
        <v>65</v>
      </c>
      <c r="N13" s="47">
        <v>8.8000000000000007</v>
      </c>
      <c r="O13" s="63">
        <v>101</v>
      </c>
      <c r="P13" s="63">
        <v>24.42</v>
      </c>
      <c r="Q13" s="47">
        <v>0</v>
      </c>
      <c r="R13" s="47" t="e">
        <f>IF(Q13&lt;&gt;0,Q13-5,NA())</f>
        <v>#N/A</v>
      </c>
      <c r="S13" s="47">
        <v>2.7</v>
      </c>
      <c r="T13" s="47">
        <v>0</v>
      </c>
      <c r="U13" s="75">
        <v>1.7999999999999999E-2</v>
      </c>
      <c r="V13" s="75">
        <v>0</v>
      </c>
      <c r="W13" s="47">
        <v>0.5</v>
      </c>
      <c r="X13" s="47">
        <v>27400</v>
      </c>
      <c r="Y13" s="47">
        <v>0</v>
      </c>
      <c r="Z13" s="47" t="e">
        <f t="shared" si="1"/>
        <v>#N/A</v>
      </c>
      <c r="AA13" s="47">
        <v>1</v>
      </c>
      <c r="AB13" s="47" t="e">
        <f t="shared" si="2"/>
        <v>#N/A</v>
      </c>
      <c r="AC13" s="63">
        <v>146000</v>
      </c>
      <c r="AD13" s="63">
        <v>35238.089999999997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3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221</v>
      </c>
      <c r="J14" s="47">
        <v>9</v>
      </c>
      <c r="K14" s="19">
        <v>-42</v>
      </c>
      <c r="L14" s="116" t="s">
        <v>275</v>
      </c>
      <c r="M14" s="105" t="s">
        <v>65</v>
      </c>
      <c r="N14" s="47">
        <v>8.5</v>
      </c>
      <c r="O14" s="63">
        <v>90</v>
      </c>
      <c r="P14" s="63">
        <v>1.83</v>
      </c>
      <c r="Q14" s="47">
        <v>0</v>
      </c>
      <c r="R14" s="47" t="e">
        <f>IF(Q14&lt;&gt;0,Q14-5,NA())</f>
        <v>#N/A</v>
      </c>
      <c r="S14" s="47">
        <v>0.7</v>
      </c>
      <c r="T14" s="47">
        <v>0</v>
      </c>
      <c r="U14" s="75">
        <v>1.7999999999999999E-2</v>
      </c>
      <c r="V14" s="75">
        <v>0</v>
      </c>
      <c r="W14" s="47">
        <v>0.5</v>
      </c>
      <c r="X14" s="47">
        <v>9700</v>
      </c>
      <c r="Y14" s="47">
        <v>0</v>
      </c>
      <c r="Z14" s="47" t="e">
        <f t="shared" si="1"/>
        <v>#N/A</v>
      </c>
      <c r="AA14" s="47">
        <v>1</v>
      </c>
      <c r="AB14" s="47" t="e">
        <f t="shared" si="2"/>
        <v>#N/A</v>
      </c>
      <c r="AC14" s="63">
        <v>134000</v>
      </c>
      <c r="AD14" s="63">
        <v>2666.67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 t="e">
        <f t="shared" si="3"/>
        <v>#N/A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310</v>
      </c>
      <c r="J15" s="47">
        <v>10</v>
      </c>
      <c r="K15" s="19">
        <v>-48</v>
      </c>
      <c r="L15" s="116" t="s">
        <v>275</v>
      </c>
      <c r="M15" s="105" t="s">
        <v>65</v>
      </c>
      <c r="N15" s="47">
        <v>8.6999999999999993</v>
      </c>
      <c r="O15" s="63">
        <v>559</v>
      </c>
      <c r="P15" s="63">
        <v>2.15</v>
      </c>
      <c r="Q15" s="47">
        <v>0</v>
      </c>
      <c r="R15" s="47" t="e">
        <f>IF(Q15&lt;&gt;0,Q15-5,NA())</f>
        <v>#N/A</v>
      </c>
      <c r="S15" s="47">
        <v>2.5</v>
      </c>
      <c r="T15" s="47">
        <v>0</v>
      </c>
      <c r="U15" s="75">
        <v>1.7999999999999999E-2</v>
      </c>
      <c r="V15" s="75">
        <v>0</v>
      </c>
      <c r="W15" s="47">
        <v>0.25</v>
      </c>
      <c r="X15" s="47">
        <v>51400</v>
      </c>
      <c r="Y15" s="47">
        <v>0</v>
      </c>
      <c r="Z15" s="47" t="e">
        <f t="shared" si="1"/>
        <v>#N/A</v>
      </c>
      <c r="AA15" s="47">
        <v>1</v>
      </c>
      <c r="AB15" s="47" t="e">
        <f t="shared" si="2"/>
        <v>#N/A</v>
      </c>
      <c r="AC15" s="63">
        <v>839000</v>
      </c>
      <c r="AD15" s="63">
        <v>5000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3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310</v>
      </c>
      <c r="J16" s="47">
        <v>11</v>
      </c>
      <c r="K16" s="19">
        <v>-80</v>
      </c>
      <c r="L16" s="116" t="s">
        <v>275</v>
      </c>
      <c r="M16" s="105" t="s">
        <v>65</v>
      </c>
      <c r="N16" s="47">
        <v>8.6999999999999993</v>
      </c>
      <c r="O16" s="63">
        <v>628</v>
      </c>
      <c r="P16" s="63">
        <v>0</v>
      </c>
      <c r="Q16" s="47">
        <v>0</v>
      </c>
      <c r="R16" s="47" t="e">
        <f>IF(Q16&lt;&gt;0,Q16-5,NA())</f>
        <v>#N/A</v>
      </c>
      <c r="S16" s="47">
        <v>2.5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51400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999000</v>
      </c>
      <c r="AD16" s="63">
        <v>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52"/>
      <c r="E17" s="152"/>
      <c r="J17" s="47"/>
      <c r="K17" s="19"/>
      <c r="L17" s="116"/>
      <c r="M17" s="105"/>
      <c r="N17" s="47"/>
      <c r="O17" s="63"/>
      <c r="P17" s="63"/>
      <c r="Q17" s="47"/>
      <c r="R17" s="47"/>
      <c r="S17" s="47"/>
      <c r="T17" s="47"/>
      <c r="U17" s="75"/>
      <c r="V17" s="75"/>
      <c r="W17" s="47"/>
      <c r="X17" s="47"/>
      <c r="Y17" s="47"/>
      <c r="Z17" s="47"/>
      <c r="AA17" s="47"/>
      <c r="AB17" s="47"/>
      <c r="AC17" s="63"/>
      <c r="AD17" s="63"/>
      <c r="AE17" s="63"/>
      <c r="AF17" s="63"/>
      <c r="AG17" s="63"/>
      <c r="AH17" s="63"/>
      <c r="AI17" s="63"/>
      <c r="AJ17" s="47"/>
      <c r="AK17" s="47"/>
      <c r="AL17" s="47"/>
      <c r="AM17" s="47"/>
      <c r="AN17" s="47"/>
      <c r="AO17" s="47"/>
      <c r="AP17" s="47"/>
      <c r="AQ17" s="47"/>
      <c r="AR17" s="47"/>
      <c r="AS17" s="33"/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 s="116"/>
      <c r="M18" s="105"/>
      <c r="N18" s="47"/>
      <c r="O18" s="63"/>
      <c r="P18" s="63"/>
      <c r="Q18" s="47"/>
      <c r="R18" s="47"/>
      <c r="S18" s="47"/>
      <c r="T18" s="47"/>
      <c r="U18" s="75"/>
      <c r="V18" s="75"/>
      <c r="W18" s="47"/>
      <c r="X18" s="47"/>
      <c r="Y18" s="47"/>
      <c r="Z18" s="47"/>
      <c r="AA18" s="47"/>
      <c r="AB18" s="47"/>
      <c r="AC18" s="63"/>
      <c r="AD18" s="63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5" x14ac:dyDescent="0.25">
      <c r="A19" s="152" t="s">
        <v>38</v>
      </c>
      <c r="B19" s="152" t="s">
        <v>30</v>
      </c>
      <c r="C19" s="152" t="s">
        <v>59</v>
      </c>
      <c r="D19" s="43"/>
      <c r="E19" s="35"/>
      <c r="J19" s="47"/>
      <c r="K19" s="19"/>
      <c r="L19" s="116"/>
      <c r="M19" s="105"/>
      <c r="N19" s="47"/>
      <c r="O19" s="63"/>
      <c r="P19" s="63"/>
      <c r="Q19" s="47"/>
      <c r="R19" s="47"/>
      <c r="S19" s="47"/>
      <c r="T19" s="47"/>
      <c r="U19" s="75"/>
      <c r="V19" s="75"/>
      <c r="W19" s="47"/>
      <c r="X19" s="47"/>
      <c r="Y19" s="47"/>
      <c r="Z19" s="47"/>
      <c r="AA19" s="47"/>
      <c r="AB19" s="47"/>
      <c r="AC19" s="63"/>
      <c r="AD19" s="63"/>
      <c r="AE19" s="63"/>
      <c r="AF19" s="63"/>
      <c r="AG19" s="63"/>
      <c r="AH19" s="63"/>
      <c r="AI19" s="63"/>
      <c r="AJ19" s="47"/>
      <c r="AK19" s="47"/>
      <c r="AL19" s="47"/>
      <c r="AM19" s="47"/>
      <c r="AN19" s="47"/>
      <c r="AO19" s="47"/>
      <c r="AP19" s="47"/>
      <c r="AQ19" s="47"/>
      <c r="AR19" s="47"/>
    </row>
    <row r="20" spans="1:45" x14ac:dyDescent="0.25">
      <c r="A20" s="66">
        <v>1</v>
      </c>
      <c r="B20" s="66">
        <v>0</v>
      </c>
      <c r="C20" s="67">
        <v>0.09</v>
      </c>
      <c r="D20" s="43"/>
      <c r="I20" s="56"/>
      <c r="J20" s="47"/>
      <c r="K20" s="19"/>
      <c r="L20" s="116"/>
      <c r="M20" s="105"/>
      <c r="N20" s="47"/>
      <c r="O20" s="63"/>
      <c r="P20" s="63"/>
      <c r="Q20" s="47"/>
      <c r="R20" s="47"/>
      <c r="S20" s="47"/>
      <c r="T20" s="47"/>
      <c r="U20" s="75"/>
      <c r="V20" s="75"/>
      <c r="W20" s="47"/>
      <c r="X20" s="47"/>
      <c r="Y20" s="47"/>
      <c r="Z20" s="47"/>
      <c r="AA20" s="47"/>
      <c r="AB20" s="47"/>
      <c r="AC20" s="63"/>
      <c r="AD20" s="63"/>
      <c r="AE20" s="63"/>
      <c r="AF20" s="63"/>
      <c r="AG20" s="63"/>
      <c r="AH20" s="63"/>
      <c r="AI20" s="63"/>
      <c r="AJ20" s="47"/>
      <c r="AK20" s="47"/>
      <c r="AL20" s="47"/>
      <c r="AM20" s="47"/>
      <c r="AN20" s="47"/>
      <c r="AO20" s="47"/>
      <c r="AP20" s="47"/>
      <c r="AQ20" s="47"/>
      <c r="AR20" s="47"/>
    </row>
    <row r="21" spans="1:45" x14ac:dyDescent="0.25">
      <c r="A21" s="66"/>
      <c r="B21" s="66"/>
      <c r="C21" s="67"/>
      <c r="D21" s="43"/>
      <c r="I21" s="56"/>
      <c r="J21" s="47"/>
      <c r="K21" s="19"/>
      <c r="L21" s="116"/>
      <c r="M21" s="105"/>
      <c r="N21" s="47"/>
      <c r="O21" s="63"/>
      <c r="P21" s="63"/>
      <c r="Q21" s="47"/>
      <c r="R21" s="47"/>
      <c r="S21" s="47"/>
      <c r="T21" s="47"/>
      <c r="U21" s="75"/>
      <c r="V21" s="75"/>
      <c r="W21" s="47"/>
      <c r="X21" s="47"/>
      <c r="Y21" s="47"/>
      <c r="Z21" s="47"/>
      <c r="AA21" s="47"/>
      <c r="AB21" s="47"/>
      <c r="AC21" s="63"/>
      <c r="AD21" s="63"/>
      <c r="AE21" s="63"/>
      <c r="AF21" s="63"/>
      <c r="AG21" s="63"/>
      <c r="AH21" s="63"/>
      <c r="AI21" s="63"/>
      <c r="AJ21" s="47"/>
      <c r="AK21" s="47"/>
      <c r="AL21" s="47"/>
      <c r="AM21" s="47"/>
      <c r="AN21" s="47"/>
      <c r="AO21" s="47"/>
      <c r="AP21" s="47"/>
      <c r="AQ21" s="47"/>
      <c r="AR21" s="47"/>
    </row>
    <row r="22" spans="1:45" x14ac:dyDescent="0.25">
      <c r="A22" s="66"/>
      <c r="B22" s="66"/>
      <c r="C22" s="67"/>
      <c r="D22" s="35"/>
      <c r="J22" s="47"/>
      <c r="K22" s="19"/>
      <c r="L22" s="116"/>
      <c r="M22" s="105"/>
      <c r="N22" s="47"/>
      <c r="O22" s="63"/>
      <c r="P22" s="63"/>
      <c r="Q22" s="47"/>
      <c r="R22" s="47"/>
      <c r="S22" s="47"/>
      <c r="T22" s="47"/>
      <c r="U22" s="75"/>
      <c r="V22" s="75"/>
      <c r="W22" s="47"/>
      <c r="X22" s="47"/>
      <c r="Y22" s="47"/>
      <c r="Z22" s="47"/>
      <c r="AA22" s="47"/>
      <c r="AB22" s="47"/>
      <c r="AC22" s="63"/>
      <c r="AD22" s="63"/>
      <c r="AE22" s="63"/>
      <c r="AF22" s="63"/>
      <c r="AG22" s="63"/>
      <c r="AH22" s="63"/>
      <c r="AI22" s="63"/>
      <c r="AJ22" s="47"/>
      <c r="AK22" s="47"/>
      <c r="AL22" s="47"/>
      <c r="AM22" s="47"/>
      <c r="AN22" s="47"/>
      <c r="AO22" s="47"/>
      <c r="AP22" s="47"/>
      <c r="AQ22" s="47"/>
      <c r="AR22" s="47"/>
    </row>
    <row r="23" spans="1:45" x14ac:dyDescent="0.25">
      <c r="A23" s="66"/>
      <c r="B23" s="66"/>
      <c r="C23" s="67"/>
      <c r="D23" s="35"/>
      <c r="I23" s="56"/>
      <c r="J23" s="47"/>
      <c r="K23" s="56"/>
      <c r="L23" s="116"/>
      <c r="M23" s="105"/>
      <c r="N23" s="47"/>
      <c r="O23" s="63"/>
      <c r="P23" s="63"/>
      <c r="Q23" s="47"/>
      <c r="R23" s="47"/>
      <c r="S23" s="47"/>
      <c r="T23" s="47"/>
      <c r="U23" s="75"/>
      <c r="V23" s="75"/>
      <c r="W23" s="47"/>
      <c r="X23" s="47"/>
      <c r="Y23" s="47"/>
      <c r="Z23" s="47"/>
      <c r="AA23" s="47"/>
      <c r="AB23" s="47"/>
      <c r="AC23" s="63"/>
      <c r="AD23" s="63"/>
      <c r="AE23" s="63"/>
      <c r="AF23" s="63"/>
      <c r="AG23" s="63"/>
      <c r="AH23" s="63"/>
      <c r="AI23" s="63"/>
      <c r="AJ23" s="47"/>
      <c r="AK23" s="47"/>
      <c r="AL23" s="47"/>
      <c r="AM23" s="47"/>
      <c r="AN23" s="47"/>
      <c r="AO23" s="47"/>
      <c r="AP23" s="47"/>
      <c r="AQ23" s="47"/>
      <c r="AR23" s="47"/>
    </row>
    <row r="24" spans="1:45" x14ac:dyDescent="0.25">
      <c r="A24" s="66"/>
      <c r="B24" s="66"/>
      <c r="C24" s="67"/>
      <c r="D24" s="35"/>
      <c r="J24" s="47"/>
      <c r="K24" s="19"/>
      <c r="L24" s="116"/>
      <c r="M24" s="105"/>
      <c r="N24" s="47"/>
      <c r="O24" s="63"/>
      <c r="P24" s="63"/>
      <c r="Q24" s="47"/>
      <c r="R24" s="47"/>
      <c r="S24" s="47"/>
      <c r="T24" s="47"/>
      <c r="U24" s="75"/>
      <c r="V24" s="75"/>
      <c r="W24" s="47"/>
      <c r="X24" s="47"/>
      <c r="Y24" s="47"/>
      <c r="Z24" s="47"/>
      <c r="AA24" s="47"/>
      <c r="AB24" s="47"/>
      <c r="AC24" s="63"/>
      <c r="AD24" s="63"/>
      <c r="AE24" s="63"/>
      <c r="AF24" s="63"/>
      <c r="AG24" s="63"/>
      <c r="AH24" s="63"/>
      <c r="AI24" s="63"/>
      <c r="AJ24" s="47"/>
      <c r="AK24" s="47"/>
      <c r="AL24" s="47"/>
      <c r="AM24" s="47"/>
      <c r="AN24" s="47"/>
      <c r="AO24" s="47"/>
      <c r="AP24" s="47"/>
      <c r="AQ24" s="47"/>
      <c r="AR24" s="47"/>
    </row>
    <row r="25" spans="1:45" x14ac:dyDescent="0.25">
      <c r="A25" s="66"/>
      <c r="B25" s="66"/>
      <c r="C25" s="67"/>
      <c r="D25" s="35"/>
      <c r="J25" s="47"/>
      <c r="L25" s="116"/>
      <c r="M25" s="105"/>
      <c r="N25" s="47"/>
      <c r="O25" s="63"/>
      <c r="P25" s="63"/>
      <c r="Q25" s="47"/>
      <c r="R25" s="47"/>
      <c r="S25" s="47"/>
      <c r="T25" s="47"/>
      <c r="U25" s="75"/>
      <c r="V25" s="75"/>
      <c r="W25" s="47"/>
      <c r="X25" s="47"/>
      <c r="Y25" s="47"/>
      <c r="Z25" s="47"/>
      <c r="AA25" s="47"/>
      <c r="AB25" s="47"/>
      <c r="AC25" s="63"/>
      <c r="AD25" s="63"/>
      <c r="AE25" s="63"/>
      <c r="AF25" s="63"/>
      <c r="AG25" s="63"/>
      <c r="AH25" s="63"/>
      <c r="AI25" s="63"/>
      <c r="AJ25" s="47"/>
      <c r="AK25" s="47"/>
      <c r="AL25" s="47"/>
      <c r="AM25" s="47"/>
      <c r="AN25" s="47"/>
      <c r="AO25" s="47"/>
      <c r="AP25" s="47"/>
      <c r="AQ25" s="47"/>
      <c r="AR25" s="47"/>
    </row>
    <row r="26" spans="1:45" x14ac:dyDescent="0.25">
      <c r="A26" s="66"/>
      <c r="B26" s="66"/>
      <c r="C26" s="67"/>
      <c r="D26" s="35"/>
      <c r="J26" s="47"/>
      <c r="L26" s="116"/>
      <c r="M26" s="105"/>
      <c r="N26" s="47"/>
      <c r="O26" s="63"/>
      <c r="P26" s="63"/>
      <c r="Q26" s="47"/>
      <c r="R26" s="47"/>
      <c r="S26" s="47"/>
      <c r="T26" s="47"/>
      <c r="U26" s="75"/>
      <c r="V26" s="75"/>
      <c r="W26" s="47"/>
      <c r="X26" s="47"/>
      <c r="Y26" s="47"/>
      <c r="Z26" s="47"/>
      <c r="AA26" s="47"/>
      <c r="AB26" s="47"/>
      <c r="AC26" s="63"/>
      <c r="AD26" s="63"/>
      <c r="AE26" s="63"/>
      <c r="AF26" s="63"/>
      <c r="AG26" s="63"/>
      <c r="AH26" s="63"/>
      <c r="AI26" s="63"/>
      <c r="AJ26" s="47"/>
      <c r="AK26" s="47"/>
      <c r="AL26" s="47"/>
      <c r="AM26" s="47"/>
      <c r="AN26" s="47"/>
      <c r="AO26" s="47"/>
      <c r="AP26" s="47"/>
      <c r="AQ26" s="47"/>
      <c r="AR26" s="47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</row>
    <row r="30" spans="1:45" x14ac:dyDescent="0.25">
      <c r="A30" s="66"/>
      <c r="B30" s="66"/>
      <c r="C30" s="67"/>
      <c r="D30" s="35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</row>
    <row r="42" spans="1:42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42" x14ac:dyDescent="0.25">
      <c r="L43" s="49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</row>
    <row r="44" spans="1:42" x14ac:dyDescent="0.25">
      <c r="L44" s="49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2" x14ac:dyDescent="0.25">
      <c r="L47" s="49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2" x14ac:dyDescent="0.25">
      <c r="L48" s="49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9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9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9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9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9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9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9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1:AP36 Q31:Q36 N31:N36">
    <cfRule type="expression" dxfId="3399" priority="12">
      <formula>$L31="API sand"</formula>
    </cfRule>
  </conditionalFormatting>
  <conditionalFormatting sqref="R31:S36 AB31:AB35 AJ31:AL36 Z31:Z36 N31:N36">
    <cfRule type="expression" dxfId="3398" priority="11">
      <formula>$M31="API sand"</formula>
    </cfRule>
  </conditionalFormatting>
  <conditionalFormatting sqref="R31:T36 Z31:AB35 AK31:AL36 N31:N36">
    <cfRule type="expression" dxfId="3397" priority="10">
      <formula>$M31="API clay"</formula>
    </cfRule>
  </conditionalFormatting>
  <conditionalFormatting sqref="U31:W36 AM31:AP36 N31:P36">
    <cfRule type="expression" dxfId="3396" priority="7">
      <formula>$L31="Stiff clay w/o free water"</formula>
    </cfRule>
    <cfRule type="expression" dxfId="3395" priority="9">
      <formula>$L31="API clay"</formula>
    </cfRule>
  </conditionalFormatting>
  <conditionalFormatting sqref="U31:Y36 AM31:AP36 N31:P36">
    <cfRule type="expression" dxfId="3394" priority="8">
      <formula>$L31="Kirsch soft clay"</formula>
    </cfRule>
  </conditionalFormatting>
  <conditionalFormatting sqref="U31:Y36 AM31:AP36 N31:P36">
    <cfRule type="expression" dxfId="3393" priority="6">
      <formula>$L31="Kirsch stiff clay"</formula>
    </cfRule>
  </conditionalFormatting>
  <conditionalFormatting sqref="AM31:AP36 Q31:Q36 X31:Y36 N31:N36">
    <cfRule type="expression" dxfId="3392" priority="5">
      <formula>$L31="Kirsch sand"</formula>
    </cfRule>
  </conditionalFormatting>
  <conditionalFormatting sqref="AC31:AD36 AI31:AI36 AM31:AP36 N31:N36">
    <cfRule type="expression" dxfId="3391" priority="4">
      <formula>$L31="Modified Weak rock"</formula>
    </cfRule>
  </conditionalFormatting>
  <conditionalFormatting sqref="AM31:AP36 N31:P36 U31:V36">
    <cfRule type="expression" dxfId="3390" priority="3">
      <formula>$L31="Reese stiff clay"</formula>
    </cfRule>
  </conditionalFormatting>
  <conditionalFormatting sqref="AB36">
    <cfRule type="expression" dxfId="3389" priority="2">
      <formula>$M36="API sand"</formula>
    </cfRule>
  </conditionalFormatting>
  <conditionalFormatting sqref="Z36:AB36">
    <cfRule type="expression" dxfId="3388" priority="1">
      <formula>$M36="API clay"</formula>
    </cfRule>
  </conditionalFormatting>
  <conditionalFormatting sqref="AE37:AH37">
    <cfRule type="expression" dxfId="3387" priority="13">
      <formula>$L19="Modified Weak rock"</formula>
    </cfRule>
  </conditionalFormatting>
  <dataValidations count="4">
    <dataValidation showInputMessage="1" showErrorMessage="1" sqref="L9:L11 L13:L16" xr:uid="{FCB06B6E-5BA6-4319-85E1-5F5FB51FFFAC}"/>
    <dataValidation type="list" showInputMessage="1" showErrorMessage="1" sqref="M31:M36 M9:M11 M13:M26" xr:uid="{44B0CEA4-7300-477D-8DE6-B7C150D6C9A9}">
      <formula1>"',API sand,API clay"</formula1>
    </dataValidation>
    <dataValidation type="list" showInputMessage="1" showErrorMessage="1" sqref="L31:L255 L17:L26" xr:uid="{97BC5209-EB5D-442F-AF4B-541F30FA14DC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26" xr:uid="{F182F7DF-A828-4B12-916A-047F66016A9F}">
      <formula1>"Zero soil,API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1977E-F2ED-4915-AD8F-DBA6519E42DE}">
  <sheetPr>
    <tabColor rgb="FF00B0F0"/>
  </sheetPr>
  <dimension ref="A1:AS255"/>
  <sheetViews>
    <sheetView zoomScale="85" zoomScaleNormal="85" workbookViewId="0">
      <selection activeCell="B3" sqref="B3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Ak_Pisa_WTG11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24"/>
      <c r="R3" s="155"/>
      <c r="S3" s="155"/>
      <c r="T3" s="124"/>
      <c r="U3" s="155"/>
      <c r="V3" s="155"/>
      <c r="W3" s="124"/>
      <c r="X3" s="69"/>
      <c r="Y3" s="124"/>
      <c r="Z3" s="124"/>
      <c r="AA3" s="124"/>
      <c r="AB3" s="124"/>
      <c r="AC3" s="69"/>
      <c r="AD3" s="39"/>
      <c r="AE3" s="39"/>
      <c r="AF3" s="39"/>
      <c r="AG3" s="39"/>
      <c r="AH3" s="39"/>
      <c r="AI3" s="39"/>
      <c r="AJ3" s="124"/>
      <c r="AK3" s="124"/>
      <c r="AL3" s="124"/>
      <c r="AM3" s="124"/>
      <c r="AN3" s="124"/>
      <c r="AO3" s="124"/>
      <c r="AP3" s="124"/>
    </row>
    <row r="4" spans="1:45" x14ac:dyDescent="0.25">
      <c r="A4" s="40" t="s">
        <v>60</v>
      </c>
      <c r="B4" s="33">
        <f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25" t="s">
        <v>38</v>
      </c>
      <c r="K5" s="125" t="s">
        <v>30</v>
      </c>
      <c r="L5" s="125" t="s">
        <v>31</v>
      </c>
      <c r="M5" s="125" t="s">
        <v>31</v>
      </c>
      <c r="N5" s="125" t="s">
        <v>32</v>
      </c>
      <c r="O5" s="125" t="s">
        <v>33</v>
      </c>
      <c r="P5" s="125" t="s">
        <v>35</v>
      </c>
      <c r="Q5" s="125" t="s">
        <v>36</v>
      </c>
      <c r="R5" s="125" t="s">
        <v>36</v>
      </c>
      <c r="S5" s="125" t="s">
        <v>34</v>
      </c>
      <c r="T5" s="125" t="s">
        <v>33</v>
      </c>
      <c r="U5" s="125" t="s">
        <v>34</v>
      </c>
      <c r="V5" s="125" t="s">
        <v>62</v>
      </c>
      <c r="W5" s="125" t="s">
        <v>34</v>
      </c>
      <c r="X5" s="125" t="s">
        <v>33</v>
      </c>
      <c r="Y5" s="125" t="s">
        <v>35</v>
      </c>
      <c r="Z5" s="125" t="s">
        <v>33</v>
      </c>
      <c r="AA5" s="125" t="s">
        <v>34</v>
      </c>
      <c r="AB5" s="125" t="s">
        <v>33</v>
      </c>
      <c r="AC5" s="125" t="s">
        <v>33</v>
      </c>
      <c r="AD5" s="125" t="s">
        <v>35</v>
      </c>
      <c r="AE5" s="125" t="s">
        <v>34</v>
      </c>
      <c r="AF5" s="125" t="s">
        <v>33</v>
      </c>
      <c r="AG5" s="125" t="s">
        <v>35</v>
      </c>
      <c r="AH5" s="125" t="s">
        <v>34</v>
      </c>
      <c r="AI5" s="125" t="s">
        <v>34</v>
      </c>
      <c r="AJ5" s="125" t="s">
        <v>34</v>
      </c>
      <c r="AK5" s="125" t="s">
        <v>34</v>
      </c>
      <c r="AL5" s="125" t="s">
        <v>34</v>
      </c>
      <c r="AM5" s="125" t="s">
        <v>34</v>
      </c>
      <c r="AN5" s="125" t="s">
        <v>34</v>
      </c>
      <c r="AO5" s="125" t="s">
        <v>34</v>
      </c>
      <c r="AP5" s="125" t="s">
        <v>34</v>
      </c>
      <c r="AQ5" s="125" t="s">
        <v>103</v>
      </c>
      <c r="AR5" s="125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EW_sand_Ruled_32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31</v>
      </c>
      <c r="R6" s="47">
        <f t="shared" ref="R6:R8" si="0">IF(Q6&lt;&gt;0,Q6-5,NA())</f>
        <v>26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2800</v>
      </c>
      <c r="Y6" s="47">
        <v>0</v>
      </c>
      <c r="Z6" s="47">
        <f t="shared" ref="Z6:Z16" si="1">VLOOKUP(R6,$AE$39:$AF$59,2)</f>
        <v>83.999999999999972</v>
      </c>
      <c r="AA6" s="47">
        <v>1</v>
      </c>
      <c r="AB6" s="47">
        <f t="shared" ref="AB6:AB16" si="2">VLOOKUP(R6,$AE$39:$AG$59,3)</f>
        <v>5760</v>
      </c>
      <c r="AC6" s="63">
        <v>7000</v>
      </c>
      <c r="AD6" s="63">
        <v>13636.36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6" si="3">VLOOKUP(R6,$AE$39:$AH$59,4)</f>
        <v>24.000000000000007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32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271</v>
      </c>
      <c r="J7" s="47">
        <v>2</v>
      </c>
      <c r="K7" s="19">
        <v>-1.1000000000000001</v>
      </c>
      <c r="L7" s="33" t="str">
        <f>"EW_sand_Ruled"&amp;"_"&amp;AR7</f>
        <v>EW_sand_Ruled_99</v>
      </c>
      <c r="M7" s="105" t="s">
        <v>64</v>
      </c>
      <c r="N7" s="47">
        <v>9.8000000000000007</v>
      </c>
      <c r="O7" s="63">
        <v>0</v>
      </c>
      <c r="P7" s="63">
        <v>0</v>
      </c>
      <c r="Q7" s="47">
        <v>31</v>
      </c>
      <c r="R7" s="47">
        <f t="shared" si="0"/>
        <v>26</v>
      </c>
      <c r="S7" s="47">
        <v>3</v>
      </c>
      <c r="T7" s="47">
        <v>0</v>
      </c>
      <c r="U7" s="75">
        <v>0</v>
      </c>
      <c r="V7" s="75">
        <v>0</v>
      </c>
      <c r="W7" s="47">
        <v>0</v>
      </c>
      <c r="X7" s="47">
        <v>32900</v>
      </c>
      <c r="Y7" s="47">
        <v>0</v>
      </c>
      <c r="Z7" s="47">
        <f t="shared" si="1"/>
        <v>83.999999999999972</v>
      </c>
      <c r="AA7" s="47">
        <v>1</v>
      </c>
      <c r="AB7" s="47">
        <f t="shared" si="2"/>
        <v>5760</v>
      </c>
      <c r="AC7" s="63">
        <v>45000</v>
      </c>
      <c r="AD7" s="63">
        <v>16315.78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24.000000000000007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99</v>
      </c>
      <c r="AS7" s="33">
        <v>0.2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14896.5</v>
      </c>
      <c r="H8" s="45" t="s">
        <v>53</v>
      </c>
      <c r="I8" s="33" t="s">
        <v>271</v>
      </c>
      <c r="J8" s="47">
        <v>3</v>
      </c>
      <c r="K8" s="19">
        <v>-3</v>
      </c>
      <c r="L8" s="33" t="str">
        <f>"EW_sand_Ruled"&amp;"_"&amp;AR8</f>
        <v>EW_sand_Ruled_100</v>
      </c>
      <c r="M8" s="105" t="s">
        <v>64</v>
      </c>
      <c r="N8" s="47">
        <v>9.8000000000000007</v>
      </c>
      <c r="O8" s="63">
        <v>0</v>
      </c>
      <c r="P8" s="63">
        <v>0</v>
      </c>
      <c r="Q8" s="47">
        <v>32</v>
      </c>
      <c r="R8" s="47">
        <f t="shared" si="0"/>
        <v>27</v>
      </c>
      <c r="S8" s="47">
        <v>3</v>
      </c>
      <c r="T8" s="47">
        <v>0</v>
      </c>
      <c r="U8" s="75">
        <v>0</v>
      </c>
      <c r="V8" s="75">
        <v>0</v>
      </c>
      <c r="W8" s="47">
        <v>0</v>
      </c>
      <c r="X8" s="47">
        <v>59400</v>
      </c>
      <c r="Y8" s="47">
        <v>0</v>
      </c>
      <c r="Z8" s="47">
        <f t="shared" si="1"/>
        <v>86.999999999999972</v>
      </c>
      <c r="AA8" s="47">
        <v>1</v>
      </c>
      <c r="AB8" s="47">
        <f t="shared" si="2"/>
        <v>6720</v>
      </c>
      <c r="AC8" s="63">
        <v>83000</v>
      </c>
      <c r="AD8" s="63">
        <v>8695.65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28.000000000000007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100</v>
      </c>
      <c r="AS8" s="33">
        <v>0.2</v>
      </c>
    </row>
    <row r="9" spans="1:45" x14ac:dyDescent="0.25">
      <c r="A9" s="33" t="s">
        <v>68</v>
      </c>
      <c r="B9" s="57">
        <v>38</v>
      </c>
      <c r="C9" s="45" t="s">
        <v>28</v>
      </c>
      <c r="D9" s="57">
        <v>28</v>
      </c>
      <c r="F9" s="33" t="s">
        <v>96</v>
      </c>
      <c r="G9" s="76">
        <v>-603419</v>
      </c>
      <c r="H9" s="45" t="s">
        <v>54</v>
      </c>
      <c r="I9" s="33" t="s">
        <v>216</v>
      </c>
      <c r="J9" s="47">
        <v>4</v>
      </c>
      <c r="K9" s="19">
        <v>-5.3</v>
      </c>
      <c r="L9" s="116" t="s">
        <v>321</v>
      </c>
      <c r="M9" s="105" t="s">
        <v>65</v>
      </c>
      <c r="N9" s="47">
        <v>9.3000000000000007</v>
      </c>
      <c r="O9" s="63">
        <v>156</v>
      </c>
      <c r="P9" s="63">
        <v>78.23</v>
      </c>
      <c r="Q9" s="47">
        <v>0</v>
      </c>
      <c r="R9" s="47" t="e">
        <f>IF(Q9&lt;&gt;0,Q9-5,NA())</f>
        <v>#N/A</v>
      </c>
      <c r="S9" s="47">
        <v>3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21400</v>
      </c>
      <c r="Y9" s="47">
        <v>0</v>
      </c>
      <c r="Z9" s="47" t="e">
        <f t="shared" si="1"/>
        <v>#N/A</v>
      </c>
      <c r="AA9" s="47">
        <v>1</v>
      </c>
      <c r="AB9" s="47" t="e">
        <f t="shared" si="2"/>
        <v>#N/A</v>
      </c>
      <c r="AC9" s="63">
        <v>185000</v>
      </c>
      <c r="AD9" s="63">
        <v>92941.17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3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38</v>
      </c>
      <c r="C10" s="45" t="s">
        <v>28</v>
      </c>
      <c r="D10" s="58">
        <v>28</v>
      </c>
      <c r="F10" s="33" t="s">
        <v>51</v>
      </c>
      <c r="G10" s="76">
        <v>26209.1</v>
      </c>
      <c r="H10" s="45" t="s">
        <v>53</v>
      </c>
      <c r="I10" s="33" t="s">
        <v>308</v>
      </c>
      <c r="J10" s="47">
        <v>5</v>
      </c>
      <c r="K10" s="19">
        <v>-7</v>
      </c>
      <c r="L10" s="116" t="s">
        <v>321</v>
      </c>
      <c r="M10" s="105" t="s">
        <v>65</v>
      </c>
      <c r="N10" s="47">
        <v>8.3000000000000007</v>
      </c>
      <c r="O10" s="63">
        <v>238</v>
      </c>
      <c r="P10" s="63">
        <v>-92</v>
      </c>
      <c r="Q10" s="47">
        <v>0</v>
      </c>
      <c r="R10" s="47" t="e">
        <f>IF(Q10&lt;&gt;0,Q10-5,NA())</f>
        <v>#N/A</v>
      </c>
      <c r="S10" s="47">
        <v>3</v>
      </c>
      <c r="T10" s="47">
        <v>0</v>
      </c>
      <c r="U10" s="75">
        <v>1.7999999999999999E-2</v>
      </c>
      <c r="V10" s="75">
        <v>0</v>
      </c>
      <c r="W10" s="47">
        <v>0.5</v>
      </c>
      <c r="X10" s="47">
        <v>20000</v>
      </c>
      <c r="Y10" s="47">
        <v>0</v>
      </c>
      <c r="Z10" s="47" t="e">
        <f t="shared" si="1"/>
        <v>#N/A</v>
      </c>
      <c r="AA10" s="47">
        <v>1</v>
      </c>
      <c r="AB10" s="47" t="e">
        <f t="shared" si="2"/>
        <v>#N/A</v>
      </c>
      <c r="AC10" s="63">
        <v>297000</v>
      </c>
      <c r="AD10" s="63">
        <v>-114000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 t="e">
        <f t="shared" si="3"/>
        <v>#N/A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308</v>
      </c>
      <c r="J11" s="47">
        <v>6</v>
      </c>
      <c r="K11" s="19">
        <v>-8</v>
      </c>
      <c r="L11" s="116" t="s">
        <v>321</v>
      </c>
      <c r="M11" s="105" t="s">
        <v>65</v>
      </c>
      <c r="N11" s="47">
        <v>8.3000000000000007</v>
      </c>
      <c r="O11" s="63">
        <v>102</v>
      </c>
      <c r="P11" s="63">
        <v>10.18</v>
      </c>
      <c r="Q11" s="47">
        <v>0</v>
      </c>
      <c r="R11" s="47" t="e">
        <f>IF(Q11&lt;&gt;0,Q11-5,NA())</f>
        <v>#N/A</v>
      </c>
      <c r="S11" s="47">
        <v>3</v>
      </c>
      <c r="T11" s="47">
        <v>0</v>
      </c>
      <c r="U11" s="75">
        <v>1.7999999999999999E-2</v>
      </c>
      <c r="V11" s="75">
        <v>0</v>
      </c>
      <c r="W11" s="47">
        <v>0.5</v>
      </c>
      <c r="X11" s="47">
        <v>17600</v>
      </c>
      <c r="Y11" s="47">
        <v>0</v>
      </c>
      <c r="Z11" s="47" t="e">
        <f t="shared" si="1"/>
        <v>#N/A</v>
      </c>
      <c r="AA11" s="47">
        <v>1</v>
      </c>
      <c r="AB11" s="47" t="e">
        <f t="shared" si="2"/>
        <v>#N/A</v>
      </c>
      <c r="AC11" s="63">
        <v>126000</v>
      </c>
      <c r="AD11" s="63">
        <v>13454.54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 t="e">
        <f t="shared" si="3"/>
        <v>#N/A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33">
        <v>0.4</v>
      </c>
    </row>
    <row r="12" spans="1:45" x14ac:dyDescent="0.25">
      <c r="A12" s="33" t="s">
        <v>74</v>
      </c>
      <c r="B12" s="57">
        <v>9.6</v>
      </c>
      <c r="C12" s="45" t="s">
        <v>28</v>
      </c>
      <c r="E12" s="59"/>
      <c r="F12" s="56" t="s">
        <v>97</v>
      </c>
      <c r="G12" s="71">
        <v>3368.4</v>
      </c>
      <c r="H12" s="45" t="s">
        <v>53</v>
      </c>
      <c r="I12" s="33" t="s">
        <v>309</v>
      </c>
      <c r="J12" s="47">
        <v>7</v>
      </c>
      <c r="K12" s="19">
        <v>-24.5</v>
      </c>
      <c r="L12" s="33" t="str">
        <f>"EW_sand_Ruled"&amp;"_"&amp;AR12</f>
        <v>EW_sand_Ruled_64</v>
      </c>
      <c r="M12" s="105" t="s">
        <v>64</v>
      </c>
      <c r="N12" s="47">
        <v>9.1</v>
      </c>
      <c r="O12" s="63">
        <v>0</v>
      </c>
      <c r="P12" s="63">
        <v>0</v>
      </c>
      <c r="Q12" s="47">
        <v>27</v>
      </c>
      <c r="R12" s="47">
        <f t="shared" ref="R12" si="4">IF(Q12&lt;&gt;0,Q12-5,NA())</f>
        <v>22</v>
      </c>
      <c r="S12" s="47">
        <v>0.8</v>
      </c>
      <c r="T12" s="47">
        <v>0</v>
      </c>
      <c r="U12" s="75">
        <v>0</v>
      </c>
      <c r="V12" s="75">
        <v>0</v>
      </c>
      <c r="W12" s="47">
        <v>0</v>
      </c>
      <c r="X12" s="47">
        <v>20000</v>
      </c>
      <c r="Y12" s="47">
        <v>0</v>
      </c>
      <c r="Z12" s="47">
        <f t="shared" si="1"/>
        <v>72.59999999999998</v>
      </c>
      <c r="AA12" s="47">
        <v>1</v>
      </c>
      <c r="AB12" s="47">
        <f t="shared" si="2"/>
        <v>3660</v>
      </c>
      <c r="AC12" s="63">
        <v>133000</v>
      </c>
      <c r="AD12" s="63">
        <v>-1785.71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3"/>
        <v>15.200000000000003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64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220</v>
      </c>
      <c r="J13" s="47">
        <v>8</v>
      </c>
      <c r="K13" s="19">
        <v>-27.3</v>
      </c>
      <c r="L13" s="116" t="s">
        <v>321</v>
      </c>
      <c r="M13" s="105" t="s">
        <v>65</v>
      </c>
      <c r="N13" s="47">
        <v>8.8000000000000007</v>
      </c>
      <c r="O13" s="63">
        <v>101</v>
      </c>
      <c r="P13" s="63">
        <v>24.42</v>
      </c>
      <c r="Q13" s="47">
        <v>0</v>
      </c>
      <c r="R13" s="47" t="e">
        <f>IF(Q13&lt;&gt;0,Q13-5,NA())</f>
        <v>#N/A</v>
      </c>
      <c r="S13" s="47">
        <v>2.7</v>
      </c>
      <c r="T13" s="47">
        <v>0</v>
      </c>
      <c r="U13" s="75">
        <v>1.7999999999999999E-2</v>
      </c>
      <c r="V13" s="75">
        <v>0</v>
      </c>
      <c r="W13" s="47">
        <v>0.5</v>
      </c>
      <c r="X13" s="47">
        <v>27400</v>
      </c>
      <c r="Y13" s="47">
        <v>0</v>
      </c>
      <c r="Z13" s="47" t="e">
        <f t="shared" si="1"/>
        <v>#N/A</v>
      </c>
      <c r="AA13" s="47">
        <v>1</v>
      </c>
      <c r="AB13" s="47" t="e">
        <f t="shared" si="2"/>
        <v>#N/A</v>
      </c>
      <c r="AC13" s="63">
        <v>146000</v>
      </c>
      <c r="AD13" s="63">
        <v>35238.089999999997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3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221</v>
      </c>
      <c r="J14" s="47">
        <v>9</v>
      </c>
      <c r="K14" s="19">
        <v>-42</v>
      </c>
      <c r="L14" s="116" t="s">
        <v>321</v>
      </c>
      <c r="M14" s="105" t="s">
        <v>65</v>
      </c>
      <c r="N14" s="47">
        <v>8.5</v>
      </c>
      <c r="O14" s="63">
        <v>90</v>
      </c>
      <c r="P14" s="63">
        <v>1.83</v>
      </c>
      <c r="Q14" s="47">
        <v>0</v>
      </c>
      <c r="R14" s="47" t="e">
        <f>IF(Q14&lt;&gt;0,Q14-5,NA())</f>
        <v>#N/A</v>
      </c>
      <c r="S14" s="47">
        <v>0.7</v>
      </c>
      <c r="T14" s="47">
        <v>0</v>
      </c>
      <c r="U14" s="75">
        <v>1.7999999999999999E-2</v>
      </c>
      <c r="V14" s="75">
        <v>0</v>
      </c>
      <c r="W14" s="47">
        <v>0.5</v>
      </c>
      <c r="X14" s="47">
        <v>9700</v>
      </c>
      <c r="Y14" s="47">
        <v>0</v>
      </c>
      <c r="Z14" s="47" t="e">
        <f t="shared" si="1"/>
        <v>#N/A</v>
      </c>
      <c r="AA14" s="47">
        <v>1</v>
      </c>
      <c r="AB14" s="47" t="e">
        <f t="shared" si="2"/>
        <v>#N/A</v>
      </c>
      <c r="AC14" s="63">
        <v>134000</v>
      </c>
      <c r="AD14" s="63">
        <v>2666.67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 t="e">
        <f t="shared" si="3"/>
        <v>#N/A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310</v>
      </c>
      <c r="J15" s="47">
        <v>10</v>
      </c>
      <c r="K15" s="19">
        <v>-48</v>
      </c>
      <c r="L15" s="116" t="s">
        <v>321</v>
      </c>
      <c r="M15" s="105" t="s">
        <v>65</v>
      </c>
      <c r="N15" s="47">
        <v>8.6999999999999993</v>
      </c>
      <c r="O15" s="63">
        <v>559</v>
      </c>
      <c r="P15" s="63">
        <v>2.15</v>
      </c>
      <c r="Q15" s="47">
        <v>0</v>
      </c>
      <c r="R15" s="47" t="e">
        <f>IF(Q15&lt;&gt;0,Q15-5,NA())</f>
        <v>#N/A</v>
      </c>
      <c r="S15" s="47">
        <v>2.5</v>
      </c>
      <c r="T15" s="47">
        <v>0</v>
      </c>
      <c r="U15" s="75">
        <v>1.7999999999999999E-2</v>
      </c>
      <c r="V15" s="75">
        <v>0</v>
      </c>
      <c r="W15" s="47">
        <v>0.25</v>
      </c>
      <c r="X15" s="47">
        <v>51400</v>
      </c>
      <c r="Y15" s="47">
        <v>0</v>
      </c>
      <c r="Z15" s="47" t="e">
        <f t="shared" si="1"/>
        <v>#N/A</v>
      </c>
      <c r="AA15" s="47">
        <v>1</v>
      </c>
      <c r="AB15" s="47" t="e">
        <f t="shared" si="2"/>
        <v>#N/A</v>
      </c>
      <c r="AC15" s="63">
        <v>839000</v>
      </c>
      <c r="AD15" s="63">
        <v>5000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3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310</v>
      </c>
      <c r="J16" s="47">
        <v>11</v>
      </c>
      <c r="K16" s="19">
        <v>-80</v>
      </c>
      <c r="L16" s="116" t="s">
        <v>321</v>
      </c>
      <c r="M16" s="105" t="s">
        <v>65</v>
      </c>
      <c r="N16" s="47">
        <v>8.6999999999999993</v>
      </c>
      <c r="O16" s="63">
        <v>628</v>
      </c>
      <c r="P16" s="63">
        <v>0</v>
      </c>
      <c r="Q16" s="47">
        <v>0</v>
      </c>
      <c r="R16" s="47" t="e">
        <f>IF(Q16&lt;&gt;0,Q16-5,NA())</f>
        <v>#N/A</v>
      </c>
      <c r="S16" s="47">
        <v>2.5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51400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999000</v>
      </c>
      <c r="AD16" s="63">
        <v>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25"/>
      <c r="E17" s="125"/>
      <c r="J17" s="47"/>
      <c r="K17" s="19"/>
      <c r="L17" s="116"/>
      <c r="M17" s="105"/>
      <c r="N17" s="47"/>
      <c r="O17" s="63"/>
      <c r="P17" s="63"/>
      <c r="Q17" s="47"/>
      <c r="R17" s="47"/>
      <c r="S17" s="47"/>
      <c r="T17" s="47"/>
      <c r="U17" s="75"/>
      <c r="V17" s="75"/>
      <c r="W17" s="47"/>
      <c r="X17" s="47"/>
      <c r="Y17" s="47"/>
      <c r="Z17" s="47"/>
      <c r="AA17" s="47"/>
      <c r="AB17" s="47"/>
      <c r="AC17" s="63"/>
      <c r="AD17" s="63"/>
      <c r="AE17" s="63"/>
      <c r="AF17" s="63"/>
      <c r="AG17" s="63"/>
      <c r="AH17" s="63"/>
      <c r="AI17" s="63"/>
      <c r="AJ17" s="47"/>
      <c r="AK17" s="47"/>
      <c r="AL17" s="47"/>
      <c r="AM17" s="47"/>
      <c r="AN17" s="47"/>
      <c r="AO17" s="47"/>
      <c r="AP17" s="47"/>
      <c r="AQ17" s="47"/>
      <c r="AR17" s="47"/>
      <c r="AS17" s="33"/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 s="116"/>
      <c r="M18" s="105"/>
      <c r="N18" s="47"/>
      <c r="O18" s="63"/>
      <c r="P18" s="63"/>
      <c r="Q18" s="47"/>
      <c r="R18" s="47"/>
      <c r="S18" s="47"/>
      <c r="T18" s="47"/>
      <c r="U18" s="75"/>
      <c r="V18" s="75"/>
      <c r="W18" s="47"/>
      <c r="X18" s="47"/>
      <c r="Y18" s="47"/>
      <c r="Z18" s="47"/>
      <c r="AA18" s="47"/>
      <c r="AB18" s="47"/>
      <c r="AC18" s="63"/>
      <c r="AD18" s="63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5" x14ac:dyDescent="0.25">
      <c r="A19" s="125" t="s">
        <v>38</v>
      </c>
      <c r="B19" s="125" t="s">
        <v>30</v>
      </c>
      <c r="C19" s="125" t="s">
        <v>59</v>
      </c>
      <c r="D19" s="43"/>
      <c r="E19" s="35"/>
      <c r="J19" s="47"/>
      <c r="K19" s="19"/>
      <c r="L19" s="116"/>
      <c r="M19" s="105"/>
      <c r="N19" s="47"/>
      <c r="O19" s="63"/>
      <c r="P19" s="63"/>
      <c r="Q19" s="47"/>
      <c r="R19" s="47"/>
      <c r="S19" s="47"/>
      <c r="T19" s="47"/>
      <c r="U19" s="75"/>
      <c r="V19" s="75"/>
      <c r="W19" s="47"/>
      <c r="X19" s="47"/>
      <c r="Y19" s="47"/>
      <c r="Z19" s="47"/>
      <c r="AA19" s="47"/>
      <c r="AB19" s="47"/>
      <c r="AC19" s="63"/>
      <c r="AD19" s="63"/>
      <c r="AE19" s="63"/>
      <c r="AF19" s="63"/>
      <c r="AG19" s="63"/>
      <c r="AH19" s="63"/>
      <c r="AI19" s="63"/>
      <c r="AJ19" s="47"/>
      <c r="AK19" s="47"/>
      <c r="AL19" s="47"/>
      <c r="AM19" s="47"/>
      <c r="AN19" s="47"/>
      <c r="AO19" s="47"/>
      <c r="AP19" s="47"/>
      <c r="AQ19" s="47"/>
      <c r="AR19" s="47"/>
    </row>
    <row r="20" spans="1:45" x14ac:dyDescent="0.25">
      <c r="A20" s="66">
        <v>1</v>
      </c>
      <c r="B20" s="66">
        <v>0</v>
      </c>
      <c r="C20" s="67">
        <v>0.09</v>
      </c>
      <c r="D20" s="43"/>
      <c r="I20" s="56"/>
      <c r="J20" s="47"/>
      <c r="K20" s="19"/>
      <c r="L20" s="116"/>
      <c r="M20" s="105"/>
      <c r="N20" s="47"/>
      <c r="O20" s="63"/>
      <c r="P20" s="63"/>
      <c r="Q20" s="47"/>
      <c r="R20" s="47"/>
      <c r="S20" s="47"/>
      <c r="T20" s="47"/>
      <c r="U20" s="75"/>
      <c r="V20" s="75"/>
      <c r="W20" s="47"/>
      <c r="X20" s="47"/>
      <c r="Y20" s="47"/>
      <c r="Z20" s="47"/>
      <c r="AA20" s="47"/>
      <c r="AB20" s="47"/>
      <c r="AC20" s="63"/>
      <c r="AD20" s="63"/>
      <c r="AE20" s="63"/>
      <c r="AF20" s="63"/>
      <c r="AG20" s="63"/>
      <c r="AH20" s="63"/>
      <c r="AI20" s="63"/>
      <c r="AJ20" s="47"/>
      <c r="AK20" s="47"/>
      <c r="AL20" s="47"/>
      <c r="AM20" s="47"/>
      <c r="AN20" s="47"/>
      <c r="AO20" s="47"/>
      <c r="AP20" s="47"/>
      <c r="AQ20" s="47"/>
      <c r="AR20" s="47"/>
    </row>
    <row r="21" spans="1:45" x14ac:dyDescent="0.25">
      <c r="A21" s="66"/>
      <c r="B21" s="66"/>
      <c r="C21" s="67"/>
      <c r="D21" s="43"/>
      <c r="I21" s="56"/>
      <c r="J21" s="47"/>
      <c r="K21" s="19"/>
      <c r="L21" s="116"/>
      <c r="M21" s="105"/>
      <c r="N21" s="47"/>
      <c r="O21" s="63"/>
      <c r="P21" s="63"/>
      <c r="Q21" s="47"/>
      <c r="R21" s="47"/>
      <c r="S21" s="47"/>
      <c r="T21" s="47"/>
      <c r="U21" s="75"/>
      <c r="V21" s="75"/>
      <c r="W21" s="47"/>
      <c r="X21" s="47"/>
      <c r="Y21" s="47"/>
      <c r="Z21" s="47"/>
      <c r="AA21" s="47"/>
      <c r="AB21" s="47"/>
      <c r="AC21" s="63"/>
      <c r="AD21" s="63"/>
      <c r="AE21" s="63"/>
      <c r="AF21" s="63"/>
      <c r="AG21" s="63"/>
      <c r="AH21" s="63"/>
      <c r="AI21" s="63"/>
      <c r="AJ21" s="47"/>
      <c r="AK21" s="47"/>
      <c r="AL21" s="47"/>
      <c r="AM21" s="47"/>
      <c r="AN21" s="47"/>
      <c r="AO21" s="47"/>
      <c r="AP21" s="47"/>
      <c r="AQ21" s="47"/>
      <c r="AR21" s="47"/>
    </row>
    <row r="22" spans="1:45" x14ac:dyDescent="0.25">
      <c r="A22" s="66"/>
      <c r="B22" s="66"/>
      <c r="C22" s="67"/>
      <c r="D22" s="35"/>
      <c r="J22" s="47"/>
      <c r="K22" s="19"/>
      <c r="L22" s="116"/>
      <c r="M22" s="105"/>
      <c r="N22" s="47"/>
      <c r="O22" s="63"/>
      <c r="P22" s="63"/>
      <c r="Q22" s="47"/>
      <c r="R22" s="47"/>
      <c r="S22" s="47"/>
      <c r="T22" s="47"/>
      <c r="U22" s="75"/>
      <c r="V22" s="75"/>
      <c r="W22" s="47"/>
      <c r="X22" s="47"/>
      <c r="Y22" s="47"/>
      <c r="Z22" s="47"/>
      <c r="AA22" s="47"/>
      <c r="AB22" s="47"/>
      <c r="AC22" s="63"/>
      <c r="AD22" s="63"/>
      <c r="AE22" s="63"/>
      <c r="AF22" s="63"/>
      <c r="AG22" s="63"/>
      <c r="AH22" s="63"/>
      <c r="AI22" s="63"/>
      <c r="AJ22" s="47"/>
      <c r="AK22" s="47"/>
      <c r="AL22" s="47"/>
      <c r="AM22" s="47"/>
      <c r="AN22" s="47"/>
      <c r="AO22" s="47"/>
      <c r="AP22" s="47"/>
      <c r="AQ22" s="47"/>
      <c r="AR22" s="47"/>
    </row>
    <row r="23" spans="1:45" x14ac:dyDescent="0.25">
      <c r="A23" s="66"/>
      <c r="B23" s="66"/>
      <c r="C23" s="67"/>
      <c r="D23" s="35"/>
      <c r="I23" s="56"/>
      <c r="J23" s="47"/>
      <c r="K23" s="56"/>
      <c r="L23" s="116"/>
      <c r="M23" s="105"/>
      <c r="N23" s="47"/>
      <c r="O23" s="63"/>
      <c r="P23" s="63"/>
      <c r="Q23" s="47"/>
      <c r="R23" s="47"/>
      <c r="S23" s="47"/>
      <c r="T23" s="47"/>
      <c r="U23" s="75"/>
      <c r="V23" s="75"/>
      <c r="W23" s="47"/>
      <c r="X23" s="47"/>
      <c r="Y23" s="47"/>
      <c r="Z23" s="47"/>
      <c r="AA23" s="47"/>
      <c r="AB23" s="47"/>
      <c r="AC23" s="63"/>
      <c r="AD23" s="63"/>
      <c r="AE23" s="63"/>
      <c r="AF23" s="63"/>
      <c r="AG23" s="63"/>
      <c r="AH23" s="63"/>
      <c r="AI23" s="63"/>
      <c r="AJ23" s="47"/>
      <c r="AK23" s="47"/>
      <c r="AL23" s="47"/>
      <c r="AM23" s="47"/>
      <c r="AN23" s="47"/>
      <c r="AO23" s="47"/>
      <c r="AP23" s="47"/>
      <c r="AQ23" s="47"/>
      <c r="AR23" s="47"/>
    </row>
    <row r="24" spans="1:45" x14ac:dyDescent="0.25">
      <c r="A24" s="66"/>
      <c r="B24" s="66"/>
      <c r="C24" s="67"/>
      <c r="D24" s="35"/>
      <c r="J24" s="47"/>
      <c r="K24" s="19"/>
      <c r="L24" s="116"/>
      <c r="M24" s="105"/>
      <c r="N24" s="47"/>
      <c r="O24" s="63"/>
      <c r="P24" s="63"/>
      <c r="Q24" s="47"/>
      <c r="R24" s="47"/>
      <c r="S24" s="47"/>
      <c r="T24" s="47"/>
      <c r="U24" s="75"/>
      <c r="V24" s="75"/>
      <c r="W24" s="47"/>
      <c r="X24" s="47"/>
      <c r="Y24" s="47"/>
      <c r="Z24" s="47"/>
      <c r="AA24" s="47"/>
      <c r="AB24" s="47"/>
      <c r="AC24" s="63"/>
      <c r="AD24" s="63"/>
      <c r="AE24" s="63"/>
      <c r="AF24" s="63"/>
      <c r="AG24" s="63"/>
      <c r="AH24" s="63"/>
      <c r="AI24" s="63"/>
      <c r="AJ24" s="47"/>
      <c r="AK24" s="47"/>
      <c r="AL24" s="47"/>
      <c r="AM24" s="47"/>
      <c r="AN24" s="47"/>
      <c r="AO24" s="47"/>
      <c r="AP24" s="47"/>
      <c r="AQ24" s="47"/>
      <c r="AR24" s="47"/>
    </row>
    <row r="25" spans="1:45" x14ac:dyDescent="0.25">
      <c r="A25" s="66"/>
      <c r="B25" s="66"/>
      <c r="C25" s="67"/>
      <c r="D25" s="35"/>
      <c r="J25" s="47"/>
      <c r="L25" s="116"/>
      <c r="M25" s="105"/>
      <c r="N25" s="47"/>
      <c r="O25" s="63"/>
      <c r="P25" s="63"/>
      <c r="Q25" s="47"/>
      <c r="R25" s="47"/>
      <c r="S25" s="47"/>
      <c r="T25" s="47"/>
      <c r="U25" s="75"/>
      <c r="V25" s="75"/>
      <c r="W25" s="47"/>
      <c r="X25" s="47"/>
      <c r="Y25" s="47"/>
      <c r="Z25" s="47"/>
      <c r="AA25" s="47"/>
      <c r="AB25" s="47"/>
      <c r="AC25" s="63"/>
      <c r="AD25" s="63"/>
      <c r="AE25" s="63"/>
      <c r="AF25" s="63"/>
      <c r="AG25" s="63"/>
      <c r="AH25" s="63"/>
      <c r="AI25" s="63"/>
      <c r="AJ25" s="47"/>
      <c r="AK25" s="47"/>
      <c r="AL25" s="47"/>
      <c r="AM25" s="47"/>
      <c r="AN25" s="47"/>
      <c r="AO25" s="47"/>
      <c r="AP25" s="47"/>
      <c r="AQ25" s="47"/>
      <c r="AR25" s="47"/>
    </row>
    <row r="26" spans="1:45" x14ac:dyDescent="0.25">
      <c r="A26" s="66"/>
      <c r="B26" s="66"/>
      <c r="C26" s="67"/>
      <c r="D26" s="35"/>
      <c r="J26" s="47"/>
      <c r="L26" s="116"/>
      <c r="M26" s="105"/>
      <c r="N26" s="47"/>
      <c r="O26" s="63"/>
      <c r="P26" s="63"/>
      <c r="Q26" s="47"/>
      <c r="R26" s="47"/>
      <c r="S26" s="47"/>
      <c r="T26" s="47"/>
      <c r="U26" s="75"/>
      <c r="V26" s="75"/>
      <c r="W26" s="47"/>
      <c r="X26" s="47"/>
      <c r="Y26" s="47"/>
      <c r="Z26" s="47"/>
      <c r="AA26" s="47"/>
      <c r="AB26" s="47"/>
      <c r="AC26" s="63"/>
      <c r="AD26" s="63"/>
      <c r="AE26" s="63"/>
      <c r="AF26" s="63"/>
      <c r="AG26" s="63"/>
      <c r="AH26" s="63"/>
      <c r="AI26" s="63"/>
      <c r="AJ26" s="47"/>
      <c r="AK26" s="47"/>
      <c r="AL26" s="47"/>
      <c r="AM26" s="47"/>
      <c r="AN26" s="47"/>
      <c r="AO26" s="47"/>
      <c r="AP26" s="47"/>
      <c r="AQ26" s="47"/>
      <c r="AR26" s="47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</row>
    <row r="30" spans="1:45" x14ac:dyDescent="0.25">
      <c r="A30" s="66"/>
      <c r="B30" s="66"/>
      <c r="C30" s="67"/>
      <c r="D30" s="35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</row>
    <row r="42" spans="1:42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42" x14ac:dyDescent="0.25">
      <c r="L43" s="49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</row>
    <row r="44" spans="1:42" x14ac:dyDescent="0.25">
      <c r="L44" s="49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2" x14ac:dyDescent="0.25">
      <c r="L47" s="49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2" x14ac:dyDescent="0.25">
      <c r="L48" s="49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9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9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9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9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9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9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9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1:AP36 Q31:Q36 N31:N36">
    <cfRule type="expression" dxfId="3386" priority="12">
      <formula>$L31="API sand"</formula>
    </cfRule>
  </conditionalFormatting>
  <conditionalFormatting sqref="R31:S36 AB31:AB35 AJ31:AL36 Z31:Z36 N31:N36">
    <cfRule type="expression" dxfId="3385" priority="11">
      <formula>$M31="API sand"</formula>
    </cfRule>
  </conditionalFormatting>
  <conditionalFormatting sqref="R31:T36 Z31:AB35 AK31:AL36 N31:N36">
    <cfRule type="expression" dxfId="3384" priority="10">
      <formula>$M31="API clay"</formula>
    </cfRule>
  </conditionalFormatting>
  <conditionalFormatting sqref="U31:W36 AM31:AP36 N31:P36">
    <cfRule type="expression" dxfId="3383" priority="7">
      <formula>$L31="Stiff clay w/o free water"</formula>
    </cfRule>
    <cfRule type="expression" dxfId="3382" priority="9">
      <formula>$L31="API clay"</formula>
    </cfRule>
  </conditionalFormatting>
  <conditionalFormatting sqref="U31:Y36 AM31:AP36 N31:P36">
    <cfRule type="expression" dxfId="3381" priority="8">
      <formula>$L31="Kirsch soft clay"</formula>
    </cfRule>
  </conditionalFormatting>
  <conditionalFormatting sqref="U31:Y36 AM31:AP36 N31:P36">
    <cfRule type="expression" dxfId="3380" priority="6">
      <formula>$L31="Kirsch stiff clay"</formula>
    </cfRule>
  </conditionalFormatting>
  <conditionalFormatting sqref="AM31:AP36 Q31:Q36 X31:Y36 N31:N36">
    <cfRule type="expression" dxfId="3379" priority="5">
      <formula>$L31="Kirsch sand"</formula>
    </cfRule>
  </conditionalFormatting>
  <conditionalFormatting sqref="AC31:AD36 AI31:AI36 AM31:AP36 N31:N36">
    <cfRule type="expression" dxfId="3378" priority="4">
      <formula>$L31="Modified Weak rock"</formula>
    </cfRule>
  </conditionalFormatting>
  <conditionalFormatting sqref="AM31:AP36 N31:P36 U31:V36">
    <cfRule type="expression" dxfId="3377" priority="3">
      <formula>$L31="Reese stiff clay"</formula>
    </cfRule>
  </conditionalFormatting>
  <conditionalFormatting sqref="AB36">
    <cfRule type="expression" dxfId="3376" priority="2">
      <formula>$M36="API sand"</formula>
    </cfRule>
  </conditionalFormatting>
  <conditionalFormatting sqref="Z36:AB36">
    <cfRule type="expression" dxfId="3375" priority="1">
      <formula>$M36="API clay"</formula>
    </cfRule>
  </conditionalFormatting>
  <conditionalFormatting sqref="AE37:AH37">
    <cfRule type="expression" dxfId="3374" priority="13">
      <formula>$L19="Modified Weak rock"</formula>
    </cfRule>
  </conditionalFormatting>
  <dataValidations count="4">
    <dataValidation type="list" showInputMessage="1" showErrorMessage="1" sqref="M6:M26" xr:uid="{3E177B71-32B8-450F-9118-B74460393D84}">
      <formula1>"Zero soil,API sand,API clay"</formula1>
    </dataValidation>
    <dataValidation type="list" showInputMessage="1" showErrorMessage="1" sqref="L31:L255 L17:L26" xr:uid="{D3DD682C-E5FC-404C-B256-A36DB83865F1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1:M36 M9:M11 M13:M26" xr:uid="{0E00C288-8812-44C9-AD8A-8B6EB3917EDA}">
      <formula1>"',API sand,API clay"</formula1>
    </dataValidation>
    <dataValidation showInputMessage="1" showErrorMessage="1" sqref="L13:L16 L9:L11" xr:uid="{0C940B59-8C53-46F3-A24D-4A9D42BFECDE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77E9-0E0E-498E-932A-9A8E71751BA6}">
  <sheetPr>
    <tabColor rgb="FF00B05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Ak_kirsch_WTG11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24"/>
      <c r="R3" s="155"/>
      <c r="S3" s="155"/>
      <c r="T3" s="124"/>
      <c r="U3" s="155"/>
      <c r="V3" s="155"/>
      <c r="W3" s="124"/>
      <c r="X3" s="69"/>
      <c r="Y3" s="124"/>
      <c r="Z3" s="124"/>
      <c r="AA3" s="124"/>
      <c r="AB3" s="124"/>
      <c r="AC3" s="69"/>
      <c r="AD3" s="39"/>
      <c r="AE3" s="39"/>
      <c r="AF3" s="39"/>
      <c r="AG3" s="39"/>
      <c r="AH3" s="39"/>
      <c r="AI3" s="39"/>
      <c r="AJ3" s="124"/>
      <c r="AK3" s="124"/>
      <c r="AL3" s="124"/>
      <c r="AM3" s="124"/>
      <c r="AN3" s="124"/>
      <c r="AO3" s="124"/>
      <c r="AP3" s="124"/>
    </row>
    <row r="4" spans="1:45" x14ac:dyDescent="0.25">
      <c r="A4" s="40" t="s">
        <v>60</v>
      </c>
      <c r="B4" s="33">
        <f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25" t="s">
        <v>38</v>
      </c>
      <c r="K5" s="125" t="s">
        <v>30</v>
      </c>
      <c r="L5" s="125" t="s">
        <v>31</v>
      </c>
      <c r="M5" s="125" t="s">
        <v>31</v>
      </c>
      <c r="N5" s="125" t="s">
        <v>32</v>
      </c>
      <c r="O5" s="125" t="s">
        <v>33</v>
      </c>
      <c r="P5" s="125" t="s">
        <v>35</v>
      </c>
      <c r="Q5" s="125" t="s">
        <v>36</v>
      </c>
      <c r="R5" s="125" t="s">
        <v>36</v>
      </c>
      <c r="S5" s="125" t="s">
        <v>34</v>
      </c>
      <c r="T5" s="125" t="s">
        <v>33</v>
      </c>
      <c r="U5" s="125" t="s">
        <v>34</v>
      </c>
      <c r="V5" s="125" t="s">
        <v>62</v>
      </c>
      <c r="W5" s="125" t="s">
        <v>34</v>
      </c>
      <c r="X5" s="125" t="s">
        <v>33</v>
      </c>
      <c r="Y5" s="125" t="s">
        <v>35</v>
      </c>
      <c r="Z5" s="125" t="s">
        <v>33</v>
      </c>
      <c r="AA5" s="125" t="s">
        <v>34</v>
      </c>
      <c r="AB5" s="125" t="s">
        <v>33</v>
      </c>
      <c r="AC5" s="125" t="s">
        <v>33</v>
      </c>
      <c r="AD5" s="125" t="s">
        <v>35</v>
      </c>
      <c r="AE5" s="125" t="s">
        <v>34</v>
      </c>
      <c r="AF5" s="125" t="s">
        <v>33</v>
      </c>
      <c r="AG5" s="125" t="s">
        <v>35</v>
      </c>
      <c r="AH5" s="125" t="s">
        <v>34</v>
      </c>
      <c r="AI5" s="125" t="s">
        <v>34</v>
      </c>
      <c r="AJ5" s="125" t="s">
        <v>34</v>
      </c>
      <c r="AK5" s="125" t="s">
        <v>34</v>
      </c>
      <c r="AL5" s="125" t="s">
        <v>34</v>
      </c>
      <c r="AM5" s="125" t="s">
        <v>34</v>
      </c>
      <c r="AN5" s="125" t="s">
        <v>34</v>
      </c>
      <c r="AO5" s="125" t="s">
        <v>34</v>
      </c>
      <c r="AP5" s="125" t="s">
        <v>34</v>
      </c>
      <c r="AQ5" s="125" t="s">
        <v>103</v>
      </c>
      <c r="AR5" s="125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31</v>
      </c>
      <c r="R6" s="47">
        <f t="shared" ref="R6" si="0">IF(Q6&lt;&gt;0,Q6-5,NA())</f>
        <v>26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2800</v>
      </c>
      <c r="Y6" s="47">
        <v>0</v>
      </c>
      <c r="Z6" s="47">
        <f t="shared" ref="Z6:Z16" si="1">VLOOKUP(R6,$AE$39:$AF$59,2)</f>
        <v>83.999999999999972</v>
      </c>
      <c r="AA6" s="47">
        <v>1</v>
      </c>
      <c r="AB6" s="47">
        <f t="shared" ref="AB6:AB16" si="2">VLOOKUP(R6,$AE$39:$AG$59,3)</f>
        <v>5760</v>
      </c>
      <c r="AC6" s="63">
        <v>7000</v>
      </c>
      <c r="AD6" s="63">
        <v>13636.36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6" si="3">VLOOKUP(R6,$AE$39:$AH$59,4)</f>
        <v>24.000000000000007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32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271</v>
      </c>
      <c r="J7" s="47">
        <v>2</v>
      </c>
      <c r="K7" s="19">
        <v>-1.1000000000000001</v>
      </c>
      <c r="L7" s="116" t="s">
        <v>106</v>
      </c>
      <c r="M7" s="105" t="s">
        <v>64</v>
      </c>
      <c r="N7" s="47">
        <v>9.8000000000000007</v>
      </c>
      <c r="O7" s="63">
        <v>0</v>
      </c>
      <c r="P7" s="63">
        <v>0</v>
      </c>
      <c r="Q7" s="47">
        <v>31</v>
      </c>
      <c r="R7" s="47">
        <f t="shared" ref="R7:R8" si="4">IF(Q7&lt;&gt;0,Q7-5,NA())</f>
        <v>26</v>
      </c>
      <c r="S7" s="47">
        <v>3</v>
      </c>
      <c r="T7" s="47">
        <v>0</v>
      </c>
      <c r="U7" s="75">
        <v>0</v>
      </c>
      <c r="V7" s="75">
        <v>0</v>
      </c>
      <c r="W7" s="47">
        <v>0</v>
      </c>
      <c r="X7" s="47">
        <v>32900</v>
      </c>
      <c r="Y7" s="47">
        <v>0</v>
      </c>
      <c r="Z7" s="47">
        <f t="shared" si="1"/>
        <v>83.999999999999972</v>
      </c>
      <c r="AA7" s="47">
        <v>1</v>
      </c>
      <c r="AB7" s="47">
        <f t="shared" si="2"/>
        <v>5760</v>
      </c>
      <c r="AC7" s="63">
        <v>45000</v>
      </c>
      <c r="AD7" s="63">
        <v>16315.78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24.000000000000007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99</v>
      </c>
      <c r="AS7" s="33">
        <v>0.2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">
        <v>271</v>
      </c>
      <c r="J8" s="47">
        <v>3</v>
      </c>
      <c r="K8" s="19">
        <v>-3</v>
      </c>
      <c r="L8" s="116" t="s">
        <v>106</v>
      </c>
      <c r="M8" s="105" t="s">
        <v>64</v>
      </c>
      <c r="N8" s="47">
        <v>9.8000000000000007</v>
      </c>
      <c r="O8" s="63">
        <v>0</v>
      </c>
      <c r="P8" s="63">
        <v>0</v>
      </c>
      <c r="Q8" s="47">
        <v>32</v>
      </c>
      <c r="R8" s="47">
        <f t="shared" si="4"/>
        <v>27</v>
      </c>
      <c r="S8" s="47">
        <v>3</v>
      </c>
      <c r="T8" s="47">
        <v>0</v>
      </c>
      <c r="U8" s="75">
        <v>0</v>
      </c>
      <c r="V8" s="75">
        <v>0</v>
      </c>
      <c r="W8" s="47">
        <v>0</v>
      </c>
      <c r="X8" s="47">
        <v>59400</v>
      </c>
      <c r="Y8" s="47">
        <v>0</v>
      </c>
      <c r="Z8" s="47">
        <f t="shared" si="1"/>
        <v>86.999999999999972</v>
      </c>
      <c r="AA8" s="47">
        <v>1</v>
      </c>
      <c r="AB8" s="47">
        <f t="shared" si="2"/>
        <v>6720</v>
      </c>
      <c r="AC8" s="63">
        <v>83000</v>
      </c>
      <c r="AD8" s="63">
        <v>8695.65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28.000000000000007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100</v>
      </c>
      <c r="AS8" s="33">
        <v>0.2</v>
      </c>
    </row>
    <row r="9" spans="1:45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216</v>
      </c>
      <c r="J9" s="47">
        <v>4</v>
      </c>
      <c r="K9" s="19">
        <v>-5.3</v>
      </c>
      <c r="L9" s="116" t="s">
        <v>107</v>
      </c>
      <c r="M9" s="105" t="s">
        <v>65</v>
      </c>
      <c r="N9" s="47">
        <v>9.3000000000000007</v>
      </c>
      <c r="O9" s="63">
        <v>156</v>
      </c>
      <c r="P9" s="63">
        <v>78.23</v>
      </c>
      <c r="Q9" s="47">
        <v>0</v>
      </c>
      <c r="R9" s="47" t="e">
        <f>IF(Q9&lt;&gt;0,Q9-5,NA())</f>
        <v>#N/A</v>
      </c>
      <c r="S9" s="47">
        <v>3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21400</v>
      </c>
      <c r="Y9" s="47">
        <v>0</v>
      </c>
      <c r="Z9" s="47" t="e">
        <f t="shared" si="1"/>
        <v>#N/A</v>
      </c>
      <c r="AA9" s="47">
        <v>1</v>
      </c>
      <c r="AB9" s="47" t="e">
        <f t="shared" si="2"/>
        <v>#N/A</v>
      </c>
      <c r="AC9" s="63">
        <v>185000</v>
      </c>
      <c r="AD9" s="63">
        <v>92941.17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3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308</v>
      </c>
      <c r="J10" s="47">
        <v>5</v>
      </c>
      <c r="K10" s="19">
        <v>-7</v>
      </c>
      <c r="L10" s="116" t="s">
        <v>107</v>
      </c>
      <c r="M10" s="105" t="s">
        <v>65</v>
      </c>
      <c r="N10" s="47">
        <v>8.3000000000000007</v>
      </c>
      <c r="O10" s="63">
        <v>238</v>
      </c>
      <c r="P10" s="63">
        <v>-92</v>
      </c>
      <c r="Q10" s="47">
        <v>0</v>
      </c>
      <c r="R10" s="47" t="e">
        <f>IF(Q10&lt;&gt;0,Q10-5,NA())</f>
        <v>#N/A</v>
      </c>
      <c r="S10" s="47">
        <v>3</v>
      </c>
      <c r="T10" s="47">
        <v>0</v>
      </c>
      <c r="U10" s="75">
        <v>1.7999999999999999E-2</v>
      </c>
      <c r="V10" s="75">
        <v>0</v>
      </c>
      <c r="W10" s="47">
        <v>0.5</v>
      </c>
      <c r="X10" s="47">
        <v>20000</v>
      </c>
      <c r="Y10" s="47">
        <v>0</v>
      </c>
      <c r="Z10" s="47" t="e">
        <f t="shared" si="1"/>
        <v>#N/A</v>
      </c>
      <c r="AA10" s="47">
        <v>1</v>
      </c>
      <c r="AB10" s="47" t="e">
        <f t="shared" si="2"/>
        <v>#N/A</v>
      </c>
      <c r="AC10" s="63">
        <v>297000</v>
      </c>
      <c r="AD10" s="63">
        <v>-114000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 t="e">
        <f t="shared" si="3"/>
        <v>#N/A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308</v>
      </c>
      <c r="J11" s="47">
        <v>6</v>
      </c>
      <c r="K11" s="19">
        <v>-8</v>
      </c>
      <c r="L11" s="116" t="s">
        <v>107</v>
      </c>
      <c r="M11" s="105" t="s">
        <v>65</v>
      </c>
      <c r="N11" s="47">
        <v>8.3000000000000007</v>
      </c>
      <c r="O11" s="63">
        <v>102</v>
      </c>
      <c r="P11" s="63">
        <v>10.18</v>
      </c>
      <c r="Q11" s="47">
        <v>0</v>
      </c>
      <c r="R11" s="47" t="e">
        <f>IF(Q11&lt;&gt;0,Q11-5,NA())</f>
        <v>#N/A</v>
      </c>
      <c r="S11" s="47">
        <v>3</v>
      </c>
      <c r="T11" s="47">
        <v>0</v>
      </c>
      <c r="U11" s="75">
        <v>1.7999999999999999E-2</v>
      </c>
      <c r="V11" s="75">
        <v>0</v>
      </c>
      <c r="W11" s="47">
        <v>0.5</v>
      </c>
      <c r="X11" s="47">
        <v>17600</v>
      </c>
      <c r="Y11" s="47">
        <v>0</v>
      </c>
      <c r="Z11" s="47" t="e">
        <f t="shared" si="1"/>
        <v>#N/A</v>
      </c>
      <c r="AA11" s="47">
        <v>1</v>
      </c>
      <c r="AB11" s="47" t="e">
        <f t="shared" si="2"/>
        <v>#N/A</v>
      </c>
      <c r="AC11" s="63">
        <v>126000</v>
      </c>
      <c r="AD11" s="63">
        <v>13454.54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 t="e">
        <f t="shared" si="3"/>
        <v>#N/A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309</v>
      </c>
      <c r="J12" s="47">
        <v>7</v>
      </c>
      <c r="K12" s="19">
        <v>-24.5</v>
      </c>
      <c r="L12" s="116" t="s">
        <v>106</v>
      </c>
      <c r="M12" s="105" t="s">
        <v>64</v>
      </c>
      <c r="N12" s="47">
        <v>9.1</v>
      </c>
      <c r="O12" s="63">
        <v>0</v>
      </c>
      <c r="P12" s="63">
        <v>0</v>
      </c>
      <c r="Q12" s="47">
        <v>27</v>
      </c>
      <c r="R12" s="47">
        <f t="shared" ref="R12" si="5">IF(Q12&lt;&gt;0,Q12-5,NA())</f>
        <v>22</v>
      </c>
      <c r="S12" s="47">
        <v>0.8</v>
      </c>
      <c r="T12" s="47">
        <v>0</v>
      </c>
      <c r="U12" s="75">
        <v>0</v>
      </c>
      <c r="V12" s="75">
        <v>0</v>
      </c>
      <c r="W12" s="47">
        <v>0</v>
      </c>
      <c r="X12" s="47">
        <v>20000</v>
      </c>
      <c r="Y12" s="47">
        <v>0</v>
      </c>
      <c r="Z12" s="47">
        <f t="shared" si="1"/>
        <v>72.59999999999998</v>
      </c>
      <c r="AA12" s="47">
        <v>1</v>
      </c>
      <c r="AB12" s="47">
        <f t="shared" si="2"/>
        <v>3660</v>
      </c>
      <c r="AC12" s="63">
        <v>133000</v>
      </c>
      <c r="AD12" s="63">
        <v>-1785.71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3"/>
        <v>15.200000000000003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64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220</v>
      </c>
      <c r="J13" s="47">
        <v>8</v>
      </c>
      <c r="K13" s="19">
        <v>-27.3</v>
      </c>
      <c r="L13" s="116" t="s">
        <v>107</v>
      </c>
      <c r="M13" s="105" t="s">
        <v>65</v>
      </c>
      <c r="N13" s="47">
        <v>8.8000000000000007</v>
      </c>
      <c r="O13" s="63">
        <v>101</v>
      </c>
      <c r="P13" s="63">
        <v>24.42</v>
      </c>
      <c r="Q13" s="47">
        <v>0</v>
      </c>
      <c r="R13" s="47" t="e">
        <f>IF(Q13&lt;&gt;0,Q13-5,NA())</f>
        <v>#N/A</v>
      </c>
      <c r="S13" s="47">
        <v>2.7</v>
      </c>
      <c r="T13" s="47">
        <v>0</v>
      </c>
      <c r="U13" s="75">
        <v>1.7999999999999999E-2</v>
      </c>
      <c r="V13" s="75">
        <v>0</v>
      </c>
      <c r="W13" s="47">
        <v>0.5</v>
      </c>
      <c r="X13" s="47">
        <v>27400</v>
      </c>
      <c r="Y13" s="47">
        <v>0</v>
      </c>
      <c r="Z13" s="47" t="e">
        <f t="shared" si="1"/>
        <v>#N/A</v>
      </c>
      <c r="AA13" s="47">
        <v>1</v>
      </c>
      <c r="AB13" s="47" t="e">
        <f t="shared" si="2"/>
        <v>#N/A</v>
      </c>
      <c r="AC13" s="63">
        <v>146000</v>
      </c>
      <c r="AD13" s="63">
        <v>35238.089999999997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3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221</v>
      </c>
      <c r="J14" s="47">
        <v>9</v>
      </c>
      <c r="K14" s="19">
        <v>-42</v>
      </c>
      <c r="L14" s="116" t="s">
        <v>107</v>
      </c>
      <c r="M14" s="105" t="s">
        <v>65</v>
      </c>
      <c r="N14" s="47">
        <v>8.5</v>
      </c>
      <c r="O14" s="63">
        <v>90</v>
      </c>
      <c r="P14" s="63">
        <v>1.83</v>
      </c>
      <c r="Q14" s="47">
        <v>0</v>
      </c>
      <c r="R14" s="47" t="e">
        <f>IF(Q14&lt;&gt;0,Q14-5,NA())</f>
        <v>#N/A</v>
      </c>
      <c r="S14" s="47">
        <v>0.7</v>
      </c>
      <c r="T14" s="47">
        <v>0</v>
      </c>
      <c r="U14" s="75">
        <v>1.7999999999999999E-2</v>
      </c>
      <c r="V14" s="75">
        <v>0</v>
      </c>
      <c r="W14" s="47">
        <v>0.5</v>
      </c>
      <c r="X14" s="47">
        <v>9700</v>
      </c>
      <c r="Y14" s="47">
        <v>0</v>
      </c>
      <c r="Z14" s="47" t="e">
        <f t="shared" si="1"/>
        <v>#N/A</v>
      </c>
      <c r="AA14" s="47">
        <v>1</v>
      </c>
      <c r="AB14" s="47" t="e">
        <f t="shared" si="2"/>
        <v>#N/A</v>
      </c>
      <c r="AC14" s="63">
        <v>134000</v>
      </c>
      <c r="AD14" s="63">
        <v>2666.67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 t="e">
        <f t="shared" si="3"/>
        <v>#N/A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310</v>
      </c>
      <c r="J15" s="47">
        <v>10</v>
      </c>
      <c r="K15" s="19">
        <v>-48</v>
      </c>
      <c r="L15" s="116" t="s">
        <v>288</v>
      </c>
      <c r="M15" s="105" t="s">
        <v>65</v>
      </c>
      <c r="N15" s="47">
        <v>8.6999999999999993</v>
      </c>
      <c r="O15" s="63">
        <v>559</v>
      </c>
      <c r="P15" s="63">
        <v>2.15</v>
      </c>
      <c r="Q15" s="47">
        <v>0</v>
      </c>
      <c r="R15" s="47" t="e">
        <f>IF(Q15&lt;&gt;0,Q15-5,NA())</f>
        <v>#N/A</v>
      </c>
      <c r="S15" s="47">
        <v>2.5</v>
      </c>
      <c r="T15" s="47">
        <v>0</v>
      </c>
      <c r="U15" s="75">
        <v>1.7999999999999999E-2</v>
      </c>
      <c r="V15" s="75">
        <v>0</v>
      </c>
      <c r="W15" s="47">
        <v>0.25</v>
      </c>
      <c r="X15" s="47">
        <v>51400</v>
      </c>
      <c r="Y15" s="47">
        <v>0</v>
      </c>
      <c r="Z15" s="47" t="e">
        <f t="shared" si="1"/>
        <v>#N/A</v>
      </c>
      <c r="AA15" s="47">
        <v>1</v>
      </c>
      <c r="AB15" s="47" t="e">
        <f t="shared" si="2"/>
        <v>#N/A</v>
      </c>
      <c r="AC15" s="63">
        <v>839000</v>
      </c>
      <c r="AD15" s="63">
        <v>5000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3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310</v>
      </c>
      <c r="J16" s="47">
        <v>11</v>
      </c>
      <c r="K16" s="19">
        <v>-80</v>
      </c>
      <c r="L16" s="116" t="s">
        <v>288</v>
      </c>
      <c r="M16" s="105" t="s">
        <v>65</v>
      </c>
      <c r="N16" s="47">
        <v>8.6999999999999993</v>
      </c>
      <c r="O16" s="63">
        <v>628</v>
      </c>
      <c r="P16" s="63">
        <v>0</v>
      </c>
      <c r="Q16" s="47">
        <v>0</v>
      </c>
      <c r="R16" s="47" t="e">
        <f>IF(Q16&lt;&gt;0,Q16-5,NA())</f>
        <v>#N/A</v>
      </c>
      <c r="S16" s="47">
        <v>2.5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51400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999000</v>
      </c>
      <c r="AD16" s="63">
        <v>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25"/>
      <c r="E17" s="125"/>
      <c r="J17" s="47"/>
      <c r="K17" s="19"/>
      <c r="L17" s="116"/>
      <c r="M17" s="105"/>
      <c r="N17" s="47"/>
      <c r="O17" s="63"/>
      <c r="P17" s="63"/>
      <c r="Q17" s="47"/>
      <c r="R17" s="47"/>
      <c r="S17" s="47"/>
      <c r="T17" s="47"/>
      <c r="U17" s="75"/>
      <c r="V17" s="75"/>
      <c r="W17" s="47"/>
      <c r="X17" s="47"/>
      <c r="Y17" s="47"/>
      <c r="Z17" s="47"/>
      <c r="AA17" s="47"/>
      <c r="AB17" s="47"/>
      <c r="AC17" s="63"/>
      <c r="AD17" s="63"/>
      <c r="AE17" s="63"/>
      <c r="AF17" s="63"/>
      <c r="AG17" s="63"/>
      <c r="AH17" s="63"/>
      <c r="AI17" s="63"/>
      <c r="AJ17" s="47"/>
      <c r="AK17" s="47"/>
      <c r="AL17" s="47"/>
      <c r="AM17" s="47"/>
      <c r="AN17" s="47"/>
      <c r="AO17" s="47"/>
      <c r="AP17" s="47"/>
      <c r="AQ17" s="47"/>
      <c r="AR17" s="47"/>
      <c r="AS17" s="33"/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 s="116"/>
      <c r="M18" s="105"/>
      <c r="N18" s="47"/>
      <c r="O18" s="63"/>
      <c r="P18" s="63"/>
      <c r="Q18" s="47"/>
      <c r="R18" s="47"/>
      <c r="S18" s="47"/>
      <c r="T18" s="47"/>
      <c r="U18" s="75"/>
      <c r="V18" s="75"/>
      <c r="W18" s="47"/>
      <c r="X18" s="47"/>
      <c r="Y18" s="47"/>
      <c r="Z18" s="47"/>
      <c r="AA18" s="47"/>
      <c r="AB18" s="47"/>
      <c r="AC18" s="63"/>
      <c r="AD18" s="63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5" x14ac:dyDescent="0.25">
      <c r="A19" s="125" t="s">
        <v>38</v>
      </c>
      <c r="B19" s="125" t="s">
        <v>30</v>
      </c>
      <c r="C19" s="125" t="s">
        <v>59</v>
      </c>
      <c r="D19" s="43"/>
      <c r="E19" s="35"/>
      <c r="J19" s="47"/>
      <c r="K19" s="19"/>
      <c r="L19" s="116"/>
      <c r="M19" s="105"/>
      <c r="N19" s="47"/>
      <c r="O19" s="63"/>
      <c r="P19" s="63"/>
      <c r="Q19" s="47"/>
      <c r="R19" s="47"/>
      <c r="S19" s="47"/>
      <c r="T19" s="47"/>
      <c r="U19" s="75"/>
      <c r="V19" s="75"/>
      <c r="W19" s="47"/>
      <c r="X19" s="47"/>
      <c r="Y19" s="47"/>
      <c r="Z19" s="47"/>
      <c r="AA19" s="47"/>
      <c r="AB19" s="47"/>
      <c r="AC19" s="63"/>
      <c r="AD19" s="63"/>
      <c r="AE19" s="63"/>
      <c r="AF19" s="63"/>
      <c r="AG19" s="63"/>
      <c r="AH19" s="63"/>
      <c r="AI19" s="63"/>
      <c r="AJ19" s="47"/>
      <c r="AK19" s="47"/>
      <c r="AL19" s="47"/>
      <c r="AM19" s="47"/>
      <c r="AN19" s="47"/>
      <c r="AO19" s="47"/>
      <c r="AP19" s="47"/>
      <c r="AQ19" s="47"/>
      <c r="AR19" s="47"/>
    </row>
    <row r="20" spans="1:45" x14ac:dyDescent="0.25">
      <c r="A20" s="66">
        <v>1</v>
      </c>
      <c r="B20" s="66">
        <v>0</v>
      </c>
      <c r="C20" s="67">
        <v>0.09</v>
      </c>
      <c r="D20" s="43"/>
      <c r="I20" s="56"/>
      <c r="J20" s="47"/>
      <c r="K20" s="19"/>
      <c r="L20" s="116"/>
      <c r="M20" s="105"/>
      <c r="N20" s="47"/>
      <c r="O20" s="63"/>
      <c r="P20" s="63"/>
      <c r="Q20" s="47"/>
      <c r="R20" s="47"/>
      <c r="S20" s="47"/>
      <c r="T20" s="47"/>
      <c r="U20" s="75"/>
      <c r="V20" s="75"/>
      <c r="W20" s="47"/>
      <c r="X20" s="47"/>
      <c r="Y20" s="47"/>
      <c r="Z20" s="47"/>
      <c r="AA20" s="47"/>
      <c r="AB20" s="47"/>
      <c r="AC20" s="63"/>
      <c r="AD20" s="63"/>
      <c r="AE20" s="63"/>
      <c r="AF20" s="63"/>
      <c r="AG20" s="63"/>
      <c r="AH20" s="63"/>
      <c r="AI20" s="63"/>
      <c r="AJ20" s="47"/>
      <c r="AK20" s="47"/>
      <c r="AL20" s="47"/>
      <c r="AM20" s="47"/>
      <c r="AN20" s="47"/>
      <c r="AO20" s="47"/>
      <c r="AP20" s="47"/>
      <c r="AQ20" s="47"/>
      <c r="AR20" s="47"/>
    </row>
    <row r="21" spans="1:45" x14ac:dyDescent="0.25">
      <c r="A21" s="66"/>
      <c r="B21" s="66"/>
      <c r="C21" s="67"/>
      <c r="D21" s="43"/>
      <c r="I21" s="56"/>
      <c r="J21" s="47"/>
      <c r="K21" s="19"/>
      <c r="L21" s="116"/>
      <c r="M21" s="105"/>
      <c r="N21" s="47"/>
      <c r="O21" s="63"/>
      <c r="P21" s="63"/>
      <c r="Q21" s="47"/>
      <c r="R21" s="47"/>
      <c r="S21" s="47"/>
      <c r="T21" s="47"/>
      <c r="U21" s="75"/>
      <c r="V21" s="75"/>
      <c r="W21" s="47"/>
      <c r="X21" s="47"/>
      <c r="Y21" s="47"/>
      <c r="Z21" s="47"/>
      <c r="AA21" s="47"/>
      <c r="AB21" s="47"/>
      <c r="AC21" s="63"/>
      <c r="AD21" s="63"/>
      <c r="AE21" s="63"/>
      <c r="AF21" s="63"/>
      <c r="AG21" s="63"/>
      <c r="AH21" s="63"/>
      <c r="AI21" s="63"/>
      <c r="AJ21" s="47"/>
      <c r="AK21" s="47"/>
      <c r="AL21" s="47"/>
      <c r="AM21" s="47"/>
      <c r="AN21" s="47"/>
      <c r="AO21" s="47"/>
      <c r="AP21" s="47"/>
      <c r="AQ21" s="47"/>
      <c r="AR21" s="47"/>
    </row>
    <row r="22" spans="1:45" x14ac:dyDescent="0.25">
      <c r="A22" s="66"/>
      <c r="B22" s="66"/>
      <c r="C22" s="67"/>
      <c r="D22" s="35"/>
      <c r="J22" s="47"/>
      <c r="K22" s="19"/>
      <c r="L22" s="116"/>
      <c r="M22" s="105"/>
      <c r="N22" s="47"/>
      <c r="O22" s="63"/>
      <c r="P22" s="63"/>
      <c r="Q22" s="47"/>
      <c r="R22" s="47"/>
      <c r="S22" s="47"/>
      <c r="T22" s="47"/>
      <c r="U22" s="75"/>
      <c r="V22" s="75"/>
      <c r="W22" s="47"/>
      <c r="X22" s="47"/>
      <c r="Y22" s="47"/>
      <c r="Z22" s="47"/>
      <c r="AA22" s="47"/>
      <c r="AB22" s="47"/>
      <c r="AC22" s="63"/>
      <c r="AD22" s="63"/>
      <c r="AE22" s="63"/>
      <c r="AF22" s="63"/>
      <c r="AG22" s="63"/>
      <c r="AH22" s="63"/>
      <c r="AI22" s="63"/>
      <c r="AJ22" s="47"/>
      <c r="AK22" s="47"/>
      <c r="AL22" s="47"/>
      <c r="AM22" s="47"/>
      <c r="AN22" s="47"/>
      <c r="AO22" s="47"/>
      <c r="AP22" s="47"/>
      <c r="AQ22" s="47"/>
      <c r="AR22" s="47"/>
    </row>
    <row r="23" spans="1:45" x14ac:dyDescent="0.25">
      <c r="A23" s="66"/>
      <c r="B23" s="66"/>
      <c r="C23" s="67"/>
      <c r="D23" s="35"/>
      <c r="I23" s="56"/>
      <c r="J23" s="47"/>
      <c r="K23" s="56"/>
      <c r="L23" s="116"/>
      <c r="M23" s="105"/>
      <c r="N23" s="47"/>
      <c r="O23" s="63"/>
      <c r="P23" s="63"/>
      <c r="Q23" s="47"/>
      <c r="R23" s="47"/>
      <c r="S23" s="47"/>
      <c r="T23" s="47"/>
      <c r="U23" s="75"/>
      <c r="V23" s="75"/>
      <c r="W23" s="47"/>
      <c r="X23" s="47"/>
      <c r="Y23" s="47"/>
      <c r="Z23" s="47"/>
      <c r="AA23" s="47"/>
      <c r="AB23" s="47"/>
      <c r="AC23" s="63"/>
      <c r="AD23" s="63"/>
      <c r="AE23" s="63"/>
      <c r="AF23" s="63"/>
      <c r="AG23" s="63"/>
      <c r="AH23" s="63"/>
      <c r="AI23" s="63"/>
      <c r="AJ23" s="47"/>
      <c r="AK23" s="47"/>
      <c r="AL23" s="47"/>
      <c r="AM23" s="47"/>
      <c r="AN23" s="47"/>
      <c r="AO23" s="47"/>
      <c r="AP23" s="47"/>
      <c r="AQ23" s="47"/>
      <c r="AR23" s="47"/>
    </row>
    <row r="24" spans="1:45" x14ac:dyDescent="0.25">
      <c r="A24" s="66"/>
      <c r="B24" s="66"/>
      <c r="C24" s="67"/>
      <c r="D24" s="35"/>
      <c r="J24" s="47"/>
      <c r="K24" s="19"/>
      <c r="L24" s="116"/>
      <c r="M24" s="105"/>
      <c r="N24" s="47"/>
      <c r="O24" s="63"/>
      <c r="P24" s="63"/>
      <c r="Q24" s="47"/>
      <c r="R24" s="47"/>
      <c r="S24" s="47"/>
      <c r="T24" s="47"/>
      <c r="U24" s="75"/>
      <c r="V24" s="75"/>
      <c r="W24" s="47"/>
      <c r="X24" s="47"/>
      <c r="Y24" s="47"/>
      <c r="Z24" s="47"/>
      <c r="AA24" s="47"/>
      <c r="AB24" s="47"/>
      <c r="AC24" s="63"/>
      <c r="AD24" s="63"/>
      <c r="AE24" s="63"/>
      <c r="AF24" s="63"/>
      <c r="AG24" s="63"/>
      <c r="AH24" s="63"/>
      <c r="AI24" s="63"/>
      <c r="AJ24" s="47"/>
      <c r="AK24" s="47"/>
      <c r="AL24" s="47"/>
      <c r="AM24" s="47"/>
      <c r="AN24" s="47"/>
      <c r="AO24" s="47"/>
      <c r="AP24" s="47"/>
      <c r="AQ24" s="47"/>
      <c r="AR24" s="47"/>
    </row>
    <row r="25" spans="1:45" x14ac:dyDescent="0.25">
      <c r="A25" s="66"/>
      <c r="B25" s="66"/>
      <c r="C25" s="67"/>
      <c r="D25" s="35"/>
      <c r="J25" s="47"/>
      <c r="L25" s="116"/>
      <c r="M25" s="105"/>
      <c r="N25" s="47"/>
      <c r="O25" s="63"/>
      <c r="P25" s="63"/>
      <c r="Q25" s="47"/>
      <c r="R25" s="47"/>
      <c r="S25" s="47"/>
      <c r="T25" s="47"/>
      <c r="U25" s="75"/>
      <c r="V25" s="75"/>
      <c r="W25" s="47"/>
      <c r="X25" s="47"/>
      <c r="Y25" s="47"/>
      <c r="Z25" s="47"/>
      <c r="AA25" s="47"/>
      <c r="AB25" s="47"/>
      <c r="AC25" s="63"/>
      <c r="AD25" s="63"/>
      <c r="AE25" s="63"/>
      <c r="AF25" s="63"/>
      <c r="AG25" s="63"/>
      <c r="AH25" s="63"/>
      <c r="AI25" s="63"/>
      <c r="AJ25" s="47"/>
      <c r="AK25" s="47"/>
      <c r="AL25" s="47"/>
      <c r="AM25" s="47"/>
      <c r="AN25" s="47"/>
      <c r="AO25" s="47"/>
      <c r="AP25" s="47"/>
      <c r="AQ25" s="47"/>
      <c r="AR25" s="47"/>
    </row>
    <row r="26" spans="1:45" x14ac:dyDescent="0.25">
      <c r="A26" s="66"/>
      <c r="B26" s="66"/>
      <c r="C26" s="67"/>
      <c r="D26" s="35"/>
      <c r="J26" s="47"/>
      <c r="L26" s="116"/>
      <c r="M26" s="105"/>
      <c r="N26" s="47"/>
      <c r="O26" s="63"/>
      <c r="P26" s="63"/>
      <c r="Q26" s="47"/>
      <c r="R26" s="47"/>
      <c r="S26" s="47"/>
      <c r="T26" s="47"/>
      <c r="U26" s="75"/>
      <c r="V26" s="75"/>
      <c r="W26" s="47"/>
      <c r="X26" s="47"/>
      <c r="Y26" s="47"/>
      <c r="Z26" s="47"/>
      <c r="AA26" s="47"/>
      <c r="AB26" s="47"/>
      <c r="AC26" s="63"/>
      <c r="AD26" s="63"/>
      <c r="AE26" s="63"/>
      <c r="AF26" s="63"/>
      <c r="AG26" s="63"/>
      <c r="AH26" s="63"/>
      <c r="AI26" s="63"/>
      <c r="AJ26" s="47"/>
      <c r="AK26" s="47"/>
      <c r="AL26" s="47"/>
      <c r="AM26" s="47"/>
      <c r="AN26" s="47"/>
      <c r="AO26" s="47"/>
      <c r="AP26" s="47"/>
      <c r="AQ26" s="47"/>
      <c r="AR26" s="47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</row>
    <row r="30" spans="1:45" x14ac:dyDescent="0.25">
      <c r="A30" s="66"/>
      <c r="B30" s="66"/>
      <c r="C30" s="67"/>
      <c r="D30" s="35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6">AF40+3.8</f>
        <v>55.599999999999994</v>
      </c>
      <c r="AG41" s="33">
        <f t="shared" ref="AG41:AG43" si="7">AG40+200</f>
        <v>2300</v>
      </c>
      <c r="AH41" s="33">
        <f t="shared" ref="AH41:AH44" si="8">AH40+0.8</f>
        <v>9.6000000000000014</v>
      </c>
    </row>
    <row r="42" spans="1:42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42" x14ac:dyDescent="0.25">
      <c r="L43" s="49"/>
      <c r="AE43" s="33">
        <v>19</v>
      </c>
      <c r="AF43" s="33">
        <f t="shared" si="6"/>
        <v>63.199999999999989</v>
      </c>
      <c r="AG43" s="33">
        <f t="shared" si="7"/>
        <v>2700</v>
      </c>
      <c r="AH43" s="33">
        <f t="shared" si="8"/>
        <v>11.200000000000003</v>
      </c>
    </row>
    <row r="44" spans="1:42" x14ac:dyDescent="0.25">
      <c r="L44" s="49"/>
      <c r="AE44" s="33">
        <v>20</v>
      </c>
      <c r="AF44" s="33">
        <f t="shared" si="6"/>
        <v>66.999999999999986</v>
      </c>
      <c r="AG44" s="33">
        <f>AG43+200</f>
        <v>2900</v>
      </c>
      <c r="AH44" s="33">
        <f t="shared" si="8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9">AF45+2.8</f>
        <v>72.59999999999998</v>
      </c>
      <c r="AG46" s="33">
        <f t="shared" ref="AG46:AG48" si="10">AG45+380</f>
        <v>3660</v>
      </c>
      <c r="AH46" s="33">
        <f t="shared" ref="AH46:AH49" si="11">AH45+1.6</f>
        <v>15.200000000000003</v>
      </c>
    </row>
    <row r="47" spans="1:42" x14ac:dyDescent="0.25">
      <c r="L47" s="49"/>
      <c r="AE47" s="33">
        <v>23</v>
      </c>
      <c r="AF47" s="33">
        <f t="shared" si="9"/>
        <v>75.399999999999977</v>
      </c>
      <c r="AG47" s="33">
        <f t="shared" si="10"/>
        <v>4040</v>
      </c>
      <c r="AH47" s="33">
        <f t="shared" si="11"/>
        <v>16.800000000000004</v>
      </c>
    </row>
    <row r="48" spans="1:42" x14ac:dyDescent="0.25">
      <c r="L48" s="49"/>
      <c r="AE48" s="33">
        <v>24</v>
      </c>
      <c r="AF48" s="33">
        <f t="shared" si="9"/>
        <v>78.199999999999974</v>
      </c>
      <c r="AG48" s="33">
        <f t="shared" si="10"/>
        <v>4420</v>
      </c>
      <c r="AH48" s="33">
        <f t="shared" si="11"/>
        <v>18.400000000000006</v>
      </c>
    </row>
    <row r="49" spans="12:34" x14ac:dyDescent="0.25">
      <c r="L49" s="49"/>
      <c r="AE49" s="33">
        <v>25</v>
      </c>
      <c r="AF49" s="33">
        <f t="shared" si="9"/>
        <v>80.999999999999972</v>
      </c>
      <c r="AG49" s="33">
        <v>4800</v>
      </c>
      <c r="AH49" s="33">
        <f t="shared" si="11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2">AF50+3</f>
        <v>86.999999999999972</v>
      </c>
      <c r="AG51" s="33">
        <f t="shared" ref="AG51:AG54" si="13">AG50+960</f>
        <v>6720</v>
      </c>
      <c r="AH51" s="33">
        <f t="shared" ref="AH51:AH54" si="14">AH50+4</f>
        <v>28.000000000000007</v>
      </c>
    </row>
    <row r="52" spans="12:34" x14ac:dyDescent="0.25">
      <c r="L52" s="49"/>
      <c r="AE52" s="33">
        <v>28</v>
      </c>
      <c r="AF52" s="33">
        <f t="shared" si="12"/>
        <v>89.999999999999972</v>
      </c>
      <c r="AG52" s="33">
        <f t="shared" si="13"/>
        <v>7680</v>
      </c>
      <c r="AH52" s="33">
        <f t="shared" si="14"/>
        <v>32.000000000000007</v>
      </c>
    </row>
    <row r="53" spans="12:34" x14ac:dyDescent="0.25">
      <c r="L53" s="49"/>
      <c r="AE53" s="33">
        <v>29</v>
      </c>
      <c r="AF53" s="33">
        <f t="shared" si="12"/>
        <v>92.999999999999972</v>
      </c>
      <c r="AG53" s="33">
        <f t="shared" si="13"/>
        <v>8640</v>
      </c>
      <c r="AH53" s="33">
        <f t="shared" si="14"/>
        <v>36.000000000000007</v>
      </c>
    </row>
    <row r="54" spans="12:34" x14ac:dyDescent="0.25">
      <c r="L54" s="49"/>
      <c r="AE54" s="33">
        <v>30</v>
      </c>
      <c r="AF54" s="33">
        <f t="shared" si="12"/>
        <v>95.999999999999972</v>
      </c>
      <c r="AG54" s="33">
        <f t="shared" si="13"/>
        <v>9600</v>
      </c>
      <c r="AH54" s="33">
        <f t="shared" si="14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5">AF55+3.8</f>
        <v>103.59999999999997</v>
      </c>
      <c r="AG56" s="33">
        <f t="shared" ref="AG56:AG59" si="16">AG55+480</f>
        <v>10560</v>
      </c>
      <c r="AH56" s="33">
        <f t="shared" ref="AH56:AH59" si="17">AH55+2</f>
        <v>44.000000000000007</v>
      </c>
    </row>
    <row r="57" spans="12:34" x14ac:dyDescent="0.25">
      <c r="L57" s="49"/>
      <c r="AE57" s="33">
        <v>33</v>
      </c>
      <c r="AF57" s="33">
        <f t="shared" si="15"/>
        <v>107.39999999999996</v>
      </c>
      <c r="AG57" s="33">
        <f t="shared" si="16"/>
        <v>11040</v>
      </c>
      <c r="AH57" s="33">
        <f t="shared" si="17"/>
        <v>46.000000000000007</v>
      </c>
    </row>
    <row r="58" spans="12:34" x14ac:dyDescent="0.25">
      <c r="L58" s="49"/>
      <c r="AE58" s="33">
        <v>34</v>
      </c>
      <c r="AF58" s="33">
        <f t="shared" si="15"/>
        <v>111.19999999999996</v>
      </c>
      <c r="AG58" s="33">
        <f t="shared" si="16"/>
        <v>11520</v>
      </c>
      <c r="AH58" s="33">
        <f t="shared" si="17"/>
        <v>48.000000000000007</v>
      </c>
    </row>
    <row r="59" spans="12:34" x14ac:dyDescent="0.25">
      <c r="L59" s="49"/>
      <c r="AE59" s="33">
        <v>35</v>
      </c>
      <c r="AF59" s="33">
        <f t="shared" si="15"/>
        <v>114.99999999999996</v>
      </c>
      <c r="AG59" s="33">
        <f t="shared" si="16"/>
        <v>12000</v>
      </c>
      <c r="AH59" s="33">
        <f t="shared" si="17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1:AP36 Q31:Q36 N31:N36">
    <cfRule type="expression" dxfId="3373" priority="14">
      <formula>$L31="API sand"</formula>
    </cfRule>
  </conditionalFormatting>
  <conditionalFormatting sqref="R31:S36 AB31:AB35 AJ31:AL36 Z31:Z36 N31:N36">
    <cfRule type="expression" dxfId="3372" priority="13">
      <formula>$M31="API sand"</formula>
    </cfRule>
  </conditionalFormatting>
  <conditionalFormatting sqref="R31:T36 Z31:AB35 AK31:AL36 N31:N36">
    <cfRule type="expression" dxfId="3371" priority="12">
      <formula>$M31="API clay"</formula>
    </cfRule>
  </conditionalFormatting>
  <conditionalFormatting sqref="U31:W36 AM31:AP36 N31:P36">
    <cfRule type="expression" dxfId="3370" priority="9">
      <formula>$L31="Stiff clay w/o free water"</formula>
    </cfRule>
    <cfRule type="expression" dxfId="3369" priority="11">
      <formula>$L31="API clay"</formula>
    </cfRule>
  </conditionalFormatting>
  <conditionalFormatting sqref="U31:Y36 AM31:AP36 N31:P36">
    <cfRule type="expression" dxfId="3368" priority="10">
      <formula>$L31="Kirsch soft clay"</formula>
    </cfRule>
  </conditionalFormatting>
  <conditionalFormatting sqref="U31:Y36 AM31:AP36 N31:P36">
    <cfRule type="expression" dxfId="3367" priority="8">
      <formula>$L31="Kirsch stiff clay"</formula>
    </cfRule>
  </conditionalFormatting>
  <conditionalFormatting sqref="AM31:AP36 Q31:Q36 X31:Y36 N31:N36">
    <cfRule type="expression" dxfId="3366" priority="7">
      <formula>$L31="Kirsch sand"</formula>
    </cfRule>
  </conditionalFormatting>
  <conditionalFormatting sqref="AC31:AD36 AI31:AI36 AM31:AP36 N31:N36">
    <cfRule type="expression" dxfId="3365" priority="6">
      <formula>$L31="Modified Weak rock"</formula>
    </cfRule>
  </conditionalFormatting>
  <conditionalFormatting sqref="AM31:AP36 N31:P36 U31:V36">
    <cfRule type="expression" dxfId="3364" priority="5">
      <formula>$L31="Reese stiff clay"</formula>
    </cfRule>
  </conditionalFormatting>
  <conditionalFormatting sqref="AB36">
    <cfRule type="expression" dxfId="3363" priority="4">
      <formula>$M36="API sand"</formula>
    </cfRule>
  </conditionalFormatting>
  <conditionalFormatting sqref="Z36:AB36">
    <cfRule type="expression" dxfId="3362" priority="3">
      <formula>$M36="API clay"</formula>
    </cfRule>
  </conditionalFormatting>
  <conditionalFormatting sqref="AE37:AH37">
    <cfRule type="expression" dxfId="3361" priority="15">
      <formula>$L19="Modified Weak rock"</formula>
    </cfRule>
  </conditionalFormatting>
  <dataValidations count="3">
    <dataValidation type="list" showInputMessage="1" showErrorMessage="1" sqref="M31:M36 M9:M11 M13:M26" xr:uid="{475F9A69-ACB2-4B94-B4DB-ABE0790C32CB}">
      <formula1>"',API sand,API clay"</formula1>
    </dataValidation>
    <dataValidation type="list" showInputMessage="1" showErrorMessage="1" sqref="L31:L255 L6:L26" xr:uid="{49D5511E-34EF-4F75-9310-F18DA749AA48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26" xr:uid="{531AE7C7-CDCF-4EA5-8DB5-AA7FC57DC751}">
      <formula1>"Zero soil,API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DDB06-3635-4F15-8868-0BD52D730600}">
  <sheetPr>
    <tabColor rgb="FF00B0F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Ak_Pisa_WTG12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24"/>
      <c r="R3" s="155"/>
      <c r="S3" s="155"/>
      <c r="T3" s="124"/>
      <c r="U3" s="155"/>
      <c r="V3" s="155"/>
      <c r="W3" s="124"/>
      <c r="X3" s="69"/>
      <c r="Y3" s="124"/>
      <c r="Z3" s="124"/>
      <c r="AA3" s="124"/>
      <c r="AB3" s="124"/>
      <c r="AC3" s="69"/>
      <c r="AD3" s="39"/>
      <c r="AE3" s="39"/>
      <c r="AF3" s="39"/>
      <c r="AG3" s="39"/>
      <c r="AH3" s="39"/>
      <c r="AI3" s="39"/>
      <c r="AJ3" s="124"/>
      <c r="AK3" s="124"/>
      <c r="AL3" s="124"/>
      <c r="AM3" s="124"/>
      <c r="AN3" s="124"/>
      <c r="AO3" s="124"/>
      <c r="AP3" s="124"/>
    </row>
    <row r="4" spans="1:45" x14ac:dyDescent="0.25">
      <c r="A4" s="40" t="s">
        <v>60</v>
      </c>
      <c r="B4" s="33">
        <f>COUNTIF(J:J,"&gt;0")</f>
        <v>15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25" t="s">
        <v>38</v>
      </c>
      <c r="K5" s="125" t="s">
        <v>30</v>
      </c>
      <c r="L5" s="125" t="s">
        <v>31</v>
      </c>
      <c r="M5" s="125" t="s">
        <v>31</v>
      </c>
      <c r="N5" s="125" t="s">
        <v>32</v>
      </c>
      <c r="O5" s="125" t="s">
        <v>33</v>
      </c>
      <c r="P5" s="125" t="s">
        <v>35</v>
      </c>
      <c r="Q5" s="125" t="s">
        <v>36</v>
      </c>
      <c r="R5" s="125" t="s">
        <v>36</v>
      </c>
      <c r="S5" s="125" t="s">
        <v>34</v>
      </c>
      <c r="T5" s="125" t="s">
        <v>33</v>
      </c>
      <c r="U5" s="125" t="s">
        <v>34</v>
      </c>
      <c r="V5" s="125" t="s">
        <v>62</v>
      </c>
      <c r="W5" s="125" t="s">
        <v>34</v>
      </c>
      <c r="X5" s="125" t="s">
        <v>33</v>
      </c>
      <c r="Y5" s="125" t="s">
        <v>35</v>
      </c>
      <c r="Z5" s="125" t="s">
        <v>33</v>
      </c>
      <c r="AA5" s="125" t="s">
        <v>34</v>
      </c>
      <c r="AB5" s="125" t="s">
        <v>33</v>
      </c>
      <c r="AC5" s="125" t="s">
        <v>33</v>
      </c>
      <c r="AD5" s="125" t="s">
        <v>35</v>
      </c>
      <c r="AE5" s="125" t="s">
        <v>34</v>
      </c>
      <c r="AF5" s="125" t="s">
        <v>33</v>
      </c>
      <c r="AG5" s="125" t="s">
        <v>35</v>
      </c>
      <c r="AH5" s="125" t="s">
        <v>34</v>
      </c>
      <c r="AI5" s="125" t="s">
        <v>34</v>
      </c>
      <c r="AJ5" s="125" t="s">
        <v>34</v>
      </c>
      <c r="AK5" s="125" t="s">
        <v>34</v>
      </c>
      <c r="AL5" s="125" t="s">
        <v>34</v>
      </c>
      <c r="AM5" s="125" t="s">
        <v>34</v>
      </c>
      <c r="AN5" s="125" t="s">
        <v>34</v>
      </c>
      <c r="AO5" s="125" t="s">
        <v>34</v>
      </c>
      <c r="AP5" s="125" t="s">
        <v>34</v>
      </c>
      <c r="AQ5" s="125" t="s">
        <v>103</v>
      </c>
      <c r="AR5" s="125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EW_sand_Ruled_81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37</v>
      </c>
      <c r="R6" s="47">
        <f t="shared" ref="R6:R7" si="0">IF(Q6&lt;&gt;0,Q6-5,NA())</f>
        <v>32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8400</v>
      </c>
      <c r="Y6" s="47">
        <v>0</v>
      </c>
      <c r="Z6" s="47">
        <f t="shared" ref="Z6:Z7" si="1">VLOOKUP(R6,$AE$39:$AF$59,2)</f>
        <v>103.59999999999997</v>
      </c>
      <c r="AA6" s="47">
        <v>1</v>
      </c>
      <c r="AB6" s="47">
        <f t="shared" ref="AB6:AB7" si="2">VLOOKUP(R6,$AE$39:$AG$59,3)</f>
        <v>10560</v>
      </c>
      <c r="AC6" s="63">
        <v>5000</v>
      </c>
      <c r="AD6" s="63">
        <v>26666.67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7" si="3">VLOOKUP(R6,$AE$39:$AH$59,4)</f>
        <v>44.000000000000007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81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19">
        <v>-0.9</v>
      </c>
      <c r="L7" s="33" t="str">
        <f>"EW_sand_Ruled"&amp;"_"&amp;AR7</f>
        <v>EW_sand_Ruled_65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38</v>
      </c>
      <c r="R7" s="47">
        <f t="shared" si="0"/>
        <v>33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17900</v>
      </c>
      <c r="Y7" s="47">
        <v>0</v>
      </c>
      <c r="Z7" s="47">
        <f t="shared" si="1"/>
        <v>107.39999999999996</v>
      </c>
      <c r="AA7" s="47">
        <v>1</v>
      </c>
      <c r="AB7" s="47">
        <f t="shared" si="2"/>
        <v>11040</v>
      </c>
      <c r="AC7" s="63">
        <v>30000</v>
      </c>
      <c r="AD7" s="63">
        <v>8333.33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46.000000000000007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65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">
        <v>216</v>
      </c>
      <c r="J8" s="47">
        <v>3</v>
      </c>
      <c r="K8" s="19">
        <v>-1.5</v>
      </c>
      <c r="L8" s="116" t="s">
        <v>275</v>
      </c>
      <c r="M8" s="105" t="s">
        <v>65</v>
      </c>
      <c r="N8" s="47">
        <v>9.3000000000000007</v>
      </c>
      <c r="O8" s="63">
        <v>126</v>
      </c>
      <c r="P8" s="63">
        <v>-34</v>
      </c>
      <c r="Q8" s="47">
        <v>0</v>
      </c>
      <c r="R8" s="47" t="e">
        <f>IF(Q8&lt;&gt;0,Q8-5,NA())</f>
        <v>#N/A</v>
      </c>
      <c r="S8" s="47">
        <v>3</v>
      </c>
      <c r="T8" s="47">
        <v>0</v>
      </c>
      <c r="U8" s="75">
        <v>1.7999999999999999E-2</v>
      </c>
      <c r="V8" s="75">
        <v>0</v>
      </c>
      <c r="W8" s="47">
        <v>0.5</v>
      </c>
      <c r="X8" s="47">
        <v>11100</v>
      </c>
      <c r="Y8" s="47">
        <v>0</v>
      </c>
      <c r="Z8" s="47" t="e">
        <f>VLOOKUP(R8,$AE$39:$AF$59,2)</f>
        <v>#N/A</v>
      </c>
      <c r="AA8" s="47">
        <v>1</v>
      </c>
      <c r="AB8" s="47" t="e">
        <f>VLOOKUP(R8,$AE$39:$AG$59,3)</f>
        <v>#N/A</v>
      </c>
      <c r="AC8" s="63">
        <v>135000</v>
      </c>
      <c r="AD8" s="63">
        <v>-32000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 t="e">
        <f>VLOOKUP(R8,$AE$39:$AH$59,4)</f>
        <v>#N/A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0</v>
      </c>
      <c r="AS8" s="33">
        <v>0.4</v>
      </c>
    </row>
    <row r="9" spans="1:45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217</v>
      </c>
      <c r="J9" s="47">
        <v>4</v>
      </c>
      <c r="K9" s="19">
        <v>-2</v>
      </c>
      <c r="L9" s="33" t="str">
        <f>"EW_sand_Ruled"&amp;"_"&amp;AR9</f>
        <v>EW_sand_Ruled_66</v>
      </c>
      <c r="M9" s="105" t="s">
        <v>64</v>
      </c>
      <c r="N9" s="47">
        <v>10</v>
      </c>
      <c r="O9" s="63">
        <v>0</v>
      </c>
      <c r="P9" s="63">
        <v>0</v>
      </c>
      <c r="Q9" s="47">
        <v>29</v>
      </c>
      <c r="R9" s="47">
        <f t="shared" ref="R9:R10" si="4">IF(Q9&lt;&gt;0,Q9-5,NA())</f>
        <v>24</v>
      </c>
      <c r="S9" s="47">
        <v>2.8</v>
      </c>
      <c r="T9" s="47">
        <v>0</v>
      </c>
      <c r="U9" s="75">
        <v>0</v>
      </c>
      <c r="V9" s="75">
        <v>0</v>
      </c>
      <c r="W9" s="47">
        <v>0</v>
      </c>
      <c r="X9" s="47">
        <v>14500</v>
      </c>
      <c r="Y9" s="47">
        <v>0</v>
      </c>
      <c r="Z9" s="47">
        <f t="shared" ref="Z9:Z10" si="5">VLOOKUP(R9,$AE$39:$AF$59,2)</f>
        <v>78.199999999999974</v>
      </c>
      <c r="AA9" s="47">
        <v>1</v>
      </c>
      <c r="AB9" s="47">
        <f t="shared" ref="AB9:AB10" si="6">VLOOKUP(R9,$AE$39:$AG$59,3)</f>
        <v>4420</v>
      </c>
      <c r="AC9" s="63">
        <v>53000</v>
      </c>
      <c r="AD9" s="63">
        <v>4000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ref="AJ9:AJ10" si="7">VLOOKUP(R9,$AE$39:$AH$59,4)</f>
        <v>18.400000000000006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66</v>
      </c>
      <c r="AS9" s="33">
        <v>0.4</v>
      </c>
    </row>
    <row r="10" spans="1:45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217</v>
      </c>
      <c r="J10" s="47">
        <v>5</v>
      </c>
      <c r="K10" s="19">
        <v>-4</v>
      </c>
      <c r="L10" s="33" t="str">
        <f>"EW_sand_Ruled"&amp;"_"&amp;AR10</f>
        <v>EW_sand_Ruled_57</v>
      </c>
      <c r="M10" s="105" t="s">
        <v>64</v>
      </c>
      <c r="N10" s="47">
        <v>10</v>
      </c>
      <c r="O10" s="63">
        <v>0</v>
      </c>
      <c r="P10" s="63">
        <v>0</v>
      </c>
      <c r="Q10" s="47">
        <v>27</v>
      </c>
      <c r="R10" s="47">
        <f t="shared" si="4"/>
        <v>22</v>
      </c>
      <c r="S10" s="47">
        <v>1.6</v>
      </c>
      <c r="T10" s="47">
        <v>0</v>
      </c>
      <c r="U10" s="75">
        <v>0</v>
      </c>
      <c r="V10" s="75">
        <v>0</v>
      </c>
      <c r="W10" s="47">
        <v>0</v>
      </c>
      <c r="X10" s="47">
        <v>12600</v>
      </c>
      <c r="Y10" s="47">
        <v>0</v>
      </c>
      <c r="Z10" s="47">
        <f t="shared" si="5"/>
        <v>72.59999999999998</v>
      </c>
      <c r="AA10" s="47">
        <v>1</v>
      </c>
      <c r="AB10" s="47">
        <f t="shared" si="6"/>
        <v>3660</v>
      </c>
      <c r="AC10" s="63">
        <v>57000</v>
      </c>
      <c r="AD10" s="63">
        <v>7321.42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7"/>
        <v>15.200000000000003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57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311</v>
      </c>
      <c r="J11" s="47">
        <v>6</v>
      </c>
      <c r="K11" s="19">
        <v>-9.6</v>
      </c>
      <c r="L11" s="116" t="s">
        <v>275</v>
      </c>
      <c r="M11" s="105" t="s">
        <v>65</v>
      </c>
      <c r="N11" s="47">
        <v>8.9</v>
      </c>
      <c r="O11" s="63">
        <v>107</v>
      </c>
      <c r="P11" s="63">
        <v>-2.59</v>
      </c>
      <c r="Q11" s="47">
        <v>0</v>
      </c>
      <c r="R11" s="47" t="e">
        <f>IF(Q11&lt;&gt;0,Q11-5,NA())</f>
        <v>#N/A</v>
      </c>
      <c r="S11" s="47">
        <v>2.5</v>
      </c>
      <c r="T11" s="47">
        <v>0</v>
      </c>
      <c r="U11" s="75">
        <v>1.7999999999999999E-2</v>
      </c>
      <c r="V11" s="75">
        <v>0</v>
      </c>
      <c r="W11" s="47">
        <v>0.5</v>
      </c>
      <c r="X11" s="47">
        <v>9500</v>
      </c>
      <c r="Y11" s="47">
        <v>0</v>
      </c>
      <c r="Z11" s="47" t="e">
        <f>VLOOKUP(R11,$AE$39:$AF$59,2)</f>
        <v>#N/A</v>
      </c>
      <c r="AA11" s="47">
        <v>1</v>
      </c>
      <c r="AB11" s="47" t="e">
        <f>VLOOKUP(R11,$AE$39:$AG$59,3)</f>
        <v>#N/A</v>
      </c>
      <c r="AC11" s="63">
        <v>115000</v>
      </c>
      <c r="AD11" s="63">
        <v>-1851.85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 t="e">
        <f>VLOOKUP(R11,$AE$39:$AH$59,4)</f>
        <v>#N/A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289</v>
      </c>
      <c r="J12" s="47">
        <v>7</v>
      </c>
      <c r="K12" s="19">
        <v>-15</v>
      </c>
      <c r="L12" s="33" t="str">
        <f>"EW_sand_Ruled"&amp;"_"&amp;AR12</f>
        <v>EW_sand_Ruled_67</v>
      </c>
      <c r="M12" s="105" t="s">
        <v>64</v>
      </c>
      <c r="N12" s="47">
        <v>9</v>
      </c>
      <c r="O12" s="63">
        <v>0</v>
      </c>
      <c r="P12" s="63">
        <v>0</v>
      </c>
      <c r="Q12" s="47">
        <v>28</v>
      </c>
      <c r="R12" s="47">
        <f t="shared" ref="R12:R14" si="8">IF(Q12&lt;&gt;0,Q12-5,NA())</f>
        <v>23</v>
      </c>
      <c r="S12" s="47">
        <v>1.3</v>
      </c>
      <c r="T12" s="47">
        <v>0</v>
      </c>
      <c r="U12" s="75">
        <v>0</v>
      </c>
      <c r="V12" s="75">
        <v>0</v>
      </c>
      <c r="W12" s="47">
        <v>0</v>
      </c>
      <c r="X12" s="47">
        <v>31100</v>
      </c>
      <c r="Y12" s="47">
        <v>0</v>
      </c>
      <c r="Z12" s="47">
        <f t="shared" ref="Z12:Z14" si="9">VLOOKUP(R12,$AE$39:$AF$59,2)</f>
        <v>75.399999999999977</v>
      </c>
      <c r="AA12" s="47">
        <v>1</v>
      </c>
      <c r="AB12" s="47">
        <f t="shared" ref="AB12:AB14" si="10">VLOOKUP(R12,$AE$39:$AG$59,3)</f>
        <v>4040</v>
      </c>
      <c r="AC12" s="63">
        <v>125000</v>
      </c>
      <c r="AD12" s="63">
        <v>3000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ref="AJ12:AJ14" si="11">VLOOKUP(R12,$AE$39:$AH$59,4)</f>
        <v>16.800000000000004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67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289</v>
      </c>
      <c r="J13" s="47">
        <v>8</v>
      </c>
      <c r="K13" s="19">
        <v>-25</v>
      </c>
      <c r="L13" s="33" t="str">
        <f>"EW_sand_Ruled"&amp;"_"&amp;AR13</f>
        <v>EW_sand_Ruled_74</v>
      </c>
      <c r="M13" s="105" t="s">
        <v>64</v>
      </c>
      <c r="N13" s="47">
        <v>9</v>
      </c>
      <c r="O13" s="63">
        <v>0</v>
      </c>
      <c r="P13" s="63">
        <v>0</v>
      </c>
      <c r="Q13" s="47">
        <v>29</v>
      </c>
      <c r="R13" s="47">
        <f t="shared" si="8"/>
        <v>24</v>
      </c>
      <c r="S13" s="47">
        <v>1.2</v>
      </c>
      <c r="T13" s="47">
        <v>0</v>
      </c>
      <c r="U13" s="75">
        <v>0</v>
      </c>
      <c r="V13" s="75">
        <v>0</v>
      </c>
      <c r="W13" s="47">
        <v>0</v>
      </c>
      <c r="X13" s="47">
        <v>43100</v>
      </c>
      <c r="Y13" s="47">
        <v>0</v>
      </c>
      <c r="Z13" s="47">
        <f t="shared" si="9"/>
        <v>78.199999999999974</v>
      </c>
      <c r="AA13" s="47">
        <v>1</v>
      </c>
      <c r="AB13" s="47">
        <f t="shared" si="10"/>
        <v>4420</v>
      </c>
      <c r="AC13" s="63">
        <v>162000</v>
      </c>
      <c r="AD13" s="63">
        <v>2857.14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11"/>
        <v>18.400000000000006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74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289</v>
      </c>
      <c r="J14" s="47">
        <v>9</v>
      </c>
      <c r="K14" s="19">
        <v>-32</v>
      </c>
      <c r="L14" s="33" t="str">
        <f>"EW_sand_Ruled"&amp;"_"&amp;AR14</f>
        <v>EW_sand_Ruled_62</v>
      </c>
      <c r="M14" s="105" t="s">
        <v>64</v>
      </c>
      <c r="N14" s="47">
        <v>9</v>
      </c>
      <c r="O14" s="63">
        <v>0</v>
      </c>
      <c r="P14" s="63">
        <v>0</v>
      </c>
      <c r="Q14" s="47">
        <v>28</v>
      </c>
      <c r="R14" s="47">
        <f t="shared" si="8"/>
        <v>23</v>
      </c>
      <c r="S14" s="47">
        <v>1</v>
      </c>
      <c r="T14" s="47">
        <v>0</v>
      </c>
      <c r="U14" s="75">
        <v>0</v>
      </c>
      <c r="V14" s="75">
        <v>0</v>
      </c>
      <c r="W14" s="47">
        <v>0</v>
      </c>
      <c r="X14" s="47">
        <v>30000</v>
      </c>
      <c r="Y14" s="47">
        <v>0</v>
      </c>
      <c r="Z14" s="47">
        <f t="shared" si="9"/>
        <v>75.399999999999977</v>
      </c>
      <c r="AA14" s="47">
        <v>1</v>
      </c>
      <c r="AB14" s="47">
        <f t="shared" si="10"/>
        <v>4040</v>
      </c>
      <c r="AC14" s="63">
        <v>180000</v>
      </c>
      <c r="AD14" s="63">
        <v>-9200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11"/>
        <v>16.800000000000004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62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218</v>
      </c>
      <c r="J15" s="47">
        <v>10</v>
      </c>
      <c r="K15" s="19">
        <v>-34.5</v>
      </c>
      <c r="L15" s="116" t="s">
        <v>275</v>
      </c>
      <c r="M15" s="105" t="s">
        <v>65</v>
      </c>
      <c r="N15" s="47">
        <v>8.3000000000000007</v>
      </c>
      <c r="O15" s="63">
        <v>223</v>
      </c>
      <c r="P15" s="63">
        <v>9.4</v>
      </c>
      <c r="Q15" s="47">
        <v>0</v>
      </c>
      <c r="R15" s="47" t="e">
        <f t="shared" ref="R15:R20" si="12">IF(Q15&lt;&gt;0,Q15-5,NA())</f>
        <v>#N/A</v>
      </c>
      <c r="S15" s="47">
        <v>1.9</v>
      </c>
      <c r="T15" s="47">
        <v>0</v>
      </c>
      <c r="U15" s="75">
        <v>1.7999999999999999E-2</v>
      </c>
      <c r="V15" s="75">
        <v>0</v>
      </c>
      <c r="W15" s="47">
        <v>0.5</v>
      </c>
      <c r="X15" s="47">
        <v>25500</v>
      </c>
      <c r="Y15" s="47">
        <v>0</v>
      </c>
      <c r="Z15" s="47" t="e">
        <f t="shared" ref="Z15:Z20" si="13">VLOOKUP(R15,$AE$39:$AF$59,2)</f>
        <v>#N/A</v>
      </c>
      <c r="AA15" s="47">
        <v>1</v>
      </c>
      <c r="AB15" s="47" t="e">
        <f t="shared" ref="AB15:AB20" si="14">VLOOKUP(R15,$AE$39:$AG$59,3)</f>
        <v>#N/A</v>
      </c>
      <c r="AC15" s="63">
        <v>313000</v>
      </c>
      <c r="AD15" s="63">
        <v>14074.07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ref="AJ15:AJ20" si="15">VLOOKUP(R15,$AE$39:$AH$59,4)</f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220</v>
      </c>
      <c r="J16" s="47">
        <v>11</v>
      </c>
      <c r="K16" s="19">
        <v>-48</v>
      </c>
      <c r="L16" s="116" t="s">
        <v>275</v>
      </c>
      <c r="M16" s="105" t="s">
        <v>65</v>
      </c>
      <c r="N16" s="47">
        <v>8.8000000000000007</v>
      </c>
      <c r="O16" s="63">
        <v>1038</v>
      </c>
      <c r="P16" s="63">
        <v>-51.33</v>
      </c>
      <c r="Q16" s="47">
        <v>0</v>
      </c>
      <c r="R16" s="47" t="e">
        <f t="shared" si="12"/>
        <v>#N/A</v>
      </c>
      <c r="S16" s="47">
        <v>3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64900</v>
      </c>
      <c r="Y16" s="47">
        <v>0</v>
      </c>
      <c r="Z16" s="47" t="e">
        <f t="shared" si="13"/>
        <v>#N/A</v>
      </c>
      <c r="AA16" s="47">
        <v>1</v>
      </c>
      <c r="AB16" s="47" t="e">
        <f t="shared" si="14"/>
        <v>#N/A</v>
      </c>
      <c r="AC16" s="63">
        <v>1192000</v>
      </c>
      <c r="AD16" s="63">
        <v>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15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25"/>
      <c r="E17" s="125"/>
      <c r="I17" s="33" t="s">
        <v>220</v>
      </c>
      <c r="J17" s="47">
        <v>12</v>
      </c>
      <c r="K17" s="19">
        <v>-57</v>
      </c>
      <c r="L17" s="116" t="s">
        <v>275</v>
      </c>
      <c r="M17" s="105" t="s">
        <v>65</v>
      </c>
      <c r="N17" s="47">
        <v>8.8000000000000007</v>
      </c>
      <c r="O17" s="63">
        <v>998</v>
      </c>
      <c r="P17" s="63">
        <v>0</v>
      </c>
      <c r="Q17" s="47">
        <v>0</v>
      </c>
      <c r="R17" s="47" t="e">
        <f t="shared" si="12"/>
        <v>#N/A</v>
      </c>
      <c r="S17" s="47">
        <v>3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84200</v>
      </c>
      <c r="Y17" s="47">
        <v>0</v>
      </c>
      <c r="Z17" s="47" t="e">
        <f t="shared" si="13"/>
        <v>#N/A</v>
      </c>
      <c r="AA17" s="47">
        <v>1</v>
      </c>
      <c r="AB17" s="47" t="e">
        <f t="shared" si="14"/>
        <v>#N/A</v>
      </c>
      <c r="AC17" s="63">
        <v>1652000</v>
      </c>
      <c r="AD17" s="63">
        <v>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15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221</v>
      </c>
      <c r="J18" s="47">
        <v>13</v>
      </c>
      <c r="K18" s="19">
        <v>-65</v>
      </c>
      <c r="L18" s="116" t="s">
        <v>275</v>
      </c>
      <c r="M18" s="105" t="s">
        <v>65</v>
      </c>
      <c r="N18" s="47">
        <v>8.5</v>
      </c>
      <c r="O18" s="63">
        <v>1029</v>
      </c>
      <c r="P18" s="63">
        <v>-41</v>
      </c>
      <c r="Q18" s="47">
        <v>0</v>
      </c>
      <c r="R18" s="47" t="e">
        <f t="shared" si="12"/>
        <v>#N/A</v>
      </c>
      <c r="S18" s="47">
        <v>3</v>
      </c>
      <c r="T18" s="47">
        <v>0</v>
      </c>
      <c r="U18" s="75">
        <v>1.7999999999999999E-2</v>
      </c>
      <c r="V18" s="75">
        <v>0</v>
      </c>
      <c r="W18" s="47">
        <v>0.25</v>
      </c>
      <c r="X18" s="47">
        <v>77300</v>
      </c>
      <c r="Y18" s="47">
        <v>0</v>
      </c>
      <c r="Z18" s="47" t="e">
        <f t="shared" si="13"/>
        <v>#N/A</v>
      </c>
      <c r="AA18" s="47">
        <v>1</v>
      </c>
      <c r="AB18" s="47" t="e">
        <f t="shared" si="14"/>
        <v>#N/A</v>
      </c>
      <c r="AC18" s="63">
        <v>1715000</v>
      </c>
      <c r="AD18" s="63">
        <v>-75000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15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25" t="s">
        <v>38</v>
      </c>
      <c r="B19" s="125" t="s">
        <v>30</v>
      </c>
      <c r="C19" s="125" t="s">
        <v>59</v>
      </c>
      <c r="D19" s="43"/>
      <c r="E19" s="35"/>
      <c r="I19" s="33" t="s">
        <v>310</v>
      </c>
      <c r="J19" s="47">
        <v>14</v>
      </c>
      <c r="K19" s="19">
        <v>-68</v>
      </c>
      <c r="L19" s="116" t="s">
        <v>275</v>
      </c>
      <c r="M19" s="105" t="s">
        <v>65</v>
      </c>
      <c r="N19" s="47">
        <v>8.6999999999999993</v>
      </c>
      <c r="O19" s="63">
        <v>977</v>
      </c>
      <c r="P19" s="63">
        <v>11</v>
      </c>
      <c r="Q19" s="47">
        <v>0</v>
      </c>
      <c r="R19" s="47" t="e">
        <f t="shared" si="12"/>
        <v>#N/A</v>
      </c>
      <c r="S19" s="47">
        <v>3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87100</v>
      </c>
      <c r="Y19" s="47">
        <v>0</v>
      </c>
      <c r="Z19" s="47" t="e">
        <f t="shared" si="13"/>
        <v>#N/A</v>
      </c>
      <c r="AA19" s="47">
        <v>1</v>
      </c>
      <c r="AB19" s="47" t="e">
        <f t="shared" si="14"/>
        <v>#N/A</v>
      </c>
      <c r="AC19" s="63">
        <v>1601000</v>
      </c>
      <c r="AD19" s="63">
        <v>22166.67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15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310</v>
      </c>
      <c r="J20" s="47">
        <v>15</v>
      </c>
      <c r="K20" s="19">
        <v>-80</v>
      </c>
      <c r="L20" s="116" t="s">
        <v>275</v>
      </c>
      <c r="M20" s="105" t="s">
        <v>65</v>
      </c>
      <c r="N20" s="47">
        <v>8.6999999999999993</v>
      </c>
      <c r="O20" s="63">
        <v>1109</v>
      </c>
      <c r="P20" s="63">
        <v>0</v>
      </c>
      <c r="Q20" s="47">
        <v>0</v>
      </c>
      <c r="R20" s="47" t="e">
        <f t="shared" si="12"/>
        <v>#N/A</v>
      </c>
      <c r="S20" s="47">
        <v>3</v>
      </c>
      <c r="T20" s="47">
        <v>0</v>
      </c>
      <c r="U20" s="75">
        <v>1.7999999999999999E-2</v>
      </c>
      <c r="V20" s="75">
        <v>0</v>
      </c>
      <c r="W20" s="47">
        <v>0.25</v>
      </c>
      <c r="X20" s="47">
        <v>87100</v>
      </c>
      <c r="Y20" s="47">
        <v>0</v>
      </c>
      <c r="Z20" s="47" t="e">
        <f t="shared" si="13"/>
        <v>#N/A</v>
      </c>
      <c r="AA20" s="47">
        <v>1</v>
      </c>
      <c r="AB20" s="47" t="e">
        <f t="shared" si="14"/>
        <v>#N/A</v>
      </c>
      <c r="AC20" s="63">
        <v>1867000</v>
      </c>
      <c r="AD20" s="63">
        <v>0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 t="e">
        <f t="shared" si="15"/>
        <v>#N/A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0</v>
      </c>
      <c r="AS20" s="33">
        <v>0.4</v>
      </c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  <c r="I25" s="56"/>
      <c r="J25" s="47"/>
      <c r="K25" s="19"/>
      <c r="L25" s="116"/>
      <c r="M25" s="105"/>
      <c r="N25" s="47"/>
      <c r="O25" s="63"/>
      <c r="P25" s="63"/>
      <c r="Q25" s="47"/>
      <c r="R25" s="47"/>
      <c r="S25" s="47"/>
      <c r="T25" s="47"/>
      <c r="U25" s="75"/>
      <c r="V25" s="75"/>
      <c r="W25" s="47"/>
      <c r="X25" s="47"/>
      <c r="Y25" s="47"/>
      <c r="Z25" s="47"/>
      <c r="AA25" s="47"/>
      <c r="AB25" s="47"/>
      <c r="AC25" s="63"/>
      <c r="AD25" s="63"/>
      <c r="AE25" s="63"/>
      <c r="AF25" s="63"/>
      <c r="AG25" s="63"/>
      <c r="AH25" s="63"/>
      <c r="AI25" s="63"/>
      <c r="AJ25" s="47"/>
      <c r="AK25" s="47"/>
      <c r="AL25" s="47"/>
      <c r="AM25" s="47"/>
      <c r="AN25" s="47"/>
      <c r="AO25" s="47"/>
      <c r="AP25" s="47"/>
      <c r="AQ25" s="47"/>
      <c r="AR25" s="47"/>
    </row>
    <row r="26" spans="1:45" x14ac:dyDescent="0.25">
      <c r="A26" s="66"/>
      <c r="B26" s="66"/>
      <c r="C26" s="67"/>
      <c r="D26" s="35"/>
      <c r="I26" s="56"/>
      <c r="J26" s="47"/>
      <c r="K26" s="19"/>
      <c r="L26" s="116"/>
      <c r="M26" s="105"/>
      <c r="N26" s="47"/>
      <c r="O26" s="63"/>
      <c r="P26" s="63"/>
      <c r="Q26" s="47"/>
      <c r="R26" s="47"/>
      <c r="S26" s="47"/>
      <c r="T26" s="47"/>
      <c r="U26" s="75"/>
      <c r="V26" s="75"/>
      <c r="W26" s="47"/>
      <c r="X26" s="47"/>
      <c r="Y26" s="47"/>
      <c r="Z26" s="47"/>
      <c r="AA26" s="47"/>
      <c r="AB26" s="47"/>
      <c r="AC26" s="63"/>
      <c r="AD26" s="63"/>
      <c r="AE26" s="63"/>
      <c r="AF26" s="63"/>
      <c r="AG26" s="63"/>
      <c r="AH26" s="63"/>
      <c r="AI26" s="63"/>
      <c r="AJ26" s="47"/>
      <c r="AK26" s="47"/>
      <c r="AL26" s="47"/>
      <c r="AM26" s="47"/>
      <c r="AN26" s="47"/>
      <c r="AO26" s="47"/>
      <c r="AP26" s="47"/>
      <c r="AQ26" s="47"/>
      <c r="AR26" s="47"/>
    </row>
    <row r="27" spans="1:45" x14ac:dyDescent="0.25">
      <c r="A27" s="66"/>
      <c r="B27" s="66"/>
      <c r="C27" s="67"/>
      <c r="D27" s="35"/>
      <c r="J27" s="47"/>
      <c r="K27" s="19"/>
      <c r="L27" s="116"/>
      <c r="M27" s="105"/>
      <c r="N27" s="47"/>
      <c r="O27" s="63"/>
      <c r="P27" s="63"/>
      <c r="Q27" s="47"/>
      <c r="R27" s="47"/>
      <c r="S27" s="47"/>
      <c r="T27" s="47"/>
      <c r="U27" s="75"/>
      <c r="V27" s="75"/>
      <c r="W27" s="47"/>
      <c r="X27" s="47"/>
      <c r="Y27" s="47"/>
      <c r="Z27" s="47"/>
      <c r="AA27" s="47"/>
      <c r="AB27" s="47"/>
      <c r="AC27" s="63"/>
      <c r="AD27" s="63"/>
      <c r="AE27" s="63"/>
      <c r="AF27" s="63"/>
      <c r="AG27" s="63"/>
      <c r="AH27" s="63"/>
      <c r="AI27" s="63"/>
      <c r="AJ27" s="47"/>
      <c r="AK27" s="47"/>
      <c r="AL27" s="47"/>
      <c r="AM27" s="47"/>
      <c r="AN27" s="47"/>
      <c r="AO27" s="47"/>
      <c r="AP27" s="47"/>
      <c r="AQ27" s="47"/>
      <c r="AR27" s="47"/>
    </row>
    <row r="28" spans="1:45" x14ac:dyDescent="0.25">
      <c r="A28" s="66"/>
      <c r="B28" s="66"/>
      <c r="C28" s="67"/>
      <c r="D28" s="35"/>
      <c r="I28" s="56"/>
      <c r="J28" s="47"/>
      <c r="K28" s="56"/>
      <c r="L28" s="116"/>
      <c r="M28" s="105"/>
      <c r="N28" s="47"/>
      <c r="O28" s="63"/>
      <c r="P28" s="63"/>
      <c r="Q28" s="47"/>
      <c r="R28" s="47"/>
      <c r="S28" s="47"/>
      <c r="T28" s="47"/>
      <c r="U28" s="75"/>
      <c r="V28" s="75"/>
      <c r="W28" s="47"/>
      <c r="X28" s="47"/>
      <c r="Y28" s="47"/>
      <c r="Z28" s="47"/>
      <c r="AA28" s="47"/>
      <c r="AB28" s="47"/>
      <c r="AC28" s="63"/>
      <c r="AD28" s="63"/>
      <c r="AE28" s="63"/>
      <c r="AF28" s="63"/>
      <c r="AG28" s="63"/>
      <c r="AH28" s="63"/>
      <c r="AI28" s="63"/>
      <c r="AJ28" s="47"/>
      <c r="AK28" s="47"/>
      <c r="AL28" s="47"/>
      <c r="AM28" s="47"/>
      <c r="AN28" s="47"/>
      <c r="AO28" s="47"/>
      <c r="AP28" s="47"/>
      <c r="AQ28" s="47"/>
      <c r="AR28" s="47"/>
    </row>
    <row r="29" spans="1:45" x14ac:dyDescent="0.25">
      <c r="A29" s="66"/>
      <c r="B29" s="66"/>
      <c r="C29" s="67"/>
      <c r="D29" s="35"/>
      <c r="J29" s="47"/>
      <c r="K29" s="19"/>
      <c r="L29" s="116"/>
      <c r="M29" s="105"/>
      <c r="N29" s="47"/>
      <c r="O29" s="63"/>
      <c r="P29" s="63"/>
      <c r="Q29" s="47"/>
      <c r="R29" s="47"/>
      <c r="S29" s="47"/>
      <c r="T29" s="47"/>
      <c r="U29" s="75"/>
      <c r="V29" s="75"/>
      <c r="W29" s="47"/>
      <c r="X29" s="47"/>
      <c r="Y29" s="47"/>
      <c r="Z29" s="47"/>
      <c r="AA29" s="47"/>
      <c r="AB29" s="47"/>
      <c r="AC29" s="63"/>
      <c r="AD29" s="63"/>
      <c r="AE29" s="63"/>
      <c r="AF29" s="63"/>
      <c r="AG29" s="63"/>
      <c r="AH29" s="63"/>
      <c r="AI29" s="63"/>
      <c r="AJ29" s="47"/>
      <c r="AK29" s="47"/>
      <c r="AL29" s="47"/>
      <c r="AM29" s="47"/>
      <c r="AN29" s="47"/>
      <c r="AO29" s="47"/>
      <c r="AP29" s="47"/>
      <c r="AQ29" s="47"/>
      <c r="AR29" s="47"/>
    </row>
    <row r="30" spans="1:45" x14ac:dyDescent="0.25">
      <c r="A30" s="66"/>
      <c r="B30" s="66"/>
      <c r="C30" s="67"/>
      <c r="D30" s="35"/>
      <c r="J30" s="47"/>
      <c r="L30" s="116"/>
      <c r="M30" s="105"/>
      <c r="N30" s="47"/>
      <c r="O30" s="63"/>
      <c r="P30" s="63"/>
      <c r="Q30" s="47"/>
      <c r="R30" s="47"/>
      <c r="S30" s="47"/>
      <c r="T30" s="47"/>
      <c r="U30" s="75"/>
      <c r="V30" s="75"/>
      <c r="W30" s="47"/>
      <c r="X30" s="47"/>
      <c r="Y30" s="47"/>
      <c r="Z30" s="47"/>
      <c r="AA30" s="47"/>
      <c r="AB30" s="47"/>
      <c r="AC30" s="63"/>
      <c r="AD30" s="63"/>
      <c r="AE30" s="63"/>
      <c r="AF30" s="63"/>
      <c r="AG30" s="63"/>
      <c r="AH30" s="63"/>
      <c r="AI30" s="63"/>
      <c r="AJ30" s="47"/>
      <c r="AK30" s="47"/>
      <c r="AL30" s="47"/>
      <c r="AM30" s="47"/>
      <c r="AN30" s="47"/>
      <c r="AO30" s="47"/>
      <c r="AP30" s="47"/>
      <c r="AQ30" s="47"/>
      <c r="AR30" s="47"/>
    </row>
    <row r="31" spans="1:45" x14ac:dyDescent="0.25">
      <c r="A31" s="66"/>
      <c r="B31" s="66"/>
      <c r="C31" s="67"/>
      <c r="D31" s="35"/>
      <c r="J31" s="47"/>
      <c r="L31" s="116"/>
      <c r="M31" s="105"/>
      <c r="N31" s="47"/>
      <c r="O31" s="63"/>
      <c r="P31" s="63"/>
      <c r="Q31" s="47"/>
      <c r="R31" s="47"/>
      <c r="S31" s="47"/>
      <c r="T31" s="47"/>
      <c r="U31" s="75"/>
      <c r="V31" s="75"/>
      <c r="W31" s="47"/>
      <c r="X31" s="47"/>
      <c r="Y31" s="47"/>
      <c r="Z31" s="47"/>
      <c r="AA31" s="47"/>
      <c r="AB31" s="47"/>
      <c r="AC31" s="63"/>
      <c r="AD31" s="63"/>
      <c r="AE31" s="63"/>
      <c r="AF31" s="63"/>
      <c r="AG31" s="63"/>
      <c r="AH31" s="63"/>
      <c r="AI31" s="63"/>
      <c r="AJ31" s="47"/>
      <c r="AK31" s="47"/>
      <c r="AL31" s="47"/>
      <c r="AM31" s="47"/>
      <c r="AN31" s="47"/>
      <c r="AO31" s="47"/>
      <c r="AP31" s="47"/>
      <c r="AQ31" s="47"/>
      <c r="AR31" s="47"/>
    </row>
    <row r="32" spans="1:45" x14ac:dyDescent="0.25">
      <c r="A32" s="66"/>
      <c r="B32" s="66"/>
      <c r="C32" s="67"/>
      <c r="D32" s="35"/>
      <c r="J32" s="47"/>
      <c r="K32" s="19"/>
      <c r="L32" s="116"/>
      <c r="M32" s="105"/>
      <c r="N32" s="47"/>
      <c r="O32" s="63"/>
      <c r="P32" s="63"/>
      <c r="Q32" s="47"/>
      <c r="R32" s="47"/>
      <c r="S32" s="47"/>
      <c r="T32" s="47"/>
      <c r="U32" s="75"/>
      <c r="V32" s="75"/>
      <c r="W32" s="47"/>
      <c r="X32" s="47"/>
      <c r="Y32" s="47"/>
      <c r="Z32" s="47"/>
      <c r="AA32" s="47"/>
      <c r="AB32" s="47"/>
      <c r="AC32" s="63"/>
      <c r="AD32" s="63"/>
      <c r="AE32" s="63"/>
      <c r="AF32" s="63"/>
      <c r="AG32" s="63"/>
      <c r="AH32" s="63"/>
      <c r="AI32" s="63"/>
      <c r="AJ32" s="47"/>
      <c r="AK32" s="47"/>
      <c r="AL32" s="47"/>
      <c r="AM32" s="47"/>
      <c r="AN32" s="47"/>
      <c r="AO32" s="47"/>
      <c r="AP32" s="47"/>
      <c r="AQ32" s="47"/>
      <c r="AR32" s="47"/>
    </row>
    <row r="33" spans="1:44" x14ac:dyDescent="0.25">
      <c r="A33" s="66"/>
      <c r="B33" s="66"/>
      <c r="C33" s="67"/>
      <c r="D33" s="35"/>
      <c r="J33" s="47"/>
      <c r="K33" s="19"/>
      <c r="L33" s="116"/>
      <c r="M33" s="105"/>
      <c r="N33" s="47"/>
      <c r="O33" s="63"/>
      <c r="P33" s="63"/>
      <c r="Q33" s="47"/>
      <c r="R33" s="47"/>
      <c r="S33" s="47"/>
      <c r="T33" s="47"/>
      <c r="U33" s="75"/>
      <c r="V33" s="75"/>
      <c r="W33" s="47"/>
      <c r="X33" s="47"/>
      <c r="Y33" s="47"/>
      <c r="Z33" s="47"/>
      <c r="AA33" s="47"/>
      <c r="AB33" s="47"/>
      <c r="AC33" s="63"/>
      <c r="AD33" s="63"/>
      <c r="AE33" s="63"/>
      <c r="AF33" s="63"/>
      <c r="AG33" s="63"/>
      <c r="AH33" s="63"/>
      <c r="AI33" s="63"/>
      <c r="AJ33" s="47"/>
      <c r="AK33" s="47"/>
      <c r="AL33" s="47"/>
      <c r="AM33" s="47"/>
      <c r="AN33" s="47"/>
      <c r="AO33" s="47"/>
      <c r="AP33" s="47"/>
      <c r="AQ33" s="47"/>
      <c r="AR33" s="47"/>
    </row>
    <row r="34" spans="1:44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4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4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4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4" x14ac:dyDescent="0.25">
      <c r="L38" s="49"/>
      <c r="AE38" s="33" t="s">
        <v>99</v>
      </c>
      <c r="AF38" s="33" t="s">
        <v>100</v>
      </c>
      <c r="AG38" s="33" t="s">
        <v>101</v>
      </c>
    </row>
    <row r="39" spans="1:44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4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4" x14ac:dyDescent="0.25">
      <c r="L41" s="49"/>
      <c r="AE41" s="33">
        <v>17</v>
      </c>
      <c r="AF41" s="33">
        <f t="shared" ref="AF41:AF44" si="16">AF40+3.8</f>
        <v>55.599999999999994</v>
      </c>
      <c r="AG41" s="33">
        <f t="shared" ref="AG41:AG43" si="17">AG40+200</f>
        <v>2300</v>
      </c>
      <c r="AH41" s="33">
        <f t="shared" ref="AH41:AH44" si="18">AH40+0.8</f>
        <v>9.6000000000000014</v>
      </c>
    </row>
    <row r="42" spans="1:44" x14ac:dyDescent="0.25">
      <c r="L42" s="49"/>
      <c r="AE42" s="33">
        <v>18</v>
      </c>
      <c r="AF42" s="33">
        <f t="shared" si="16"/>
        <v>59.399999999999991</v>
      </c>
      <c r="AG42" s="33">
        <f t="shared" si="17"/>
        <v>2500</v>
      </c>
      <c r="AH42" s="33">
        <f t="shared" si="18"/>
        <v>10.400000000000002</v>
      </c>
    </row>
    <row r="43" spans="1:44" x14ac:dyDescent="0.25">
      <c r="L43" s="49"/>
      <c r="AE43" s="33">
        <v>19</v>
      </c>
      <c r="AF43" s="33">
        <f t="shared" si="16"/>
        <v>63.199999999999989</v>
      </c>
      <c r="AG43" s="33">
        <f t="shared" si="17"/>
        <v>2700</v>
      </c>
      <c r="AH43" s="33">
        <f t="shared" si="18"/>
        <v>11.200000000000003</v>
      </c>
    </row>
    <row r="44" spans="1:44" x14ac:dyDescent="0.25">
      <c r="L44" s="49"/>
      <c r="AE44" s="33">
        <v>20</v>
      </c>
      <c r="AF44" s="33">
        <f t="shared" si="16"/>
        <v>66.999999999999986</v>
      </c>
      <c r="AG44" s="33">
        <f>AG43+200</f>
        <v>2900</v>
      </c>
      <c r="AH44" s="33">
        <f t="shared" si="18"/>
        <v>12.000000000000004</v>
      </c>
    </row>
    <row r="45" spans="1:44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4" x14ac:dyDescent="0.25">
      <c r="L46" s="49"/>
      <c r="AE46" s="33">
        <v>22</v>
      </c>
      <c r="AF46" s="33">
        <f t="shared" ref="AF46:AF49" si="19">AF45+2.8</f>
        <v>72.59999999999998</v>
      </c>
      <c r="AG46" s="33">
        <f t="shared" ref="AG46:AG48" si="20">AG45+380</f>
        <v>3660</v>
      </c>
      <c r="AH46" s="33">
        <f t="shared" ref="AH46:AH49" si="21">AH45+1.6</f>
        <v>15.200000000000003</v>
      </c>
    </row>
    <row r="47" spans="1:44" x14ac:dyDescent="0.25">
      <c r="L47" s="49"/>
      <c r="AE47" s="33">
        <v>23</v>
      </c>
      <c r="AF47" s="33">
        <f t="shared" si="19"/>
        <v>75.399999999999977</v>
      </c>
      <c r="AG47" s="33">
        <f t="shared" si="20"/>
        <v>4040</v>
      </c>
      <c r="AH47" s="33">
        <f t="shared" si="21"/>
        <v>16.800000000000004</v>
      </c>
    </row>
    <row r="48" spans="1:44" x14ac:dyDescent="0.25">
      <c r="L48" s="49"/>
      <c r="AE48" s="33">
        <v>24</v>
      </c>
      <c r="AF48" s="33">
        <f t="shared" si="19"/>
        <v>78.199999999999974</v>
      </c>
      <c r="AG48" s="33">
        <f t="shared" si="20"/>
        <v>4420</v>
      </c>
      <c r="AH48" s="33">
        <f t="shared" si="21"/>
        <v>18.400000000000006</v>
      </c>
    </row>
    <row r="49" spans="12:34" x14ac:dyDescent="0.25">
      <c r="L49" s="49"/>
      <c r="AE49" s="33">
        <v>25</v>
      </c>
      <c r="AF49" s="33">
        <f t="shared" si="19"/>
        <v>80.999999999999972</v>
      </c>
      <c r="AG49" s="33">
        <v>4800</v>
      </c>
      <c r="AH49" s="33">
        <f t="shared" si="21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22">AF50+3</f>
        <v>86.999999999999972</v>
      </c>
      <c r="AG51" s="33">
        <f t="shared" ref="AG51:AG54" si="23">AG50+960</f>
        <v>6720</v>
      </c>
      <c r="AH51" s="33">
        <f t="shared" ref="AH51:AH54" si="24">AH50+4</f>
        <v>28.000000000000007</v>
      </c>
    </row>
    <row r="52" spans="12:34" x14ac:dyDescent="0.25">
      <c r="L52" s="49"/>
      <c r="AE52" s="33">
        <v>28</v>
      </c>
      <c r="AF52" s="33">
        <f t="shared" si="22"/>
        <v>89.999999999999972</v>
      </c>
      <c r="AG52" s="33">
        <f t="shared" si="23"/>
        <v>7680</v>
      </c>
      <c r="AH52" s="33">
        <f t="shared" si="24"/>
        <v>32.000000000000007</v>
      </c>
    </row>
    <row r="53" spans="12:34" x14ac:dyDescent="0.25">
      <c r="L53" s="49"/>
      <c r="AE53" s="33">
        <v>29</v>
      </c>
      <c r="AF53" s="33">
        <f t="shared" si="22"/>
        <v>92.999999999999972</v>
      </c>
      <c r="AG53" s="33">
        <f t="shared" si="23"/>
        <v>8640</v>
      </c>
      <c r="AH53" s="33">
        <f t="shared" si="24"/>
        <v>36.000000000000007</v>
      </c>
    </row>
    <row r="54" spans="12:34" x14ac:dyDescent="0.25">
      <c r="L54" s="49"/>
      <c r="AE54" s="33">
        <v>30</v>
      </c>
      <c r="AF54" s="33">
        <f t="shared" si="22"/>
        <v>95.999999999999972</v>
      </c>
      <c r="AG54" s="33">
        <f t="shared" si="23"/>
        <v>9600</v>
      </c>
      <c r="AH54" s="33">
        <f t="shared" si="24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25">AF55+3.8</f>
        <v>103.59999999999997</v>
      </c>
      <c r="AG56" s="33">
        <f t="shared" ref="AG56:AG59" si="26">AG55+480</f>
        <v>10560</v>
      </c>
      <c r="AH56" s="33">
        <f t="shared" ref="AH56:AH59" si="27">AH55+2</f>
        <v>44.000000000000007</v>
      </c>
    </row>
    <row r="57" spans="12:34" x14ac:dyDescent="0.25">
      <c r="L57" s="49"/>
      <c r="AE57" s="33">
        <v>33</v>
      </c>
      <c r="AF57" s="33">
        <f t="shared" si="25"/>
        <v>107.39999999999996</v>
      </c>
      <c r="AG57" s="33">
        <f t="shared" si="26"/>
        <v>11040</v>
      </c>
      <c r="AH57" s="33">
        <f t="shared" si="27"/>
        <v>46.000000000000007</v>
      </c>
    </row>
    <row r="58" spans="12:34" x14ac:dyDescent="0.25">
      <c r="L58" s="49"/>
      <c r="AE58" s="33">
        <v>34</v>
      </c>
      <c r="AF58" s="33">
        <f t="shared" si="25"/>
        <v>111.19999999999996</v>
      </c>
      <c r="AG58" s="33">
        <f t="shared" si="26"/>
        <v>11520</v>
      </c>
      <c r="AH58" s="33">
        <f t="shared" si="27"/>
        <v>48.000000000000007</v>
      </c>
    </row>
    <row r="59" spans="12:34" x14ac:dyDescent="0.25">
      <c r="L59" s="49"/>
      <c r="AE59" s="33">
        <v>35</v>
      </c>
      <c r="AF59" s="33">
        <f t="shared" si="25"/>
        <v>114.99999999999996</v>
      </c>
      <c r="AG59" s="33">
        <f t="shared" si="26"/>
        <v>12000</v>
      </c>
      <c r="AH59" s="33">
        <f t="shared" si="27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1:AP21 Q21 N21 AM34:AP36 Q34:Q36 N34:N36">
    <cfRule type="expression" dxfId="3360" priority="14">
      <formula>$L21="API sand"</formula>
    </cfRule>
  </conditionalFormatting>
  <conditionalFormatting sqref="S21 AD21 AB21 AJ21:AL21 Z21 N21 R34:S36 AB34:AB35 AJ34:AL36 Z34:Z36 N34:N36">
    <cfRule type="expression" dxfId="3359" priority="13">
      <formula>$M21="API sand"</formula>
    </cfRule>
  </conditionalFormatting>
  <conditionalFormatting sqref="S21:T21 AD21 Z21:AB21 N21 AK21:AL21 R34:T36 Z34:AB35 AK34:AL36 N34:N36">
    <cfRule type="expression" dxfId="3358" priority="12">
      <formula>$M21="API clay"</formula>
    </cfRule>
  </conditionalFormatting>
  <conditionalFormatting sqref="U21:W21 N21 P21 AM21:AP21 U34:W36 AM34:AP36 N34:P36">
    <cfRule type="expression" dxfId="3357" priority="9">
      <formula>$L21="Stiff clay w/o free water"</formula>
    </cfRule>
    <cfRule type="expression" dxfId="3356" priority="11">
      <formula>$L21="API clay"</formula>
    </cfRule>
  </conditionalFormatting>
  <conditionalFormatting sqref="U21:Y21 N21 P21 AM21:AP21 U34:Y36 AM34:AP36 N34:P36">
    <cfRule type="expression" dxfId="3355" priority="10">
      <formula>$L21="Kirsch soft clay"</formula>
    </cfRule>
  </conditionalFormatting>
  <conditionalFormatting sqref="U21:Y21 N21 P21 AM21:AP21 U34:Y36 AM34:AP36 N34:P36">
    <cfRule type="expression" dxfId="3354" priority="8">
      <formula>$L21="Kirsch stiff clay"</formula>
    </cfRule>
  </conditionalFormatting>
  <conditionalFormatting sqref="AM21:AP21 X21:Y21 Q21 N21 AM34:AP36 Q34:Q36 X34:Y36 N34:N36">
    <cfRule type="expression" dxfId="3353" priority="7">
      <formula>$L21="Kirsch sand"</formula>
    </cfRule>
  </conditionalFormatting>
  <conditionalFormatting sqref="AI21 AC21:AD21 N21 AM21:AP21 AC34:AD36 AI34:AI36 AM34:AP36 N34:N36">
    <cfRule type="expression" dxfId="3352" priority="6">
      <formula>$L21="Modified Weak rock"</formula>
    </cfRule>
  </conditionalFormatting>
  <conditionalFormatting sqref="N21 P21 U21:V21 AM21:AP21 AM34:AP36 N34:P36 U34:V36">
    <cfRule type="expression" dxfId="3351" priority="5">
      <formula>$L21="Reese stiff clay"</formula>
    </cfRule>
  </conditionalFormatting>
  <conditionalFormatting sqref="AB36">
    <cfRule type="expression" dxfId="3350" priority="4">
      <formula>$M36="API sand"</formula>
    </cfRule>
  </conditionalFormatting>
  <conditionalFormatting sqref="Z36:AB36">
    <cfRule type="expression" dxfId="3349" priority="3">
      <formula>$M36="API clay"</formula>
    </cfRule>
  </conditionalFormatting>
  <conditionalFormatting sqref="O21">
    <cfRule type="expression" dxfId="3348" priority="2">
      <formula>$L21="API sand"</formula>
    </cfRule>
  </conditionalFormatting>
  <conditionalFormatting sqref="O21">
    <cfRule type="expression" dxfId="3347" priority="1">
      <formula>$L21="Kirsch sand"</formula>
    </cfRule>
  </conditionalFormatting>
  <conditionalFormatting sqref="AE37:AH37">
    <cfRule type="expression" dxfId="3346" priority="15">
      <formula>$L19="Modified Weak rock"</formula>
    </cfRule>
  </conditionalFormatting>
  <dataValidations count="4">
    <dataValidation type="list" showInputMessage="1" showErrorMessage="1" sqref="M25:M33 M6:M20" xr:uid="{6192A739-F802-448A-AE2E-0B3E5D547CE9}">
      <formula1>"Zero soil,API sand,API clay"</formula1>
    </dataValidation>
    <dataValidation type="list" showInputMessage="1" showErrorMessage="1" sqref="L25:L255 L21" xr:uid="{3B878DD8-CFEA-4EF6-822B-D51F4717AB3B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25:M36 M11 M8 M15:M21" xr:uid="{30DBB173-4FF1-451C-BFD2-E40AC1E8F1B0}">
      <formula1>"',API sand,API clay"</formula1>
    </dataValidation>
    <dataValidation showInputMessage="1" showErrorMessage="1" sqref="L8 L11 L15:L20" xr:uid="{D7EB3326-C1EC-44DC-8E3C-FA8B9D94DF12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375F2-7BF2-4A18-99E6-AA8F9B9597B4}">
  <sheetPr>
    <tabColor rgb="FF00B05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Ak_kirsch_WTG12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24"/>
      <c r="R3" s="155"/>
      <c r="S3" s="155"/>
      <c r="T3" s="124"/>
      <c r="U3" s="155"/>
      <c r="V3" s="155"/>
      <c r="W3" s="124"/>
      <c r="X3" s="69"/>
      <c r="Y3" s="124"/>
      <c r="Z3" s="124"/>
      <c r="AA3" s="124"/>
      <c r="AB3" s="124"/>
      <c r="AC3" s="69"/>
      <c r="AD3" s="39"/>
      <c r="AE3" s="39"/>
      <c r="AF3" s="39"/>
      <c r="AG3" s="39"/>
      <c r="AH3" s="39"/>
      <c r="AI3" s="39"/>
      <c r="AJ3" s="124"/>
      <c r="AK3" s="124"/>
      <c r="AL3" s="124"/>
      <c r="AM3" s="124"/>
      <c r="AN3" s="124"/>
      <c r="AO3" s="124"/>
      <c r="AP3" s="124"/>
    </row>
    <row r="4" spans="1:45" x14ac:dyDescent="0.25">
      <c r="A4" s="40" t="s">
        <v>60</v>
      </c>
      <c r="B4" s="33">
        <f>COUNTIF(J:J,"&gt;0")</f>
        <v>15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25" t="s">
        <v>38</v>
      </c>
      <c r="K5" s="125" t="s">
        <v>30</v>
      </c>
      <c r="L5" s="125" t="s">
        <v>31</v>
      </c>
      <c r="M5" s="125" t="s">
        <v>31</v>
      </c>
      <c r="N5" s="125" t="s">
        <v>32</v>
      </c>
      <c r="O5" s="125" t="s">
        <v>33</v>
      </c>
      <c r="P5" s="125" t="s">
        <v>35</v>
      </c>
      <c r="Q5" s="125" t="s">
        <v>36</v>
      </c>
      <c r="R5" s="125" t="s">
        <v>36</v>
      </c>
      <c r="S5" s="125" t="s">
        <v>34</v>
      </c>
      <c r="T5" s="125" t="s">
        <v>33</v>
      </c>
      <c r="U5" s="125" t="s">
        <v>34</v>
      </c>
      <c r="V5" s="125" t="s">
        <v>62</v>
      </c>
      <c r="W5" s="125" t="s">
        <v>34</v>
      </c>
      <c r="X5" s="125" t="s">
        <v>33</v>
      </c>
      <c r="Y5" s="125" t="s">
        <v>35</v>
      </c>
      <c r="Z5" s="125" t="s">
        <v>33</v>
      </c>
      <c r="AA5" s="125" t="s">
        <v>34</v>
      </c>
      <c r="AB5" s="125" t="s">
        <v>33</v>
      </c>
      <c r="AC5" s="125" t="s">
        <v>33</v>
      </c>
      <c r="AD5" s="125" t="s">
        <v>35</v>
      </c>
      <c r="AE5" s="125" t="s">
        <v>34</v>
      </c>
      <c r="AF5" s="125" t="s">
        <v>33</v>
      </c>
      <c r="AG5" s="125" t="s">
        <v>35</v>
      </c>
      <c r="AH5" s="125" t="s">
        <v>34</v>
      </c>
      <c r="AI5" s="125" t="s">
        <v>34</v>
      </c>
      <c r="AJ5" s="125" t="s">
        <v>34</v>
      </c>
      <c r="AK5" s="125" t="s">
        <v>34</v>
      </c>
      <c r="AL5" s="125" t="s">
        <v>34</v>
      </c>
      <c r="AM5" s="125" t="s">
        <v>34</v>
      </c>
      <c r="AN5" s="125" t="s">
        <v>34</v>
      </c>
      <c r="AO5" s="125" t="s">
        <v>34</v>
      </c>
      <c r="AP5" s="125" t="s">
        <v>34</v>
      </c>
      <c r="AQ5" s="125" t="s">
        <v>103</v>
      </c>
      <c r="AR5" s="125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37</v>
      </c>
      <c r="R6" s="47">
        <f t="shared" ref="R6" si="0">IF(Q6&lt;&gt;0,Q6-5,NA())</f>
        <v>32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8400</v>
      </c>
      <c r="Y6" s="47">
        <v>0</v>
      </c>
      <c r="Z6" s="47">
        <f t="shared" ref="Z6" si="1">VLOOKUP(R6,$AE$39:$AF$59,2)</f>
        <v>103.59999999999997</v>
      </c>
      <c r="AA6" s="47">
        <v>1</v>
      </c>
      <c r="AB6" s="47">
        <f t="shared" ref="AB6" si="2">VLOOKUP(R6,$AE$39:$AG$59,3)</f>
        <v>10560</v>
      </c>
      <c r="AC6" s="63">
        <v>5000</v>
      </c>
      <c r="AD6" s="63">
        <v>26666.67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" si="3">VLOOKUP(R6,$AE$39:$AH$59,4)</f>
        <v>44.000000000000007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81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19">
        <v>-0.9</v>
      </c>
      <c r="L7" s="116" t="s">
        <v>106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38</v>
      </c>
      <c r="R7" s="47">
        <f t="shared" ref="R7" si="4">IF(Q7&lt;&gt;0,Q7-5,NA())</f>
        <v>33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17900</v>
      </c>
      <c r="Y7" s="47">
        <v>0</v>
      </c>
      <c r="Z7" s="47">
        <f t="shared" ref="Z7" si="5">VLOOKUP(R7,$AE$39:$AF$59,2)</f>
        <v>107.39999999999996</v>
      </c>
      <c r="AA7" s="47">
        <v>1</v>
      </c>
      <c r="AB7" s="47">
        <f t="shared" ref="AB7" si="6">VLOOKUP(R7,$AE$39:$AG$59,3)</f>
        <v>11040</v>
      </c>
      <c r="AC7" s="63">
        <v>30000</v>
      </c>
      <c r="AD7" s="63">
        <v>8333.33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ref="AJ7" si="7">VLOOKUP(R7,$AE$39:$AH$59,4)</f>
        <v>46.000000000000007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65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">
        <v>216</v>
      </c>
      <c r="J8" s="47">
        <v>3</v>
      </c>
      <c r="K8" s="19">
        <v>-1.5</v>
      </c>
      <c r="L8" s="116" t="s">
        <v>107</v>
      </c>
      <c r="M8" s="105" t="s">
        <v>65</v>
      </c>
      <c r="N8" s="47">
        <v>9.3000000000000007</v>
      </c>
      <c r="O8" s="63">
        <v>126</v>
      </c>
      <c r="P8" s="63">
        <v>-34</v>
      </c>
      <c r="Q8" s="47">
        <v>0</v>
      </c>
      <c r="R8" s="47" t="e">
        <f>IF(Q8&lt;&gt;0,Q8-5,NA())</f>
        <v>#N/A</v>
      </c>
      <c r="S8" s="47">
        <v>3</v>
      </c>
      <c r="T8" s="47">
        <v>0</v>
      </c>
      <c r="U8" s="75">
        <v>1.7999999999999999E-2</v>
      </c>
      <c r="V8" s="75">
        <v>0</v>
      </c>
      <c r="W8" s="47">
        <v>0.5</v>
      </c>
      <c r="X8" s="47">
        <v>11100</v>
      </c>
      <c r="Y8" s="47">
        <v>0</v>
      </c>
      <c r="Z8" s="47" t="e">
        <f>VLOOKUP(R8,$AE$39:$AF$59,2)</f>
        <v>#N/A</v>
      </c>
      <c r="AA8" s="47">
        <v>1</v>
      </c>
      <c r="AB8" s="47" t="e">
        <f>VLOOKUP(R8,$AE$39:$AG$59,3)</f>
        <v>#N/A</v>
      </c>
      <c r="AC8" s="63">
        <v>135000</v>
      </c>
      <c r="AD8" s="63">
        <v>-32000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 t="e">
        <f>VLOOKUP(R8,$AE$39:$AH$59,4)</f>
        <v>#N/A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0</v>
      </c>
      <c r="AS8" s="33">
        <v>0.4</v>
      </c>
    </row>
    <row r="9" spans="1:45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217</v>
      </c>
      <c r="J9" s="47">
        <v>4</v>
      </c>
      <c r="K9" s="19">
        <v>-2</v>
      </c>
      <c r="L9" s="116" t="s">
        <v>106</v>
      </c>
      <c r="M9" s="105" t="s">
        <v>64</v>
      </c>
      <c r="N9" s="47">
        <v>10</v>
      </c>
      <c r="O9" s="63">
        <v>0</v>
      </c>
      <c r="P9" s="63">
        <v>0</v>
      </c>
      <c r="Q9" s="47">
        <v>29</v>
      </c>
      <c r="R9" s="47">
        <f t="shared" ref="R9:R10" si="8">IF(Q9&lt;&gt;0,Q9-5,NA())</f>
        <v>24</v>
      </c>
      <c r="S9" s="47">
        <v>2.8</v>
      </c>
      <c r="T9" s="47">
        <v>0</v>
      </c>
      <c r="U9" s="75">
        <v>0</v>
      </c>
      <c r="V9" s="75">
        <v>0</v>
      </c>
      <c r="W9" s="47">
        <v>0</v>
      </c>
      <c r="X9" s="47">
        <v>14500</v>
      </c>
      <c r="Y9" s="47">
        <v>0</v>
      </c>
      <c r="Z9" s="47">
        <f t="shared" ref="Z9:Z10" si="9">VLOOKUP(R9,$AE$39:$AF$59,2)</f>
        <v>78.199999999999974</v>
      </c>
      <c r="AA9" s="47">
        <v>1</v>
      </c>
      <c r="AB9" s="47">
        <f t="shared" ref="AB9:AB10" si="10">VLOOKUP(R9,$AE$39:$AG$59,3)</f>
        <v>4420</v>
      </c>
      <c r="AC9" s="63">
        <v>53000</v>
      </c>
      <c r="AD9" s="63">
        <v>4000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ref="AJ9:AJ10" si="11">VLOOKUP(R9,$AE$39:$AH$59,4)</f>
        <v>18.400000000000006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66</v>
      </c>
      <c r="AS9" s="33">
        <v>0.4</v>
      </c>
    </row>
    <row r="10" spans="1:45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217</v>
      </c>
      <c r="J10" s="47">
        <v>5</v>
      </c>
      <c r="K10" s="19">
        <v>-4</v>
      </c>
      <c r="L10" s="116" t="s">
        <v>106</v>
      </c>
      <c r="M10" s="105" t="s">
        <v>64</v>
      </c>
      <c r="N10" s="47">
        <v>10</v>
      </c>
      <c r="O10" s="63">
        <v>0</v>
      </c>
      <c r="P10" s="63">
        <v>0</v>
      </c>
      <c r="Q10" s="47">
        <v>27</v>
      </c>
      <c r="R10" s="47">
        <f t="shared" si="8"/>
        <v>22</v>
      </c>
      <c r="S10" s="47">
        <v>1.6</v>
      </c>
      <c r="T10" s="47">
        <v>0</v>
      </c>
      <c r="U10" s="75">
        <v>0</v>
      </c>
      <c r="V10" s="75">
        <v>0</v>
      </c>
      <c r="W10" s="47">
        <v>0</v>
      </c>
      <c r="X10" s="47">
        <v>12600</v>
      </c>
      <c r="Y10" s="47">
        <v>0</v>
      </c>
      <c r="Z10" s="47">
        <f t="shared" si="9"/>
        <v>72.59999999999998</v>
      </c>
      <c r="AA10" s="47">
        <v>1</v>
      </c>
      <c r="AB10" s="47">
        <f t="shared" si="10"/>
        <v>3660</v>
      </c>
      <c r="AC10" s="63">
        <v>57000</v>
      </c>
      <c r="AD10" s="63">
        <v>7321.42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11"/>
        <v>15.200000000000003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57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311</v>
      </c>
      <c r="J11" s="47">
        <v>6</v>
      </c>
      <c r="K11" s="19">
        <v>-9.6</v>
      </c>
      <c r="L11" s="116" t="s">
        <v>107</v>
      </c>
      <c r="M11" s="105" t="s">
        <v>65</v>
      </c>
      <c r="N11" s="47">
        <v>8.9</v>
      </c>
      <c r="O11" s="63">
        <v>107</v>
      </c>
      <c r="P11" s="63">
        <v>-2.59</v>
      </c>
      <c r="Q11" s="47">
        <v>0</v>
      </c>
      <c r="R11" s="47" t="e">
        <f>IF(Q11&lt;&gt;0,Q11-5,NA())</f>
        <v>#N/A</v>
      </c>
      <c r="S11" s="47">
        <v>2.5</v>
      </c>
      <c r="T11" s="47">
        <v>0</v>
      </c>
      <c r="U11" s="75">
        <v>1.7999999999999999E-2</v>
      </c>
      <c r="V11" s="75">
        <v>0</v>
      </c>
      <c r="W11" s="47">
        <v>0.5</v>
      </c>
      <c r="X11" s="47">
        <v>9500</v>
      </c>
      <c r="Y11" s="47">
        <v>0</v>
      </c>
      <c r="Z11" s="47" t="e">
        <f>VLOOKUP(R11,$AE$39:$AF$59,2)</f>
        <v>#N/A</v>
      </c>
      <c r="AA11" s="47">
        <v>1</v>
      </c>
      <c r="AB11" s="47" t="e">
        <f>VLOOKUP(R11,$AE$39:$AG$59,3)</f>
        <v>#N/A</v>
      </c>
      <c r="AC11" s="63">
        <v>115000</v>
      </c>
      <c r="AD11" s="63">
        <v>-1851.85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 t="e">
        <f>VLOOKUP(R11,$AE$39:$AH$59,4)</f>
        <v>#N/A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289</v>
      </c>
      <c r="J12" s="47">
        <v>7</v>
      </c>
      <c r="K12" s="19">
        <v>-15</v>
      </c>
      <c r="L12" s="116" t="s">
        <v>106</v>
      </c>
      <c r="M12" s="105" t="s">
        <v>64</v>
      </c>
      <c r="N12" s="47">
        <v>9</v>
      </c>
      <c r="O12" s="63">
        <v>0</v>
      </c>
      <c r="P12" s="63">
        <v>0</v>
      </c>
      <c r="Q12" s="47">
        <v>28</v>
      </c>
      <c r="R12" s="47">
        <f t="shared" ref="R12:R14" si="12">IF(Q12&lt;&gt;0,Q12-5,NA())</f>
        <v>23</v>
      </c>
      <c r="S12" s="47">
        <v>1.3</v>
      </c>
      <c r="T12" s="47">
        <v>0</v>
      </c>
      <c r="U12" s="75">
        <v>0</v>
      </c>
      <c r="V12" s="75">
        <v>0</v>
      </c>
      <c r="W12" s="47">
        <v>0</v>
      </c>
      <c r="X12" s="47">
        <v>31100</v>
      </c>
      <c r="Y12" s="47">
        <v>0</v>
      </c>
      <c r="Z12" s="47">
        <f t="shared" ref="Z12:Z14" si="13">VLOOKUP(R12,$AE$39:$AF$59,2)</f>
        <v>75.399999999999977</v>
      </c>
      <c r="AA12" s="47">
        <v>1</v>
      </c>
      <c r="AB12" s="47">
        <f t="shared" ref="AB12:AB14" si="14">VLOOKUP(R12,$AE$39:$AG$59,3)</f>
        <v>4040</v>
      </c>
      <c r="AC12" s="63">
        <v>125000</v>
      </c>
      <c r="AD12" s="63">
        <v>3000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ref="AJ12:AJ14" si="15">VLOOKUP(R12,$AE$39:$AH$59,4)</f>
        <v>16.800000000000004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67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289</v>
      </c>
      <c r="J13" s="47">
        <v>8</v>
      </c>
      <c r="K13" s="19">
        <v>-25</v>
      </c>
      <c r="L13" s="116" t="s">
        <v>106</v>
      </c>
      <c r="M13" s="105" t="s">
        <v>64</v>
      </c>
      <c r="N13" s="47">
        <v>9</v>
      </c>
      <c r="O13" s="63">
        <v>0</v>
      </c>
      <c r="P13" s="63">
        <v>0</v>
      </c>
      <c r="Q13" s="47">
        <v>29</v>
      </c>
      <c r="R13" s="47">
        <f t="shared" si="12"/>
        <v>24</v>
      </c>
      <c r="S13" s="47">
        <v>1.2</v>
      </c>
      <c r="T13" s="47">
        <v>0</v>
      </c>
      <c r="U13" s="75">
        <v>0</v>
      </c>
      <c r="V13" s="75">
        <v>0</v>
      </c>
      <c r="W13" s="47">
        <v>0</v>
      </c>
      <c r="X13" s="47">
        <v>43100</v>
      </c>
      <c r="Y13" s="47">
        <v>0</v>
      </c>
      <c r="Z13" s="47">
        <f t="shared" si="13"/>
        <v>78.199999999999974</v>
      </c>
      <c r="AA13" s="47">
        <v>1</v>
      </c>
      <c r="AB13" s="47">
        <f t="shared" si="14"/>
        <v>4420</v>
      </c>
      <c r="AC13" s="63">
        <v>162000</v>
      </c>
      <c r="AD13" s="63">
        <v>2857.14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15"/>
        <v>18.400000000000006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74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289</v>
      </c>
      <c r="J14" s="47">
        <v>9</v>
      </c>
      <c r="K14" s="19">
        <v>-32</v>
      </c>
      <c r="L14" s="116" t="s">
        <v>106</v>
      </c>
      <c r="M14" s="105" t="s">
        <v>64</v>
      </c>
      <c r="N14" s="47">
        <v>9</v>
      </c>
      <c r="O14" s="63">
        <v>0</v>
      </c>
      <c r="P14" s="63">
        <v>0</v>
      </c>
      <c r="Q14" s="47">
        <v>28</v>
      </c>
      <c r="R14" s="47">
        <f t="shared" si="12"/>
        <v>23</v>
      </c>
      <c r="S14" s="47">
        <v>1</v>
      </c>
      <c r="T14" s="47">
        <v>0</v>
      </c>
      <c r="U14" s="75">
        <v>0</v>
      </c>
      <c r="V14" s="75">
        <v>0</v>
      </c>
      <c r="W14" s="47">
        <v>0</v>
      </c>
      <c r="X14" s="47">
        <v>30000</v>
      </c>
      <c r="Y14" s="47">
        <v>0</v>
      </c>
      <c r="Z14" s="47">
        <f t="shared" si="13"/>
        <v>75.399999999999977</v>
      </c>
      <c r="AA14" s="47">
        <v>1</v>
      </c>
      <c r="AB14" s="47">
        <f t="shared" si="14"/>
        <v>4040</v>
      </c>
      <c r="AC14" s="63">
        <v>180000</v>
      </c>
      <c r="AD14" s="63">
        <v>-9200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15"/>
        <v>16.800000000000004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62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218</v>
      </c>
      <c r="J15" s="47">
        <v>10</v>
      </c>
      <c r="K15" s="19">
        <v>-34.5</v>
      </c>
      <c r="L15" s="116" t="s">
        <v>107</v>
      </c>
      <c r="M15" s="105" t="s">
        <v>65</v>
      </c>
      <c r="N15" s="47">
        <v>8.3000000000000007</v>
      </c>
      <c r="O15" s="63">
        <v>223</v>
      </c>
      <c r="P15" s="63">
        <v>9.4</v>
      </c>
      <c r="Q15" s="47">
        <v>0</v>
      </c>
      <c r="R15" s="47" t="e">
        <f t="shared" ref="R15:R20" si="16">IF(Q15&lt;&gt;0,Q15-5,NA())</f>
        <v>#N/A</v>
      </c>
      <c r="S15" s="47">
        <v>1.9</v>
      </c>
      <c r="T15" s="47">
        <v>0</v>
      </c>
      <c r="U15" s="75">
        <v>1.7999999999999999E-2</v>
      </c>
      <c r="V15" s="75">
        <v>0</v>
      </c>
      <c r="W15" s="47">
        <v>0.5</v>
      </c>
      <c r="X15" s="47">
        <v>25500</v>
      </c>
      <c r="Y15" s="47">
        <v>0</v>
      </c>
      <c r="Z15" s="47" t="e">
        <f t="shared" ref="Z15:Z20" si="17">VLOOKUP(R15,$AE$39:$AF$59,2)</f>
        <v>#N/A</v>
      </c>
      <c r="AA15" s="47">
        <v>1</v>
      </c>
      <c r="AB15" s="47" t="e">
        <f t="shared" ref="AB15:AB20" si="18">VLOOKUP(R15,$AE$39:$AG$59,3)</f>
        <v>#N/A</v>
      </c>
      <c r="AC15" s="63">
        <v>313000</v>
      </c>
      <c r="AD15" s="63">
        <v>14074.07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ref="AJ15:AJ20" si="19">VLOOKUP(R15,$AE$39:$AH$59,4)</f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220</v>
      </c>
      <c r="J16" s="47">
        <v>11</v>
      </c>
      <c r="K16" s="19">
        <v>-48</v>
      </c>
      <c r="L16" s="116" t="s">
        <v>288</v>
      </c>
      <c r="M16" s="105" t="s">
        <v>65</v>
      </c>
      <c r="N16" s="47">
        <v>8.8000000000000007</v>
      </c>
      <c r="O16" s="63">
        <v>1038</v>
      </c>
      <c r="P16" s="63">
        <v>-51.33</v>
      </c>
      <c r="Q16" s="47">
        <v>0</v>
      </c>
      <c r="R16" s="47" t="e">
        <f t="shared" si="16"/>
        <v>#N/A</v>
      </c>
      <c r="S16" s="47">
        <v>3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64900</v>
      </c>
      <c r="Y16" s="47">
        <v>0</v>
      </c>
      <c r="Z16" s="47" t="e">
        <f t="shared" si="17"/>
        <v>#N/A</v>
      </c>
      <c r="AA16" s="47">
        <v>1</v>
      </c>
      <c r="AB16" s="47" t="e">
        <f t="shared" si="18"/>
        <v>#N/A</v>
      </c>
      <c r="AC16" s="63">
        <v>1192000</v>
      </c>
      <c r="AD16" s="63">
        <v>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19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25"/>
      <c r="E17" s="125"/>
      <c r="I17" s="33" t="s">
        <v>220</v>
      </c>
      <c r="J17" s="47">
        <v>12</v>
      </c>
      <c r="K17" s="19">
        <v>-57</v>
      </c>
      <c r="L17" s="116" t="s">
        <v>288</v>
      </c>
      <c r="M17" s="105" t="s">
        <v>65</v>
      </c>
      <c r="N17" s="47">
        <v>8.8000000000000007</v>
      </c>
      <c r="O17" s="63">
        <v>998</v>
      </c>
      <c r="P17" s="63">
        <v>0</v>
      </c>
      <c r="Q17" s="47">
        <v>0</v>
      </c>
      <c r="R17" s="47" t="e">
        <f t="shared" si="16"/>
        <v>#N/A</v>
      </c>
      <c r="S17" s="47">
        <v>3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84200</v>
      </c>
      <c r="Y17" s="47">
        <v>0</v>
      </c>
      <c r="Z17" s="47" t="e">
        <f t="shared" si="17"/>
        <v>#N/A</v>
      </c>
      <c r="AA17" s="47">
        <v>1</v>
      </c>
      <c r="AB17" s="47" t="e">
        <f t="shared" si="18"/>
        <v>#N/A</v>
      </c>
      <c r="AC17" s="63">
        <v>1652000</v>
      </c>
      <c r="AD17" s="63">
        <v>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19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221</v>
      </c>
      <c r="J18" s="47">
        <v>13</v>
      </c>
      <c r="K18" s="19">
        <v>-65</v>
      </c>
      <c r="L18" s="116" t="s">
        <v>288</v>
      </c>
      <c r="M18" s="105" t="s">
        <v>65</v>
      </c>
      <c r="N18" s="47">
        <v>8.5</v>
      </c>
      <c r="O18" s="63">
        <v>1029</v>
      </c>
      <c r="P18" s="63">
        <v>-41</v>
      </c>
      <c r="Q18" s="47">
        <v>0</v>
      </c>
      <c r="R18" s="47" t="e">
        <f t="shared" si="16"/>
        <v>#N/A</v>
      </c>
      <c r="S18" s="47">
        <v>3</v>
      </c>
      <c r="T18" s="47">
        <v>0</v>
      </c>
      <c r="U18" s="75">
        <v>1.7999999999999999E-2</v>
      </c>
      <c r="V18" s="75">
        <v>0</v>
      </c>
      <c r="W18" s="47">
        <v>0.25</v>
      </c>
      <c r="X18" s="47">
        <v>77300</v>
      </c>
      <c r="Y18" s="47">
        <v>0</v>
      </c>
      <c r="Z18" s="47" t="e">
        <f t="shared" si="17"/>
        <v>#N/A</v>
      </c>
      <c r="AA18" s="47">
        <v>1</v>
      </c>
      <c r="AB18" s="47" t="e">
        <f t="shared" si="18"/>
        <v>#N/A</v>
      </c>
      <c r="AC18" s="63">
        <v>1715000</v>
      </c>
      <c r="AD18" s="63">
        <v>-75000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19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25" t="s">
        <v>38</v>
      </c>
      <c r="B19" s="125" t="s">
        <v>30</v>
      </c>
      <c r="C19" s="125" t="s">
        <v>59</v>
      </c>
      <c r="D19" s="43"/>
      <c r="E19" s="35"/>
      <c r="I19" s="33" t="s">
        <v>310</v>
      </c>
      <c r="J19" s="47">
        <v>14</v>
      </c>
      <c r="K19" s="19">
        <v>-68</v>
      </c>
      <c r="L19" s="116" t="s">
        <v>288</v>
      </c>
      <c r="M19" s="105" t="s">
        <v>65</v>
      </c>
      <c r="N19" s="47">
        <v>8.6999999999999993</v>
      </c>
      <c r="O19" s="63">
        <v>977</v>
      </c>
      <c r="P19" s="63">
        <v>11</v>
      </c>
      <c r="Q19" s="47">
        <v>0</v>
      </c>
      <c r="R19" s="47" t="e">
        <f t="shared" si="16"/>
        <v>#N/A</v>
      </c>
      <c r="S19" s="47">
        <v>3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87100</v>
      </c>
      <c r="Y19" s="47">
        <v>0</v>
      </c>
      <c r="Z19" s="47" t="e">
        <f t="shared" si="17"/>
        <v>#N/A</v>
      </c>
      <c r="AA19" s="47">
        <v>1</v>
      </c>
      <c r="AB19" s="47" t="e">
        <f t="shared" si="18"/>
        <v>#N/A</v>
      </c>
      <c r="AC19" s="63">
        <v>1601000</v>
      </c>
      <c r="AD19" s="63">
        <v>22166.67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19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310</v>
      </c>
      <c r="J20" s="47">
        <v>15</v>
      </c>
      <c r="K20" s="19">
        <v>-80</v>
      </c>
      <c r="L20" s="116" t="s">
        <v>288</v>
      </c>
      <c r="M20" s="105" t="s">
        <v>65</v>
      </c>
      <c r="N20" s="47">
        <v>8.6999999999999993</v>
      </c>
      <c r="O20" s="63">
        <v>1109</v>
      </c>
      <c r="P20" s="63">
        <v>0</v>
      </c>
      <c r="Q20" s="47">
        <v>0</v>
      </c>
      <c r="R20" s="47" t="e">
        <f t="shared" si="16"/>
        <v>#N/A</v>
      </c>
      <c r="S20" s="47">
        <v>3</v>
      </c>
      <c r="T20" s="47">
        <v>0</v>
      </c>
      <c r="U20" s="75">
        <v>1.7999999999999999E-2</v>
      </c>
      <c r="V20" s="75">
        <v>0</v>
      </c>
      <c r="W20" s="47">
        <v>0.25</v>
      </c>
      <c r="X20" s="47">
        <v>87100</v>
      </c>
      <c r="Y20" s="47">
        <v>0</v>
      </c>
      <c r="Z20" s="47" t="e">
        <f t="shared" si="17"/>
        <v>#N/A</v>
      </c>
      <c r="AA20" s="47">
        <v>1</v>
      </c>
      <c r="AB20" s="47" t="e">
        <f t="shared" si="18"/>
        <v>#N/A</v>
      </c>
      <c r="AC20" s="63">
        <v>1867000</v>
      </c>
      <c r="AD20" s="63">
        <v>0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 t="e">
        <f t="shared" si="19"/>
        <v>#N/A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0</v>
      </c>
      <c r="AS20" s="33">
        <v>0.4</v>
      </c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  <c r="I25" s="56"/>
      <c r="J25" s="47"/>
      <c r="K25" s="19"/>
      <c r="L25" s="116"/>
      <c r="M25" s="105"/>
      <c r="N25" s="47"/>
      <c r="O25" s="63"/>
      <c r="P25" s="63"/>
      <c r="Q25" s="47"/>
      <c r="R25" s="47"/>
      <c r="S25" s="47"/>
      <c r="T25" s="47"/>
      <c r="U25" s="75"/>
      <c r="V25" s="75"/>
      <c r="W25" s="47"/>
      <c r="X25" s="47"/>
      <c r="Y25" s="47"/>
      <c r="Z25" s="47"/>
      <c r="AA25" s="47"/>
      <c r="AB25" s="47"/>
      <c r="AC25" s="63"/>
      <c r="AD25" s="63"/>
      <c r="AE25" s="63"/>
      <c r="AF25" s="63"/>
      <c r="AG25" s="63"/>
      <c r="AH25" s="63"/>
      <c r="AI25" s="63"/>
      <c r="AJ25" s="47"/>
      <c r="AK25" s="47"/>
      <c r="AL25" s="47"/>
      <c r="AM25" s="47"/>
      <c r="AN25" s="47"/>
      <c r="AO25" s="47"/>
      <c r="AP25" s="47"/>
      <c r="AQ25" s="47"/>
      <c r="AR25" s="47"/>
    </row>
    <row r="26" spans="1:45" x14ac:dyDescent="0.25">
      <c r="A26" s="66"/>
      <c r="B26" s="66"/>
      <c r="C26" s="67"/>
      <c r="D26" s="35"/>
      <c r="I26" s="56"/>
      <c r="J26" s="47"/>
      <c r="K26" s="19"/>
      <c r="L26" s="116"/>
      <c r="M26" s="105"/>
      <c r="N26" s="47"/>
      <c r="O26" s="63"/>
      <c r="P26" s="63"/>
      <c r="Q26" s="47"/>
      <c r="R26" s="47"/>
      <c r="S26" s="47"/>
      <c r="T26" s="47"/>
      <c r="U26" s="75"/>
      <c r="V26" s="75"/>
      <c r="W26" s="47"/>
      <c r="X26" s="47"/>
      <c r="Y26" s="47"/>
      <c r="Z26" s="47"/>
      <c r="AA26" s="47"/>
      <c r="AB26" s="47"/>
      <c r="AC26" s="63"/>
      <c r="AD26" s="63"/>
      <c r="AE26" s="63"/>
      <c r="AF26" s="63"/>
      <c r="AG26" s="63"/>
      <c r="AH26" s="63"/>
      <c r="AI26" s="63"/>
      <c r="AJ26" s="47"/>
      <c r="AK26" s="47"/>
      <c r="AL26" s="47"/>
      <c r="AM26" s="47"/>
      <c r="AN26" s="47"/>
      <c r="AO26" s="47"/>
      <c r="AP26" s="47"/>
      <c r="AQ26" s="47"/>
      <c r="AR26" s="47"/>
    </row>
    <row r="27" spans="1:45" x14ac:dyDescent="0.25">
      <c r="A27" s="66"/>
      <c r="B27" s="66"/>
      <c r="C27" s="67"/>
      <c r="D27" s="35"/>
      <c r="J27" s="47"/>
      <c r="K27" s="19"/>
      <c r="L27" s="116"/>
      <c r="M27" s="105"/>
      <c r="N27" s="47"/>
      <c r="O27" s="63"/>
      <c r="P27" s="63"/>
      <c r="Q27" s="47"/>
      <c r="R27" s="47"/>
      <c r="S27" s="47"/>
      <c r="T27" s="47"/>
      <c r="U27" s="75"/>
      <c r="V27" s="75"/>
      <c r="W27" s="47"/>
      <c r="X27" s="47"/>
      <c r="Y27" s="47"/>
      <c r="Z27" s="47"/>
      <c r="AA27" s="47"/>
      <c r="AB27" s="47"/>
      <c r="AC27" s="63"/>
      <c r="AD27" s="63"/>
      <c r="AE27" s="63"/>
      <c r="AF27" s="63"/>
      <c r="AG27" s="63"/>
      <c r="AH27" s="63"/>
      <c r="AI27" s="63"/>
      <c r="AJ27" s="47"/>
      <c r="AK27" s="47"/>
      <c r="AL27" s="47"/>
      <c r="AM27" s="47"/>
      <c r="AN27" s="47"/>
      <c r="AO27" s="47"/>
      <c r="AP27" s="47"/>
      <c r="AQ27" s="47"/>
      <c r="AR27" s="47"/>
    </row>
    <row r="28" spans="1:45" x14ac:dyDescent="0.25">
      <c r="A28" s="66"/>
      <c r="B28" s="66"/>
      <c r="C28" s="67"/>
      <c r="D28" s="35"/>
      <c r="I28" s="56"/>
      <c r="J28" s="47"/>
      <c r="K28" s="56"/>
      <c r="L28" s="116"/>
      <c r="M28" s="105"/>
      <c r="N28" s="47"/>
      <c r="O28" s="63"/>
      <c r="P28" s="63"/>
      <c r="Q28" s="47"/>
      <c r="R28" s="47"/>
      <c r="S28" s="47"/>
      <c r="T28" s="47"/>
      <c r="U28" s="75"/>
      <c r="V28" s="75"/>
      <c r="W28" s="47"/>
      <c r="X28" s="47"/>
      <c r="Y28" s="47"/>
      <c r="Z28" s="47"/>
      <c r="AA28" s="47"/>
      <c r="AB28" s="47"/>
      <c r="AC28" s="63"/>
      <c r="AD28" s="63"/>
      <c r="AE28" s="63"/>
      <c r="AF28" s="63"/>
      <c r="AG28" s="63"/>
      <c r="AH28" s="63"/>
      <c r="AI28" s="63"/>
      <c r="AJ28" s="47"/>
      <c r="AK28" s="47"/>
      <c r="AL28" s="47"/>
      <c r="AM28" s="47"/>
      <c r="AN28" s="47"/>
      <c r="AO28" s="47"/>
      <c r="AP28" s="47"/>
      <c r="AQ28" s="47"/>
      <c r="AR28" s="47"/>
    </row>
    <row r="29" spans="1:45" x14ac:dyDescent="0.25">
      <c r="A29" s="66"/>
      <c r="B29" s="66"/>
      <c r="C29" s="67"/>
      <c r="D29" s="35"/>
      <c r="J29" s="47"/>
      <c r="K29" s="19"/>
      <c r="L29" s="116"/>
      <c r="M29" s="105"/>
      <c r="N29" s="47"/>
      <c r="O29" s="63"/>
      <c r="P29" s="63"/>
      <c r="Q29" s="47"/>
      <c r="R29" s="47"/>
      <c r="S29" s="47"/>
      <c r="T29" s="47"/>
      <c r="U29" s="75"/>
      <c r="V29" s="75"/>
      <c r="W29" s="47"/>
      <c r="X29" s="47"/>
      <c r="Y29" s="47"/>
      <c r="Z29" s="47"/>
      <c r="AA29" s="47"/>
      <c r="AB29" s="47"/>
      <c r="AC29" s="63"/>
      <c r="AD29" s="63"/>
      <c r="AE29" s="63"/>
      <c r="AF29" s="63"/>
      <c r="AG29" s="63"/>
      <c r="AH29" s="63"/>
      <c r="AI29" s="63"/>
      <c r="AJ29" s="47"/>
      <c r="AK29" s="47"/>
      <c r="AL29" s="47"/>
      <c r="AM29" s="47"/>
      <c r="AN29" s="47"/>
      <c r="AO29" s="47"/>
      <c r="AP29" s="47"/>
      <c r="AQ29" s="47"/>
      <c r="AR29" s="47"/>
    </row>
    <row r="30" spans="1:45" x14ac:dyDescent="0.25">
      <c r="A30" s="66"/>
      <c r="B30" s="66"/>
      <c r="C30" s="67"/>
      <c r="D30" s="35"/>
      <c r="J30" s="47"/>
      <c r="L30" s="116"/>
      <c r="M30" s="105"/>
      <c r="N30" s="47"/>
      <c r="O30" s="63"/>
      <c r="P30" s="63"/>
      <c r="Q30" s="47"/>
      <c r="R30" s="47"/>
      <c r="S30" s="47"/>
      <c r="T30" s="47"/>
      <c r="U30" s="75"/>
      <c r="V30" s="75"/>
      <c r="W30" s="47"/>
      <c r="X30" s="47"/>
      <c r="Y30" s="47"/>
      <c r="Z30" s="47"/>
      <c r="AA30" s="47"/>
      <c r="AB30" s="47"/>
      <c r="AC30" s="63"/>
      <c r="AD30" s="63"/>
      <c r="AE30" s="63"/>
      <c r="AF30" s="63"/>
      <c r="AG30" s="63"/>
      <c r="AH30" s="63"/>
      <c r="AI30" s="63"/>
      <c r="AJ30" s="47"/>
      <c r="AK30" s="47"/>
      <c r="AL30" s="47"/>
      <c r="AM30" s="47"/>
      <c r="AN30" s="47"/>
      <c r="AO30" s="47"/>
      <c r="AP30" s="47"/>
      <c r="AQ30" s="47"/>
      <c r="AR30" s="47"/>
    </row>
    <row r="31" spans="1:45" x14ac:dyDescent="0.25">
      <c r="A31" s="66"/>
      <c r="B31" s="66"/>
      <c r="C31" s="67"/>
      <c r="D31" s="35"/>
      <c r="J31" s="47"/>
      <c r="L31" s="116"/>
      <c r="M31" s="105"/>
      <c r="N31" s="47"/>
      <c r="O31" s="63"/>
      <c r="P31" s="63"/>
      <c r="Q31" s="47"/>
      <c r="R31" s="47"/>
      <c r="S31" s="47"/>
      <c r="T31" s="47"/>
      <c r="U31" s="75"/>
      <c r="V31" s="75"/>
      <c r="W31" s="47"/>
      <c r="X31" s="47"/>
      <c r="Y31" s="47"/>
      <c r="Z31" s="47"/>
      <c r="AA31" s="47"/>
      <c r="AB31" s="47"/>
      <c r="AC31" s="63"/>
      <c r="AD31" s="63"/>
      <c r="AE31" s="63"/>
      <c r="AF31" s="63"/>
      <c r="AG31" s="63"/>
      <c r="AH31" s="63"/>
      <c r="AI31" s="63"/>
      <c r="AJ31" s="47"/>
      <c r="AK31" s="47"/>
      <c r="AL31" s="47"/>
      <c r="AM31" s="47"/>
      <c r="AN31" s="47"/>
      <c r="AO31" s="47"/>
      <c r="AP31" s="47"/>
      <c r="AQ31" s="47"/>
      <c r="AR31" s="47"/>
    </row>
    <row r="32" spans="1:45" x14ac:dyDescent="0.25">
      <c r="A32" s="66"/>
      <c r="B32" s="66"/>
      <c r="C32" s="67"/>
      <c r="D32" s="35"/>
      <c r="J32" s="47"/>
      <c r="K32" s="19"/>
      <c r="L32" s="116"/>
      <c r="M32" s="105"/>
      <c r="N32" s="47"/>
      <c r="O32" s="63"/>
      <c r="P32" s="63"/>
      <c r="Q32" s="47"/>
      <c r="R32" s="47"/>
      <c r="S32" s="47"/>
      <c r="T32" s="47"/>
      <c r="U32" s="75"/>
      <c r="V32" s="75"/>
      <c r="W32" s="47"/>
      <c r="X32" s="47"/>
      <c r="Y32" s="47"/>
      <c r="Z32" s="47"/>
      <c r="AA32" s="47"/>
      <c r="AB32" s="47"/>
      <c r="AC32" s="63"/>
      <c r="AD32" s="63"/>
      <c r="AE32" s="63"/>
      <c r="AF32" s="63"/>
      <c r="AG32" s="63"/>
      <c r="AH32" s="63"/>
      <c r="AI32" s="63"/>
      <c r="AJ32" s="47"/>
      <c r="AK32" s="47"/>
      <c r="AL32" s="47"/>
      <c r="AM32" s="47"/>
      <c r="AN32" s="47"/>
      <c r="AO32" s="47"/>
      <c r="AP32" s="47"/>
      <c r="AQ32" s="47"/>
      <c r="AR32" s="47"/>
    </row>
    <row r="33" spans="1:44" x14ac:dyDescent="0.25">
      <c r="A33" s="66"/>
      <c r="B33" s="66"/>
      <c r="C33" s="67"/>
      <c r="D33" s="35"/>
      <c r="J33" s="47"/>
      <c r="K33" s="19"/>
      <c r="L33" s="116"/>
      <c r="M33" s="105"/>
      <c r="N33" s="47"/>
      <c r="O33" s="63"/>
      <c r="P33" s="63"/>
      <c r="Q33" s="47"/>
      <c r="R33" s="47"/>
      <c r="S33" s="47"/>
      <c r="T33" s="47"/>
      <c r="U33" s="75"/>
      <c r="V33" s="75"/>
      <c r="W33" s="47"/>
      <c r="X33" s="47"/>
      <c r="Y33" s="47"/>
      <c r="Z33" s="47"/>
      <c r="AA33" s="47"/>
      <c r="AB33" s="47"/>
      <c r="AC33" s="63"/>
      <c r="AD33" s="63"/>
      <c r="AE33" s="63"/>
      <c r="AF33" s="63"/>
      <c r="AG33" s="63"/>
      <c r="AH33" s="63"/>
      <c r="AI33" s="63"/>
      <c r="AJ33" s="47"/>
      <c r="AK33" s="47"/>
      <c r="AL33" s="47"/>
      <c r="AM33" s="47"/>
      <c r="AN33" s="47"/>
      <c r="AO33" s="47"/>
      <c r="AP33" s="47"/>
      <c r="AQ33" s="47"/>
      <c r="AR33" s="47"/>
    </row>
    <row r="34" spans="1:44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4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4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4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4" x14ac:dyDescent="0.25">
      <c r="L38" s="49"/>
      <c r="AE38" s="33" t="s">
        <v>99</v>
      </c>
      <c r="AF38" s="33" t="s">
        <v>100</v>
      </c>
      <c r="AG38" s="33" t="s">
        <v>101</v>
      </c>
    </row>
    <row r="39" spans="1:44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4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4" x14ac:dyDescent="0.25">
      <c r="L41" s="49"/>
      <c r="AE41" s="33">
        <v>17</v>
      </c>
      <c r="AF41" s="33">
        <f t="shared" ref="AF41:AF44" si="20">AF40+3.8</f>
        <v>55.599999999999994</v>
      </c>
      <c r="AG41" s="33">
        <f t="shared" ref="AG41:AG43" si="21">AG40+200</f>
        <v>2300</v>
      </c>
      <c r="AH41" s="33">
        <f t="shared" ref="AH41:AH44" si="22">AH40+0.8</f>
        <v>9.6000000000000014</v>
      </c>
    </row>
    <row r="42" spans="1:44" x14ac:dyDescent="0.25">
      <c r="L42" s="49"/>
      <c r="AE42" s="33">
        <v>18</v>
      </c>
      <c r="AF42" s="33">
        <f t="shared" si="20"/>
        <v>59.399999999999991</v>
      </c>
      <c r="AG42" s="33">
        <f t="shared" si="21"/>
        <v>2500</v>
      </c>
      <c r="AH42" s="33">
        <f t="shared" si="22"/>
        <v>10.400000000000002</v>
      </c>
    </row>
    <row r="43" spans="1:44" x14ac:dyDescent="0.25">
      <c r="L43" s="49"/>
      <c r="AE43" s="33">
        <v>19</v>
      </c>
      <c r="AF43" s="33">
        <f t="shared" si="20"/>
        <v>63.199999999999989</v>
      </c>
      <c r="AG43" s="33">
        <f t="shared" si="21"/>
        <v>2700</v>
      </c>
      <c r="AH43" s="33">
        <f t="shared" si="22"/>
        <v>11.200000000000003</v>
      </c>
    </row>
    <row r="44" spans="1:44" x14ac:dyDescent="0.25">
      <c r="L44" s="49"/>
      <c r="AE44" s="33">
        <v>20</v>
      </c>
      <c r="AF44" s="33">
        <f t="shared" si="20"/>
        <v>66.999999999999986</v>
      </c>
      <c r="AG44" s="33">
        <f>AG43+200</f>
        <v>2900</v>
      </c>
      <c r="AH44" s="33">
        <f t="shared" si="22"/>
        <v>12.000000000000004</v>
      </c>
    </row>
    <row r="45" spans="1:44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4" x14ac:dyDescent="0.25">
      <c r="L46" s="49"/>
      <c r="AE46" s="33">
        <v>22</v>
      </c>
      <c r="AF46" s="33">
        <f t="shared" ref="AF46:AF49" si="23">AF45+2.8</f>
        <v>72.59999999999998</v>
      </c>
      <c r="AG46" s="33">
        <f t="shared" ref="AG46:AG48" si="24">AG45+380</f>
        <v>3660</v>
      </c>
      <c r="AH46" s="33">
        <f t="shared" ref="AH46:AH49" si="25">AH45+1.6</f>
        <v>15.200000000000003</v>
      </c>
    </row>
    <row r="47" spans="1:44" x14ac:dyDescent="0.25">
      <c r="L47" s="49"/>
      <c r="AE47" s="33">
        <v>23</v>
      </c>
      <c r="AF47" s="33">
        <f t="shared" si="23"/>
        <v>75.399999999999977</v>
      </c>
      <c r="AG47" s="33">
        <f t="shared" si="24"/>
        <v>4040</v>
      </c>
      <c r="AH47" s="33">
        <f t="shared" si="25"/>
        <v>16.800000000000004</v>
      </c>
    </row>
    <row r="48" spans="1:44" x14ac:dyDescent="0.25">
      <c r="L48" s="49"/>
      <c r="AE48" s="33">
        <v>24</v>
      </c>
      <c r="AF48" s="33">
        <f t="shared" si="23"/>
        <v>78.199999999999974</v>
      </c>
      <c r="AG48" s="33">
        <f t="shared" si="24"/>
        <v>4420</v>
      </c>
      <c r="AH48" s="33">
        <f t="shared" si="25"/>
        <v>18.400000000000006</v>
      </c>
    </row>
    <row r="49" spans="12:34" x14ac:dyDescent="0.25">
      <c r="L49" s="49"/>
      <c r="AE49" s="33">
        <v>25</v>
      </c>
      <c r="AF49" s="33">
        <f t="shared" si="23"/>
        <v>80.999999999999972</v>
      </c>
      <c r="AG49" s="33">
        <v>4800</v>
      </c>
      <c r="AH49" s="33">
        <f t="shared" si="25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26">AF50+3</f>
        <v>86.999999999999972</v>
      </c>
      <c r="AG51" s="33">
        <f t="shared" ref="AG51:AG54" si="27">AG50+960</f>
        <v>6720</v>
      </c>
      <c r="AH51" s="33">
        <f t="shared" ref="AH51:AH54" si="28">AH50+4</f>
        <v>28.000000000000007</v>
      </c>
    </row>
    <row r="52" spans="12:34" x14ac:dyDescent="0.25">
      <c r="L52" s="49"/>
      <c r="AE52" s="33">
        <v>28</v>
      </c>
      <c r="AF52" s="33">
        <f t="shared" si="26"/>
        <v>89.999999999999972</v>
      </c>
      <c r="AG52" s="33">
        <f t="shared" si="27"/>
        <v>7680</v>
      </c>
      <c r="AH52" s="33">
        <f t="shared" si="28"/>
        <v>32.000000000000007</v>
      </c>
    </row>
    <row r="53" spans="12:34" x14ac:dyDescent="0.25">
      <c r="L53" s="49"/>
      <c r="AE53" s="33">
        <v>29</v>
      </c>
      <c r="AF53" s="33">
        <f t="shared" si="26"/>
        <v>92.999999999999972</v>
      </c>
      <c r="AG53" s="33">
        <f t="shared" si="27"/>
        <v>8640</v>
      </c>
      <c r="AH53" s="33">
        <f t="shared" si="28"/>
        <v>36.000000000000007</v>
      </c>
    </row>
    <row r="54" spans="12:34" x14ac:dyDescent="0.25">
      <c r="L54" s="49"/>
      <c r="AE54" s="33">
        <v>30</v>
      </c>
      <c r="AF54" s="33">
        <f t="shared" si="26"/>
        <v>95.999999999999972</v>
      </c>
      <c r="AG54" s="33">
        <f t="shared" si="27"/>
        <v>9600</v>
      </c>
      <c r="AH54" s="33">
        <f t="shared" si="28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29">AF55+3.8</f>
        <v>103.59999999999997</v>
      </c>
      <c r="AG56" s="33">
        <f t="shared" ref="AG56:AG59" si="30">AG55+480</f>
        <v>10560</v>
      </c>
      <c r="AH56" s="33">
        <f t="shared" ref="AH56:AH59" si="31">AH55+2</f>
        <v>44.000000000000007</v>
      </c>
    </row>
    <row r="57" spans="12:34" x14ac:dyDescent="0.25">
      <c r="L57" s="49"/>
      <c r="AE57" s="33">
        <v>33</v>
      </c>
      <c r="AF57" s="33">
        <f t="shared" si="29"/>
        <v>107.39999999999996</v>
      </c>
      <c r="AG57" s="33">
        <f t="shared" si="30"/>
        <v>11040</v>
      </c>
      <c r="AH57" s="33">
        <f t="shared" si="31"/>
        <v>46.000000000000007</v>
      </c>
    </row>
    <row r="58" spans="12:34" x14ac:dyDescent="0.25">
      <c r="L58" s="49"/>
      <c r="AE58" s="33">
        <v>34</v>
      </c>
      <c r="AF58" s="33">
        <f t="shared" si="29"/>
        <v>111.19999999999996</v>
      </c>
      <c r="AG58" s="33">
        <f t="shared" si="30"/>
        <v>11520</v>
      </c>
      <c r="AH58" s="33">
        <f t="shared" si="31"/>
        <v>48.000000000000007</v>
      </c>
    </row>
    <row r="59" spans="12:34" x14ac:dyDescent="0.25">
      <c r="L59" s="49"/>
      <c r="AE59" s="33">
        <v>35</v>
      </c>
      <c r="AF59" s="33">
        <f t="shared" si="29"/>
        <v>114.99999999999996</v>
      </c>
      <c r="AG59" s="33">
        <f t="shared" si="30"/>
        <v>12000</v>
      </c>
      <c r="AH59" s="33">
        <f t="shared" si="31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1:AP21 Q21 N21 AM34:AP36 Q34:Q36 N34:N36">
    <cfRule type="expression" dxfId="3345" priority="14">
      <formula>$L21="API sand"</formula>
    </cfRule>
  </conditionalFormatting>
  <conditionalFormatting sqref="S21 AD21 AB21 AJ21:AL21 Z21 N21 R34:S36 AB34:AB35 AJ34:AL36 Z34:Z36 N34:N36">
    <cfRule type="expression" dxfId="3344" priority="13">
      <formula>$M21="API sand"</formula>
    </cfRule>
  </conditionalFormatting>
  <conditionalFormatting sqref="S21:T21 AD21 Z21:AB21 N21 AK21:AL21 R34:T36 Z34:AB35 AK34:AL36 N34:N36">
    <cfRule type="expression" dxfId="3343" priority="12">
      <formula>$M21="API clay"</formula>
    </cfRule>
  </conditionalFormatting>
  <conditionalFormatting sqref="U21:W21 N21 P21 AM21:AP21 U34:W36 AM34:AP36 N34:P36">
    <cfRule type="expression" dxfId="3342" priority="9">
      <formula>$L21="Stiff clay w/o free water"</formula>
    </cfRule>
    <cfRule type="expression" dxfId="3341" priority="11">
      <formula>$L21="API clay"</formula>
    </cfRule>
  </conditionalFormatting>
  <conditionalFormatting sqref="U21:Y21 N21 P21 AM21:AP21 U34:Y36 AM34:AP36 N34:P36">
    <cfRule type="expression" dxfId="3340" priority="10">
      <formula>$L21="Kirsch soft clay"</formula>
    </cfRule>
  </conditionalFormatting>
  <conditionalFormatting sqref="U21:Y21 N21 P21 AM21:AP21 U34:Y36 AM34:AP36 N34:P36">
    <cfRule type="expression" dxfId="3339" priority="8">
      <formula>$L21="Kirsch stiff clay"</formula>
    </cfRule>
  </conditionalFormatting>
  <conditionalFormatting sqref="AM21:AP21 X21:Y21 Q21 N21 AM34:AP36 Q34:Q36 X34:Y36 N34:N36">
    <cfRule type="expression" dxfId="3338" priority="7">
      <formula>$L21="Kirsch sand"</formula>
    </cfRule>
  </conditionalFormatting>
  <conditionalFormatting sqref="AI21 AC21:AD21 N21 AM21:AP21 AC34:AD36 AI34:AI36 AM34:AP36 N34:N36">
    <cfRule type="expression" dxfId="3337" priority="6">
      <formula>$L21="Modified Weak rock"</formula>
    </cfRule>
  </conditionalFormatting>
  <conditionalFormatting sqref="N21 P21 U21:V21 AM21:AP21 AM34:AP36 N34:P36 U34:V36">
    <cfRule type="expression" dxfId="3336" priority="5">
      <formula>$L21="Reese stiff clay"</formula>
    </cfRule>
  </conditionalFormatting>
  <conditionalFormatting sqref="AB36">
    <cfRule type="expression" dxfId="3335" priority="4">
      <formula>$M36="API sand"</formula>
    </cfRule>
  </conditionalFormatting>
  <conditionalFormatting sqref="Z36:AB36">
    <cfRule type="expression" dxfId="3334" priority="3">
      <formula>$M36="API clay"</formula>
    </cfRule>
  </conditionalFormatting>
  <conditionalFormatting sqref="O21">
    <cfRule type="expression" dxfId="3333" priority="2">
      <formula>$L21="API sand"</formula>
    </cfRule>
  </conditionalFormatting>
  <conditionalFormatting sqref="O21">
    <cfRule type="expression" dxfId="3332" priority="1">
      <formula>$L21="Kirsch sand"</formula>
    </cfRule>
  </conditionalFormatting>
  <conditionalFormatting sqref="AE37:AH37">
    <cfRule type="expression" dxfId="3331" priority="15">
      <formula>$L19="Modified Weak rock"</formula>
    </cfRule>
  </conditionalFormatting>
  <dataValidations count="3">
    <dataValidation type="list" showInputMessage="1" showErrorMessage="1" sqref="M25:M36 M11 M8 M15:M21" xr:uid="{426CF9FD-6323-4A52-95AC-3E1C283E6BF9}">
      <formula1>"',API sand,API clay"</formula1>
    </dataValidation>
    <dataValidation type="list" showInputMessage="1" showErrorMessage="1" sqref="L25:L255 L6:L21" xr:uid="{7033C789-FA33-4DE7-97EF-E8B988ABE779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25:M33 M6:M20" xr:uid="{80668AFA-DA54-4562-B0E8-03CA5F8975C1}">
      <formula1>"Zero soil,API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DE1B-8361-48ED-9DB0-E0EDE799F1EF}">
  <sheetPr>
    <tabColor rgb="FF00B0F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Ak_Pisa_WTG30_ULSF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51"/>
      <c r="R3" s="155"/>
      <c r="S3" s="155"/>
      <c r="T3" s="151"/>
      <c r="U3" s="155"/>
      <c r="V3" s="155"/>
      <c r="W3" s="151"/>
      <c r="X3" s="69"/>
      <c r="Y3" s="151"/>
      <c r="Z3" s="151"/>
      <c r="AA3" s="151"/>
      <c r="AB3" s="151"/>
      <c r="AC3" s="69"/>
      <c r="AD3" s="39"/>
      <c r="AE3" s="39"/>
      <c r="AF3" s="39"/>
      <c r="AG3" s="39"/>
      <c r="AH3" s="39"/>
      <c r="AI3" s="39"/>
      <c r="AJ3" s="151"/>
      <c r="AK3" s="151"/>
      <c r="AL3" s="151"/>
      <c r="AM3" s="151"/>
      <c r="AN3" s="151"/>
      <c r="AO3" s="151"/>
      <c r="AP3" s="151"/>
    </row>
    <row r="4" spans="1:45" x14ac:dyDescent="0.25">
      <c r="A4" s="40" t="s">
        <v>60</v>
      </c>
      <c r="B4" s="33">
        <f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2" t="s">
        <v>38</v>
      </c>
      <c r="K5" s="152" t="s">
        <v>30</v>
      </c>
      <c r="L5" s="152" t="s">
        <v>31</v>
      </c>
      <c r="M5" s="152" t="s">
        <v>31</v>
      </c>
      <c r="N5" s="152" t="s">
        <v>32</v>
      </c>
      <c r="O5" s="152" t="s">
        <v>33</v>
      </c>
      <c r="P5" s="152" t="s">
        <v>35</v>
      </c>
      <c r="Q5" s="152" t="s">
        <v>36</v>
      </c>
      <c r="R5" s="152" t="s">
        <v>36</v>
      </c>
      <c r="S5" s="152" t="s">
        <v>34</v>
      </c>
      <c r="T5" s="152" t="s">
        <v>33</v>
      </c>
      <c r="U5" s="152" t="s">
        <v>34</v>
      </c>
      <c r="V5" s="152" t="s">
        <v>62</v>
      </c>
      <c r="W5" s="152" t="s">
        <v>34</v>
      </c>
      <c r="X5" s="152" t="s">
        <v>33</v>
      </c>
      <c r="Y5" s="152" t="s">
        <v>35</v>
      </c>
      <c r="Z5" s="152" t="s">
        <v>33</v>
      </c>
      <c r="AA5" s="152" t="s">
        <v>34</v>
      </c>
      <c r="AB5" s="152" t="s">
        <v>33</v>
      </c>
      <c r="AC5" s="152" t="s">
        <v>33</v>
      </c>
      <c r="AD5" s="152" t="s">
        <v>35</v>
      </c>
      <c r="AE5" s="152" t="s">
        <v>34</v>
      </c>
      <c r="AF5" s="152" t="s">
        <v>33</v>
      </c>
      <c r="AG5" s="152" t="s">
        <v>35</v>
      </c>
      <c r="AH5" s="152" t="s">
        <v>34</v>
      </c>
      <c r="AI5" s="152" t="s">
        <v>34</v>
      </c>
      <c r="AJ5" s="152" t="s">
        <v>34</v>
      </c>
      <c r="AK5" s="152" t="s">
        <v>34</v>
      </c>
      <c r="AL5" s="152" t="s">
        <v>34</v>
      </c>
      <c r="AM5" s="152" t="s">
        <v>34</v>
      </c>
      <c r="AN5" s="152" t="s">
        <v>34</v>
      </c>
      <c r="AO5" s="152" t="s">
        <v>34</v>
      </c>
      <c r="AP5" s="152" t="s">
        <v>34</v>
      </c>
      <c r="AQ5" s="152" t="s">
        <v>103</v>
      </c>
      <c r="AR5" s="152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EW_sand_Ruled_64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31</v>
      </c>
      <c r="R6" s="47">
        <f t="shared" ref="R6:R19" si="0">IF(Q6&lt;&gt;0,Q6-5,NA())</f>
        <v>26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2200</v>
      </c>
      <c r="Y6" s="47">
        <v>0</v>
      </c>
      <c r="Z6" s="47">
        <f t="shared" ref="Z6:Z19" si="1">VLOOKUP(R6,$AE$39:$AF$59,2)</f>
        <v>83.999999999999972</v>
      </c>
      <c r="AA6" s="47">
        <v>1</v>
      </c>
      <c r="AB6" s="47">
        <f t="shared" ref="AB6:AB19" si="2">VLOOKUP(R6,$AE$39:$AG$59,3)</f>
        <v>5760</v>
      </c>
      <c r="AC6" s="63">
        <v>5000</v>
      </c>
      <c r="AD6" s="63">
        <v>20000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9" si="3">VLOOKUP(R6,$AE$39:$AH$59,4)</f>
        <v>24.000000000000007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64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 t="s">
        <v>257</v>
      </c>
      <c r="J7" s="47">
        <v>2</v>
      </c>
      <c r="K7" s="19">
        <v>-0.5</v>
      </c>
      <c r="L7" s="33" t="str">
        <f t="shared" ref="L7:L8" si="4">"EW_sand_Ruled"&amp;"_"&amp;AR7</f>
        <v>EW_sand_Ruled_45</v>
      </c>
      <c r="M7" s="105" t="s">
        <v>64</v>
      </c>
      <c r="N7" s="47">
        <v>9.4</v>
      </c>
      <c r="O7" s="63">
        <v>0</v>
      </c>
      <c r="P7" s="63">
        <v>0</v>
      </c>
      <c r="Q7" s="47">
        <v>34</v>
      </c>
      <c r="R7" s="47">
        <f t="shared" si="0"/>
        <v>29</v>
      </c>
      <c r="S7" s="47">
        <v>1.4</v>
      </c>
      <c r="T7" s="47">
        <v>0</v>
      </c>
      <c r="U7" s="75">
        <v>0</v>
      </c>
      <c r="V7" s="75">
        <v>0</v>
      </c>
      <c r="W7" s="47">
        <v>0</v>
      </c>
      <c r="X7" s="47">
        <v>9600</v>
      </c>
      <c r="Y7" s="47">
        <v>0</v>
      </c>
      <c r="Z7" s="47">
        <f t="shared" si="1"/>
        <v>92.999999999999972</v>
      </c>
      <c r="AA7" s="47">
        <v>1</v>
      </c>
      <c r="AB7" s="47">
        <f t="shared" si="2"/>
        <v>8640</v>
      </c>
      <c r="AC7" s="63">
        <v>21000</v>
      </c>
      <c r="AD7" s="63">
        <v>9655.17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36.000000000000007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45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20669.148000000005</v>
      </c>
      <c r="H8" s="45" t="s">
        <v>53</v>
      </c>
      <c r="I8" s="56" t="s">
        <v>293</v>
      </c>
      <c r="J8" s="47">
        <v>3</v>
      </c>
      <c r="K8" s="19">
        <v>-3.4</v>
      </c>
      <c r="L8" s="33" t="str">
        <f t="shared" si="4"/>
        <v>EW_sand_Ruled_57</v>
      </c>
      <c r="M8" s="105" t="s">
        <v>64</v>
      </c>
      <c r="N8" s="47">
        <v>9.6</v>
      </c>
      <c r="O8" s="63">
        <v>0</v>
      </c>
      <c r="P8" s="63">
        <v>0</v>
      </c>
      <c r="Q8" s="47">
        <v>36</v>
      </c>
      <c r="R8" s="47">
        <f t="shared" si="0"/>
        <v>31</v>
      </c>
      <c r="S8" s="47">
        <v>1</v>
      </c>
      <c r="T8" s="47">
        <v>0</v>
      </c>
      <c r="U8" s="75">
        <v>0</v>
      </c>
      <c r="V8" s="75">
        <v>0</v>
      </c>
      <c r="W8" s="47">
        <v>0</v>
      </c>
      <c r="X8" s="47">
        <v>27000</v>
      </c>
      <c r="Y8" s="47">
        <v>0</v>
      </c>
      <c r="Z8" s="47">
        <f t="shared" si="1"/>
        <v>99.799999999999969</v>
      </c>
      <c r="AA8" s="47">
        <v>1</v>
      </c>
      <c r="AB8" s="47">
        <f t="shared" si="2"/>
        <v>10080</v>
      </c>
      <c r="AC8" s="63">
        <v>53000</v>
      </c>
      <c r="AD8" s="63">
        <v>5151.51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42.000000000000007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57</v>
      </c>
      <c r="AS8" s="33">
        <v>0.4</v>
      </c>
    </row>
    <row r="9" spans="1:45" x14ac:dyDescent="0.25">
      <c r="A9" s="33" t="s">
        <v>68</v>
      </c>
      <c r="B9" s="57">
        <v>40.5</v>
      </c>
      <c r="C9" s="45" t="s">
        <v>28</v>
      </c>
      <c r="D9" s="57">
        <v>28</v>
      </c>
      <c r="F9" s="33" t="s">
        <v>96</v>
      </c>
      <c r="G9" s="76">
        <v>-863529.69115384598</v>
      </c>
      <c r="H9" s="45" t="s">
        <v>54</v>
      </c>
      <c r="I9" s="33" t="s">
        <v>294</v>
      </c>
      <c r="J9" s="47">
        <v>4</v>
      </c>
      <c r="K9" s="19">
        <v>-10</v>
      </c>
      <c r="L9" s="116" t="s">
        <v>275</v>
      </c>
      <c r="M9" s="105" t="s">
        <v>65</v>
      </c>
      <c r="N9" s="47">
        <v>8.6</v>
      </c>
      <c r="O9" s="63">
        <v>92</v>
      </c>
      <c r="P9" s="63">
        <v>19</v>
      </c>
      <c r="Q9" s="47">
        <v>0</v>
      </c>
      <c r="R9" s="47" t="e">
        <f t="shared" si="0"/>
        <v>#N/A</v>
      </c>
      <c r="S9" s="47">
        <v>3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23200</v>
      </c>
      <c r="Y9" s="47">
        <v>0</v>
      </c>
      <c r="Z9" s="47" t="e">
        <f t="shared" si="1"/>
        <v>#N/A</v>
      </c>
      <c r="AA9" s="47">
        <v>1</v>
      </c>
      <c r="AB9" s="47" t="e">
        <f t="shared" si="2"/>
        <v>#N/A</v>
      </c>
      <c r="AC9" s="63">
        <v>103000</v>
      </c>
      <c r="AD9" s="63">
        <v>20000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3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40.5</v>
      </c>
      <c r="C10" s="45" t="s">
        <v>28</v>
      </c>
      <c r="D10" s="58">
        <v>28</v>
      </c>
      <c r="F10" s="33" t="s">
        <v>51</v>
      </c>
      <c r="G10" s="71">
        <v>36014.48376923077</v>
      </c>
      <c r="H10" s="45" t="s">
        <v>53</v>
      </c>
      <c r="I10" s="56" t="s">
        <v>294</v>
      </c>
      <c r="J10" s="47">
        <v>5</v>
      </c>
      <c r="K10" s="56">
        <v>-13</v>
      </c>
      <c r="L10" s="116" t="s">
        <v>275</v>
      </c>
      <c r="M10" s="105" t="s">
        <v>65</v>
      </c>
      <c r="N10" s="47">
        <v>8.6</v>
      </c>
      <c r="O10" s="63">
        <v>164</v>
      </c>
      <c r="P10" s="63">
        <v>-51</v>
      </c>
      <c r="Q10" s="47">
        <v>0</v>
      </c>
      <c r="R10" s="47" t="e">
        <f t="shared" si="0"/>
        <v>#N/A</v>
      </c>
      <c r="S10" s="47">
        <v>3</v>
      </c>
      <c r="T10" s="47">
        <v>0</v>
      </c>
      <c r="U10" s="75">
        <v>1.7999999999999999E-2</v>
      </c>
      <c r="V10" s="75">
        <v>0</v>
      </c>
      <c r="W10" s="47">
        <v>0.5</v>
      </c>
      <c r="X10" s="47">
        <v>24900</v>
      </c>
      <c r="Y10" s="47">
        <v>0</v>
      </c>
      <c r="Z10" s="47" t="e">
        <f t="shared" si="1"/>
        <v>#N/A</v>
      </c>
      <c r="AA10" s="47">
        <v>1</v>
      </c>
      <c r="AB10" s="47" t="e">
        <f t="shared" si="2"/>
        <v>#N/A</v>
      </c>
      <c r="AC10" s="63">
        <v>195000</v>
      </c>
      <c r="AD10" s="63">
        <v>-62000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 t="e">
        <f t="shared" si="3"/>
        <v>#N/A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271</v>
      </c>
      <c r="J11" s="47">
        <v>6</v>
      </c>
      <c r="K11" s="19">
        <v>-14</v>
      </c>
      <c r="L11" s="33" t="str">
        <f>"EW_sand_Ruled"&amp;"_"&amp;AR11</f>
        <v>EW_sand_Ruled_57</v>
      </c>
      <c r="M11" s="105" t="s">
        <v>64</v>
      </c>
      <c r="N11" s="47">
        <v>9.8000000000000007</v>
      </c>
      <c r="O11" s="63">
        <v>0</v>
      </c>
      <c r="P11" s="63">
        <v>0</v>
      </c>
      <c r="Q11" s="47">
        <v>28</v>
      </c>
      <c r="R11" s="47">
        <f t="shared" si="0"/>
        <v>23</v>
      </c>
      <c r="S11" s="47">
        <v>1.2</v>
      </c>
      <c r="T11" s="47">
        <v>0</v>
      </c>
      <c r="U11" s="75">
        <v>0</v>
      </c>
      <c r="V11" s="75">
        <v>0</v>
      </c>
      <c r="W11" s="47">
        <v>0</v>
      </c>
      <c r="X11" s="47">
        <v>19400</v>
      </c>
      <c r="Y11" s="47">
        <v>0</v>
      </c>
      <c r="Z11" s="47">
        <f t="shared" si="1"/>
        <v>75.399999999999977</v>
      </c>
      <c r="AA11" s="47">
        <v>1</v>
      </c>
      <c r="AB11" s="47">
        <f t="shared" si="2"/>
        <v>4040</v>
      </c>
      <c r="AC11" s="63">
        <v>101000</v>
      </c>
      <c r="AD11" s="63">
        <v>26250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16.800000000000004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57</v>
      </c>
      <c r="AS11" s="33">
        <v>0.2</v>
      </c>
    </row>
    <row r="12" spans="1:45" x14ac:dyDescent="0.25">
      <c r="A12" s="33" t="s">
        <v>74</v>
      </c>
      <c r="B12" s="57">
        <v>9.5</v>
      </c>
      <c r="C12" s="45" t="s">
        <v>28</v>
      </c>
      <c r="E12" s="59"/>
      <c r="F12" s="56" t="s">
        <v>97</v>
      </c>
      <c r="G12" s="71">
        <v>4277.1889038461541</v>
      </c>
      <c r="H12" s="45" t="s">
        <v>53</v>
      </c>
      <c r="I12" s="33" t="s">
        <v>271</v>
      </c>
      <c r="J12" s="47">
        <v>7</v>
      </c>
      <c r="K12" s="33">
        <v>-14.8</v>
      </c>
      <c r="L12" s="33" t="str">
        <f t="shared" ref="L12:L15" si="5">"EW_sand_Ruled"&amp;"_"&amp;AR12</f>
        <v>EW_sand_Ruled_60</v>
      </c>
      <c r="M12" s="105" t="s">
        <v>64</v>
      </c>
      <c r="N12" s="47">
        <v>9.8000000000000007</v>
      </c>
      <c r="O12" s="63">
        <v>0</v>
      </c>
      <c r="P12" s="63">
        <v>0</v>
      </c>
      <c r="Q12" s="47">
        <v>28</v>
      </c>
      <c r="R12" s="47">
        <f t="shared" si="0"/>
        <v>23</v>
      </c>
      <c r="S12" s="47">
        <v>1.2</v>
      </c>
      <c r="T12" s="47">
        <v>0</v>
      </c>
      <c r="U12" s="75">
        <v>0</v>
      </c>
      <c r="V12" s="75">
        <v>0</v>
      </c>
      <c r="W12" s="47">
        <v>0</v>
      </c>
      <c r="X12" s="47">
        <v>22700</v>
      </c>
      <c r="Y12" s="47">
        <v>0</v>
      </c>
      <c r="Z12" s="47">
        <f t="shared" si="1"/>
        <v>75.399999999999977</v>
      </c>
      <c r="AA12" s="47">
        <v>1</v>
      </c>
      <c r="AB12" s="47">
        <f t="shared" si="2"/>
        <v>4040</v>
      </c>
      <c r="AC12" s="63">
        <v>124000</v>
      </c>
      <c r="AD12" s="63">
        <v>-1428.57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3"/>
        <v>16.800000000000004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60</v>
      </c>
      <c r="AS12" s="33">
        <v>0.2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271</v>
      </c>
      <c r="J13" s="47">
        <v>8</v>
      </c>
      <c r="K13" s="33">
        <v>-19</v>
      </c>
      <c r="L13" s="33" t="str">
        <f t="shared" si="5"/>
        <v>EW_sand_Ruled_57</v>
      </c>
      <c r="M13" s="105" t="s">
        <v>64</v>
      </c>
      <c r="N13" s="47">
        <v>9.8000000000000007</v>
      </c>
      <c r="O13" s="63">
        <v>0</v>
      </c>
      <c r="P13" s="63">
        <v>0</v>
      </c>
      <c r="Q13" s="47">
        <v>27</v>
      </c>
      <c r="R13" s="47">
        <f t="shared" si="0"/>
        <v>22</v>
      </c>
      <c r="S13" s="47">
        <v>1.1000000000000001</v>
      </c>
      <c r="T13" s="47">
        <v>0</v>
      </c>
      <c r="U13" s="75">
        <v>0</v>
      </c>
      <c r="V13" s="75">
        <v>0</v>
      </c>
      <c r="W13" s="47">
        <v>0</v>
      </c>
      <c r="X13" s="47">
        <v>22500</v>
      </c>
      <c r="Y13" s="47">
        <v>0</v>
      </c>
      <c r="Z13" s="47">
        <f t="shared" si="1"/>
        <v>72.59999999999998</v>
      </c>
      <c r="AA13" s="47">
        <v>1</v>
      </c>
      <c r="AB13" s="47">
        <f t="shared" si="2"/>
        <v>3660</v>
      </c>
      <c r="AC13" s="63">
        <v>111000</v>
      </c>
      <c r="AD13" s="63">
        <v>18000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15.200000000000003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57</v>
      </c>
      <c r="AS13" s="33">
        <v>0.2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271</v>
      </c>
      <c r="J14" s="47">
        <v>9</v>
      </c>
      <c r="K14" s="19">
        <v>-21</v>
      </c>
      <c r="L14" s="33" t="str">
        <f t="shared" si="5"/>
        <v>EW_sand_Ruled_55</v>
      </c>
      <c r="M14" s="105" t="s">
        <v>64</v>
      </c>
      <c r="N14" s="47">
        <v>9.8000000000000007</v>
      </c>
      <c r="O14" s="63">
        <v>0</v>
      </c>
      <c r="P14" s="63">
        <v>0</v>
      </c>
      <c r="Q14" s="47">
        <v>27</v>
      </c>
      <c r="R14" s="47">
        <f t="shared" si="0"/>
        <v>22</v>
      </c>
      <c r="S14" s="47">
        <v>1</v>
      </c>
      <c r="T14" s="47">
        <v>0</v>
      </c>
      <c r="U14" s="75">
        <v>0</v>
      </c>
      <c r="V14" s="75">
        <v>0</v>
      </c>
      <c r="W14" s="47">
        <v>0</v>
      </c>
      <c r="X14" s="47">
        <v>20800</v>
      </c>
      <c r="Y14" s="47">
        <v>0</v>
      </c>
      <c r="Z14" s="47">
        <f t="shared" si="1"/>
        <v>72.59999999999998</v>
      </c>
      <c r="AA14" s="47">
        <v>1</v>
      </c>
      <c r="AB14" s="47">
        <f t="shared" si="2"/>
        <v>3660</v>
      </c>
      <c r="AC14" s="63">
        <v>133000</v>
      </c>
      <c r="AD14" s="63">
        <v>-4000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15.200000000000003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55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271</v>
      </c>
      <c r="J15" s="47">
        <v>10</v>
      </c>
      <c r="K15" s="19">
        <v>-22</v>
      </c>
      <c r="L15" s="33" t="str">
        <f t="shared" si="5"/>
        <v>EW_sand_Ruled_47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26</v>
      </c>
      <c r="R15" s="47">
        <f t="shared" si="0"/>
        <v>21</v>
      </c>
      <c r="S15" s="47">
        <v>0.8</v>
      </c>
      <c r="T15" s="47">
        <v>0</v>
      </c>
      <c r="U15" s="75">
        <v>0</v>
      </c>
      <c r="V15" s="75">
        <v>0</v>
      </c>
      <c r="W15" s="47">
        <v>0</v>
      </c>
      <c r="X15" s="47">
        <v>16000</v>
      </c>
      <c r="Y15" s="47">
        <v>0</v>
      </c>
      <c r="Z15" s="47">
        <f t="shared" si="1"/>
        <v>69.799999999999983</v>
      </c>
      <c r="AA15" s="47">
        <v>1</v>
      </c>
      <c r="AB15" s="47">
        <f t="shared" si="2"/>
        <v>3280</v>
      </c>
      <c r="AC15" s="63">
        <v>127000</v>
      </c>
      <c r="AD15" s="63">
        <v>222.22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3"/>
        <v>13.600000000000003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47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273</v>
      </c>
      <c r="J16" s="47">
        <v>11</v>
      </c>
      <c r="K16" s="19">
        <v>-31</v>
      </c>
      <c r="L16" s="116" t="s">
        <v>275</v>
      </c>
      <c r="M16" s="105" t="s">
        <v>65</v>
      </c>
      <c r="N16" s="47">
        <v>8.9</v>
      </c>
      <c r="O16" s="63">
        <v>271</v>
      </c>
      <c r="P16" s="63">
        <v>5.96</v>
      </c>
      <c r="Q16" s="47">
        <v>0</v>
      </c>
      <c r="R16" s="47" t="e">
        <f t="shared" si="0"/>
        <v>#N/A</v>
      </c>
      <c r="S16" s="47">
        <v>2.6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32700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382000</v>
      </c>
      <c r="AD16" s="63">
        <v>10241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52"/>
      <c r="E17" s="152"/>
      <c r="I17" s="56" t="s">
        <v>218</v>
      </c>
      <c r="J17" s="47">
        <v>12</v>
      </c>
      <c r="K17" s="19">
        <v>-60</v>
      </c>
      <c r="L17" s="116" t="s">
        <v>275</v>
      </c>
      <c r="M17" s="105" t="s">
        <v>65</v>
      </c>
      <c r="N17" s="47">
        <v>8.3000000000000007</v>
      </c>
      <c r="O17" s="63">
        <v>487</v>
      </c>
      <c r="P17" s="63">
        <v>6.44</v>
      </c>
      <c r="Q17" s="47">
        <v>0</v>
      </c>
      <c r="R17" s="47" t="e">
        <f t="shared" si="0"/>
        <v>#N/A</v>
      </c>
      <c r="S17" s="47">
        <v>2.4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45600</v>
      </c>
      <c r="Y17" s="47">
        <v>0</v>
      </c>
      <c r="Z17" s="47" t="e">
        <f t="shared" si="1"/>
        <v>#N/A</v>
      </c>
      <c r="AA17" s="47">
        <v>1</v>
      </c>
      <c r="AB17" s="47" t="e">
        <f t="shared" si="2"/>
        <v>#N/A</v>
      </c>
      <c r="AC17" s="63">
        <v>728000</v>
      </c>
      <c r="AD17" s="63">
        <v>11444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3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220</v>
      </c>
      <c r="J18" s="47">
        <v>13</v>
      </c>
      <c r="K18" s="19">
        <v>-69</v>
      </c>
      <c r="L18" s="116" t="s">
        <v>275</v>
      </c>
      <c r="M18" s="105" t="s">
        <v>65</v>
      </c>
      <c r="N18" s="47">
        <v>8.8000000000000007</v>
      </c>
      <c r="O18" s="63">
        <v>986</v>
      </c>
      <c r="P18" s="63">
        <v>4.18</v>
      </c>
      <c r="Q18" s="47">
        <v>0</v>
      </c>
      <c r="R18" s="47" t="e">
        <f t="shared" si="0"/>
        <v>#N/A</v>
      </c>
      <c r="S18" s="47">
        <v>3</v>
      </c>
      <c r="T18" s="47">
        <v>0</v>
      </c>
      <c r="U18" s="75">
        <v>1.7999999999999999E-2</v>
      </c>
      <c r="V18" s="75">
        <v>0</v>
      </c>
      <c r="W18" s="47">
        <v>0.25</v>
      </c>
      <c r="X18" s="47">
        <v>88500</v>
      </c>
      <c r="Y18" s="47">
        <v>0</v>
      </c>
      <c r="Z18" s="47" t="e">
        <f t="shared" si="1"/>
        <v>#N/A</v>
      </c>
      <c r="AA18" s="47">
        <v>1</v>
      </c>
      <c r="AB18" s="47" t="e">
        <f t="shared" si="2"/>
        <v>#N/A</v>
      </c>
      <c r="AC18" s="63">
        <v>1629000</v>
      </c>
      <c r="AD18" s="63">
        <v>24363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3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52" t="s">
        <v>38</v>
      </c>
      <c r="B19" s="152" t="s">
        <v>30</v>
      </c>
      <c r="C19" s="152" t="s">
        <v>59</v>
      </c>
      <c r="D19" s="43"/>
      <c r="E19" s="35"/>
      <c r="I19" s="33" t="s">
        <v>220</v>
      </c>
      <c r="J19" s="47">
        <v>14</v>
      </c>
      <c r="K19" s="19">
        <v>-80</v>
      </c>
      <c r="L19" s="116" t="s">
        <v>275</v>
      </c>
      <c r="M19" s="105" t="s">
        <v>65</v>
      </c>
      <c r="N19" s="47">
        <v>8.8000000000000007</v>
      </c>
      <c r="O19" s="63">
        <v>1118</v>
      </c>
      <c r="P19" s="63">
        <v>0</v>
      </c>
      <c r="Q19" s="47">
        <v>0</v>
      </c>
      <c r="R19" s="47" t="e">
        <f t="shared" si="0"/>
        <v>#N/A</v>
      </c>
      <c r="S19" s="47">
        <v>3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88500</v>
      </c>
      <c r="Y19" s="47">
        <v>0</v>
      </c>
      <c r="Z19" s="47" t="e">
        <f t="shared" si="1"/>
        <v>#N/A</v>
      </c>
      <c r="AA19" s="47">
        <v>1</v>
      </c>
      <c r="AB19" s="47" t="e">
        <f t="shared" si="2"/>
        <v>#N/A</v>
      </c>
      <c r="AC19" s="63">
        <v>1897000</v>
      </c>
      <c r="AD19" s="63">
        <v>0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3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5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5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6">AF40+3.8</f>
        <v>55.599999999999994</v>
      </c>
      <c r="AG41" s="33">
        <f t="shared" ref="AG41:AG43" si="7">AG40+200</f>
        <v>2300</v>
      </c>
      <c r="AH41" s="33">
        <f t="shared" ref="AH41:AH44" si="8">AH40+0.8</f>
        <v>9.6000000000000014</v>
      </c>
    </row>
    <row r="42" spans="1:42" x14ac:dyDescent="0.25">
      <c r="L42" s="49"/>
      <c r="AE42" s="33">
        <v>18</v>
      </c>
      <c r="AF42" s="33">
        <f t="shared" si="6"/>
        <v>59.399999999999991</v>
      </c>
      <c r="AG42" s="33">
        <f t="shared" si="7"/>
        <v>2500</v>
      </c>
      <c r="AH42" s="33">
        <f t="shared" si="8"/>
        <v>10.400000000000002</v>
      </c>
    </row>
    <row r="43" spans="1:42" x14ac:dyDescent="0.25">
      <c r="L43" s="49"/>
      <c r="AE43" s="33">
        <v>19</v>
      </c>
      <c r="AF43" s="33">
        <f t="shared" si="6"/>
        <v>63.199999999999989</v>
      </c>
      <c r="AG43" s="33">
        <f t="shared" si="7"/>
        <v>2700</v>
      </c>
      <c r="AH43" s="33">
        <f t="shared" si="8"/>
        <v>11.200000000000003</v>
      </c>
    </row>
    <row r="44" spans="1:42" x14ac:dyDescent="0.25">
      <c r="L44" s="49"/>
      <c r="AE44" s="33">
        <v>20</v>
      </c>
      <c r="AF44" s="33">
        <f t="shared" si="6"/>
        <v>66.999999999999986</v>
      </c>
      <c r="AG44" s="33">
        <f>AG43+200</f>
        <v>2900</v>
      </c>
      <c r="AH44" s="33">
        <f t="shared" si="8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9">AF45+2.8</f>
        <v>72.59999999999998</v>
      </c>
      <c r="AG46" s="33">
        <f t="shared" ref="AG46:AG48" si="10">AG45+380</f>
        <v>3660</v>
      </c>
      <c r="AH46" s="33">
        <f t="shared" ref="AH46:AH49" si="11">AH45+1.6</f>
        <v>15.200000000000003</v>
      </c>
    </row>
    <row r="47" spans="1:42" x14ac:dyDescent="0.25">
      <c r="L47" s="49"/>
      <c r="AE47" s="33">
        <v>23</v>
      </c>
      <c r="AF47" s="33">
        <f t="shared" si="9"/>
        <v>75.399999999999977</v>
      </c>
      <c r="AG47" s="33">
        <f t="shared" si="10"/>
        <v>4040</v>
      </c>
      <c r="AH47" s="33">
        <f t="shared" si="11"/>
        <v>16.800000000000004</v>
      </c>
    </row>
    <row r="48" spans="1:42" x14ac:dyDescent="0.25">
      <c r="L48" s="49"/>
      <c r="AE48" s="33">
        <v>24</v>
      </c>
      <c r="AF48" s="33">
        <f t="shared" si="9"/>
        <v>78.199999999999974</v>
      </c>
      <c r="AG48" s="33">
        <f t="shared" si="10"/>
        <v>4420</v>
      </c>
      <c r="AH48" s="33">
        <f t="shared" si="11"/>
        <v>18.400000000000006</v>
      </c>
    </row>
    <row r="49" spans="12:34" x14ac:dyDescent="0.25">
      <c r="L49" s="49"/>
      <c r="AE49" s="33">
        <v>25</v>
      </c>
      <c r="AF49" s="33">
        <f t="shared" si="9"/>
        <v>80.999999999999972</v>
      </c>
      <c r="AG49" s="33">
        <v>4800</v>
      </c>
      <c r="AH49" s="33">
        <f t="shared" si="11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2">AF50+3</f>
        <v>86.999999999999972</v>
      </c>
      <c r="AG51" s="33">
        <f t="shared" ref="AG51:AG54" si="13">AG50+960</f>
        <v>6720</v>
      </c>
      <c r="AH51" s="33">
        <f t="shared" ref="AH51:AH54" si="14">AH50+4</f>
        <v>28.000000000000007</v>
      </c>
    </row>
    <row r="52" spans="12:34" x14ac:dyDescent="0.25">
      <c r="L52" s="49"/>
      <c r="AE52" s="33">
        <v>28</v>
      </c>
      <c r="AF52" s="33">
        <f t="shared" si="12"/>
        <v>89.999999999999972</v>
      </c>
      <c r="AG52" s="33">
        <f t="shared" si="13"/>
        <v>7680</v>
      </c>
      <c r="AH52" s="33">
        <f t="shared" si="14"/>
        <v>32.000000000000007</v>
      </c>
    </row>
    <row r="53" spans="12:34" x14ac:dyDescent="0.25">
      <c r="L53" s="49"/>
      <c r="AE53" s="33">
        <v>29</v>
      </c>
      <c r="AF53" s="33">
        <f t="shared" si="12"/>
        <v>92.999999999999972</v>
      </c>
      <c r="AG53" s="33">
        <f t="shared" si="13"/>
        <v>8640</v>
      </c>
      <c r="AH53" s="33">
        <f t="shared" si="14"/>
        <v>36.000000000000007</v>
      </c>
    </row>
    <row r="54" spans="12:34" x14ac:dyDescent="0.25">
      <c r="L54" s="49"/>
      <c r="AE54" s="33">
        <v>30</v>
      </c>
      <c r="AF54" s="33">
        <f t="shared" si="12"/>
        <v>95.999999999999972</v>
      </c>
      <c r="AG54" s="33">
        <f t="shared" si="13"/>
        <v>9600</v>
      </c>
      <c r="AH54" s="33">
        <f t="shared" si="14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5">AF55+3.8</f>
        <v>103.59999999999997</v>
      </c>
      <c r="AG56" s="33">
        <f t="shared" ref="AG56:AG59" si="16">AG55+480</f>
        <v>10560</v>
      </c>
      <c r="AH56" s="33">
        <f t="shared" ref="AH56:AH59" si="17">AH55+2</f>
        <v>44.000000000000007</v>
      </c>
    </row>
    <row r="57" spans="12:34" x14ac:dyDescent="0.25">
      <c r="L57" s="49"/>
      <c r="AE57" s="33">
        <v>33</v>
      </c>
      <c r="AF57" s="33">
        <f t="shared" si="15"/>
        <v>107.39999999999996</v>
      </c>
      <c r="AG57" s="33">
        <f t="shared" si="16"/>
        <v>11040</v>
      </c>
      <c r="AH57" s="33">
        <f t="shared" si="17"/>
        <v>46.000000000000007</v>
      </c>
    </row>
    <row r="58" spans="12:34" x14ac:dyDescent="0.25">
      <c r="L58" s="49"/>
      <c r="AE58" s="33">
        <v>34</v>
      </c>
      <c r="AF58" s="33">
        <f t="shared" si="15"/>
        <v>111.19999999999996</v>
      </c>
      <c r="AG58" s="33">
        <f t="shared" si="16"/>
        <v>11520</v>
      </c>
      <c r="AH58" s="33">
        <f t="shared" si="17"/>
        <v>48.000000000000007</v>
      </c>
    </row>
    <row r="59" spans="12:34" x14ac:dyDescent="0.25">
      <c r="L59" s="49"/>
      <c r="AE59" s="33">
        <v>35</v>
      </c>
      <c r="AF59" s="33">
        <f t="shared" si="15"/>
        <v>114.99999999999996</v>
      </c>
      <c r="AG59" s="33">
        <f t="shared" si="16"/>
        <v>12000</v>
      </c>
      <c r="AH59" s="33">
        <f t="shared" si="17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0:AP36">
    <cfRule type="expression" dxfId="3330" priority="24">
      <formula>$L20="API sand"</formula>
    </cfRule>
  </conditionalFormatting>
  <conditionalFormatting sqref="R20:S20 R29:S36 S21:S28 AD21:AD28 AB20:AB35">
    <cfRule type="expression" dxfId="3329" priority="23">
      <formula>$M20="API sand"</formula>
    </cfRule>
  </conditionalFormatting>
  <conditionalFormatting sqref="R20:T20 R29:T36 S21:T28 AD21:AD28 AB20:AB35">
    <cfRule type="expression" dxfId="3328" priority="22">
      <formula>$M20="API clay"</formula>
    </cfRule>
  </conditionalFormatting>
  <conditionalFormatting sqref="U20:W36 AM20:AP36">
    <cfRule type="expression" dxfId="3327" priority="19">
      <formula>$L20="Stiff clay w/o free water"</formula>
    </cfRule>
    <cfRule type="expression" dxfId="3326" priority="21">
      <formula>$L20="API clay"</formula>
    </cfRule>
  </conditionalFormatting>
  <conditionalFormatting sqref="U20:Y36 AM20:AP36">
    <cfRule type="expression" dxfId="3325" priority="20">
      <formula>$L20="Kirsch soft clay"</formula>
    </cfRule>
  </conditionalFormatting>
  <conditionalFormatting sqref="U20:Y36 AM20:AP36">
    <cfRule type="expression" dxfId="3324" priority="18">
      <formula>$L20="Kirsch stiff clay"</formula>
    </cfRule>
  </conditionalFormatting>
  <conditionalFormatting sqref="AM20:AP36">
    <cfRule type="expression" dxfId="3323" priority="17">
      <formula>$L20="Kirsch sand"</formula>
    </cfRule>
  </conditionalFormatting>
  <conditionalFormatting sqref="AM20:AP36">
    <cfRule type="expression" dxfId="3322" priority="16">
      <formula>$L20="Modified Weak rock"</formula>
    </cfRule>
  </conditionalFormatting>
  <conditionalFormatting sqref="U20:V36 AM20:AP36">
    <cfRule type="expression" dxfId="3321" priority="15">
      <formula>$L20="Reese stiff clay"</formula>
    </cfRule>
  </conditionalFormatting>
  <conditionalFormatting sqref="N20:N36 Q20:Q36">
    <cfRule type="expression" dxfId="3320" priority="14">
      <formula>$L20="API sand"</formula>
    </cfRule>
  </conditionalFormatting>
  <conditionalFormatting sqref="N20:N36 AB36 AJ20:AL36 Z20:Z36">
    <cfRule type="expression" dxfId="3319" priority="13">
      <formula>$M20="API sand"</formula>
    </cfRule>
  </conditionalFormatting>
  <conditionalFormatting sqref="Z36:AB36 AK20:AL36 N20:N36 Z20:AA35">
    <cfRule type="expression" dxfId="3318" priority="12">
      <formula>$M20="API clay"</formula>
    </cfRule>
  </conditionalFormatting>
  <conditionalFormatting sqref="N29:P36 N20:N28 P20:P28">
    <cfRule type="expression" dxfId="3317" priority="9">
      <formula>$L20="Stiff clay w/o free water"</formula>
    </cfRule>
    <cfRule type="expression" dxfId="3316" priority="11">
      <formula>$L20="API clay"</formula>
    </cfRule>
  </conditionalFormatting>
  <conditionalFormatting sqref="N29:P36 N20:N28 P20:P28">
    <cfRule type="expression" dxfId="3315" priority="10">
      <formula>$L20="Kirsch soft clay"</formula>
    </cfRule>
  </conditionalFormatting>
  <conditionalFormatting sqref="N29:P36 N20:N28 P20:P28">
    <cfRule type="expression" dxfId="3314" priority="8">
      <formula>$L20="Kirsch stiff clay"</formula>
    </cfRule>
  </conditionalFormatting>
  <conditionalFormatting sqref="N20:N36 Q20:Q36 X20:Y36">
    <cfRule type="expression" dxfId="3313" priority="7">
      <formula>$L20="Kirsch sand"</formula>
    </cfRule>
  </conditionalFormatting>
  <conditionalFormatting sqref="N20:N36 AC20:AD36 AI20:AI36">
    <cfRule type="expression" dxfId="3312" priority="6">
      <formula>$L20="Modified Weak rock"</formula>
    </cfRule>
  </conditionalFormatting>
  <conditionalFormatting sqref="N29:P36 N20:N28 P20:P28">
    <cfRule type="expression" dxfId="3311" priority="5">
      <formula>$L20="Reese stiff clay"</formula>
    </cfRule>
  </conditionalFormatting>
  <conditionalFormatting sqref="O20:O21">
    <cfRule type="expression" dxfId="3310" priority="4">
      <formula>$L20="API sand"</formula>
    </cfRule>
  </conditionalFormatting>
  <conditionalFormatting sqref="O20:O21">
    <cfRule type="expression" dxfId="3309" priority="3">
      <formula>$L20="Kirsch sand"</formula>
    </cfRule>
  </conditionalFormatting>
  <conditionalFormatting sqref="O22:O28">
    <cfRule type="expression" dxfId="3308" priority="2">
      <formula>$L22="API sand"</formula>
    </cfRule>
  </conditionalFormatting>
  <conditionalFormatting sqref="O22:O28">
    <cfRule type="expression" dxfId="3307" priority="1">
      <formula>$L22="Kirsch sand"</formula>
    </cfRule>
  </conditionalFormatting>
  <conditionalFormatting sqref="AE37:AH37">
    <cfRule type="expression" dxfId="3306" priority="25">
      <formula>$L19="Modified Weak rock"</formula>
    </cfRule>
  </conditionalFormatting>
  <dataValidations count="4">
    <dataValidation type="list" showInputMessage="1" showErrorMessage="1" sqref="M7:M36" xr:uid="{2907B637-7158-4C41-A8A2-FD3D46184EE8}">
      <formula1>"',API sand,API clay"</formula1>
    </dataValidation>
    <dataValidation type="list" showInputMessage="1" showErrorMessage="1" sqref="L20:L255" xr:uid="{A570B433-2B68-413A-9EE6-D2D895DD0C00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9" xr:uid="{73175F90-5D73-4334-89BB-8E7E7BBD739A}">
      <formula1>"Zero soil,API sand,API clay"</formula1>
    </dataValidation>
    <dataValidation showInputMessage="1" showErrorMessage="1" sqref="L9:L10 L16:L19" xr:uid="{BC96B569-8819-4C70-AD23-F1EE1C72DED1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50ABF-4E13-410E-BCA9-BB92EEF40C52}">
  <sheetPr>
    <tabColor rgb="FF00B0F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Ak_Pisa_WTG30_RBB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51"/>
      <c r="R3" s="155"/>
      <c r="S3" s="155"/>
      <c r="T3" s="151"/>
      <c r="U3" s="155"/>
      <c r="V3" s="155"/>
      <c r="W3" s="151"/>
      <c r="X3" s="69"/>
      <c r="Y3" s="151"/>
      <c r="Z3" s="151"/>
      <c r="AA3" s="151"/>
      <c r="AB3" s="151"/>
      <c r="AC3" s="69"/>
      <c r="AD3" s="39"/>
      <c r="AE3" s="39"/>
      <c r="AF3" s="39"/>
      <c r="AG3" s="39"/>
      <c r="AH3" s="39"/>
      <c r="AI3" s="39"/>
      <c r="AJ3" s="151"/>
      <c r="AK3" s="151"/>
      <c r="AL3" s="151"/>
      <c r="AM3" s="151"/>
      <c r="AN3" s="151"/>
      <c r="AO3" s="151"/>
      <c r="AP3" s="151"/>
    </row>
    <row r="4" spans="1:45" x14ac:dyDescent="0.25">
      <c r="A4" s="40" t="s">
        <v>60</v>
      </c>
      <c r="B4" s="33">
        <f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2" t="s">
        <v>38</v>
      </c>
      <c r="K5" s="152" t="s">
        <v>30</v>
      </c>
      <c r="L5" s="152" t="s">
        <v>31</v>
      </c>
      <c r="M5" s="152" t="s">
        <v>31</v>
      </c>
      <c r="N5" s="152" t="s">
        <v>32</v>
      </c>
      <c r="O5" s="152" t="s">
        <v>33</v>
      </c>
      <c r="P5" s="152" t="s">
        <v>35</v>
      </c>
      <c r="Q5" s="152" t="s">
        <v>36</v>
      </c>
      <c r="R5" s="152" t="s">
        <v>36</v>
      </c>
      <c r="S5" s="152" t="s">
        <v>34</v>
      </c>
      <c r="T5" s="152" t="s">
        <v>33</v>
      </c>
      <c r="U5" s="152" t="s">
        <v>34</v>
      </c>
      <c r="V5" s="152" t="s">
        <v>62</v>
      </c>
      <c r="W5" s="152" t="s">
        <v>34</v>
      </c>
      <c r="X5" s="152" t="s">
        <v>33</v>
      </c>
      <c r="Y5" s="152" t="s">
        <v>35</v>
      </c>
      <c r="Z5" s="152" t="s">
        <v>33</v>
      </c>
      <c r="AA5" s="152" t="s">
        <v>34</v>
      </c>
      <c r="AB5" s="152" t="s">
        <v>33</v>
      </c>
      <c r="AC5" s="152" t="s">
        <v>33</v>
      </c>
      <c r="AD5" s="152" t="s">
        <v>35</v>
      </c>
      <c r="AE5" s="152" t="s">
        <v>34</v>
      </c>
      <c r="AF5" s="152" t="s">
        <v>33</v>
      </c>
      <c r="AG5" s="152" t="s">
        <v>35</v>
      </c>
      <c r="AH5" s="152" t="s">
        <v>34</v>
      </c>
      <c r="AI5" s="152" t="s">
        <v>34</v>
      </c>
      <c r="AJ5" s="152" t="s">
        <v>34</v>
      </c>
      <c r="AK5" s="152" t="s">
        <v>34</v>
      </c>
      <c r="AL5" s="152" t="s">
        <v>34</v>
      </c>
      <c r="AM5" s="152" t="s">
        <v>34</v>
      </c>
      <c r="AN5" s="152" t="s">
        <v>34</v>
      </c>
      <c r="AO5" s="152" t="s">
        <v>34</v>
      </c>
      <c r="AP5" s="152" t="s">
        <v>34</v>
      </c>
      <c r="AQ5" s="152" t="s">
        <v>103</v>
      </c>
      <c r="AR5" s="152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EW_sand_Ruled_64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31</v>
      </c>
      <c r="R6" s="47">
        <f t="shared" ref="R6:R19" si="0">IF(Q6&lt;&gt;0,Q6-5,NA())</f>
        <v>26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2200</v>
      </c>
      <c r="Y6" s="47">
        <v>0</v>
      </c>
      <c r="Z6" s="47">
        <f t="shared" ref="Z6:Z19" si="1">VLOOKUP(R6,$AE$39:$AF$59,2)</f>
        <v>83.999999999999972</v>
      </c>
      <c r="AA6" s="47">
        <v>1</v>
      </c>
      <c r="AB6" s="47">
        <f t="shared" ref="AB6:AB19" si="2">VLOOKUP(R6,$AE$39:$AG$59,3)</f>
        <v>5760</v>
      </c>
      <c r="AC6" s="63">
        <v>5000</v>
      </c>
      <c r="AD6" s="63">
        <v>20000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9" si="3">VLOOKUP(R6,$AE$39:$AH$59,4)</f>
        <v>24.000000000000007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64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 t="s">
        <v>257</v>
      </c>
      <c r="J7" s="47">
        <v>2</v>
      </c>
      <c r="K7" s="19">
        <v>-0.5</v>
      </c>
      <c r="L7" s="33" t="str">
        <f t="shared" ref="L7:L8" si="4">"EW_sand_Ruled"&amp;"_"&amp;AR7</f>
        <v>EW_sand_Ruled_45</v>
      </c>
      <c r="M7" s="105" t="s">
        <v>64</v>
      </c>
      <c r="N7" s="47">
        <v>9.4</v>
      </c>
      <c r="O7" s="63">
        <v>0</v>
      </c>
      <c r="P7" s="63">
        <v>0</v>
      </c>
      <c r="Q7" s="47">
        <v>34</v>
      </c>
      <c r="R7" s="47">
        <f t="shared" si="0"/>
        <v>29</v>
      </c>
      <c r="S7" s="47">
        <v>1.4</v>
      </c>
      <c r="T7" s="47">
        <v>0</v>
      </c>
      <c r="U7" s="75">
        <v>0</v>
      </c>
      <c r="V7" s="75">
        <v>0</v>
      </c>
      <c r="W7" s="47">
        <v>0</v>
      </c>
      <c r="X7" s="47">
        <v>9600</v>
      </c>
      <c r="Y7" s="47">
        <v>0</v>
      </c>
      <c r="Z7" s="47">
        <f t="shared" si="1"/>
        <v>92.999999999999972</v>
      </c>
      <c r="AA7" s="47">
        <v>1</v>
      </c>
      <c r="AB7" s="47">
        <f t="shared" si="2"/>
        <v>8640</v>
      </c>
      <c r="AC7" s="63">
        <v>21000</v>
      </c>
      <c r="AD7" s="63">
        <v>9655.17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36.000000000000007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45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32867.363846153843</v>
      </c>
      <c r="H8" s="45" t="s">
        <v>53</v>
      </c>
      <c r="I8" s="56" t="s">
        <v>293</v>
      </c>
      <c r="J8" s="47">
        <v>3</v>
      </c>
      <c r="K8" s="19">
        <v>-3.4</v>
      </c>
      <c r="L8" s="33" t="str">
        <f t="shared" si="4"/>
        <v>EW_sand_Ruled_57</v>
      </c>
      <c r="M8" s="105" t="s">
        <v>64</v>
      </c>
      <c r="N8" s="47">
        <v>9.6</v>
      </c>
      <c r="O8" s="63">
        <v>0</v>
      </c>
      <c r="P8" s="63">
        <v>0</v>
      </c>
      <c r="Q8" s="47">
        <v>36</v>
      </c>
      <c r="R8" s="47">
        <f t="shared" si="0"/>
        <v>31</v>
      </c>
      <c r="S8" s="47">
        <v>1</v>
      </c>
      <c r="T8" s="47">
        <v>0</v>
      </c>
      <c r="U8" s="75">
        <v>0</v>
      </c>
      <c r="V8" s="75">
        <v>0</v>
      </c>
      <c r="W8" s="47">
        <v>0</v>
      </c>
      <c r="X8" s="47">
        <v>27000</v>
      </c>
      <c r="Y8" s="47">
        <v>0</v>
      </c>
      <c r="Z8" s="47">
        <f t="shared" si="1"/>
        <v>99.799999999999969</v>
      </c>
      <c r="AA8" s="47">
        <v>1</v>
      </c>
      <c r="AB8" s="47">
        <f t="shared" si="2"/>
        <v>10080</v>
      </c>
      <c r="AC8" s="63">
        <v>53000</v>
      </c>
      <c r="AD8" s="63">
        <v>5151.51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42.000000000000007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57</v>
      </c>
      <c r="AS8" s="33">
        <v>0.4</v>
      </c>
    </row>
    <row r="9" spans="1:45" x14ac:dyDescent="0.25">
      <c r="A9" s="33" t="s">
        <v>68</v>
      </c>
      <c r="B9" s="57">
        <v>40.5</v>
      </c>
      <c r="C9" s="45" t="s">
        <v>28</v>
      </c>
      <c r="D9" s="57">
        <v>28</v>
      </c>
      <c r="F9" s="33" t="s">
        <v>96</v>
      </c>
      <c r="G9" s="76">
        <v>-1203012.7692307699</v>
      </c>
      <c r="H9" s="45" t="s">
        <v>54</v>
      </c>
      <c r="I9" s="33" t="s">
        <v>294</v>
      </c>
      <c r="J9" s="47">
        <v>4</v>
      </c>
      <c r="K9" s="19">
        <v>-10</v>
      </c>
      <c r="L9" s="116" t="s">
        <v>275</v>
      </c>
      <c r="M9" s="105" t="s">
        <v>65</v>
      </c>
      <c r="N9" s="47">
        <v>8.6</v>
      </c>
      <c r="O9" s="63">
        <v>92</v>
      </c>
      <c r="P9" s="63">
        <v>19</v>
      </c>
      <c r="Q9" s="47">
        <v>0</v>
      </c>
      <c r="R9" s="47" t="e">
        <f t="shared" si="0"/>
        <v>#N/A</v>
      </c>
      <c r="S9" s="47">
        <v>3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23200</v>
      </c>
      <c r="Y9" s="47">
        <v>0</v>
      </c>
      <c r="Z9" s="47" t="e">
        <f t="shared" si="1"/>
        <v>#N/A</v>
      </c>
      <c r="AA9" s="47">
        <v>1</v>
      </c>
      <c r="AB9" s="47" t="e">
        <f t="shared" si="2"/>
        <v>#N/A</v>
      </c>
      <c r="AC9" s="63">
        <v>103000</v>
      </c>
      <c r="AD9" s="63">
        <v>20000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3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40.5</v>
      </c>
      <c r="C10" s="45" t="s">
        <v>28</v>
      </c>
      <c r="D10" s="58">
        <v>28</v>
      </c>
      <c r="F10" s="33" t="s">
        <v>51</v>
      </c>
      <c r="G10" s="71">
        <v>26189.504615384616</v>
      </c>
      <c r="H10" s="45" t="s">
        <v>53</v>
      </c>
      <c r="I10" s="56" t="s">
        <v>294</v>
      </c>
      <c r="J10" s="47">
        <v>5</v>
      </c>
      <c r="K10" s="56">
        <v>-13</v>
      </c>
      <c r="L10" s="116" t="s">
        <v>275</v>
      </c>
      <c r="M10" s="105" t="s">
        <v>65</v>
      </c>
      <c r="N10" s="47">
        <v>8.6</v>
      </c>
      <c r="O10" s="63">
        <v>164</v>
      </c>
      <c r="P10" s="63">
        <v>-51</v>
      </c>
      <c r="Q10" s="47">
        <v>0</v>
      </c>
      <c r="R10" s="47" t="e">
        <f t="shared" si="0"/>
        <v>#N/A</v>
      </c>
      <c r="S10" s="47">
        <v>3</v>
      </c>
      <c r="T10" s="47">
        <v>0</v>
      </c>
      <c r="U10" s="75">
        <v>1.7999999999999999E-2</v>
      </c>
      <c r="V10" s="75">
        <v>0</v>
      </c>
      <c r="W10" s="47">
        <v>0.5</v>
      </c>
      <c r="X10" s="47">
        <v>24900</v>
      </c>
      <c r="Y10" s="47">
        <v>0</v>
      </c>
      <c r="Z10" s="47" t="e">
        <f t="shared" si="1"/>
        <v>#N/A</v>
      </c>
      <c r="AA10" s="47">
        <v>1</v>
      </c>
      <c r="AB10" s="47" t="e">
        <f t="shared" si="2"/>
        <v>#N/A</v>
      </c>
      <c r="AC10" s="63">
        <v>195000</v>
      </c>
      <c r="AD10" s="63">
        <v>-62000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 t="e">
        <f t="shared" si="3"/>
        <v>#N/A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271</v>
      </c>
      <c r="J11" s="47">
        <v>6</v>
      </c>
      <c r="K11" s="19">
        <v>-14</v>
      </c>
      <c r="L11" s="33" t="str">
        <f>"EW_sand_Ruled"&amp;"_"&amp;AR11</f>
        <v>EW_sand_Ruled_57</v>
      </c>
      <c r="M11" s="105" t="s">
        <v>64</v>
      </c>
      <c r="N11" s="47">
        <v>9.8000000000000007</v>
      </c>
      <c r="O11" s="63">
        <v>0</v>
      </c>
      <c r="P11" s="63">
        <v>0</v>
      </c>
      <c r="Q11" s="47">
        <v>28</v>
      </c>
      <c r="R11" s="47">
        <f t="shared" si="0"/>
        <v>23</v>
      </c>
      <c r="S11" s="47">
        <v>1.2</v>
      </c>
      <c r="T11" s="47">
        <v>0</v>
      </c>
      <c r="U11" s="75">
        <v>0</v>
      </c>
      <c r="V11" s="75">
        <v>0</v>
      </c>
      <c r="W11" s="47">
        <v>0</v>
      </c>
      <c r="X11" s="47">
        <v>19400</v>
      </c>
      <c r="Y11" s="47">
        <v>0</v>
      </c>
      <c r="Z11" s="47">
        <f t="shared" si="1"/>
        <v>75.399999999999977</v>
      </c>
      <c r="AA11" s="47">
        <v>1</v>
      </c>
      <c r="AB11" s="47">
        <f t="shared" si="2"/>
        <v>4040</v>
      </c>
      <c r="AC11" s="63">
        <v>101000</v>
      </c>
      <c r="AD11" s="63">
        <v>26250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16.800000000000004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57</v>
      </c>
      <c r="AS11" s="33">
        <v>0.2</v>
      </c>
    </row>
    <row r="12" spans="1:45" x14ac:dyDescent="0.25">
      <c r="A12" s="33" t="s">
        <v>74</v>
      </c>
      <c r="B12" s="57">
        <v>9.5</v>
      </c>
      <c r="C12" s="45" t="s">
        <v>28</v>
      </c>
      <c r="E12" s="59"/>
      <c r="F12" s="56" t="s">
        <v>97</v>
      </c>
      <c r="G12" s="71">
        <v>2823.4689999999991</v>
      </c>
      <c r="H12" s="45" t="s">
        <v>53</v>
      </c>
      <c r="I12" s="33" t="s">
        <v>271</v>
      </c>
      <c r="J12" s="47">
        <v>7</v>
      </c>
      <c r="K12" s="33">
        <v>-14.8</v>
      </c>
      <c r="L12" s="33" t="str">
        <f t="shared" ref="L12:L15" si="5">"EW_sand_Ruled"&amp;"_"&amp;AR12</f>
        <v>EW_sand_Ruled_60</v>
      </c>
      <c r="M12" s="105" t="s">
        <v>64</v>
      </c>
      <c r="N12" s="47">
        <v>9.8000000000000007</v>
      </c>
      <c r="O12" s="63">
        <v>0</v>
      </c>
      <c r="P12" s="63">
        <v>0</v>
      </c>
      <c r="Q12" s="47">
        <v>28</v>
      </c>
      <c r="R12" s="47">
        <f t="shared" si="0"/>
        <v>23</v>
      </c>
      <c r="S12" s="47">
        <v>1.2</v>
      </c>
      <c r="T12" s="47">
        <v>0</v>
      </c>
      <c r="U12" s="75">
        <v>0</v>
      </c>
      <c r="V12" s="75">
        <v>0</v>
      </c>
      <c r="W12" s="47">
        <v>0</v>
      </c>
      <c r="X12" s="47">
        <v>22700</v>
      </c>
      <c r="Y12" s="47">
        <v>0</v>
      </c>
      <c r="Z12" s="47">
        <f t="shared" si="1"/>
        <v>75.399999999999977</v>
      </c>
      <c r="AA12" s="47">
        <v>1</v>
      </c>
      <c r="AB12" s="47">
        <f t="shared" si="2"/>
        <v>4040</v>
      </c>
      <c r="AC12" s="63">
        <v>124000</v>
      </c>
      <c r="AD12" s="63">
        <v>-1428.57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3"/>
        <v>16.800000000000004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60</v>
      </c>
      <c r="AS12" s="33">
        <v>0.2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271</v>
      </c>
      <c r="J13" s="47">
        <v>8</v>
      </c>
      <c r="K13" s="33">
        <v>-19</v>
      </c>
      <c r="L13" s="33" t="str">
        <f t="shared" si="5"/>
        <v>EW_sand_Ruled_57</v>
      </c>
      <c r="M13" s="105" t="s">
        <v>64</v>
      </c>
      <c r="N13" s="47">
        <v>9.8000000000000007</v>
      </c>
      <c r="O13" s="63">
        <v>0</v>
      </c>
      <c r="P13" s="63">
        <v>0</v>
      </c>
      <c r="Q13" s="47">
        <v>27</v>
      </c>
      <c r="R13" s="47">
        <f t="shared" si="0"/>
        <v>22</v>
      </c>
      <c r="S13" s="47">
        <v>1.1000000000000001</v>
      </c>
      <c r="T13" s="47">
        <v>0</v>
      </c>
      <c r="U13" s="75">
        <v>0</v>
      </c>
      <c r="V13" s="75">
        <v>0</v>
      </c>
      <c r="W13" s="47">
        <v>0</v>
      </c>
      <c r="X13" s="47">
        <v>22500</v>
      </c>
      <c r="Y13" s="47">
        <v>0</v>
      </c>
      <c r="Z13" s="47">
        <f t="shared" si="1"/>
        <v>72.59999999999998</v>
      </c>
      <c r="AA13" s="47">
        <v>1</v>
      </c>
      <c r="AB13" s="47">
        <f t="shared" si="2"/>
        <v>3660</v>
      </c>
      <c r="AC13" s="63">
        <v>111000</v>
      </c>
      <c r="AD13" s="63">
        <v>18000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15.200000000000003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57</v>
      </c>
      <c r="AS13" s="33">
        <v>0.2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271</v>
      </c>
      <c r="J14" s="47">
        <v>9</v>
      </c>
      <c r="K14" s="19">
        <v>-21</v>
      </c>
      <c r="L14" s="33" t="str">
        <f t="shared" si="5"/>
        <v>EW_sand_Ruled_55</v>
      </c>
      <c r="M14" s="105" t="s">
        <v>64</v>
      </c>
      <c r="N14" s="47">
        <v>9.8000000000000007</v>
      </c>
      <c r="O14" s="63">
        <v>0</v>
      </c>
      <c r="P14" s="63">
        <v>0</v>
      </c>
      <c r="Q14" s="47">
        <v>27</v>
      </c>
      <c r="R14" s="47">
        <f t="shared" si="0"/>
        <v>22</v>
      </c>
      <c r="S14" s="47">
        <v>1</v>
      </c>
      <c r="T14" s="47">
        <v>0</v>
      </c>
      <c r="U14" s="75">
        <v>0</v>
      </c>
      <c r="V14" s="75">
        <v>0</v>
      </c>
      <c r="W14" s="47">
        <v>0</v>
      </c>
      <c r="X14" s="47">
        <v>20800</v>
      </c>
      <c r="Y14" s="47">
        <v>0</v>
      </c>
      <c r="Z14" s="47">
        <f t="shared" si="1"/>
        <v>72.59999999999998</v>
      </c>
      <c r="AA14" s="47">
        <v>1</v>
      </c>
      <c r="AB14" s="47">
        <f t="shared" si="2"/>
        <v>3660</v>
      </c>
      <c r="AC14" s="63">
        <v>133000</v>
      </c>
      <c r="AD14" s="63">
        <v>-4000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15.200000000000003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55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271</v>
      </c>
      <c r="J15" s="47">
        <v>10</v>
      </c>
      <c r="K15" s="19">
        <v>-22</v>
      </c>
      <c r="L15" s="33" t="str">
        <f t="shared" si="5"/>
        <v>EW_sand_Ruled_47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26</v>
      </c>
      <c r="R15" s="47">
        <f t="shared" si="0"/>
        <v>21</v>
      </c>
      <c r="S15" s="47">
        <v>0.8</v>
      </c>
      <c r="T15" s="47">
        <v>0</v>
      </c>
      <c r="U15" s="75">
        <v>0</v>
      </c>
      <c r="V15" s="75">
        <v>0</v>
      </c>
      <c r="W15" s="47">
        <v>0</v>
      </c>
      <c r="X15" s="47">
        <v>16000</v>
      </c>
      <c r="Y15" s="47">
        <v>0</v>
      </c>
      <c r="Z15" s="47">
        <f t="shared" si="1"/>
        <v>69.799999999999983</v>
      </c>
      <c r="AA15" s="47">
        <v>1</v>
      </c>
      <c r="AB15" s="47">
        <f t="shared" si="2"/>
        <v>3280</v>
      </c>
      <c r="AC15" s="63">
        <v>127000</v>
      </c>
      <c r="AD15" s="63">
        <v>222.22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3"/>
        <v>13.600000000000003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47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273</v>
      </c>
      <c r="J16" s="47">
        <v>11</v>
      </c>
      <c r="K16" s="19">
        <v>-31</v>
      </c>
      <c r="L16" s="116" t="s">
        <v>275</v>
      </c>
      <c r="M16" s="105" t="s">
        <v>65</v>
      </c>
      <c r="N16" s="47">
        <v>8.9</v>
      </c>
      <c r="O16" s="63">
        <v>271</v>
      </c>
      <c r="P16" s="63">
        <v>5.96</v>
      </c>
      <c r="Q16" s="47">
        <v>0</v>
      </c>
      <c r="R16" s="47" t="e">
        <f t="shared" si="0"/>
        <v>#N/A</v>
      </c>
      <c r="S16" s="47">
        <v>2.6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32700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382000</v>
      </c>
      <c r="AD16" s="63">
        <v>10241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52"/>
      <c r="E17" s="152"/>
      <c r="I17" s="56" t="s">
        <v>218</v>
      </c>
      <c r="J17" s="47">
        <v>12</v>
      </c>
      <c r="K17" s="19">
        <v>-60</v>
      </c>
      <c r="L17" s="116" t="s">
        <v>275</v>
      </c>
      <c r="M17" s="105" t="s">
        <v>65</v>
      </c>
      <c r="N17" s="47">
        <v>8.3000000000000007</v>
      </c>
      <c r="O17" s="63">
        <v>487</v>
      </c>
      <c r="P17" s="63">
        <v>6.44</v>
      </c>
      <c r="Q17" s="47">
        <v>0</v>
      </c>
      <c r="R17" s="47" t="e">
        <f t="shared" si="0"/>
        <v>#N/A</v>
      </c>
      <c r="S17" s="47">
        <v>2.4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45600</v>
      </c>
      <c r="Y17" s="47">
        <v>0</v>
      </c>
      <c r="Z17" s="47" t="e">
        <f t="shared" si="1"/>
        <v>#N/A</v>
      </c>
      <c r="AA17" s="47">
        <v>1</v>
      </c>
      <c r="AB17" s="47" t="e">
        <f t="shared" si="2"/>
        <v>#N/A</v>
      </c>
      <c r="AC17" s="63">
        <v>728000</v>
      </c>
      <c r="AD17" s="63">
        <v>11444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3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220</v>
      </c>
      <c r="J18" s="47">
        <v>13</v>
      </c>
      <c r="K18" s="19">
        <v>-69</v>
      </c>
      <c r="L18" s="116" t="s">
        <v>275</v>
      </c>
      <c r="M18" s="105" t="s">
        <v>65</v>
      </c>
      <c r="N18" s="47">
        <v>8.8000000000000007</v>
      </c>
      <c r="O18" s="63">
        <v>986</v>
      </c>
      <c r="P18" s="63">
        <v>4.18</v>
      </c>
      <c r="Q18" s="47">
        <v>0</v>
      </c>
      <c r="R18" s="47" t="e">
        <f t="shared" si="0"/>
        <v>#N/A</v>
      </c>
      <c r="S18" s="47">
        <v>3</v>
      </c>
      <c r="T18" s="47">
        <v>0</v>
      </c>
      <c r="U18" s="75">
        <v>1.7999999999999999E-2</v>
      </c>
      <c r="V18" s="75">
        <v>0</v>
      </c>
      <c r="W18" s="47">
        <v>0.25</v>
      </c>
      <c r="X18" s="47">
        <v>88500</v>
      </c>
      <c r="Y18" s="47">
        <v>0</v>
      </c>
      <c r="Z18" s="47" t="e">
        <f t="shared" si="1"/>
        <v>#N/A</v>
      </c>
      <c r="AA18" s="47">
        <v>1</v>
      </c>
      <c r="AB18" s="47" t="e">
        <f t="shared" si="2"/>
        <v>#N/A</v>
      </c>
      <c r="AC18" s="63">
        <v>1629000</v>
      </c>
      <c r="AD18" s="63">
        <v>24363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3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52" t="s">
        <v>38</v>
      </c>
      <c r="B19" s="152" t="s">
        <v>30</v>
      </c>
      <c r="C19" s="152" t="s">
        <v>59</v>
      </c>
      <c r="D19" s="43"/>
      <c r="E19" s="35"/>
      <c r="I19" s="33" t="s">
        <v>220</v>
      </c>
      <c r="J19" s="47">
        <v>14</v>
      </c>
      <c r="K19" s="19">
        <v>-80</v>
      </c>
      <c r="L19" s="116" t="s">
        <v>275</v>
      </c>
      <c r="M19" s="105" t="s">
        <v>65</v>
      </c>
      <c r="N19" s="47">
        <v>8.8000000000000007</v>
      </c>
      <c r="O19" s="63">
        <v>1118</v>
      </c>
      <c r="P19" s="63">
        <v>0</v>
      </c>
      <c r="Q19" s="47">
        <v>0</v>
      </c>
      <c r="R19" s="47" t="e">
        <f t="shared" si="0"/>
        <v>#N/A</v>
      </c>
      <c r="S19" s="47">
        <v>3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88500</v>
      </c>
      <c r="Y19" s="47">
        <v>0</v>
      </c>
      <c r="Z19" s="47" t="e">
        <f t="shared" si="1"/>
        <v>#N/A</v>
      </c>
      <c r="AA19" s="47">
        <v>1</v>
      </c>
      <c r="AB19" s="47" t="e">
        <f t="shared" si="2"/>
        <v>#N/A</v>
      </c>
      <c r="AC19" s="63">
        <v>1897000</v>
      </c>
      <c r="AD19" s="63">
        <v>0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3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5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5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6">AF40+3.8</f>
        <v>55.599999999999994</v>
      </c>
      <c r="AG41" s="33">
        <f t="shared" ref="AG41:AG43" si="7">AG40+200</f>
        <v>2300</v>
      </c>
      <c r="AH41" s="33">
        <f t="shared" ref="AH41:AH44" si="8">AH40+0.8</f>
        <v>9.6000000000000014</v>
      </c>
    </row>
    <row r="42" spans="1:42" x14ac:dyDescent="0.25">
      <c r="L42" s="49"/>
      <c r="AE42" s="33">
        <v>18</v>
      </c>
      <c r="AF42" s="33">
        <f t="shared" si="6"/>
        <v>59.399999999999991</v>
      </c>
      <c r="AG42" s="33">
        <f t="shared" si="7"/>
        <v>2500</v>
      </c>
      <c r="AH42" s="33">
        <f t="shared" si="8"/>
        <v>10.400000000000002</v>
      </c>
    </row>
    <row r="43" spans="1:42" x14ac:dyDescent="0.25">
      <c r="L43" s="49"/>
      <c r="AE43" s="33">
        <v>19</v>
      </c>
      <c r="AF43" s="33">
        <f t="shared" si="6"/>
        <v>63.199999999999989</v>
      </c>
      <c r="AG43" s="33">
        <f t="shared" si="7"/>
        <v>2700</v>
      </c>
      <c r="AH43" s="33">
        <f t="shared" si="8"/>
        <v>11.200000000000003</v>
      </c>
    </row>
    <row r="44" spans="1:42" x14ac:dyDescent="0.25">
      <c r="L44" s="49"/>
      <c r="AE44" s="33">
        <v>20</v>
      </c>
      <c r="AF44" s="33">
        <f t="shared" si="6"/>
        <v>66.999999999999986</v>
      </c>
      <c r="AG44" s="33">
        <f>AG43+200</f>
        <v>2900</v>
      </c>
      <c r="AH44" s="33">
        <f t="shared" si="8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9">AF45+2.8</f>
        <v>72.59999999999998</v>
      </c>
      <c r="AG46" s="33">
        <f t="shared" ref="AG46:AG48" si="10">AG45+380</f>
        <v>3660</v>
      </c>
      <c r="AH46" s="33">
        <f t="shared" ref="AH46:AH49" si="11">AH45+1.6</f>
        <v>15.200000000000003</v>
      </c>
    </row>
    <row r="47" spans="1:42" x14ac:dyDescent="0.25">
      <c r="L47" s="49"/>
      <c r="AE47" s="33">
        <v>23</v>
      </c>
      <c r="AF47" s="33">
        <f t="shared" si="9"/>
        <v>75.399999999999977</v>
      </c>
      <c r="AG47" s="33">
        <f t="shared" si="10"/>
        <v>4040</v>
      </c>
      <c r="AH47" s="33">
        <f t="shared" si="11"/>
        <v>16.800000000000004</v>
      </c>
    </row>
    <row r="48" spans="1:42" x14ac:dyDescent="0.25">
      <c r="L48" s="49"/>
      <c r="AE48" s="33">
        <v>24</v>
      </c>
      <c r="AF48" s="33">
        <f t="shared" si="9"/>
        <v>78.199999999999974</v>
      </c>
      <c r="AG48" s="33">
        <f t="shared" si="10"/>
        <v>4420</v>
      </c>
      <c r="AH48" s="33">
        <f t="shared" si="11"/>
        <v>18.400000000000006</v>
      </c>
    </row>
    <row r="49" spans="12:34" x14ac:dyDescent="0.25">
      <c r="L49" s="49"/>
      <c r="AE49" s="33">
        <v>25</v>
      </c>
      <c r="AF49" s="33">
        <f t="shared" si="9"/>
        <v>80.999999999999972</v>
      </c>
      <c r="AG49" s="33">
        <v>4800</v>
      </c>
      <c r="AH49" s="33">
        <f t="shared" si="11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2">AF50+3</f>
        <v>86.999999999999972</v>
      </c>
      <c r="AG51" s="33">
        <f t="shared" ref="AG51:AG54" si="13">AG50+960</f>
        <v>6720</v>
      </c>
      <c r="AH51" s="33">
        <f t="shared" ref="AH51:AH54" si="14">AH50+4</f>
        <v>28.000000000000007</v>
      </c>
    </row>
    <row r="52" spans="12:34" x14ac:dyDescent="0.25">
      <c r="L52" s="49"/>
      <c r="AE52" s="33">
        <v>28</v>
      </c>
      <c r="AF52" s="33">
        <f t="shared" si="12"/>
        <v>89.999999999999972</v>
      </c>
      <c r="AG52" s="33">
        <f t="shared" si="13"/>
        <v>7680</v>
      </c>
      <c r="AH52" s="33">
        <f t="shared" si="14"/>
        <v>32.000000000000007</v>
      </c>
    </row>
    <row r="53" spans="12:34" x14ac:dyDescent="0.25">
      <c r="L53" s="49"/>
      <c r="AE53" s="33">
        <v>29</v>
      </c>
      <c r="AF53" s="33">
        <f t="shared" si="12"/>
        <v>92.999999999999972</v>
      </c>
      <c r="AG53" s="33">
        <f t="shared" si="13"/>
        <v>8640</v>
      </c>
      <c r="AH53" s="33">
        <f t="shared" si="14"/>
        <v>36.000000000000007</v>
      </c>
    </row>
    <row r="54" spans="12:34" x14ac:dyDescent="0.25">
      <c r="L54" s="49"/>
      <c r="AE54" s="33">
        <v>30</v>
      </c>
      <c r="AF54" s="33">
        <f t="shared" si="12"/>
        <v>95.999999999999972</v>
      </c>
      <c r="AG54" s="33">
        <f t="shared" si="13"/>
        <v>9600</v>
      </c>
      <c r="AH54" s="33">
        <f t="shared" si="14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5">AF55+3.8</f>
        <v>103.59999999999997</v>
      </c>
      <c r="AG56" s="33">
        <f t="shared" ref="AG56:AG59" si="16">AG55+480</f>
        <v>10560</v>
      </c>
      <c r="AH56" s="33">
        <f t="shared" ref="AH56:AH59" si="17">AH55+2</f>
        <v>44.000000000000007</v>
      </c>
    </row>
    <row r="57" spans="12:34" x14ac:dyDescent="0.25">
      <c r="L57" s="49"/>
      <c r="AE57" s="33">
        <v>33</v>
      </c>
      <c r="AF57" s="33">
        <f t="shared" si="15"/>
        <v>107.39999999999996</v>
      </c>
      <c r="AG57" s="33">
        <f t="shared" si="16"/>
        <v>11040</v>
      </c>
      <c r="AH57" s="33">
        <f t="shared" si="17"/>
        <v>46.000000000000007</v>
      </c>
    </row>
    <row r="58" spans="12:34" x14ac:dyDescent="0.25">
      <c r="L58" s="49"/>
      <c r="AE58" s="33">
        <v>34</v>
      </c>
      <c r="AF58" s="33">
        <f t="shared" si="15"/>
        <v>111.19999999999996</v>
      </c>
      <c r="AG58" s="33">
        <f t="shared" si="16"/>
        <v>11520</v>
      </c>
      <c r="AH58" s="33">
        <f t="shared" si="17"/>
        <v>48.000000000000007</v>
      </c>
    </row>
    <row r="59" spans="12:34" x14ac:dyDescent="0.25">
      <c r="L59" s="49"/>
      <c r="AE59" s="33">
        <v>35</v>
      </c>
      <c r="AF59" s="33">
        <f t="shared" si="15"/>
        <v>114.99999999999996</v>
      </c>
      <c r="AG59" s="33">
        <f t="shared" si="16"/>
        <v>12000</v>
      </c>
      <c r="AH59" s="33">
        <f t="shared" si="17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0:AP36">
    <cfRule type="expression" dxfId="3305" priority="24">
      <formula>$L20="API sand"</formula>
    </cfRule>
  </conditionalFormatting>
  <conditionalFormatting sqref="R20:S20 R29:S36 S21:S28 AD21:AD28 AB20:AB35">
    <cfRule type="expression" dxfId="3304" priority="23">
      <formula>$M20="API sand"</formula>
    </cfRule>
  </conditionalFormatting>
  <conditionalFormatting sqref="R20:T20 R29:T36 S21:T28 AD21:AD28 AB20:AB35">
    <cfRule type="expression" dxfId="3303" priority="22">
      <formula>$M20="API clay"</formula>
    </cfRule>
  </conditionalFormatting>
  <conditionalFormatting sqref="U20:W36 AM20:AP36">
    <cfRule type="expression" dxfId="3302" priority="19">
      <formula>$L20="Stiff clay w/o free water"</formula>
    </cfRule>
    <cfRule type="expression" dxfId="3301" priority="21">
      <formula>$L20="API clay"</formula>
    </cfRule>
  </conditionalFormatting>
  <conditionalFormatting sqref="U20:Y36 AM20:AP36">
    <cfRule type="expression" dxfId="3300" priority="20">
      <formula>$L20="Kirsch soft clay"</formula>
    </cfRule>
  </conditionalFormatting>
  <conditionalFormatting sqref="U20:Y36 AM20:AP36">
    <cfRule type="expression" dxfId="3299" priority="18">
      <formula>$L20="Kirsch stiff clay"</formula>
    </cfRule>
  </conditionalFormatting>
  <conditionalFormatting sqref="AM20:AP36">
    <cfRule type="expression" dxfId="3298" priority="17">
      <formula>$L20="Kirsch sand"</formula>
    </cfRule>
  </conditionalFormatting>
  <conditionalFormatting sqref="AM20:AP36">
    <cfRule type="expression" dxfId="3297" priority="16">
      <formula>$L20="Modified Weak rock"</formula>
    </cfRule>
  </conditionalFormatting>
  <conditionalFormatting sqref="U20:V36 AM20:AP36">
    <cfRule type="expression" dxfId="3296" priority="15">
      <formula>$L20="Reese stiff clay"</formula>
    </cfRule>
  </conditionalFormatting>
  <conditionalFormatting sqref="N20:N36 Q20:Q36">
    <cfRule type="expression" dxfId="3295" priority="14">
      <formula>$L20="API sand"</formula>
    </cfRule>
  </conditionalFormatting>
  <conditionalFormatting sqref="N20:N36 AB36 AJ20:AL36 Z20:Z36">
    <cfRule type="expression" dxfId="3294" priority="13">
      <formula>$M20="API sand"</formula>
    </cfRule>
  </conditionalFormatting>
  <conditionalFormatting sqref="Z36:AB36 AK20:AL36 N20:N36 Z20:AA35">
    <cfRule type="expression" dxfId="3293" priority="12">
      <formula>$M20="API clay"</formula>
    </cfRule>
  </conditionalFormatting>
  <conditionalFormatting sqref="N29:P36 N20:N28 P20:P28">
    <cfRule type="expression" dxfId="3292" priority="9">
      <formula>$L20="Stiff clay w/o free water"</formula>
    </cfRule>
    <cfRule type="expression" dxfId="3291" priority="11">
      <formula>$L20="API clay"</formula>
    </cfRule>
  </conditionalFormatting>
  <conditionalFormatting sqref="N29:P36 N20:N28 P20:P28">
    <cfRule type="expression" dxfId="3290" priority="10">
      <formula>$L20="Kirsch soft clay"</formula>
    </cfRule>
  </conditionalFormatting>
  <conditionalFormatting sqref="N29:P36 N20:N28 P20:P28">
    <cfRule type="expression" dxfId="3289" priority="8">
      <formula>$L20="Kirsch stiff clay"</formula>
    </cfRule>
  </conditionalFormatting>
  <conditionalFormatting sqref="N20:N36 Q20:Q36 X20:Y36">
    <cfRule type="expression" dxfId="3288" priority="7">
      <formula>$L20="Kirsch sand"</formula>
    </cfRule>
  </conditionalFormatting>
  <conditionalFormatting sqref="N20:N36 AC20:AD36 AI20:AI36">
    <cfRule type="expression" dxfId="3287" priority="6">
      <formula>$L20="Modified Weak rock"</formula>
    </cfRule>
  </conditionalFormatting>
  <conditionalFormatting sqref="N29:P36 N20:N28 P20:P28">
    <cfRule type="expression" dxfId="3286" priority="5">
      <formula>$L20="Reese stiff clay"</formula>
    </cfRule>
  </conditionalFormatting>
  <conditionalFormatting sqref="O20:O21">
    <cfRule type="expression" dxfId="3285" priority="4">
      <formula>$L20="API sand"</formula>
    </cfRule>
  </conditionalFormatting>
  <conditionalFormatting sqref="O20:O21">
    <cfRule type="expression" dxfId="3284" priority="3">
      <formula>$L20="Kirsch sand"</formula>
    </cfRule>
  </conditionalFormatting>
  <conditionalFormatting sqref="O22:O28">
    <cfRule type="expression" dxfId="3283" priority="2">
      <formula>$L22="API sand"</formula>
    </cfRule>
  </conditionalFormatting>
  <conditionalFormatting sqref="O22:O28">
    <cfRule type="expression" dxfId="3282" priority="1">
      <formula>$L22="Kirsch sand"</formula>
    </cfRule>
  </conditionalFormatting>
  <conditionalFormatting sqref="AE37:AH37">
    <cfRule type="expression" dxfId="3281" priority="25">
      <formula>$L19="Modified Weak rock"</formula>
    </cfRule>
  </conditionalFormatting>
  <dataValidations count="4">
    <dataValidation showInputMessage="1" showErrorMessage="1" sqref="L9:L10 L16:L19" xr:uid="{43CBFFC7-E58C-4CB5-B363-8F2D3793ABC5}"/>
    <dataValidation type="list" showInputMessage="1" showErrorMessage="1" sqref="M6:M19" xr:uid="{26418E8F-5964-4DC5-9ED7-5238CBFF2C93}">
      <formula1>"Zero soil,API sand,API clay"</formula1>
    </dataValidation>
    <dataValidation type="list" showInputMessage="1" showErrorMessage="1" sqref="L20:L255" xr:uid="{12CF8350-FB98-4316-BFB1-1E3442505141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7:M36" xr:uid="{166A6DD8-C6AA-4150-A8FA-82ABCB5C8F57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B0CE-6778-4966-ACF7-09A9BC6E37EC}">
  <sheetPr>
    <tabColor rgb="FF00B0F0"/>
  </sheetPr>
  <dimension ref="A1:AS255"/>
  <sheetViews>
    <sheetView tabSelected="1" topLeftCell="C10" zoomScale="55" zoomScaleNormal="55" workbookViewId="0">
      <selection activeCell="Y28" sqref="Y28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21.7109375" style="33" bestFit="1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Ak_Pisa_WTG30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4"/>
      <c r="R3" s="155"/>
      <c r="S3" s="155"/>
      <c r="T3" s="114"/>
      <c r="U3" s="155"/>
      <c r="V3" s="155"/>
      <c r="W3" s="114"/>
      <c r="X3" s="69"/>
      <c r="Y3" s="114"/>
      <c r="Z3" s="114"/>
      <c r="AA3" s="114"/>
      <c r="AB3" s="114"/>
      <c r="AC3" s="69"/>
      <c r="AD3" s="39"/>
      <c r="AE3" s="39"/>
      <c r="AF3" s="39"/>
      <c r="AG3" s="39"/>
      <c r="AH3" s="39"/>
      <c r="AI3" s="39"/>
      <c r="AJ3" s="114"/>
      <c r="AK3" s="114"/>
      <c r="AL3" s="114"/>
      <c r="AM3" s="114"/>
      <c r="AN3" s="114"/>
      <c r="AO3" s="114"/>
      <c r="AP3" s="114"/>
    </row>
    <row r="4" spans="1:45" x14ac:dyDescent="0.25">
      <c r="A4" s="40" t="s">
        <v>60</v>
      </c>
      <c r="B4" s="33">
        <f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5" t="s">
        <v>38</v>
      </c>
      <c r="K5" s="115" t="s">
        <v>30</v>
      </c>
      <c r="L5" s="115" t="s">
        <v>31</v>
      </c>
      <c r="M5" s="115" t="s">
        <v>31</v>
      </c>
      <c r="N5" s="115" t="s">
        <v>32</v>
      </c>
      <c r="O5" s="115" t="s">
        <v>33</v>
      </c>
      <c r="P5" s="115" t="s">
        <v>35</v>
      </c>
      <c r="Q5" s="115" t="s">
        <v>36</v>
      </c>
      <c r="R5" s="115" t="s">
        <v>36</v>
      </c>
      <c r="S5" s="115" t="s">
        <v>34</v>
      </c>
      <c r="T5" s="115" t="s">
        <v>33</v>
      </c>
      <c r="U5" s="115" t="s">
        <v>34</v>
      </c>
      <c r="V5" s="115" t="s">
        <v>62</v>
      </c>
      <c r="W5" s="115" t="s">
        <v>34</v>
      </c>
      <c r="X5" s="115" t="s">
        <v>33</v>
      </c>
      <c r="Y5" s="115" t="s">
        <v>35</v>
      </c>
      <c r="Z5" s="115" t="s">
        <v>33</v>
      </c>
      <c r="AA5" s="115" t="s">
        <v>34</v>
      </c>
      <c r="AB5" s="115" t="s">
        <v>33</v>
      </c>
      <c r="AC5" s="115" t="s">
        <v>33</v>
      </c>
      <c r="AD5" s="115" t="s">
        <v>35</v>
      </c>
      <c r="AE5" s="115" t="s">
        <v>34</v>
      </c>
      <c r="AF5" s="115" t="s">
        <v>33</v>
      </c>
      <c r="AG5" s="115" t="s">
        <v>35</v>
      </c>
      <c r="AH5" s="115" t="s">
        <v>34</v>
      </c>
      <c r="AI5" s="115" t="s">
        <v>34</v>
      </c>
      <c r="AJ5" s="115" t="s">
        <v>34</v>
      </c>
      <c r="AK5" s="115" t="s">
        <v>34</v>
      </c>
      <c r="AL5" s="115" t="s">
        <v>34</v>
      </c>
      <c r="AM5" s="115" t="s">
        <v>34</v>
      </c>
      <c r="AN5" s="115" t="s">
        <v>34</v>
      </c>
      <c r="AO5" s="115" t="s">
        <v>34</v>
      </c>
      <c r="AP5" s="115" t="s">
        <v>34</v>
      </c>
      <c r="AQ5" s="115" t="s">
        <v>103</v>
      </c>
      <c r="AR5" s="115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EW_sand_Ruled_64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31</v>
      </c>
      <c r="R6" s="47">
        <f t="shared" ref="R6:R19" si="0">IF(Q6&lt;&gt;0,Q6-5,NA())</f>
        <v>26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2200</v>
      </c>
      <c r="Y6" s="47">
        <v>0</v>
      </c>
      <c r="Z6" s="47">
        <f t="shared" ref="Z6:Z19" si="1">VLOOKUP(R6,$AE$39:$AF$59,2)</f>
        <v>83.999999999999972</v>
      </c>
      <c r="AA6" s="47">
        <v>1</v>
      </c>
      <c r="AB6" s="47">
        <f t="shared" ref="AB6:AB19" si="2">VLOOKUP(R6,$AE$39:$AG$59,3)</f>
        <v>5760</v>
      </c>
      <c r="AC6" s="63">
        <v>5000</v>
      </c>
      <c r="AD6" s="63">
        <v>20000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9" si="3">VLOOKUP(R6,$AE$39:$AH$59,4)</f>
        <v>24.000000000000007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64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 t="s">
        <v>257</v>
      </c>
      <c r="J7" s="47">
        <v>2</v>
      </c>
      <c r="K7" s="19">
        <v>-0.5</v>
      </c>
      <c r="L7" s="33" t="str">
        <f t="shared" ref="L7:L8" si="4">"EW_sand_Ruled"&amp;"_"&amp;AR7</f>
        <v>EW_sand_Ruled_45</v>
      </c>
      <c r="M7" s="105" t="s">
        <v>64</v>
      </c>
      <c r="N7" s="47">
        <v>9.4</v>
      </c>
      <c r="O7" s="63">
        <v>0</v>
      </c>
      <c r="P7" s="63">
        <v>0</v>
      </c>
      <c r="Q7" s="47">
        <v>34</v>
      </c>
      <c r="R7" s="47">
        <f t="shared" si="0"/>
        <v>29</v>
      </c>
      <c r="S7" s="47">
        <v>1.4</v>
      </c>
      <c r="T7" s="47">
        <v>0</v>
      </c>
      <c r="U7" s="75">
        <v>0</v>
      </c>
      <c r="V7" s="75">
        <v>0</v>
      </c>
      <c r="W7" s="47">
        <v>0</v>
      </c>
      <c r="X7" s="47">
        <v>9600</v>
      </c>
      <c r="Y7" s="47">
        <v>0</v>
      </c>
      <c r="Z7" s="47">
        <f t="shared" si="1"/>
        <v>92.999999999999972</v>
      </c>
      <c r="AA7" s="47">
        <v>1</v>
      </c>
      <c r="AB7" s="47">
        <f t="shared" si="2"/>
        <v>8640</v>
      </c>
      <c r="AC7" s="63">
        <v>21000</v>
      </c>
      <c r="AD7" s="63">
        <v>9655.17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36.000000000000007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45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15310.480000000001</v>
      </c>
      <c r="H8" s="45" t="s">
        <v>53</v>
      </c>
      <c r="I8" s="56" t="s">
        <v>293</v>
      </c>
      <c r="J8" s="47">
        <v>3</v>
      </c>
      <c r="K8" s="19">
        <v>-3.4</v>
      </c>
      <c r="L8" s="33" t="str">
        <f t="shared" si="4"/>
        <v>EW_sand_Ruled_57</v>
      </c>
      <c r="M8" s="105" t="s">
        <v>64</v>
      </c>
      <c r="N8" s="47">
        <v>9.6</v>
      </c>
      <c r="O8" s="63">
        <v>0</v>
      </c>
      <c r="P8" s="63">
        <v>0</v>
      </c>
      <c r="Q8" s="47">
        <v>36</v>
      </c>
      <c r="R8" s="47">
        <f t="shared" si="0"/>
        <v>31</v>
      </c>
      <c r="S8" s="47">
        <v>1</v>
      </c>
      <c r="T8" s="47">
        <v>0</v>
      </c>
      <c r="U8" s="75">
        <v>0</v>
      </c>
      <c r="V8" s="75">
        <v>0</v>
      </c>
      <c r="W8" s="47">
        <v>0</v>
      </c>
      <c r="X8" s="47">
        <v>27000</v>
      </c>
      <c r="Y8" s="47">
        <v>0</v>
      </c>
      <c r="Z8" s="47">
        <f t="shared" si="1"/>
        <v>99.799999999999969</v>
      </c>
      <c r="AA8" s="47">
        <v>1</v>
      </c>
      <c r="AB8" s="47">
        <f t="shared" si="2"/>
        <v>10080</v>
      </c>
      <c r="AC8" s="63">
        <v>53000</v>
      </c>
      <c r="AD8" s="63">
        <v>5151.51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42.000000000000007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57</v>
      </c>
      <c r="AS8" s="33">
        <v>0.4</v>
      </c>
    </row>
    <row r="9" spans="1:45" x14ac:dyDescent="0.25">
      <c r="A9" s="33" t="s">
        <v>68</v>
      </c>
      <c r="B9" s="57">
        <v>40.5</v>
      </c>
      <c r="C9" s="45" t="s">
        <v>28</v>
      </c>
      <c r="D9" s="57">
        <v>28</v>
      </c>
      <c r="F9" s="33" t="s">
        <v>96</v>
      </c>
      <c r="G9" s="76">
        <v>-639651.62307692296</v>
      </c>
      <c r="H9" s="45" t="s">
        <v>54</v>
      </c>
      <c r="I9" s="33" t="s">
        <v>294</v>
      </c>
      <c r="J9" s="47">
        <v>4</v>
      </c>
      <c r="K9" s="19">
        <v>-10</v>
      </c>
      <c r="L9" s="116" t="s">
        <v>275</v>
      </c>
      <c r="M9" s="105" t="s">
        <v>65</v>
      </c>
      <c r="N9" s="47">
        <v>8.6</v>
      </c>
      <c r="O9" s="63">
        <v>92</v>
      </c>
      <c r="P9" s="63">
        <v>19</v>
      </c>
      <c r="Q9" s="47">
        <v>0</v>
      </c>
      <c r="R9" s="47" t="e">
        <f t="shared" si="0"/>
        <v>#N/A</v>
      </c>
      <c r="S9" s="47">
        <v>3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23200</v>
      </c>
      <c r="Y9" s="47">
        <v>0</v>
      </c>
      <c r="Z9" s="47" t="e">
        <f t="shared" si="1"/>
        <v>#N/A</v>
      </c>
      <c r="AA9" s="47">
        <v>1</v>
      </c>
      <c r="AB9" s="47" t="e">
        <f t="shared" si="2"/>
        <v>#N/A</v>
      </c>
      <c r="AC9" s="63">
        <v>103000</v>
      </c>
      <c r="AD9" s="63">
        <v>20000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3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40.5</v>
      </c>
      <c r="C10" s="45" t="s">
        <v>28</v>
      </c>
      <c r="D10" s="58">
        <v>28</v>
      </c>
      <c r="F10" s="33" t="s">
        <v>51</v>
      </c>
      <c r="G10" s="71">
        <v>26677.395384615385</v>
      </c>
      <c r="H10" s="45" t="s">
        <v>53</v>
      </c>
      <c r="I10" s="56" t="s">
        <v>294</v>
      </c>
      <c r="J10" s="47">
        <v>5</v>
      </c>
      <c r="K10" s="56">
        <v>-13</v>
      </c>
      <c r="L10" s="116" t="s">
        <v>275</v>
      </c>
      <c r="M10" s="105" t="s">
        <v>65</v>
      </c>
      <c r="N10" s="47">
        <v>8.6</v>
      </c>
      <c r="O10" s="63">
        <v>164</v>
      </c>
      <c r="P10" s="63">
        <v>-51</v>
      </c>
      <c r="Q10" s="47">
        <v>0</v>
      </c>
      <c r="R10" s="47" t="e">
        <f t="shared" si="0"/>
        <v>#N/A</v>
      </c>
      <c r="S10" s="47">
        <v>3</v>
      </c>
      <c r="T10" s="47">
        <v>0</v>
      </c>
      <c r="U10" s="75">
        <v>1.7999999999999999E-2</v>
      </c>
      <c r="V10" s="75">
        <v>0</v>
      </c>
      <c r="W10" s="47">
        <v>0.5</v>
      </c>
      <c r="X10" s="47">
        <v>24900</v>
      </c>
      <c r="Y10" s="47">
        <v>0</v>
      </c>
      <c r="Z10" s="47" t="e">
        <f t="shared" si="1"/>
        <v>#N/A</v>
      </c>
      <c r="AA10" s="47">
        <v>1</v>
      </c>
      <c r="AB10" s="47" t="e">
        <f t="shared" si="2"/>
        <v>#N/A</v>
      </c>
      <c r="AC10" s="63">
        <v>195000</v>
      </c>
      <c r="AD10" s="63">
        <v>-62000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 t="e">
        <f t="shared" si="3"/>
        <v>#N/A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271</v>
      </c>
      <c r="J11" s="47">
        <v>6</v>
      </c>
      <c r="K11" s="19">
        <v>-14</v>
      </c>
      <c r="L11" s="33" t="str">
        <f>"EW_sand_Ruled"&amp;"_"&amp;AR11</f>
        <v>EW_sand_Ruled_57</v>
      </c>
      <c r="M11" s="105" t="s">
        <v>64</v>
      </c>
      <c r="N11" s="47">
        <v>9.8000000000000007</v>
      </c>
      <c r="O11" s="63">
        <v>0</v>
      </c>
      <c r="P11" s="63">
        <v>0</v>
      </c>
      <c r="Q11" s="47">
        <v>28</v>
      </c>
      <c r="R11" s="47">
        <f t="shared" si="0"/>
        <v>23</v>
      </c>
      <c r="S11" s="47">
        <v>1.2</v>
      </c>
      <c r="T11" s="47">
        <v>0</v>
      </c>
      <c r="U11" s="75">
        <v>0</v>
      </c>
      <c r="V11" s="75">
        <v>0</v>
      </c>
      <c r="W11" s="47">
        <v>0</v>
      </c>
      <c r="X11" s="47">
        <v>19400</v>
      </c>
      <c r="Y11" s="47">
        <v>0</v>
      </c>
      <c r="Z11" s="47">
        <f t="shared" si="1"/>
        <v>75.399999999999977</v>
      </c>
      <c r="AA11" s="47">
        <v>1</v>
      </c>
      <c r="AB11" s="47">
        <f t="shared" si="2"/>
        <v>4040</v>
      </c>
      <c r="AC11" s="63">
        <v>101000</v>
      </c>
      <c r="AD11" s="63">
        <v>26250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16.800000000000004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57</v>
      </c>
      <c r="AS11" s="33">
        <v>0.2</v>
      </c>
    </row>
    <row r="12" spans="1:45" x14ac:dyDescent="0.25">
      <c r="A12" s="33" t="s">
        <v>74</v>
      </c>
      <c r="B12" s="57">
        <v>9.5</v>
      </c>
      <c r="C12" s="45" t="s">
        <v>28</v>
      </c>
      <c r="E12" s="59"/>
      <c r="F12" s="56" t="s">
        <v>97</v>
      </c>
      <c r="G12" s="71">
        <v>3168.2880769230769</v>
      </c>
      <c r="H12" s="45" t="s">
        <v>53</v>
      </c>
      <c r="I12" s="33" t="s">
        <v>271</v>
      </c>
      <c r="J12" s="47">
        <v>7</v>
      </c>
      <c r="K12" s="33">
        <v>-14.8</v>
      </c>
      <c r="L12" s="33" t="str">
        <f t="shared" ref="L12:L15" si="5">"EW_sand_Ruled"&amp;"_"&amp;AR12</f>
        <v>EW_sand_Ruled_60</v>
      </c>
      <c r="M12" s="105" t="s">
        <v>64</v>
      </c>
      <c r="N12" s="47">
        <v>9.8000000000000007</v>
      </c>
      <c r="O12" s="63">
        <v>0</v>
      </c>
      <c r="P12" s="63">
        <v>0</v>
      </c>
      <c r="Q12" s="47">
        <v>28</v>
      </c>
      <c r="R12" s="47">
        <f t="shared" si="0"/>
        <v>23</v>
      </c>
      <c r="S12" s="47">
        <v>1.2</v>
      </c>
      <c r="T12" s="47">
        <v>0</v>
      </c>
      <c r="U12" s="75">
        <v>0</v>
      </c>
      <c r="V12" s="75">
        <v>0</v>
      </c>
      <c r="W12" s="47">
        <v>0</v>
      </c>
      <c r="X12" s="47">
        <v>22700</v>
      </c>
      <c r="Y12" s="47">
        <v>0</v>
      </c>
      <c r="Z12" s="47">
        <f t="shared" si="1"/>
        <v>75.399999999999977</v>
      </c>
      <c r="AA12" s="47">
        <v>1</v>
      </c>
      <c r="AB12" s="47">
        <f t="shared" si="2"/>
        <v>4040</v>
      </c>
      <c r="AC12" s="63">
        <v>124000</v>
      </c>
      <c r="AD12" s="63">
        <v>-1428.57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3"/>
        <v>16.800000000000004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60</v>
      </c>
      <c r="AS12" s="33">
        <v>0.2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271</v>
      </c>
      <c r="J13" s="47">
        <v>8</v>
      </c>
      <c r="K13" s="33">
        <v>-19</v>
      </c>
      <c r="L13" s="33" t="str">
        <f t="shared" si="5"/>
        <v>EW_sand_Ruled_57</v>
      </c>
      <c r="M13" s="105" t="s">
        <v>64</v>
      </c>
      <c r="N13" s="47">
        <v>9.8000000000000007</v>
      </c>
      <c r="O13" s="63">
        <v>0</v>
      </c>
      <c r="P13" s="63">
        <v>0</v>
      </c>
      <c r="Q13" s="47">
        <v>27</v>
      </c>
      <c r="R13" s="47">
        <f t="shared" si="0"/>
        <v>22</v>
      </c>
      <c r="S13" s="47">
        <v>1.1000000000000001</v>
      </c>
      <c r="T13" s="47">
        <v>0</v>
      </c>
      <c r="U13" s="75">
        <v>0</v>
      </c>
      <c r="V13" s="75">
        <v>0</v>
      </c>
      <c r="W13" s="47">
        <v>0</v>
      </c>
      <c r="X13" s="47">
        <v>22500</v>
      </c>
      <c r="Y13" s="47">
        <v>0</v>
      </c>
      <c r="Z13" s="47">
        <f t="shared" si="1"/>
        <v>72.59999999999998</v>
      </c>
      <c r="AA13" s="47">
        <v>1</v>
      </c>
      <c r="AB13" s="47">
        <f t="shared" si="2"/>
        <v>3660</v>
      </c>
      <c r="AC13" s="63">
        <v>111000</v>
      </c>
      <c r="AD13" s="63">
        <v>18000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15.200000000000003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57</v>
      </c>
      <c r="AS13" s="33">
        <v>0.2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271</v>
      </c>
      <c r="J14" s="47">
        <v>9</v>
      </c>
      <c r="K14" s="19">
        <v>-21</v>
      </c>
      <c r="L14" s="33" t="str">
        <f t="shared" si="5"/>
        <v>EW_sand_Ruled_55</v>
      </c>
      <c r="M14" s="105" t="s">
        <v>64</v>
      </c>
      <c r="N14" s="47">
        <v>9.8000000000000007</v>
      </c>
      <c r="O14" s="63">
        <v>0</v>
      </c>
      <c r="P14" s="63">
        <v>0</v>
      </c>
      <c r="Q14" s="47">
        <v>27</v>
      </c>
      <c r="R14" s="47">
        <f t="shared" si="0"/>
        <v>22</v>
      </c>
      <c r="S14" s="47">
        <v>1</v>
      </c>
      <c r="T14" s="47">
        <v>0</v>
      </c>
      <c r="U14" s="75">
        <v>0</v>
      </c>
      <c r="V14" s="75">
        <v>0</v>
      </c>
      <c r="W14" s="47">
        <v>0</v>
      </c>
      <c r="X14" s="47">
        <v>20800</v>
      </c>
      <c r="Y14" s="47">
        <v>0</v>
      </c>
      <c r="Z14" s="47">
        <f t="shared" si="1"/>
        <v>72.59999999999998</v>
      </c>
      <c r="AA14" s="47">
        <v>1</v>
      </c>
      <c r="AB14" s="47">
        <f t="shared" si="2"/>
        <v>3660</v>
      </c>
      <c r="AC14" s="63">
        <v>133000</v>
      </c>
      <c r="AD14" s="63">
        <v>-4000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15.200000000000003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55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271</v>
      </c>
      <c r="J15" s="47">
        <v>10</v>
      </c>
      <c r="K15" s="19">
        <v>-22</v>
      </c>
      <c r="L15" s="33" t="str">
        <f t="shared" si="5"/>
        <v>EW_sand_Ruled_47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26</v>
      </c>
      <c r="R15" s="47">
        <f t="shared" si="0"/>
        <v>21</v>
      </c>
      <c r="S15" s="47">
        <v>0.8</v>
      </c>
      <c r="T15" s="47">
        <v>0</v>
      </c>
      <c r="U15" s="75">
        <v>0</v>
      </c>
      <c r="V15" s="75">
        <v>0</v>
      </c>
      <c r="W15" s="47">
        <v>0</v>
      </c>
      <c r="X15" s="47">
        <v>16000</v>
      </c>
      <c r="Y15" s="47">
        <v>0</v>
      </c>
      <c r="Z15" s="47">
        <f t="shared" si="1"/>
        <v>69.799999999999983</v>
      </c>
      <c r="AA15" s="47">
        <v>1</v>
      </c>
      <c r="AB15" s="47">
        <f t="shared" si="2"/>
        <v>3280</v>
      </c>
      <c r="AC15" s="63">
        <v>127000</v>
      </c>
      <c r="AD15" s="63">
        <v>222.22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3"/>
        <v>13.600000000000003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47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273</v>
      </c>
      <c r="J16" s="47">
        <v>11</v>
      </c>
      <c r="K16" s="19">
        <v>-31</v>
      </c>
      <c r="L16" s="116" t="s">
        <v>275</v>
      </c>
      <c r="M16" s="105" t="s">
        <v>65</v>
      </c>
      <c r="N16" s="47">
        <v>8.9</v>
      </c>
      <c r="O16" s="63">
        <v>271</v>
      </c>
      <c r="P16" s="63">
        <v>5.96</v>
      </c>
      <c r="Q16" s="47">
        <v>0</v>
      </c>
      <c r="R16" s="47" t="e">
        <f t="shared" si="0"/>
        <v>#N/A</v>
      </c>
      <c r="S16" s="47">
        <v>2.6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32700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382000</v>
      </c>
      <c r="AD16" s="63">
        <v>10241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5"/>
      <c r="E17" s="115"/>
      <c r="I17" s="56" t="s">
        <v>218</v>
      </c>
      <c r="J17" s="47">
        <v>12</v>
      </c>
      <c r="K17" s="19">
        <v>-60</v>
      </c>
      <c r="L17" s="116" t="s">
        <v>275</v>
      </c>
      <c r="M17" s="105" t="s">
        <v>65</v>
      </c>
      <c r="N17" s="47">
        <v>8.3000000000000007</v>
      </c>
      <c r="O17" s="63">
        <v>487</v>
      </c>
      <c r="P17" s="63">
        <v>6.44</v>
      </c>
      <c r="Q17" s="47">
        <v>0</v>
      </c>
      <c r="R17" s="47" t="e">
        <f t="shared" si="0"/>
        <v>#N/A</v>
      </c>
      <c r="S17" s="47">
        <v>2.4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45600</v>
      </c>
      <c r="Y17" s="47">
        <v>0</v>
      </c>
      <c r="Z17" s="47" t="e">
        <f t="shared" si="1"/>
        <v>#N/A</v>
      </c>
      <c r="AA17" s="47">
        <v>1</v>
      </c>
      <c r="AB17" s="47" t="e">
        <f t="shared" si="2"/>
        <v>#N/A</v>
      </c>
      <c r="AC17" s="63">
        <v>728000</v>
      </c>
      <c r="AD17" s="63">
        <v>11444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3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220</v>
      </c>
      <c r="J18" s="47">
        <v>13</v>
      </c>
      <c r="K18" s="19">
        <v>-69</v>
      </c>
      <c r="L18" s="116" t="s">
        <v>275</v>
      </c>
      <c r="M18" s="105" t="s">
        <v>65</v>
      </c>
      <c r="N18" s="47">
        <v>8.8000000000000007</v>
      </c>
      <c r="O18" s="63">
        <v>986</v>
      </c>
      <c r="P18" s="63">
        <v>4.18</v>
      </c>
      <c r="Q18" s="47">
        <v>0</v>
      </c>
      <c r="R18" s="47" t="e">
        <f t="shared" si="0"/>
        <v>#N/A</v>
      </c>
      <c r="S18" s="47">
        <v>3</v>
      </c>
      <c r="T18" s="47">
        <v>0</v>
      </c>
      <c r="U18" s="75">
        <v>1.7999999999999999E-2</v>
      </c>
      <c r="V18" s="75">
        <v>0</v>
      </c>
      <c r="W18" s="47">
        <v>0.25</v>
      </c>
      <c r="X18" s="47">
        <v>88500</v>
      </c>
      <c r="Y18" s="47">
        <v>0</v>
      </c>
      <c r="Z18" s="47" t="e">
        <f t="shared" si="1"/>
        <v>#N/A</v>
      </c>
      <c r="AA18" s="47">
        <v>1</v>
      </c>
      <c r="AB18" s="47" t="e">
        <f t="shared" si="2"/>
        <v>#N/A</v>
      </c>
      <c r="AC18" s="63">
        <v>1629000</v>
      </c>
      <c r="AD18" s="63">
        <v>24363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3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15" t="s">
        <v>38</v>
      </c>
      <c r="B19" s="115" t="s">
        <v>30</v>
      </c>
      <c r="C19" s="115" t="s">
        <v>59</v>
      </c>
      <c r="D19" s="43"/>
      <c r="E19" s="35"/>
      <c r="I19" s="33" t="s">
        <v>220</v>
      </c>
      <c r="J19" s="47">
        <v>14</v>
      </c>
      <c r="K19" s="19">
        <v>-80</v>
      </c>
      <c r="L19" s="116" t="s">
        <v>275</v>
      </c>
      <c r="M19" s="105" t="s">
        <v>65</v>
      </c>
      <c r="N19" s="47">
        <v>8.8000000000000007</v>
      </c>
      <c r="O19" s="63">
        <v>1118</v>
      </c>
      <c r="P19" s="63">
        <v>0</v>
      </c>
      <c r="Q19" s="47">
        <v>0</v>
      </c>
      <c r="R19" s="47" t="e">
        <f t="shared" si="0"/>
        <v>#N/A</v>
      </c>
      <c r="S19" s="47">
        <v>3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88500</v>
      </c>
      <c r="Y19" s="47">
        <v>0</v>
      </c>
      <c r="Z19" s="47" t="e">
        <f t="shared" si="1"/>
        <v>#N/A</v>
      </c>
      <c r="AA19" s="47">
        <v>1</v>
      </c>
      <c r="AB19" s="47" t="e">
        <f t="shared" si="2"/>
        <v>#N/A</v>
      </c>
      <c r="AC19" s="63">
        <v>1897000</v>
      </c>
      <c r="AD19" s="63">
        <v>0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3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5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5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6">AF40+3.8</f>
        <v>55.599999999999994</v>
      </c>
      <c r="AG41" s="33">
        <f t="shared" ref="AG41:AG43" si="7">AG40+200</f>
        <v>2300</v>
      </c>
      <c r="AH41" s="33">
        <f t="shared" ref="AH41:AH44" si="8">AH40+0.8</f>
        <v>9.6000000000000014</v>
      </c>
    </row>
    <row r="42" spans="1:42" x14ac:dyDescent="0.25">
      <c r="L42" s="49"/>
      <c r="AE42" s="33">
        <v>18</v>
      </c>
      <c r="AF42" s="33">
        <f t="shared" si="6"/>
        <v>59.399999999999991</v>
      </c>
      <c r="AG42" s="33">
        <f t="shared" si="7"/>
        <v>2500</v>
      </c>
      <c r="AH42" s="33">
        <f t="shared" si="8"/>
        <v>10.400000000000002</v>
      </c>
    </row>
    <row r="43" spans="1:42" x14ac:dyDescent="0.25">
      <c r="L43" s="49"/>
      <c r="AE43" s="33">
        <v>19</v>
      </c>
      <c r="AF43" s="33">
        <f t="shared" si="6"/>
        <v>63.199999999999989</v>
      </c>
      <c r="AG43" s="33">
        <f t="shared" si="7"/>
        <v>2700</v>
      </c>
      <c r="AH43" s="33">
        <f t="shared" si="8"/>
        <v>11.200000000000003</v>
      </c>
    </row>
    <row r="44" spans="1:42" x14ac:dyDescent="0.25">
      <c r="L44" s="49"/>
      <c r="AE44" s="33">
        <v>20</v>
      </c>
      <c r="AF44" s="33">
        <f t="shared" si="6"/>
        <v>66.999999999999986</v>
      </c>
      <c r="AG44" s="33">
        <f>AG43+200</f>
        <v>2900</v>
      </c>
      <c r="AH44" s="33">
        <f t="shared" si="8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9">AF45+2.8</f>
        <v>72.59999999999998</v>
      </c>
      <c r="AG46" s="33">
        <f t="shared" ref="AG46:AG48" si="10">AG45+380</f>
        <v>3660</v>
      </c>
      <c r="AH46" s="33">
        <f t="shared" ref="AH46:AH49" si="11">AH45+1.6</f>
        <v>15.200000000000003</v>
      </c>
    </row>
    <row r="47" spans="1:42" x14ac:dyDescent="0.25">
      <c r="L47" s="49"/>
      <c r="AE47" s="33">
        <v>23</v>
      </c>
      <c r="AF47" s="33">
        <f t="shared" si="9"/>
        <v>75.399999999999977</v>
      </c>
      <c r="AG47" s="33">
        <f t="shared" si="10"/>
        <v>4040</v>
      </c>
      <c r="AH47" s="33">
        <f t="shared" si="11"/>
        <v>16.800000000000004</v>
      </c>
    </row>
    <row r="48" spans="1:42" x14ac:dyDescent="0.25">
      <c r="L48" s="49"/>
      <c r="AE48" s="33">
        <v>24</v>
      </c>
      <c r="AF48" s="33">
        <f t="shared" si="9"/>
        <v>78.199999999999974</v>
      </c>
      <c r="AG48" s="33">
        <f t="shared" si="10"/>
        <v>4420</v>
      </c>
      <c r="AH48" s="33">
        <f t="shared" si="11"/>
        <v>18.400000000000006</v>
      </c>
    </row>
    <row r="49" spans="12:34" x14ac:dyDescent="0.25">
      <c r="L49" s="49"/>
      <c r="AE49" s="33">
        <v>25</v>
      </c>
      <c r="AF49" s="33">
        <f t="shared" si="9"/>
        <v>80.999999999999972</v>
      </c>
      <c r="AG49" s="33">
        <v>4800</v>
      </c>
      <c r="AH49" s="33">
        <f t="shared" si="11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2">AF50+3</f>
        <v>86.999999999999972</v>
      </c>
      <c r="AG51" s="33">
        <f t="shared" ref="AG51:AG54" si="13">AG50+960</f>
        <v>6720</v>
      </c>
      <c r="AH51" s="33">
        <f t="shared" ref="AH51:AH54" si="14">AH50+4</f>
        <v>28.000000000000007</v>
      </c>
    </row>
    <row r="52" spans="12:34" x14ac:dyDescent="0.25">
      <c r="L52" s="49"/>
      <c r="AE52" s="33">
        <v>28</v>
      </c>
      <c r="AF52" s="33">
        <f t="shared" si="12"/>
        <v>89.999999999999972</v>
      </c>
      <c r="AG52" s="33">
        <f t="shared" si="13"/>
        <v>7680</v>
      </c>
      <c r="AH52" s="33">
        <f t="shared" si="14"/>
        <v>32.000000000000007</v>
      </c>
    </row>
    <row r="53" spans="12:34" x14ac:dyDescent="0.25">
      <c r="L53" s="49"/>
      <c r="AE53" s="33">
        <v>29</v>
      </c>
      <c r="AF53" s="33">
        <f t="shared" si="12"/>
        <v>92.999999999999972</v>
      </c>
      <c r="AG53" s="33">
        <f t="shared" si="13"/>
        <v>8640</v>
      </c>
      <c r="AH53" s="33">
        <f t="shared" si="14"/>
        <v>36.000000000000007</v>
      </c>
    </row>
    <row r="54" spans="12:34" x14ac:dyDescent="0.25">
      <c r="L54" s="49"/>
      <c r="AE54" s="33">
        <v>30</v>
      </c>
      <c r="AF54" s="33">
        <f t="shared" si="12"/>
        <v>95.999999999999972</v>
      </c>
      <c r="AG54" s="33">
        <f t="shared" si="13"/>
        <v>9600</v>
      </c>
      <c r="AH54" s="33">
        <f t="shared" si="14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5">AF55+3.8</f>
        <v>103.59999999999997</v>
      </c>
      <c r="AG56" s="33">
        <f t="shared" ref="AG56:AG59" si="16">AG55+480</f>
        <v>10560</v>
      </c>
      <c r="AH56" s="33">
        <f t="shared" ref="AH56:AH59" si="17">AH55+2</f>
        <v>44.000000000000007</v>
      </c>
    </row>
    <row r="57" spans="12:34" x14ac:dyDescent="0.25">
      <c r="L57" s="49"/>
      <c r="AE57" s="33">
        <v>33</v>
      </c>
      <c r="AF57" s="33">
        <f t="shared" si="15"/>
        <v>107.39999999999996</v>
      </c>
      <c r="AG57" s="33">
        <f t="shared" si="16"/>
        <v>11040</v>
      </c>
      <c r="AH57" s="33">
        <f t="shared" si="17"/>
        <v>46.000000000000007</v>
      </c>
    </row>
    <row r="58" spans="12:34" x14ac:dyDescent="0.25">
      <c r="L58" s="49"/>
      <c r="AE58" s="33">
        <v>34</v>
      </c>
      <c r="AF58" s="33">
        <f t="shared" si="15"/>
        <v>111.19999999999996</v>
      </c>
      <c r="AG58" s="33">
        <f t="shared" si="16"/>
        <v>11520</v>
      </c>
      <c r="AH58" s="33">
        <f t="shared" si="17"/>
        <v>48.000000000000007</v>
      </c>
    </row>
    <row r="59" spans="12:34" x14ac:dyDescent="0.25">
      <c r="L59" s="49"/>
      <c r="AE59" s="33">
        <v>35</v>
      </c>
      <c r="AF59" s="33">
        <f t="shared" si="15"/>
        <v>114.99999999999996</v>
      </c>
      <c r="AG59" s="33">
        <f t="shared" si="16"/>
        <v>12000</v>
      </c>
      <c r="AH59" s="33">
        <f t="shared" si="17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0:AP36">
    <cfRule type="expression" dxfId="3280" priority="238">
      <formula>$L20="API sand"</formula>
    </cfRule>
  </conditionalFormatting>
  <conditionalFormatting sqref="R20:S20 R29:S36 S21:S28 AD21:AD28 AB20:AB35">
    <cfRule type="expression" dxfId="3279" priority="237">
      <formula>$M20="API sand"</formula>
    </cfRule>
  </conditionalFormatting>
  <conditionalFormatting sqref="R20:T20 R29:T36 S21:T28 AD21:AD28 AB20:AB35">
    <cfRule type="expression" dxfId="3278" priority="236">
      <formula>$M20="API clay"</formula>
    </cfRule>
  </conditionalFormatting>
  <conditionalFormatting sqref="U20:W36 AM20:AP36">
    <cfRule type="expression" dxfId="3277" priority="233">
      <formula>$L20="Stiff clay w/o free water"</formula>
    </cfRule>
    <cfRule type="expression" dxfId="3276" priority="235">
      <formula>$L20="API clay"</formula>
    </cfRule>
  </conditionalFormatting>
  <conditionalFormatting sqref="U20:Y36 AM20:AP36">
    <cfRule type="expression" dxfId="3275" priority="234">
      <formula>$L20="Kirsch soft clay"</formula>
    </cfRule>
  </conditionalFormatting>
  <conditionalFormatting sqref="U20:Y36 AM20:AP36">
    <cfRule type="expression" dxfId="3274" priority="232">
      <formula>$L20="Kirsch stiff clay"</formula>
    </cfRule>
  </conditionalFormatting>
  <conditionalFormatting sqref="AM20:AP36">
    <cfRule type="expression" dxfId="3273" priority="231">
      <formula>$L20="Kirsch sand"</formula>
    </cfRule>
  </conditionalFormatting>
  <conditionalFormatting sqref="AM20:AP36">
    <cfRule type="expression" dxfId="3272" priority="230">
      <formula>$L20="Modified Weak rock"</formula>
    </cfRule>
  </conditionalFormatting>
  <conditionalFormatting sqref="U20:V36 AM20:AP36">
    <cfRule type="expression" dxfId="3271" priority="229">
      <formula>$L20="Reese stiff clay"</formula>
    </cfRule>
  </conditionalFormatting>
  <conditionalFormatting sqref="N20:N36 Q20:Q36">
    <cfRule type="expression" dxfId="3270" priority="228">
      <formula>$L20="API sand"</formula>
    </cfRule>
  </conditionalFormatting>
  <conditionalFormatting sqref="N20:N36 AB36 AJ20:AL36 Z20:Z36">
    <cfRule type="expression" dxfId="3269" priority="227">
      <formula>$M20="API sand"</formula>
    </cfRule>
  </conditionalFormatting>
  <conditionalFormatting sqref="Z36:AB36 AK20:AL36 N20:N36 Z20:AA35">
    <cfRule type="expression" dxfId="3268" priority="226">
      <formula>$M20="API clay"</formula>
    </cfRule>
  </conditionalFormatting>
  <conditionalFormatting sqref="N29:P36 N20:N28 P20:P28">
    <cfRule type="expression" dxfId="3267" priority="223">
      <formula>$L20="Stiff clay w/o free water"</formula>
    </cfRule>
    <cfRule type="expression" dxfId="3266" priority="225">
      <formula>$L20="API clay"</formula>
    </cfRule>
  </conditionalFormatting>
  <conditionalFormatting sqref="N29:P36 N20:N28 P20:P28">
    <cfRule type="expression" dxfId="3265" priority="224">
      <formula>$L20="Kirsch soft clay"</formula>
    </cfRule>
  </conditionalFormatting>
  <conditionalFormatting sqref="N29:P36 N20:N28 P20:P28">
    <cfRule type="expression" dxfId="3264" priority="222">
      <formula>$L20="Kirsch stiff clay"</formula>
    </cfRule>
  </conditionalFormatting>
  <conditionalFormatting sqref="N20:N36 Q20:Q36 X20:Y36">
    <cfRule type="expression" dxfId="3263" priority="221">
      <formula>$L20="Kirsch sand"</formula>
    </cfRule>
  </conditionalFormatting>
  <conditionalFormatting sqref="N20:N36 AC20:AD36 AI20:AI36">
    <cfRule type="expression" dxfId="3262" priority="220">
      <formula>$L20="Modified Weak rock"</formula>
    </cfRule>
  </conditionalFormatting>
  <conditionalFormatting sqref="N29:P36 N20:N28 P20:P28">
    <cfRule type="expression" dxfId="3261" priority="219">
      <formula>$L20="Reese stiff clay"</formula>
    </cfRule>
  </conditionalFormatting>
  <conditionalFormatting sqref="O20:O21">
    <cfRule type="expression" dxfId="3260" priority="216">
      <formula>$L20="API sand"</formula>
    </cfRule>
  </conditionalFormatting>
  <conditionalFormatting sqref="O20:O21">
    <cfRule type="expression" dxfId="3259" priority="215">
      <formula>$L20="Kirsch sand"</formula>
    </cfRule>
  </conditionalFormatting>
  <conditionalFormatting sqref="O22:O28">
    <cfRule type="expression" dxfId="3258" priority="214">
      <formula>$L22="API sand"</formula>
    </cfRule>
  </conditionalFormatting>
  <conditionalFormatting sqref="O22:O28">
    <cfRule type="expression" dxfId="3257" priority="213">
      <formula>$L22="Kirsch sand"</formula>
    </cfRule>
  </conditionalFormatting>
  <conditionalFormatting sqref="AE37:AH37">
    <cfRule type="expression" dxfId="3256" priority="239">
      <formula>$L19="Modified Weak rock"</formula>
    </cfRule>
  </conditionalFormatting>
  <dataValidations count="4">
    <dataValidation type="list" showInputMessage="1" showErrorMessage="1" sqref="M7:M36" xr:uid="{CD1F90DB-32B5-4ED2-9A50-E4D96542A2B1}">
      <formula1>"',API sand,API clay"</formula1>
    </dataValidation>
    <dataValidation type="list" showInputMessage="1" showErrorMessage="1" sqref="L20:L255" xr:uid="{F91AEC91-3C1A-4A5E-BAD0-E53A04F5BC61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9" xr:uid="{03369A48-B030-4318-A5CC-DD36BC5BEF10}">
      <formula1>"Zero soil,API sand,API clay"</formula1>
    </dataValidation>
    <dataValidation showInputMessage="1" showErrorMessage="1" sqref="L9:L10 L16:L19" xr:uid="{D9F01271-B00D-42EF-A495-087C8184ABDF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7E30-4009-4034-9471-75EDC409C7CE}">
  <sheetPr>
    <tabColor rgb="FF00B050"/>
  </sheetPr>
  <dimension ref="A1:AS255"/>
  <sheetViews>
    <sheetView zoomScale="85" zoomScaleNormal="85" workbookViewId="0">
      <selection activeCell="I3" sqref="I3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Ak_kirsch_WTG30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2"/>
      <c r="R3" s="155"/>
      <c r="S3" s="155"/>
      <c r="T3" s="112"/>
      <c r="U3" s="155"/>
      <c r="V3" s="155"/>
      <c r="W3" s="112"/>
      <c r="X3" s="69"/>
      <c r="Y3" s="112"/>
      <c r="Z3" s="112"/>
      <c r="AA3" s="112"/>
      <c r="AB3" s="112"/>
      <c r="AC3" s="69"/>
      <c r="AD3" s="39"/>
      <c r="AE3" s="39"/>
      <c r="AF3" s="39"/>
      <c r="AG3" s="39"/>
      <c r="AH3" s="39"/>
      <c r="AI3" s="39"/>
      <c r="AJ3" s="112"/>
      <c r="AK3" s="112"/>
      <c r="AL3" s="112"/>
      <c r="AM3" s="112"/>
      <c r="AN3" s="112"/>
      <c r="AO3" s="112"/>
      <c r="AP3" s="112"/>
    </row>
    <row r="4" spans="1:45" x14ac:dyDescent="0.25">
      <c r="A4" s="40" t="s">
        <v>60</v>
      </c>
      <c r="B4" s="33">
        <f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3" t="s">
        <v>38</v>
      </c>
      <c r="K5" s="113" t="s">
        <v>30</v>
      </c>
      <c r="L5" s="113" t="s">
        <v>31</v>
      </c>
      <c r="M5" s="113" t="s">
        <v>31</v>
      </c>
      <c r="N5" s="113" t="s">
        <v>32</v>
      </c>
      <c r="O5" s="113" t="s">
        <v>33</v>
      </c>
      <c r="P5" s="113" t="s">
        <v>35</v>
      </c>
      <c r="Q5" s="113" t="s">
        <v>36</v>
      </c>
      <c r="R5" s="113" t="s">
        <v>36</v>
      </c>
      <c r="S5" s="113" t="s">
        <v>34</v>
      </c>
      <c r="T5" s="113" t="s">
        <v>33</v>
      </c>
      <c r="U5" s="113" t="s">
        <v>34</v>
      </c>
      <c r="V5" s="113" t="s">
        <v>62</v>
      </c>
      <c r="W5" s="113" t="s">
        <v>34</v>
      </c>
      <c r="X5" s="113" t="s">
        <v>33</v>
      </c>
      <c r="Y5" s="113" t="s">
        <v>35</v>
      </c>
      <c r="Z5" s="113" t="s">
        <v>33</v>
      </c>
      <c r="AA5" s="113" t="s">
        <v>34</v>
      </c>
      <c r="AB5" s="113" t="s">
        <v>33</v>
      </c>
      <c r="AC5" s="113" t="s">
        <v>33</v>
      </c>
      <c r="AD5" s="113" t="s">
        <v>35</v>
      </c>
      <c r="AE5" s="113" t="s">
        <v>34</v>
      </c>
      <c r="AF5" s="113" t="s">
        <v>33</v>
      </c>
      <c r="AG5" s="113" t="s">
        <v>35</v>
      </c>
      <c r="AH5" s="113" t="s">
        <v>34</v>
      </c>
      <c r="AI5" s="113" t="s">
        <v>34</v>
      </c>
      <c r="AJ5" s="113" t="s">
        <v>34</v>
      </c>
      <c r="AK5" s="113" t="s">
        <v>34</v>
      </c>
      <c r="AL5" s="113" t="s">
        <v>34</v>
      </c>
      <c r="AM5" s="113" t="s">
        <v>34</v>
      </c>
      <c r="AN5" s="113" t="s">
        <v>34</v>
      </c>
      <c r="AO5" s="113" t="s">
        <v>34</v>
      </c>
      <c r="AP5" s="113" t="s">
        <v>34</v>
      </c>
      <c r="AQ5" s="113" t="s">
        <v>103</v>
      </c>
      <c r="AR5" s="113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31</v>
      </c>
      <c r="R6" s="47">
        <f t="shared" ref="R6:R16" si="0">IF(Q6&lt;&gt;0,Q6-5,NA())</f>
        <v>26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2200</v>
      </c>
      <c r="Y6" s="47">
        <v>0</v>
      </c>
      <c r="Z6" s="47">
        <f t="shared" ref="Z6:Z16" si="1">VLOOKUP(R6,$AE$39:$AF$59,2)</f>
        <v>83.999999999999972</v>
      </c>
      <c r="AA6" s="47">
        <v>1</v>
      </c>
      <c r="AB6" s="47">
        <f t="shared" ref="AB6:AB16" si="2">VLOOKUP(R6,$AE$39:$AG$59,3)</f>
        <v>5760</v>
      </c>
      <c r="AC6" s="63">
        <v>5000</v>
      </c>
      <c r="AD6" s="63">
        <v>20000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6" si="3">VLOOKUP(R6,$AE$39:$AH$59,4)</f>
        <v>24.000000000000007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64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 t="s">
        <v>257</v>
      </c>
      <c r="J7" s="47">
        <v>2</v>
      </c>
      <c r="K7" s="19">
        <v>-0.5</v>
      </c>
      <c r="L7" s="116" t="s">
        <v>106</v>
      </c>
      <c r="M7" s="105" t="s">
        <v>64</v>
      </c>
      <c r="N7" s="47">
        <v>9.4</v>
      </c>
      <c r="O7" s="63">
        <v>0</v>
      </c>
      <c r="P7" s="63">
        <v>0</v>
      </c>
      <c r="Q7" s="47">
        <v>34</v>
      </c>
      <c r="R7" s="47">
        <f t="shared" si="0"/>
        <v>29</v>
      </c>
      <c r="S7" s="47">
        <v>1.4</v>
      </c>
      <c r="T7" s="47">
        <v>0</v>
      </c>
      <c r="U7" s="75">
        <v>0</v>
      </c>
      <c r="V7" s="75">
        <v>0</v>
      </c>
      <c r="W7" s="47">
        <v>0</v>
      </c>
      <c r="X7" s="47">
        <v>9600</v>
      </c>
      <c r="Y7" s="47">
        <v>0</v>
      </c>
      <c r="Z7" s="47">
        <f t="shared" si="1"/>
        <v>92.999999999999972</v>
      </c>
      <c r="AA7" s="47">
        <v>1</v>
      </c>
      <c r="AB7" s="47">
        <f t="shared" si="2"/>
        <v>8640</v>
      </c>
      <c r="AC7" s="63">
        <v>21000</v>
      </c>
      <c r="AD7" s="63">
        <v>9655.17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36.000000000000007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45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293</v>
      </c>
      <c r="J8" s="47">
        <v>3</v>
      </c>
      <c r="K8" s="19">
        <v>-3.4</v>
      </c>
      <c r="L8" s="116" t="s">
        <v>106</v>
      </c>
      <c r="M8" s="105" t="s">
        <v>64</v>
      </c>
      <c r="N8" s="47">
        <v>9.6</v>
      </c>
      <c r="O8" s="63">
        <v>0</v>
      </c>
      <c r="P8" s="63">
        <v>0</v>
      </c>
      <c r="Q8" s="47">
        <v>36</v>
      </c>
      <c r="R8" s="47">
        <f t="shared" si="0"/>
        <v>31</v>
      </c>
      <c r="S8" s="47">
        <v>1</v>
      </c>
      <c r="T8" s="47">
        <v>0</v>
      </c>
      <c r="U8" s="75">
        <v>0</v>
      </c>
      <c r="V8" s="75">
        <v>0</v>
      </c>
      <c r="W8" s="47">
        <v>0</v>
      </c>
      <c r="X8" s="47">
        <v>27000</v>
      </c>
      <c r="Y8" s="47">
        <v>0</v>
      </c>
      <c r="Z8" s="47">
        <f t="shared" si="1"/>
        <v>99.799999999999969</v>
      </c>
      <c r="AA8" s="47">
        <v>1</v>
      </c>
      <c r="AB8" s="47">
        <f t="shared" si="2"/>
        <v>10080</v>
      </c>
      <c r="AC8" s="63">
        <v>53000</v>
      </c>
      <c r="AD8" s="63">
        <v>5151.51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42.000000000000007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57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294</v>
      </c>
      <c r="J9" s="47">
        <v>4</v>
      </c>
      <c r="K9" s="19">
        <v>-10</v>
      </c>
      <c r="L9" s="116" t="s">
        <v>107</v>
      </c>
      <c r="M9" s="105" t="s">
        <v>65</v>
      </c>
      <c r="N9" s="47">
        <v>8.6</v>
      </c>
      <c r="O9" s="63">
        <v>92</v>
      </c>
      <c r="P9" s="63">
        <v>19</v>
      </c>
      <c r="Q9" s="47">
        <v>0</v>
      </c>
      <c r="R9" s="47" t="e">
        <f t="shared" si="0"/>
        <v>#N/A</v>
      </c>
      <c r="S9" s="47">
        <v>3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23200</v>
      </c>
      <c r="Y9" s="47">
        <v>0</v>
      </c>
      <c r="Z9" s="47" t="e">
        <f t="shared" si="1"/>
        <v>#N/A</v>
      </c>
      <c r="AA9" s="47">
        <v>1</v>
      </c>
      <c r="AB9" s="47" t="e">
        <f t="shared" si="2"/>
        <v>#N/A</v>
      </c>
      <c r="AC9" s="63">
        <v>103000</v>
      </c>
      <c r="AD9" s="63">
        <v>20000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3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56" t="s">
        <v>294</v>
      </c>
      <c r="J10" s="47">
        <v>5</v>
      </c>
      <c r="K10" s="56">
        <v>-13</v>
      </c>
      <c r="L10" s="116" t="s">
        <v>107</v>
      </c>
      <c r="M10" s="105" t="s">
        <v>65</v>
      </c>
      <c r="N10" s="47">
        <v>8.6</v>
      </c>
      <c r="O10" s="63">
        <v>164</v>
      </c>
      <c r="P10" s="63">
        <v>-51</v>
      </c>
      <c r="Q10" s="47">
        <v>0</v>
      </c>
      <c r="R10" s="47" t="e">
        <f t="shared" si="0"/>
        <v>#N/A</v>
      </c>
      <c r="S10" s="47">
        <v>3</v>
      </c>
      <c r="T10" s="47">
        <v>0</v>
      </c>
      <c r="U10" s="75">
        <v>1.7999999999999999E-2</v>
      </c>
      <c r="V10" s="75">
        <v>0</v>
      </c>
      <c r="W10" s="47">
        <v>0.5</v>
      </c>
      <c r="X10" s="47">
        <v>24900</v>
      </c>
      <c r="Y10" s="47">
        <v>0</v>
      </c>
      <c r="Z10" s="47" t="e">
        <f t="shared" si="1"/>
        <v>#N/A</v>
      </c>
      <c r="AA10" s="47">
        <v>1</v>
      </c>
      <c r="AB10" s="47" t="e">
        <f t="shared" si="2"/>
        <v>#N/A</v>
      </c>
      <c r="AC10" s="63">
        <v>195000</v>
      </c>
      <c r="AD10" s="63">
        <v>-62000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 t="e">
        <f t="shared" si="3"/>
        <v>#N/A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271</v>
      </c>
      <c r="J11" s="47">
        <v>6</v>
      </c>
      <c r="K11" s="19">
        <v>-14</v>
      </c>
      <c r="L11" s="116" t="s">
        <v>106</v>
      </c>
      <c r="M11" s="105" t="s">
        <v>64</v>
      </c>
      <c r="N11" s="47">
        <v>9.8000000000000007</v>
      </c>
      <c r="O11" s="63">
        <v>0</v>
      </c>
      <c r="P11" s="63">
        <v>0</v>
      </c>
      <c r="Q11" s="47">
        <v>28</v>
      </c>
      <c r="R11" s="47">
        <f t="shared" si="0"/>
        <v>23</v>
      </c>
      <c r="S11" s="47">
        <v>1.2</v>
      </c>
      <c r="T11" s="47">
        <v>0</v>
      </c>
      <c r="U11" s="75">
        <v>0</v>
      </c>
      <c r="V11" s="75">
        <v>0</v>
      </c>
      <c r="W11" s="47">
        <v>0</v>
      </c>
      <c r="X11" s="47">
        <v>19400</v>
      </c>
      <c r="Y11" s="47">
        <v>0</v>
      </c>
      <c r="Z11" s="47">
        <f t="shared" si="1"/>
        <v>75.399999999999977</v>
      </c>
      <c r="AA11" s="47">
        <v>1</v>
      </c>
      <c r="AB11" s="47">
        <f t="shared" si="2"/>
        <v>4040</v>
      </c>
      <c r="AC11" s="63">
        <v>101000</v>
      </c>
      <c r="AD11" s="63">
        <v>26250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16.800000000000004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57</v>
      </c>
      <c r="AS11" s="33">
        <v>0.2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271</v>
      </c>
      <c r="J12" s="47">
        <v>7</v>
      </c>
      <c r="K12" s="33">
        <v>-14.8</v>
      </c>
      <c r="L12" s="116" t="s">
        <v>106</v>
      </c>
      <c r="M12" s="105" t="s">
        <v>64</v>
      </c>
      <c r="N12" s="47">
        <v>9.8000000000000007</v>
      </c>
      <c r="O12" s="63">
        <v>0</v>
      </c>
      <c r="P12" s="63">
        <v>0</v>
      </c>
      <c r="Q12" s="47">
        <v>28</v>
      </c>
      <c r="R12" s="47">
        <f t="shared" si="0"/>
        <v>23</v>
      </c>
      <c r="S12" s="47">
        <v>1.2</v>
      </c>
      <c r="T12" s="47">
        <v>0</v>
      </c>
      <c r="U12" s="75">
        <v>0</v>
      </c>
      <c r="V12" s="75">
        <v>0</v>
      </c>
      <c r="W12" s="47">
        <v>0</v>
      </c>
      <c r="X12" s="47">
        <v>22700</v>
      </c>
      <c r="Y12" s="47">
        <v>0</v>
      </c>
      <c r="Z12" s="47">
        <f t="shared" si="1"/>
        <v>75.399999999999977</v>
      </c>
      <c r="AA12" s="47">
        <v>1</v>
      </c>
      <c r="AB12" s="47">
        <f t="shared" si="2"/>
        <v>4040</v>
      </c>
      <c r="AC12" s="63">
        <v>124000</v>
      </c>
      <c r="AD12" s="63">
        <v>-1428.57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3"/>
        <v>16.800000000000004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60</v>
      </c>
      <c r="AS12" s="33">
        <v>0.2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271</v>
      </c>
      <c r="J13" s="47">
        <v>8</v>
      </c>
      <c r="K13" s="33">
        <v>-19</v>
      </c>
      <c r="L13" s="116" t="s">
        <v>106</v>
      </c>
      <c r="M13" s="105" t="s">
        <v>64</v>
      </c>
      <c r="N13" s="47">
        <v>9.8000000000000007</v>
      </c>
      <c r="O13" s="63">
        <v>0</v>
      </c>
      <c r="P13" s="63">
        <v>0</v>
      </c>
      <c r="Q13" s="47">
        <v>27</v>
      </c>
      <c r="R13" s="47">
        <f t="shared" si="0"/>
        <v>22</v>
      </c>
      <c r="S13" s="47">
        <v>1.1000000000000001</v>
      </c>
      <c r="T13" s="47">
        <v>0</v>
      </c>
      <c r="U13" s="75">
        <v>0</v>
      </c>
      <c r="V13" s="75">
        <v>0</v>
      </c>
      <c r="W13" s="47">
        <v>0</v>
      </c>
      <c r="X13" s="47">
        <v>22500</v>
      </c>
      <c r="Y13" s="47">
        <v>0</v>
      </c>
      <c r="Z13" s="47">
        <f t="shared" si="1"/>
        <v>72.59999999999998</v>
      </c>
      <c r="AA13" s="47">
        <v>1</v>
      </c>
      <c r="AB13" s="47">
        <f t="shared" si="2"/>
        <v>3660</v>
      </c>
      <c r="AC13" s="63">
        <v>111000</v>
      </c>
      <c r="AD13" s="63">
        <v>18000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15.200000000000003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57</v>
      </c>
      <c r="AS13" s="33">
        <v>0.2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271</v>
      </c>
      <c r="J14" s="47">
        <v>9</v>
      </c>
      <c r="K14" s="19">
        <v>-21</v>
      </c>
      <c r="L14" s="116" t="s">
        <v>106</v>
      </c>
      <c r="M14" s="105" t="s">
        <v>64</v>
      </c>
      <c r="N14" s="47">
        <v>9.8000000000000007</v>
      </c>
      <c r="O14" s="63">
        <v>0</v>
      </c>
      <c r="P14" s="63">
        <v>0</v>
      </c>
      <c r="Q14" s="47">
        <v>27</v>
      </c>
      <c r="R14" s="47">
        <f t="shared" si="0"/>
        <v>22</v>
      </c>
      <c r="S14" s="47">
        <v>1</v>
      </c>
      <c r="T14" s="47">
        <v>0</v>
      </c>
      <c r="U14" s="75">
        <v>0</v>
      </c>
      <c r="V14" s="75">
        <v>0</v>
      </c>
      <c r="W14" s="47">
        <v>0</v>
      </c>
      <c r="X14" s="47">
        <v>20800</v>
      </c>
      <c r="Y14" s="47">
        <v>0</v>
      </c>
      <c r="Z14" s="47">
        <f t="shared" si="1"/>
        <v>72.59999999999998</v>
      </c>
      <c r="AA14" s="47">
        <v>1</v>
      </c>
      <c r="AB14" s="47">
        <f t="shared" si="2"/>
        <v>3660</v>
      </c>
      <c r="AC14" s="63">
        <v>133000</v>
      </c>
      <c r="AD14" s="63">
        <v>-4000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15.200000000000003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55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271</v>
      </c>
      <c r="J15" s="47">
        <v>10</v>
      </c>
      <c r="K15" s="19">
        <v>-22</v>
      </c>
      <c r="L15" s="116" t="s">
        <v>106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26</v>
      </c>
      <c r="R15" s="47">
        <f t="shared" si="0"/>
        <v>21</v>
      </c>
      <c r="S15" s="47">
        <v>0.8</v>
      </c>
      <c r="T15" s="47">
        <v>0</v>
      </c>
      <c r="U15" s="75">
        <v>0</v>
      </c>
      <c r="V15" s="75">
        <v>0</v>
      </c>
      <c r="W15" s="47">
        <v>0</v>
      </c>
      <c r="X15" s="47">
        <v>16000</v>
      </c>
      <c r="Y15" s="47">
        <v>0</v>
      </c>
      <c r="Z15" s="47">
        <f t="shared" si="1"/>
        <v>69.799999999999983</v>
      </c>
      <c r="AA15" s="47">
        <v>1</v>
      </c>
      <c r="AB15" s="47">
        <f t="shared" si="2"/>
        <v>3280</v>
      </c>
      <c r="AC15" s="63">
        <v>127000</v>
      </c>
      <c r="AD15" s="63">
        <v>222.22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3"/>
        <v>13.600000000000003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47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273</v>
      </c>
      <c r="J16" s="47">
        <v>11</v>
      </c>
      <c r="K16" s="19">
        <v>-31</v>
      </c>
      <c r="L16" s="116" t="s">
        <v>288</v>
      </c>
      <c r="M16" s="105" t="s">
        <v>65</v>
      </c>
      <c r="N16" s="47">
        <v>8.9</v>
      </c>
      <c r="O16" s="63">
        <v>271</v>
      </c>
      <c r="P16" s="63">
        <v>5.96</v>
      </c>
      <c r="Q16" s="47">
        <v>0</v>
      </c>
      <c r="R16" s="47" t="e">
        <f t="shared" si="0"/>
        <v>#N/A</v>
      </c>
      <c r="S16" s="47">
        <v>2.6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32700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382000</v>
      </c>
      <c r="AD16" s="63">
        <v>10241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3"/>
      <c r="E17" s="113"/>
      <c r="I17" s="56" t="s">
        <v>218</v>
      </c>
      <c r="J17" s="47">
        <v>12</v>
      </c>
      <c r="K17" s="19">
        <v>-60</v>
      </c>
      <c r="L17" s="116" t="s">
        <v>288</v>
      </c>
      <c r="M17" s="105" t="s">
        <v>65</v>
      </c>
      <c r="N17" s="47">
        <v>8.3000000000000007</v>
      </c>
      <c r="O17" s="63">
        <v>487</v>
      </c>
      <c r="P17" s="63">
        <v>6.44</v>
      </c>
      <c r="Q17" s="47">
        <v>0</v>
      </c>
      <c r="R17" s="47" t="e">
        <f t="shared" ref="R17:R18" si="4">IF(Q17&lt;&gt;0,Q17-5,NA())</f>
        <v>#N/A</v>
      </c>
      <c r="S17" s="47">
        <v>2.4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45600</v>
      </c>
      <c r="Y17" s="47">
        <v>0</v>
      </c>
      <c r="Z17" s="47" t="e">
        <f t="shared" ref="Z17:Z18" si="5">VLOOKUP(R17,$AE$39:$AF$59,2)</f>
        <v>#N/A</v>
      </c>
      <c r="AA17" s="47">
        <v>1</v>
      </c>
      <c r="AB17" s="47" t="e">
        <f t="shared" ref="AB17:AB18" si="6">VLOOKUP(R17,$AE$39:$AG$59,3)</f>
        <v>#N/A</v>
      </c>
      <c r="AC17" s="63">
        <v>728000</v>
      </c>
      <c r="AD17" s="63">
        <v>11444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ref="AJ17:AJ18" si="7">VLOOKUP(R17,$AE$39:$AH$59,4)</f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220</v>
      </c>
      <c r="J18" s="47">
        <v>13</v>
      </c>
      <c r="K18" s="19">
        <v>-69</v>
      </c>
      <c r="L18" s="116" t="s">
        <v>288</v>
      </c>
      <c r="M18" s="105" t="s">
        <v>65</v>
      </c>
      <c r="N18" s="47">
        <v>8.8000000000000007</v>
      </c>
      <c r="O18" s="63">
        <v>986</v>
      </c>
      <c r="P18" s="63">
        <v>4.18</v>
      </c>
      <c r="Q18" s="47">
        <v>0</v>
      </c>
      <c r="R18" s="47" t="e">
        <f t="shared" si="4"/>
        <v>#N/A</v>
      </c>
      <c r="S18" s="47">
        <v>3</v>
      </c>
      <c r="T18" s="47">
        <v>0</v>
      </c>
      <c r="U18" s="75">
        <v>1.7999999999999999E-2</v>
      </c>
      <c r="V18" s="75">
        <v>0</v>
      </c>
      <c r="W18" s="47">
        <v>0.25</v>
      </c>
      <c r="X18" s="47">
        <v>88500</v>
      </c>
      <c r="Y18" s="47">
        <v>0</v>
      </c>
      <c r="Z18" s="47" t="e">
        <f t="shared" si="5"/>
        <v>#N/A</v>
      </c>
      <c r="AA18" s="47">
        <v>1</v>
      </c>
      <c r="AB18" s="47" t="e">
        <f t="shared" si="6"/>
        <v>#N/A</v>
      </c>
      <c r="AC18" s="63">
        <v>1629000</v>
      </c>
      <c r="AD18" s="63">
        <v>24363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7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13" t="s">
        <v>38</v>
      </c>
      <c r="B19" s="113" t="s">
        <v>30</v>
      </c>
      <c r="C19" s="113" t="s">
        <v>59</v>
      </c>
      <c r="D19" s="43"/>
      <c r="E19" s="35"/>
      <c r="I19" s="33" t="s">
        <v>220</v>
      </c>
      <c r="J19" s="47">
        <v>14</v>
      </c>
      <c r="K19" s="19">
        <v>-80</v>
      </c>
      <c r="L19" s="116" t="s">
        <v>288</v>
      </c>
      <c r="M19" s="105" t="s">
        <v>65</v>
      </c>
      <c r="N19" s="47">
        <v>8.8000000000000007</v>
      </c>
      <c r="O19" s="63">
        <v>1118</v>
      </c>
      <c r="P19" s="63">
        <v>0</v>
      </c>
      <c r="Q19" s="47">
        <v>0</v>
      </c>
      <c r="R19" s="47" t="e">
        <f t="shared" ref="R19" si="8">IF(Q19&lt;&gt;0,Q19-5,NA())</f>
        <v>#N/A</v>
      </c>
      <c r="S19" s="47">
        <v>3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88500</v>
      </c>
      <c r="Y19" s="47">
        <v>0</v>
      </c>
      <c r="Z19" s="47" t="e">
        <f t="shared" ref="Z19" si="9">VLOOKUP(R19,$AE$39:$AF$59,2)</f>
        <v>#N/A</v>
      </c>
      <c r="AA19" s="47">
        <v>1</v>
      </c>
      <c r="AB19" s="47" t="e">
        <f t="shared" ref="AB19" si="10">VLOOKUP(R19,$AE$39:$AG$59,3)</f>
        <v>#N/A</v>
      </c>
      <c r="AC19" s="63">
        <v>1897000</v>
      </c>
      <c r="AD19" s="63">
        <v>0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ref="AJ19" si="11">VLOOKUP(R19,$AE$39:$AH$59,4)</f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</row>
    <row r="30" spans="1:45" x14ac:dyDescent="0.25">
      <c r="A30" s="66"/>
      <c r="B30" s="66"/>
      <c r="C30" s="67"/>
      <c r="D30" s="35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12">AF40+3.8</f>
        <v>55.599999999999994</v>
      </c>
      <c r="AG41" s="33">
        <f t="shared" ref="AG41:AG43" si="13">AG40+200</f>
        <v>2300</v>
      </c>
      <c r="AH41" s="33">
        <f t="shared" ref="AH41:AH44" si="14">AH40+0.8</f>
        <v>9.6000000000000014</v>
      </c>
    </row>
    <row r="42" spans="1:42" x14ac:dyDescent="0.25">
      <c r="L42" s="49"/>
      <c r="AE42" s="33">
        <v>18</v>
      </c>
      <c r="AF42" s="33">
        <f t="shared" si="12"/>
        <v>59.399999999999991</v>
      </c>
      <c r="AG42" s="33">
        <f t="shared" si="13"/>
        <v>2500</v>
      </c>
      <c r="AH42" s="33">
        <f t="shared" si="14"/>
        <v>10.400000000000002</v>
      </c>
    </row>
    <row r="43" spans="1:42" x14ac:dyDescent="0.25">
      <c r="L43" s="49"/>
      <c r="AE43" s="33">
        <v>19</v>
      </c>
      <c r="AF43" s="33">
        <f t="shared" si="12"/>
        <v>63.199999999999989</v>
      </c>
      <c r="AG43" s="33">
        <f t="shared" si="13"/>
        <v>2700</v>
      </c>
      <c r="AH43" s="33">
        <f t="shared" si="14"/>
        <v>11.200000000000003</v>
      </c>
    </row>
    <row r="44" spans="1:42" x14ac:dyDescent="0.25">
      <c r="L44" s="49"/>
      <c r="AE44" s="33">
        <v>20</v>
      </c>
      <c r="AF44" s="33">
        <f t="shared" si="12"/>
        <v>66.999999999999986</v>
      </c>
      <c r="AG44" s="33">
        <f>AG43+200</f>
        <v>2900</v>
      </c>
      <c r="AH44" s="33">
        <f t="shared" si="14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5">AF45+2.8</f>
        <v>72.59999999999998</v>
      </c>
      <c r="AG46" s="33">
        <f t="shared" ref="AG46:AG48" si="16">AG45+380</f>
        <v>3660</v>
      </c>
      <c r="AH46" s="33">
        <f t="shared" ref="AH46:AH49" si="17">AH45+1.6</f>
        <v>15.200000000000003</v>
      </c>
    </row>
    <row r="47" spans="1:42" x14ac:dyDescent="0.25">
      <c r="L47" s="49"/>
      <c r="AE47" s="33">
        <v>23</v>
      </c>
      <c r="AF47" s="33">
        <f t="shared" si="15"/>
        <v>75.399999999999977</v>
      </c>
      <c r="AG47" s="33">
        <f t="shared" si="16"/>
        <v>4040</v>
      </c>
      <c r="AH47" s="33">
        <f t="shared" si="17"/>
        <v>16.800000000000004</v>
      </c>
    </row>
    <row r="48" spans="1:42" x14ac:dyDescent="0.25">
      <c r="L48" s="49"/>
      <c r="AE48" s="33">
        <v>24</v>
      </c>
      <c r="AF48" s="33">
        <f t="shared" si="15"/>
        <v>78.199999999999974</v>
      </c>
      <c r="AG48" s="33">
        <f t="shared" si="16"/>
        <v>4420</v>
      </c>
      <c r="AH48" s="33">
        <f t="shared" si="17"/>
        <v>18.400000000000006</v>
      </c>
    </row>
    <row r="49" spans="12:34" x14ac:dyDescent="0.25">
      <c r="L49" s="49"/>
      <c r="AE49" s="33">
        <v>25</v>
      </c>
      <c r="AF49" s="33">
        <f t="shared" si="15"/>
        <v>80.999999999999972</v>
      </c>
      <c r="AG49" s="33">
        <v>4800</v>
      </c>
      <c r="AH49" s="33">
        <f t="shared" si="17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8">AF50+3</f>
        <v>86.999999999999972</v>
      </c>
      <c r="AG51" s="33">
        <f t="shared" ref="AG51:AG54" si="19">AG50+960</f>
        <v>6720</v>
      </c>
      <c r="AH51" s="33">
        <f t="shared" ref="AH51:AH54" si="20">AH50+4</f>
        <v>28.000000000000007</v>
      </c>
    </row>
    <row r="52" spans="12:34" x14ac:dyDescent="0.25">
      <c r="L52" s="49"/>
      <c r="AE52" s="33">
        <v>28</v>
      </c>
      <c r="AF52" s="33">
        <f t="shared" si="18"/>
        <v>89.999999999999972</v>
      </c>
      <c r="AG52" s="33">
        <f t="shared" si="19"/>
        <v>7680</v>
      </c>
      <c r="AH52" s="33">
        <f t="shared" si="20"/>
        <v>32.000000000000007</v>
      </c>
    </row>
    <row r="53" spans="12:34" x14ac:dyDescent="0.25">
      <c r="L53" s="49"/>
      <c r="AE53" s="33">
        <v>29</v>
      </c>
      <c r="AF53" s="33">
        <f t="shared" si="18"/>
        <v>92.999999999999972</v>
      </c>
      <c r="AG53" s="33">
        <f t="shared" si="19"/>
        <v>8640</v>
      </c>
      <c r="AH53" s="33">
        <f t="shared" si="20"/>
        <v>36.000000000000007</v>
      </c>
    </row>
    <row r="54" spans="12:34" x14ac:dyDescent="0.25">
      <c r="L54" s="49"/>
      <c r="AE54" s="33">
        <v>30</v>
      </c>
      <c r="AF54" s="33">
        <f t="shared" si="18"/>
        <v>95.999999999999972</v>
      </c>
      <c r="AG54" s="33">
        <f t="shared" si="19"/>
        <v>9600</v>
      </c>
      <c r="AH54" s="33">
        <f t="shared" si="20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21">AF55+3.8</f>
        <v>103.59999999999997</v>
      </c>
      <c r="AG56" s="33">
        <f t="shared" ref="AG56:AG59" si="22">AG55+480</f>
        <v>10560</v>
      </c>
      <c r="AH56" s="33">
        <f t="shared" ref="AH56:AH59" si="23">AH55+2</f>
        <v>44.000000000000007</v>
      </c>
    </row>
    <row r="57" spans="12:34" x14ac:dyDescent="0.25">
      <c r="L57" s="49"/>
      <c r="AE57" s="33">
        <v>33</v>
      </c>
      <c r="AF57" s="33">
        <f t="shared" si="21"/>
        <v>107.39999999999996</v>
      </c>
      <c r="AG57" s="33">
        <f t="shared" si="22"/>
        <v>11040</v>
      </c>
      <c r="AH57" s="33">
        <f t="shared" si="23"/>
        <v>46.000000000000007</v>
      </c>
    </row>
    <row r="58" spans="12:34" x14ac:dyDescent="0.25">
      <c r="L58" s="49"/>
      <c r="AE58" s="33">
        <v>34</v>
      </c>
      <c r="AF58" s="33">
        <f t="shared" si="21"/>
        <v>111.19999999999996</v>
      </c>
      <c r="AG58" s="33">
        <f t="shared" si="22"/>
        <v>11520</v>
      </c>
      <c r="AH58" s="33">
        <f t="shared" si="23"/>
        <v>48.000000000000007</v>
      </c>
    </row>
    <row r="59" spans="12:34" x14ac:dyDescent="0.25">
      <c r="L59" s="49"/>
      <c r="AE59" s="33">
        <v>35</v>
      </c>
      <c r="AF59" s="33">
        <f t="shared" si="21"/>
        <v>114.99999999999996</v>
      </c>
      <c r="AG59" s="33">
        <f t="shared" si="22"/>
        <v>12000</v>
      </c>
      <c r="AH59" s="33">
        <f t="shared" si="23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1:AP36 Q31:Q36 AM20:AP21 N31:N36 Q20:Q21 N20:N21">
    <cfRule type="expression" dxfId="3255" priority="220">
      <formula>$L20="API sand"</formula>
    </cfRule>
  </conditionalFormatting>
  <conditionalFormatting sqref="R20:S20 R31:S36 AB31:AB35 AJ31:AL36 Z31:Z36 S21 AD21 AB20:AB21 N31:N36 AJ20:AL21 Z20:Z21 N20:N21">
    <cfRule type="expression" dxfId="3254" priority="219">
      <formula>$M20="API sand"</formula>
    </cfRule>
  </conditionalFormatting>
  <conditionalFormatting sqref="R20:T20 R31:T36 Z31:AB35 S21:T21 AD21 AK31:AL36 N31:N36 Z20:AB21 N20:N21 AK20:AL21">
    <cfRule type="expression" dxfId="3253" priority="218">
      <formula>$M20="API clay"</formula>
    </cfRule>
  </conditionalFormatting>
  <conditionalFormatting sqref="U31:W36 U20:W21 AM31:AP36 N31:P36 N20:N21 P20:P21 AM20:AP21">
    <cfRule type="expression" dxfId="3252" priority="215">
      <formula>$L20="Stiff clay w/o free water"</formula>
    </cfRule>
    <cfRule type="expression" dxfId="3251" priority="217">
      <formula>$L20="API clay"</formula>
    </cfRule>
  </conditionalFormatting>
  <conditionalFormatting sqref="U31:Y36 U20:Y21 AM31:AP36 N31:P36 N20:N21 P20:P21 AM20:AP21">
    <cfRule type="expression" dxfId="3250" priority="216">
      <formula>$L20="Kirsch soft clay"</formula>
    </cfRule>
  </conditionalFormatting>
  <conditionalFormatting sqref="U31:Y36 U20:Y21 AM31:AP36 N31:P36 N20:N21 P20:P21 AM20:AP21">
    <cfRule type="expression" dxfId="3249" priority="214">
      <formula>$L20="Kirsch stiff clay"</formula>
    </cfRule>
  </conditionalFormatting>
  <conditionalFormatting sqref="AM31:AP36 Q31:Q36 X31:Y36 AM20:AP21 N31:N36 X20:Y21 Q20:Q21 N20:N21">
    <cfRule type="expression" dxfId="3248" priority="213">
      <formula>$L20="Kirsch sand"</formula>
    </cfRule>
  </conditionalFormatting>
  <conditionalFormatting sqref="AC31:AD36 AI31:AI36 AM31:AP36 N31:N36 AI20:AI21 AC20:AD21 N20:N21 AM20:AP21">
    <cfRule type="expression" dxfId="3247" priority="212">
      <formula>$L20="Modified Weak rock"</formula>
    </cfRule>
  </conditionalFormatting>
  <conditionalFormatting sqref="AM31:AP36 N31:P36 N20:N21 P20:P21 U31:V36 U20:V21 AM20:AP21">
    <cfRule type="expression" dxfId="3246" priority="211">
      <formula>$L20="Reese stiff clay"</formula>
    </cfRule>
  </conditionalFormatting>
  <conditionalFormatting sqref="AB36">
    <cfRule type="expression" dxfId="3245" priority="209">
      <formula>$M36="API sand"</formula>
    </cfRule>
  </conditionalFormatting>
  <conditionalFormatting sqref="Z36:AB36">
    <cfRule type="expression" dxfId="3244" priority="208">
      <formula>$M36="API clay"</formula>
    </cfRule>
  </conditionalFormatting>
  <conditionalFormatting sqref="O20:O21">
    <cfRule type="expression" dxfId="3243" priority="198">
      <formula>$L20="API sand"</formula>
    </cfRule>
  </conditionalFormatting>
  <conditionalFormatting sqref="O20:O21">
    <cfRule type="expression" dxfId="3242" priority="197">
      <formula>$L20="Kirsch sand"</formula>
    </cfRule>
  </conditionalFormatting>
  <conditionalFormatting sqref="AE37:AH37">
    <cfRule type="expression" dxfId="3241" priority="221">
      <formula>$L19="Modified Weak rock"</formula>
    </cfRule>
  </conditionalFormatting>
  <dataValidations count="3">
    <dataValidation type="list" showInputMessage="1" showErrorMessage="1" sqref="L31:L255 L6:L21" xr:uid="{0DEA7843-ACFE-4712-9099-A50681372E69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9" xr:uid="{8E8EFB53-CF37-4400-92E2-C1ED0936D188}">
      <formula1>"Zero soil,API sand,API clay"</formula1>
    </dataValidation>
    <dataValidation type="list" showInputMessage="1" showErrorMessage="1" sqref="M31:M36 M7:M21" xr:uid="{1FA3082A-4C1B-4868-9330-A17ECB67325D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FCC6A-C829-44E8-B60B-57203C151A3A}">
  <sheetPr>
    <tabColor rgb="FF00B0F0"/>
  </sheetPr>
  <dimension ref="A1:AS255"/>
  <sheetViews>
    <sheetView zoomScale="85" zoomScaleNormal="85" workbookViewId="0">
      <selection activeCell="E23" sqref="E23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Ak_Pisa_WTG32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4"/>
      <c r="R3" s="155"/>
      <c r="S3" s="155"/>
      <c r="T3" s="114"/>
      <c r="U3" s="155"/>
      <c r="V3" s="155"/>
      <c r="W3" s="114"/>
      <c r="X3" s="69"/>
      <c r="Y3" s="114"/>
      <c r="Z3" s="114"/>
      <c r="AA3" s="114"/>
      <c r="AB3" s="114"/>
      <c r="AC3" s="69"/>
      <c r="AD3" s="39"/>
      <c r="AE3" s="39"/>
      <c r="AF3" s="39"/>
      <c r="AG3" s="39"/>
      <c r="AH3" s="39"/>
      <c r="AI3" s="39"/>
      <c r="AJ3" s="114"/>
      <c r="AK3" s="114"/>
      <c r="AL3" s="114"/>
      <c r="AM3" s="114"/>
      <c r="AN3" s="114"/>
      <c r="AO3" s="114"/>
      <c r="AP3" s="114"/>
    </row>
    <row r="4" spans="1:45" x14ac:dyDescent="0.25">
      <c r="A4" s="40" t="s">
        <v>60</v>
      </c>
      <c r="B4" s="33">
        <f>COUNTIF(J:J,"&gt;0")</f>
        <v>17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5" t="s">
        <v>38</v>
      </c>
      <c r="K5" s="115" t="s">
        <v>30</v>
      </c>
      <c r="L5" s="115" t="s">
        <v>31</v>
      </c>
      <c r="M5" s="115" t="s">
        <v>31</v>
      </c>
      <c r="N5" s="115" t="s">
        <v>32</v>
      </c>
      <c r="O5" s="115" t="s">
        <v>33</v>
      </c>
      <c r="P5" s="115" t="s">
        <v>35</v>
      </c>
      <c r="Q5" s="115" t="s">
        <v>36</v>
      </c>
      <c r="R5" s="115" t="s">
        <v>36</v>
      </c>
      <c r="S5" s="115" t="s">
        <v>34</v>
      </c>
      <c r="T5" s="115" t="s">
        <v>33</v>
      </c>
      <c r="U5" s="115" t="s">
        <v>34</v>
      </c>
      <c r="V5" s="115" t="s">
        <v>62</v>
      </c>
      <c r="W5" s="115" t="s">
        <v>34</v>
      </c>
      <c r="X5" s="115" t="s">
        <v>33</v>
      </c>
      <c r="Y5" s="115" t="s">
        <v>35</v>
      </c>
      <c r="Z5" s="115" t="s">
        <v>33</v>
      </c>
      <c r="AA5" s="115" t="s">
        <v>34</v>
      </c>
      <c r="AB5" s="115" t="s">
        <v>33</v>
      </c>
      <c r="AC5" s="115" t="s">
        <v>33</v>
      </c>
      <c r="AD5" s="115" t="s">
        <v>35</v>
      </c>
      <c r="AE5" s="115" t="s">
        <v>34</v>
      </c>
      <c r="AF5" s="115" t="s">
        <v>33</v>
      </c>
      <c r="AG5" s="115" t="s">
        <v>35</v>
      </c>
      <c r="AH5" s="115" t="s">
        <v>34</v>
      </c>
      <c r="AI5" s="115" t="s">
        <v>34</v>
      </c>
      <c r="AJ5" s="115" t="s">
        <v>34</v>
      </c>
      <c r="AK5" s="115" t="s">
        <v>34</v>
      </c>
      <c r="AL5" s="115" t="s">
        <v>34</v>
      </c>
      <c r="AM5" s="115" t="s">
        <v>34</v>
      </c>
      <c r="AN5" s="115" t="s">
        <v>34</v>
      </c>
      <c r="AO5" s="115" t="s">
        <v>34</v>
      </c>
      <c r="AP5" s="115" t="s">
        <v>34</v>
      </c>
      <c r="AQ5" s="115" t="s">
        <v>103</v>
      </c>
      <c r="AR5" s="115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EW_sand_Ruled_89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37</v>
      </c>
      <c r="R6" s="47">
        <f t="shared" ref="R6:R22" si="0">IF(Q6&lt;&gt;0,Q6-5,NA())</f>
        <v>32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9100</v>
      </c>
      <c r="Y6" s="47">
        <v>0</v>
      </c>
      <c r="Z6" s="47">
        <f t="shared" ref="Z6:Z22" si="1">VLOOKUP(R6,$AE$39:$AF$59,2)</f>
        <v>103.59999999999997</v>
      </c>
      <c r="AA6" s="47">
        <v>1</v>
      </c>
      <c r="AB6" s="47">
        <f t="shared" ref="AB6:AB22" si="2">VLOOKUP(R6,$AE$39:$AG$59,3)</f>
        <v>10560</v>
      </c>
      <c r="AC6" s="63">
        <v>5000</v>
      </c>
      <c r="AD6" s="63">
        <v>31250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22" si="3">VLOOKUP(R6,$AE$39:$AH$59,4)</f>
        <v>44.000000000000007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89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 t="s">
        <v>255</v>
      </c>
      <c r="J7" s="47">
        <v>2</v>
      </c>
      <c r="K7" s="19">
        <v>-0.8</v>
      </c>
      <c r="L7" s="116" t="s">
        <v>275</v>
      </c>
      <c r="M7" s="105" t="s">
        <v>65</v>
      </c>
      <c r="N7" s="47">
        <v>10.199999999999999</v>
      </c>
      <c r="O7" s="63">
        <v>73</v>
      </c>
      <c r="P7" s="63">
        <v>14.28</v>
      </c>
      <c r="Q7" s="47">
        <v>0</v>
      </c>
      <c r="R7" s="47" t="e">
        <f t="shared" si="0"/>
        <v>#N/A</v>
      </c>
      <c r="S7" s="47">
        <v>3</v>
      </c>
      <c r="T7" s="47">
        <v>0</v>
      </c>
      <c r="U7" s="75">
        <v>1.7999999999999999E-2</v>
      </c>
      <c r="V7" s="75">
        <v>0</v>
      </c>
      <c r="W7" s="47">
        <v>0.5</v>
      </c>
      <c r="X7" s="47">
        <v>13500</v>
      </c>
      <c r="Y7" s="47">
        <v>0</v>
      </c>
      <c r="Z7" s="47" t="e">
        <f t="shared" si="1"/>
        <v>#N/A</v>
      </c>
      <c r="AA7" s="47">
        <v>1</v>
      </c>
      <c r="AB7" s="47" t="e">
        <f t="shared" si="2"/>
        <v>#N/A</v>
      </c>
      <c r="AC7" s="63">
        <v>72000</v>
      </c>
      <c r="AD7" s="63">
        <v>15714.28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 t="e">
        <f t="shared" si="3"/>
        <v>#N/A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259</v>
      </c>
      <c r="J8" s="47">
        <v>3</v>
      </c>
      <c r="K8" s="19">
        <v>-1.5</v>
      </c>
      <c r="L8" s="33" t="str">
        <f t="shared" ref="L8:L19" si="4">"EW_sand_Ruled"&amp;"_"&amp;AR8</f>
        <v>EW_sand_Ruled_82</v>
      </c>
      <c r="M8" s="105" t="s">
        <v>64</v>
      </c>
      <c r="N8" s="47">
        <v>10</v>
      </c>
      <c r="O8" s="63">
        <v>0</v>
      </c>
      <c r="P8" s="63">
        <v>0</v>
      </c>
      <c r="Q8" s="47">
        <v>41</v>
      </c>
      <c r="R8" s="47">
        <f t="shared" si="0"/>
        <v>36</v>
      </c>
      <c r="S8" s="47">
        <v>2.1</v>
      </c>
      <c r="T8" s="47">
        <v>0</v>
      </c>
      <c r="U8" s="75">
        <v>0</v>
      </c>
      <c r="V8" s="75">
        <v>0</v>
      </c>
      <c r="W8" s="47">
        <v>0</v>
      </c>
      <c r="X8" s="47">
        <v>62600</v>
      </c>
      <c r="Y8" s="47">
        <v>0</v>
      </c>
      <c r="Z8" s="47">
        <f t="shared" si="1"/>
        <v>114.99999999999996</v>
      </c>
      <c r="AA8" s="47">
        <v>1</v>
      </c>
      <c r="AB8" s="47">
        <f t="shared" si="2"/>
        <v>12000</v>
      </c>
      <c r="AC8" s="63">
        <v>57000</v>
      </c>
      <c r="AD8" s="63">
        <v>6000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82</v>
      </c>
      <c r="AS8" s="33">
        <v>0.4</v>
      </c>
    </row>
    <row r="9" spans="1:45" x14ac:dyDescent="0.25">
      <c r="A9" s="33" t="s">
        <v>68</v>
      </c>
      <c r="B9" s="57">
        <v>43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261</v>
      </c>
      <c r="J9" s="47">
        <v>4</v>
      </c>
      <c r="K9" s="19">
        <v>-5</v>
      </c>
      <c r="L9" s="33" t="str">
        <f t="shared" si="4"/>
        <v>EW_sand_Ruled_64</v>
      </c>
      <c r="M9" s="105" t="s">
        <v>64</v>
      </c>
      <c r="N9" s="47">
        <v>9.9</v>
      </c>
      <c r="O9" s="63">
        <v>0</v>
      </c>
      <c r="P9" s="63">
        <v>0</v>
      </c>
      <c r="Q9" s="47">
        <v>38</v>
      </c>
      <c r="R9" s="47">
        <f t="shared" si="0"/>
        <v>33</v>
      </c>
      <c r="S9" s="47">
        <v>1.2</v>
      </c>
      <c r="T9" s="47">
        <v>0</v>
      </c>
      <c r="U9" s="75">
        <v>0</v>
      </c>
      <c r="V9" s="75">
        <v>0</v>
      </c>
      <c r="W9" s="47">
        <v>0</v>
      </c>
      <c r="X9" s="47">
        <v>49700</v>
      </c>
      <c r="Y9" s="47">
        <v>0</v>
      </c>
      <c r="Z9" s="47">
        <f t="shared" si="1"/>
        <v>107.39999999999996</v>
      </c>
      <c r="AA9" s="47">
        <v>1</v>
      </c>
      <c r="AB9" s="47">
        <f t="shared" si="2"/>
        <v>11040</v>
      </c>
      <c r="AC9" s="63">
        <v>77000</v>
      </c>
      <c r="AD9" s="63">
        <v>3750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3"/>
        <v>46.000000000000007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64</v>
      </c>
      <c r="AS9" s="33">
        <v>0.4</v>
      </c>
    </row>
    <row r="10" spans="1:45" s="56" customFormat="1" x14ac:dyDescent="0.25">
      <c r="A10" s="56" t="s">
        <v>69</v>
      </c>
      <c r="B10" s="58">
        <v>43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261</v>
      </c>
      <c r="J10" s="47">
        <v>5</v>
      </c>
      <c r="K10" s="56">
        <v>-9</v>
      </c>
      <c r="L10" s="33" t="str">
        <f t="shared" si="4"/>
        <v>EW_sand_Ruled_84</v>
      </c>
      <c r="M10" s="105" t="s">
        <v>64</v>
      </c>
      <c r="N10" s="47">
        <v>9.9</v>
      </c>
      <c r="O10" s="63">
        <v>0</v>
      </c>
      <c r="P10" s="63">
        <v>0</v>
      </c>
      <c r="Q10" s="47">
        <v>41</v>
      </c>
      <c r="R10" s="47">
        <f t="shared" si="0"/>
        <v>36</v>
      </c>
      <c r="S10" s="47">
        <v>1.4</v>
      </c>
      <c r="T10" s="47">
        <v>0</v>
      </c>
      <c r="U10" s="75">
        <v>0</v>
      </c>
      <c r="V10" s="75">
        <v>0</v>
      </c>
      <c r="W10" s="47">
        <v>0</v>
      </c>
      <c r="X10" s="47">
        <v>99900</v>
      </c>
      <c r="Y10" s="47">
        <v>0</v>
      </c>
      <c r="Z10" s="47">
        <f t="shared" si="1"/>
        <v>114.99999999999996</v>
      </c>
      <c r="AA10" s="47">
        <v>1</v>
      </c>
      <c r="AB10" s="47">
        <f t="shared" si="2"/>
        <v>12000</v>
      </c>
      <c r="AC10" s="63">
        <v>104000</v>
      </c>
      <c r="AD10" s="63">
        <v>34000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3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84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278</v>
      </c>
      <c r="J11" s="47">
        <v>6</v>
      </c>
      <c r="K11" s="19">
        <v>-9.5</v>
      </c>
      <c r="L11" s="33" t="str">
        <f t="shared" si="4"/>
        <v>EW_sand_Ruled_79</v>
      </c>
      <c r="M11" s="105" t="s">
        <v>64</v>
      </c>
      <c r="N11" s="47">
        <v>10</v>
      </c>
      <c r="O11" s="63">
        <v>0</v>
      </c>
      <c r="P11" s="63">
        <v>0</v>
      </c>
      <c r="Q11" s="47">
        <v>29</v>
      </c>
      <c r="R11" s="47">
        <f t="shared" si="0"/>
        <v>24</v>
      </c>
      <c r="S11" s="47">
        <v>2</v>
      </c>
      <c r="T11" s="47">
        <v>0</v>
      </c>
      <c r="U11" s="75">
        <v>0</v>
      </c>
      <c r="V11" s="75">
        <v>0</v>
      </c>
      <c r="W11" s="47">
        <v>0</v>
      </c>
      <c r="X11" s="47">
        <v>32800</v>
      </c>
      <c r="Y11" s="47">
        <v>0</v>
      </c>
      <c r="Z11" s="47">
        <f t="shared" si="1"/>
        <v>78.199999999999974</v>
      </c>
      <c r="AA11" s="47">
        <v>1</v>
      </c>
      <c r="AB11" s="47">
        <f t="shared" si="2"/>
        <v>4420</v>
      </c>
      <c r="AC11" s="63">
        <v>120000</v>
      </c>
      <c r="AD11" s="63">
        <v>-14000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18.400000000000006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79</v>
      </c>
      <c r="AS11" s="33">
        <v>0.2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278</v>
      </c>
      <c r="J12" s="47">
        <v>7</v>
      </c>
      <c r="K12" s="33">
        <v>-10.5</v>
      </c>
      <c r="L12" s="33" t="str">
        <f t="shared" si="4"/>
        <v>EW_sand_Ruled_67</v>
      </c>
      <c r="M12" s="105" t="s">
        <v>64</v>
      </c>
      <c r="N12" s="47">
        <v>10</v>
      </c>
      <c r="O12" s="63">
        <v>0</v>
      </c>
      <c r="P12" s="63">
        <v>0</v>
      </c>
      <c r="Q12" s="47">
        <v>28</v>
      </c>
      <c r="R12" s="47">
        <f t="shared" si="0"/>
        <v>23</v>
      </c>
      <c r="S12" s="47">
        <v>1.4</v>
      </c>
      <c r="T12" s="47">
        <v>0</v>
      </c>
      <c r="U12" s="75">
        <v>0</v>
      </c>
      <c r="V12" s="75">
        <v>0</v>
      </c>
      <c r="W12" s="47">
        <v>0</v>
      </c>
      <c r="X12" s="47">
        <v>22200</v>
      </c>
      <c r="Y12" s="47">
        <v>0</v>
      </c>
      <c r="Z12" s="47">
        <f t="shared" si="1"/>
        <v>75.399999999999977</v>
      </c>
      <c r="AA12" s="47">
        <v>1</v>
      </c>
      <c r="AB12" s="47">
        <f t="shared" si="2"/>
        <v>4040</v>
      </c>
      <c r="AC12" s="63">
        <v>98000</v>
      </c>
      <c r="AD12" s="63">
        <v>5250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3"/>
        <v>16.800000000000004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67</v>
      </c>
      <c r="AS12" s="33">
        <v>0.2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278</v>
      </c>
      <c r="J13" s="47">
        <v>8</v>
      </c>
      <c r="K13" s="19">
        <v>-14.5</v>
      </c>
      <c r="L13" s="33" t="str">
        <f t="shared" si="4"/>
        <v>EW_sand_Ruled_66</v>
      </c>
      <c r="M13" s="105" t="s">
        <v>64</v>
      </c>
      <c r="N13" s="47">
        <v>10</v>
      </c>
      <c r="O13" s="63">
        <v>0</v>
      </c>
      <c r="P13" s="63">
        <v>0</v>
      </c>
      <c r="Q13" s="47">
        <v>28</v>
      </c>
      <c r="R13" s="47">
        <f t="shared" si="0"/>
        <v>23</v>
      </c>
      <c r="S13" s="47">
        <v>1.2</v>
      </c>
      <c r="T13" s="47">
        <v>0</v>
      </c>
      <c r="U13" s="75">
        <v>0</v>
      </c>
      <c r="V13" s="75">
        <v>0</v>
      </c>
      <c r="W13" s="47">
        <v>0</v>
      </c>
      <c r="X13" s="47">
        <v>40000</v>
      </c>
      <c r="Y13" s="47">
        <v>0</v>
      </c>
      <c r="Z13" s="47">
        <f t="shared" si="1"/>
        <v>75.399999999999977</v>
      </c>
      <c r="AA13" s="47">
        <v>1</v>
      </c>
      <c r="AB13" s="47">
        <f t="shared" si="2"/>
        <v>4040</v>
      </c>
      <c r="AC13" s="63">
        <v>151000</v>
      </c>
      <c r="AD13" s="63">
        <v>-8000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16.800000000000004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66</v>
      </c>
      <c r="AS13" s="33">
        <v>0.2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278</v>
      </c>
      <c r="J14" s="47">
        <v>9</v>
      </c>
      <c r="K14" s="19">
        <v>-19</v>
      </c>
      <c r="L14" s="33" t="str">
        <f t="shared" si="4"/>
        <v>EW_sand_Ruled_68</v>
      </c>
      <c r="M14" s="105" t="s">
        <v>64</v>
      </c>
      <c r="N14" s="47">
        <v>10</v>
      </c>
      <c r="O14" s="63">
        <v>0</v>
      </c>
      <c r="P14" s="63">
        <v>0</v>
      </c>
      <c r="Q14" s="47">
        <v>28</v>
      </c>
      <c r="R14" s="47">
        <f t="shared" si="0"/>
        <v>23</v>
      </c>
      <c r="S14" s="47">
        <v>1.1000000000000001</v>
      </c>
      <c r="T14" s="47">
        <v>0</v>
      </c>
      <c r="U14" s="75">
        <v>0</v>
      </c>
      <c r="V14" s="75">
        <v>0</v>
      </c>
      <c r="W14" s="47">
        <v>0</v>
      </c>
      <c r="X14" s="47">
        <v>25000</v>
      </c>
      <c r="Y14" s="47">
        <v>0</v>
      </c>
      <c r="Z14" s="47">
        <f t="shared" si="1"/>
        <v>75.399999999999977</v>
      </c>
      <c r="AA14" s="47">
        <v>1</v>
      </c>
      <c r="AB14" s="47">
        <f t="shared" si="2"/>
        <v>4040</v>
      </c>
      <c r="AC14" s="63">
        <v>128000</v>
      </c>
      <c r="AD14" s="63">
        <v>4250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16.800000000000004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68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271</v>
      </c>
      <c r="J15" s="47">
        <v>10</v>
      </c>
      <c r="K15" s="19">
        <v>-23</v>
      </c>
      <c r="L15" s="33" t="str">
        <f t="shared" si="4"/>
        <v>EW_sand_Ruled_50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27</v>
      </c>
      <c r="R15" s="47">
        <f t="shared" si="0"/>
        <v>22</v>
      </c>
      <c r="S15" s="47">
        <v>0.9</v>
      </c>
      <c r="T15" s="47">
        <v>0</v>
      </c>
      <c r="U15" s="75">
        <v>0</v>
      </c>
      <c r="V15" s="75">
        <v>0</v>
      </c>
      <c r="W15" s="47">
        <v>0</v>
      </c>
      <c r="X15" s="47">
        <v>24700</v>
      </c>
      <c r="Y15" s="47">
        <v>0</v>
      </c>
      <c r="Z15" s="47">
        <f t="shared" si="1"/>
        <v>72.59999999999998</v>
      </c>
      <c r="AA15" s="47">
        <v>1</v>
      </c>
      <c r="AB15" s="47">
        <f t="shared" si="2"/>
        <v>3660</v>
      </c>
      <c r="AC15" s="63">
        <v>128000</v>
      </c>
      <c r="AD15" s="63">
        <v>4666.67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3"/>
        <v>15.200000000000003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50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271</v>
      </c>
      <c r="J16" s="47">
        <v>11</v>
      </c>
      <c r="K16" s="19">
        <v>-26</v>
      </c>
      <c r="L16" s="33" t="str">
        <f t="shared" si="4"/>
        <v>EW_sand_Ruled_60</v>
      </c>
      <c r="M16" s="105" t="s">
        <v>64</v>
      </c>
      <c r="N16" s="47">
        <v>9.8000000000000007</v>
      </c>
      <c r="O16" s="63">
        <v>0</v>
      </c>
      <c r="P16" s="63">
        <v>0</v>
      </c>
      <c r="Q16" s="47">
        <v>27</v>
      </c>
      <c r="R16" s="47">
        <f t="shared" si="0"/>
        <v>22</v>
      </c>
      <c r="S16" s="47">
        <v>1</v>
      </c>
      <c r="T16" s="47">
        <v>0</v>
      </c>
      <c r="U16" s="75">
        <v>0</v>
      </c>
      <c r="V16" s="75">
        <v>0</v>
      </c>
      <c r="W16" s="47">
        <v>0</v>
      </c>
      <c r="X16" s="47">
        <v>34100</v>
      </c>
      <c r="Y16" s="47">
        <v>0</v>
      </c>
      <c r="Z16" s="47">
        <f t="shared" si="1"/>
        <v>72.59999999999998</v>
      </c>
      <c r="AA16" s="47">
        <v>1</v>
      </c>
      <c r="AB16" s="47">
        <f t="shared" si="2"/>
        <v>3660</v>
      </c>
      <c r="AC16" s="63">
        <v>130000</v>
      </c>
      <c r="AD16" s="63">
        <v>24666.67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>
        <f t="shared" si="3"/>
        <v>15.200000000000003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60</v>
      </c>
      <c r="AS16" s="33">
        <v>0.2</v>
      </c>
    </row>
    <row r="17" spans="1:45" s="56" customFormat="1" x14ac:dyDescent="0.25">
      <c r="A17" s="33" t="s">
        <v>98</v>
      </c>
      <c r="B17" s="57">
        <v>0.53</v>
      </c>
      <c r="C17" s="45"/>
      <c r="D17" s="115"/>
      <c r="E17" s="115"/>
      <c r="I17" s="33" t="s">
        <v>271</v>
      </c>
      <c r="J17" s="47">
        <v>12</v>
      </c>
      <c r="K17" s="19">
        <v>-27.5</v>
      </c>
      <c r="L17" s="33" t="str">
        <f t="shared" si="4"/>
        <v>EW_sand_Ruled_60</v>
      </c>
      <c r="M17" s="105" t="s">
        <v>64</v>
      </c>
      <c r="N17" s="47">
        <v>9.8000000000000007</v>
      </c>
      <c r="O17" s="63">
        <v>0</v>
      </c>
      <c r="P17" s="63">
        <v>0</v>
      </c>
      <c r="Q17" s="47">
        <v>27</v>
      </c>
      <c r="R17" s="47">
        <f t="shared" si="0"/>
        <v>22</v>
      </c>
      <c r="S17" s="47">
        <v>0.9</v>
      </c>
      <c r="T17" s="47">
        <v>0</v>
      </c>
      <c r="U17" s="75">
        <v>0</v>
      </c>
      <c r="V17" s="75">
        <v>0</v>
      </c>
      <c r="W17" s="47">
        <v>0</v>
      </c>
      <c r="X17" s="47">
        <v>29100</v>
      </c>
      <c r="Y17" s="47">
        <v>0</v>
      </c>
      <c r="Z17" s="47">
        <f t="shared" si="1"/>
        <v>72.59999999999998</v>
      </c>
      <c r="AA17" s="47">
        <v>1</v>
      </c>
      <c r="AB17" s="47">
        <f t="shared" si="2"/>
        <v>3660</v>
      </c>
      <c r="AC17" s="63">
        <v>172000</v>
      </c>
      <c r="AD17" s="63">
        <v>-9200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>
        <f t="shared" si="3"/>
        <v>15.200000000000003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60</v>
      </c>
      <c r="AS17" s="33">
        <v>0.2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271</v>
      </c>
      <c r="J18" s="47">
        <v>13</v>
      </c>
      <c r="K18" s="19">
        <v>-30</v>
      </c>
      <c r="L18" s="33" t="str">
        <f t="shared" si="4"/>
        <v>EW_sand_Ruled_51</v>
      </c>
      <c r="M18" s="105" t="s">
        <v>64</v>
      </c>
      <c r="N18" s="47">
        <v>9.8000000000000007</v>
      </c>
      <c r="O18" s="63">
        <v>0</v>
      </c>
      <c r="P18" s="63">
        <v>0</v>
      </c>
      <c r="Q18" s="47">
        <v>27</v>
      </c>
      <c r="R18" s="47">
        <f t="shared" si="0"/>
        <v>22</v>
      </c>
      <c r="S18" s="47">
        <v>0.7</v>
      </c>
      <c r="T18" s="47">
        <v>0</v>
      </c>
      <c r="U18" s="75">
        <v>0</v>
      </c>
      <c r="V18" s="75">
        <v>0</v>
      </c>
      <c r="W18" s="47">
        <v>0</v>
      </c>
      <c r="X18" s="47">
        <v>41900</v>
      </c>
      <c r="Y18" s="47">
        <v>0</v>
      </c>
      <c r="Z18" s="47">
        <f t="shared" si="1"/>
        <v>72.59999999999998</v>
      </c>
      <c r="AA18" s="47">
        <v>1</v>
      </c>
      <c r="AB18" s="47">
        <f t="shared" si="2"/>
        <v>3660</v>
      </c>
      <c r="AC18" s="63">
        <v>146000</v>
      </c>
      <c r="AD18" s="63">
        <v>2700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>
        <f t="shared" si="3"/>
        <v>15.200000000000003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51</v>
      </c>
      <c r="AS18" s="33">
        <v>0.2</v>
      </c>
    </row>
    <row r="19" spans="1:45" x14ac:dyDescent="0.25">
      <c r="A19" s="115" t="s">
        <v>38</v>
      </c>
      <c r="B19" s="115" t="s">
        <v>30</v>
      </c>
      <c r="C19" s="115" t="s">
        <v>59</v>
      </c>
      <c r="D19" s="43"/>
      <c r="E19" s="35"/>
      <c r="I19" s="33" t="s">
        <v>271</v>
      </c>
      <c r="J19" s="47">
        <v>14</v>
      </c>
      <c r="K19" s="33">
        <v>-40</v>
      </c>
      <c r="L19" s="33" t="str">
        <f t="shared" si="4"/>
        <v>EW_sand_Ruled_42</v>
      </c>
      <c r="M19" s="105" t="s">
        <v>64</v>
      </c>
      <c r="N19" s="47">
        <v>9.8000000000000007</v>
      </c>
      <c r="O19" s="63">
        <v>0</v>
      </c>
      <c r="P19" s="63">
        <v>0</v>
      </c>
      <c r="Q19" s="47">
        <v>26</v>
      </c>
      <c r="R19" s="47">
        <f t="shared" si="0"/>
        <v>21</v>
      </c>
      <c r="S19" s="47">
        <v>0.6</v>
      </c>
      <c r="T19" s="47">
        <v>0</v>
      </c>
      <c r="U19" s="75">
        <v>0</v>
      </c>
      <c r="V19" s="75">
        <v>0</v>
      </c>
      <c r="W19" s="47">
        <v>0</v>
      </c>
      <c r="X19" s="47">
        <v>42000</v>
      </c>
      <c r="Y19" s="47">
        <v>0</v>
      </c>
      <c r="Z19" s="47">
        <f t="shared" si="1"/>
        <v>69.799999999999983</v>
      </c>
      <c r="AA19" s="47">
        <v>1</v>
      </c>
      <c r="AB19" s="47">
        <f t="shared" si="2"/>
        <v>3280</v>
      </c>
      <c r="AC19" s="63">
        <v>156000</v>
      </c>
      <c r="AD19" s="63">
        <v>2000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>
        <f t="shared" si="3"/>
        <v>13.600000000000003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42</v>
      </c>
      <c r="AS19" s="33">
        <v>0.2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56" t="s">
        <v>273</v>
      </c>
      <c r="J20" s="47">
        <v>15</v>
      </c>
      <c r="K20" s="19">
        <v>-46</v>
      </c>
      <c r="L20" s="116" t="s">
        <v>275</v>
      </c>
      <c r="M20" s="105" t="s">
        <v>65</v>
      </c>
      <c r="N20" s="47">
        <v>8.9</v>
      </c>
      <c r="O20" s="63">
        <v>261</v>
      </c>
      <c r="P20" s="63">
        <v>5.21</v>
      </c>
      <c r="Q20" s="47">
        <v>0</v>
      </c>
      <c r="R20" s="47" t="e">
        <f t="shared" si="0"/>
        <v>#N/A</v>
      </c>
      <c r="S20" s="47">
        <v>1.6</v>
      </c>
      <c r="T20" s="47">
        <v>0</v>
      </c>
      <c r="U20" s="75">
        <v>1.7999999999999999E-2</v>
      </c>
      <c r="V20" s="75">
        <v>0</v>
      </c>
      <c r="W20" s="47">
        <v>0.25</v>
      </c>
      <c r="X20" s="47">
        <v>27600</v>
      </c>
      <c r="Y20" s="47">
        <v>0</v>
      </c>
      <c r="Z20" s="47" t="e">
        <f t="shared" si="1"/>
        <v>#N/A</v>
      </c>
      <c r="AA20" s="47">
        <v>1</v>
      </c>
      <c r="AB20" s="47" t="e">
        <f t="shared" si="2"/>
        <v>#N/A</v>
      </c>
      <c r="AC20" s="63">
        <v>391000</v>
      </c>
      <c r="AD20" s="63">
        <v>8142.85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 t="e">
        <f t="shared" si="3"/>
        <v>#N/A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0</v>
      </c>
      <c r="AS20" s="33">
        <v>0.4</v>
      </c>
    </row>
    <row r="21" spans="1:45" x14ac:dyDescent="0.25">
      <c r="A21" s="66"/>
      <c r="B21" s="66"/>
      <c r="C21" s="67"/>
      <c r="D21" s="43"/>
      <c r="I21" s="56" t="s">
        <v>273</v>
      </c>
      <c r="J21" s="47">
        <v>16</v>
      </c>
      <c r="K21" s="33">
        <v>-60</v>
      </c>
      <c r="L21" s="116" t="s">
        <v>275</v>
      </c>
      <c r="M21" s="105" t="s">
        <v>65</v>
      </c>
      <c r="N21" s="47">
        <v>8.9</v>
      </c>
      <c r="O21" s="63">
        <v>492</v>
      </c>
      <c r="P21" s="63">
        <v>8.85</v>
      </c>
      <c r="Q21" s="47">
        <v>0</v>
      </c>
      <c r="R21" s="47" t="e">
        <f t="shared" si="0"/>
        <v>#N/A</v>
      </c>
      <c r="S21" s="47">
        <v>2</v>
      </c>
      <c r="T21" s="47">
        <v>0</v>
      </c>
      <c r="U21" s="75">
        <v>1.7999999999999999E-2</v>
      </c>
      <c r="V21" s="75">
        <v>0</v>
      </c>
      <c r="W21" s="47">
        <v>0.25</v>
      </c>
      <c r="X21" s="47">
        <v>50200</v>
      </c>
      <c r="Y21" s="47">
        <v>0</v>
      </c>
      <c r="Z21" s="47" t="e">
        <f t="shared" si="1"/>
        <v>#N/A</v>
      </c>
      <c r="AA21" s="47">
        <v>1</v>
      </c>
      <c r="AB21" s="47" t="e">
        <f t="shared" si="2"/>
        <v>#N/A</v>
      </c>
      <c r="AC21" s="63">
        <v>760000</v>
      </c>
      <c r="AD21" s="63">
        <v>16200</v>
      </c>
      <c r="AE21" s="63">
        <v>0.3</v>
      </c>
      <c r="AF21" s="63">
        <v>0</v>
      </c>
      <c r="AG21" s="63">
        <v>0</v>
      </c>
      <c r="AH21" s="63">
        <v>0</v>
      </c>
      <c r="AI21" s="63">
        <v>0</v>
      </c>
      <c r="AJ21" s="47" t="e">
        <f t="shared" si="3"/>
        <v>#N/A</v>
      </c>
      <c r="AK21" s="47">
        <v>1</v>
      </c>
      <c r="AL21" s="47">
        <v>1</v>
      </c>
      <c r="AM21" s="47">
        <v>1</v>
      </c>
      <c r="AN21" s="47">
        <v>1</v>
      </c>
      <c r="AO21" s="47">
        <v>1</v>
      </c>
      <c r="AP21" s="47">
        <v>1</v>
      </c>
      <c r="AQ21" s="47">
        <v>0</v>
      </c>
      <c r="AR21" s="47">
        <v>0</v>
      </c>
      <c r="AS21" s="33">
        <v>0.4</v>
      </c>
    </row>
    <row r="22" spans="1:45" x14ac:dyDescent="0.25">
      <c r="A22" s="66"/>
      <c r="B22" s="66"/>
      <c r="C22" s="67"/>
      <c r="D22" s="35"/>
      <c r="I22" s="56" t="s">
        <v>273</v>
      </c>
      <c r="J22" s="47">
        <v>17</v>
      </c>
      <c r="K22" s="33">
        <v>-80</v>
      </c>
      <c r="L22" s="116" t="s">
        <v>275</v>
      </c>
      <c r="M22" s="105" t="s">
        <v>65</v>
      </c>
      <c r="N22" s="47">
        <v>8.9</v>
      </c>
      <c r="O22" s="63">
        <v>669</v>
      </c>
      <c r="P22" s="63">
        <v>0</v>
      </c>
      <c r="Q22" s="47">
        <v>0</v>
      </c>
      <c r="R22" s="47" t="e">
        <f t="shared" si="0"/>
        <v>#N/A</v>
      </c>
      <c r="S22" s="47">
        <v>2</v>
      </c>
      <c r="T22" s="47">
        <v>0</v>
      </c>
      <c r="U22" s="75">
        <v>1.7999999999999999E-2</v>
      </c>
      <c r="V22" s="75">
        <v>0</v>
      </c>
      <c r="W22" s="47">
        <v>0.25</v>
      </c>
      <c r="X22" s="47">
        <v>50200</v>
      </c>
      <c r="Y22" s="47">
        <v>0</v>
      </c>
      <c r="Z22" s="47" t="e">
        <f t="shared" si="1"/>
        <v>#N/A</v>
      </c>
      <c r="AA22" s="47">
        <v>1</v>
      </c>
      <c r="AB22" s="47" t="e">
        <f t="shared" si="2"/>
        <v>#N/A</v>
      </c>
      <c r="AC22" s="63">
        <v>1084000</v>
      </c>
      <c r="AD22" s="63">
        <v>0</v>
      </c>
      <c r="AE22" s="63">
        <v>0.3</v>
      </c>
      <c r="AF22" s="63">
        <v>0</v>
      </c>
      <c r="AG22" s="63">
        <v>0</v>
      </c>
      <c r="AH22" s="63">
        <v>0</v>
      </c>
      <c r="AI22" s="63">
        <v>0</v>
      </c>
      <c r="AJ22" s="47" t="e">
        <f t="shared" si="3"/>
        <v>#N/A</v>
      </c>
      <c r="AK22" s="47">
        <v>1</v>
      </c>
      <c r="AL22" s="47">
        <v>1</v>
      </c>
      <c r="AM22" s="47">
        <v>1</v>
      </c>
      <c r="AN22" s="47">
        <v>1</v>
      </c>
      <c r="AO22" s="47">
        <v>1</v>
      </c>
      <c r="AP22" s="47">
        <v>1</v>
      </c>
      <c r="AQ22" s="47">
        <v>0</v>
      </c>
      <c r="AR22" s="47">
        <v>0</v>
      </c>
      <c r="AS22" s="33">
        <v>0.4</v>
      </c>
    </row>
    <row r="23" spans="1:45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5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</row>
    <row r="42" spans="1:42" x14ac:dyDescent="0.25">
      <c r="L42" s="49"/>
      <c r="AE42" s="33">
        <v>18</v>
      </c>
      <c r="AF42" s="33">
        <f t="shared" si="5"/>
        <v>59.399999999999991</v>
      </c>
      <c r="AG42" s="33">
        <f t="shared" si="6"/>
        <v>2500</v>
      </c>
      <c r="AH42" s="33">
        <f t="shared" si="7"/>
        <v>10.400000000000002</v>
      </c>
    </row>
    <row r="43" spans="1:42" x14ac:dyDescent="0.25">
      <c r="L43" s="49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</row>
    <row r="44" spans="1:42" x14ac:dyDescent="0.25">
      <c r="L44" s="49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2" x14ac:dyDescent="0.25">
      <c r="L47" s="49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2" x14ac:dyDescent="0.25">
      <c r="L48" s="49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9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9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9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9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9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9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9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3:AP36">
    <cfRule type="expression" dxfId="3240" priority="316">
      <formula>$L23="API sand"</formula>
    </cfRule>
  </conditionalFormatting>
  <conditionalFormatting sqref="R29:S36 S23:S28 AD23:AD28 AB23:AB35">
    <cfRule type="expression" dxfId="3239" priority="315">
      <formula>$M23="API sand"</formula>
    </cfRule>
  </conditionalFormatting>
  <conditionalFormatting sqref="R29:T36 S23:T28 AD23:AD28 AB23:AB35">
    <cfRule type="expression" dxfId="3238" priority="314">
      <formula>$M23="API clay"</formula>
    </cfRule>
  </conditionalFormatting>
  <conditionalFormatting sqref="U23:W36 AM23:AP36">
    <cfRule type="expression" dxfId="3237" priority="311">
      <formula>$L23="Stiff clay w/o free water"</formula>
    </cfRule>
    <cfRule type="expression" dxfId="3236" priority="313">
      <formula>$L23="API clay"</formula>
    </cfRule>
  </conditionalFormatting>
  <conditionalFormatting sqref="U23:Y36 AM23:AP36">
    <cfRule type="expression" dxfId="3235" priority="312">
      <formula>$L23="Kirsch soft clay"</formula>
    </cfRule>
  </conditionalFormatting>
  <conditionalFormatting sqref="U23:Y36 AM23:AP36">
    <cfRule type="expression" dxfId="3234" priority="310">
      <formula>$L23="Kirsch stiff clay"</formula>
    </cfRule>
  </conditionalFormatting>
  <conditionalFormatting sqref="AM23:AP36">
    <cfRule type="expression" dxfId="3233" priority="309">
      <formula>$L23="Kirsch sand"</formula>
    </cfRule>
  </conditionalFormatting>
  <conditionalFormatting sqref="AM23:AP36">
    <cfRule type="expression" dxfId="3232" priority="308">
      <formula>$L23="Modified Weak rock"</formula>
    </cfRule>
  </conditionalFormatting>
  <conditionalFormatting sqref="U23:V36 AM23:AP36">
    <cfRule type="expression" dxfId="3231" priority="307">
      <formula>$L23="Reese stiff clay"</formula>
    </cfRule>
  </conditionalFormatting>
  <conditionalFormatting sqref="N23:N36 Q23:Q36">
    <cfRule type="expression" dxfId="3230" priority="306">
      <formula>$L23="API sand"</formula>
    </cfRule>
  </conditionalFormatting>
  <conditionalFormatting sqref="N23:N36 AB36 AJ23:AL36 Z23:Z36">
    <cfRule type="expression" dxfId="3229" priority="305">
      <formula>$M23="API sand"</formula>
    </cfRule>
  </conditionalFormatting>
  <conditionalFormatting sqref="Z36:AB36 AK23:AL36 N23:N36 Z23:AA35">
    <cfRule type="expression" dxfId="3228" priority="304">
      <formula>$M23="API clay"</formula>
    </cfRule>
  </conditionalFormatting>
  <conditionalFormatting sqref="N29:P36 N23:N28 P23:P28">
    <cfRule type="expression" dxfId="3227" priority="301">
      <formula>$L23="Stiff clay w/o free water"</formula>
    </cfRule>
    <cfRule type="expression" dxfId="3226" priority="303">
      <formula>$L23="API clay"</formula>
    </cfRule>
  </conditionalFormatting>
  <conditionalFormatting sqref="N29:P36 N23:N28 P23:P28">
    <cfRule type="expression" dxfId="3225" priority="302">
      <formula>$L23="Kirsch soft clay"</formula>
    </cfRule>
  </conditionalFormatting>
  <conditionalFormatting sqref="N29:P36 N23:N28 P23:P28">
    <cfRule type="expression" dxfId="3224" priority="300">
      <formula>$L23="Kirsch stiff clay"</formula>
    </cfRule>
  </conditionalFormatting>
  <conditionalFormatting sqref="N23:N36 Q23:Q36 X23:Y36">
    <cfRule type="expression" dxfId="3223" priority="299">
      <formula>$L23="Kirsch sand"</formula>
    </cfRule>
  </conditionalFormatting>
  <conditionalFormatting sqref="N23:N36 AC23:AD36 AI23:AI36">
    <cfRule type="expression" dxfId="3222" priority="298">
      <formula>$L23="Modified Weak rock"</formula>
    </cfRule>
  </conditionalFormatting>
  <conditionalFormatting sqref="N29:P36 N23:N28 P23:P28">
    <cfRule type="expression" dxfId="3221" priority="297">
      <formula>$L23="Reese stiff clay"</formula>
    </cfRule>
  </conditionalFormatting>
  <conditionalFormatting sqref="O23:O28">
    <cfRule type="expression" dxfId="3220" priority="292">
      <formula>$L23="API sand"</formula>
    </cfRule>
  </conditionalFormatting>
  <conditionalFormatting sqref="O23:O28">
    <cfRule type="expression" dxfId="3219" priority="291">
      <formula>$L23="Kirsch sand"</formula>
    </cfRule>
  </conditionalFormatting>
  <conditionalFormatting sqref="AE37:AH37">
    <cfRule type="expression" dxfId="3218" priority="317">
      <formula>$L19="Modified Weak rock"</formula>
    </cfRule>
  </conditionalFormatting>
  <dataValidations count="4">
    <dataValidation type="list" showInputMessage="1" showErrorMessage="1" sqref="M6:M22" xr:uid="{4340F84D-7B6D-43A2-A4C3-AA350EDA5CBA}">
      <formula1>"Zero soil,API sand,API clay"</formula1>
    </dataValidation>
    <dataValidation type="list" showInputMessage="1" showErrorMessage="1" sqref="L23:L255" xr:uid="{88E55903-C9E6-41A7-8F0E-E2A9BC785F46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7:M36" xr:uid="{8B33B4F0-CFB4-48D0-8506-32D8E351A476}">
      <formula1>"',API sand,API clay"</formula1>
    </dataValidation>
    <dataValidation showInputMessage="1" showErrorMessage="1" sqref="L7 L20:L22" xr:uid="{17038C54-3657-4974-B833-F72A6EC57FF9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E93EF-AD34-4C77-84CA-D19993EC70AE}">
  <sheetPr>
    <tabColor rgb="FF00B050"/>
  </sheetPr>
  <dimension ref="A1:AS255"/>
  <sheetViews>
    <sheetView topLeftCell="C1" zoomScale="85" zoomScaleNormal="85" workbookViewId="0">
      <selection activeCell="G32" sqref="G32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Ak_kirsch_WTG32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2"/>
      <c r="R3" s="155"/>
      <c r="S3" s="155"/>
      <c r="T3" s="112"/>
      <c r="U3" s="155"/>
      <c r="V3" s="155"/>
      <c r="W3" s="112"/>
      <c r="X3" s="69"/>
      <c r="Y3" s="112"/>
      <c r="Z3" s="112"/>
      <c r="AA3" s="112"/>
      <c r="AB3" s="112"/>
      <c r="AC3" s="69"/>
      <c r="AD3" s="39"/>
      <c r="AE3" s="39"/>
      <c r="AF3" s="39"/>
      <c r="AG3" s="39"/>
      <c r="AH3" s="39"/>
      <c r="AI3" s="39"/>
      <c r="AJ3" s="112"/>
      <c r="AK3" s="112"/>
      <c r="AL3" s="112"/>
      <c r="AM3" s="112"/>
      <c r="AN3" s="112"/>
      <c r="AO3" s="112"/>
      <c r="AP3" s="112"/>
    </row>
    <row r="4" spans="1:45" x14ac:dyDescent="0.25">
      <c r="A4" s="40" t="s">
        <v>60</v>
      </c>
      <c r="B4" s="33">
        <f>COUNTIF(J:J,"&gt;0")</f>
        <v>17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3" t="s">
        <v>38</v>
      </c>
      <c r="K5" s="113" t="s">
        <v>30</v>
      </c>
      <c r="L5" s="113" t="s">
        <v>31</v>
      </c>
      <c r="M5" s="113" t="s">
        <v>31</v>
      </c>
      <c r="N5" s="113" t="s">
        <v>32</v>
      </c>
      <c r="O5" s="113" t="s">
        <v>33</v>
      </c>
      <c r="P5" s="113" t="s">
        <v>35</v>
      </c>
      <c r="Q5" s="113" t="s">
        <v>36</v>
      </c>
      <c r="R5" s="113" t="s">
        <v>36</v>
      </c>
      <c r="S5" s="113" t="s">
        <v>34</v>
      </c>
      <c r="T5" s="113" t="s">
        <v>33</v>
      </c>
      <c r="U5" s="113" t="s">
        <v>34</v>
      </c>
      <c r="V5" s="113" t="s">
        <v>62</v>
      </c>
      <c r="W5" s="113" t="s">
        <v>34</v>
      </c>
      <c r="X5" s="113" t="s">
        <v>33</v>
      </c>
      <c r="Y5" s="113" t="s">
        <v>35</v>
      </c>
      <c r="Z5" s="113" t="s">
        <v>33</v>
      </c>
      <c r="AA5" s="113" t="s">
        <v>34</v>
      </c>
      <c r="AB5" s="113" t="s">
        <v>33</v>
      </c>
      <c r="AC5" s="113" t="s">
        <v>33</v>
      </c>
      <c r="AD5" s="113" t="s">
        <v>35</v>
      </c>
      <c r="AE5" s="113" t="s">
        <v>34</v>
      </c>
      <c r="AF5" s="113" t="s">
        <v>33</v>
      </c>
      <c r="AG5" s="113" t="s">
        <v>35</v>
      </c>
      <c r="AH5" s="113" t="s">
        <v>34</v>
      </c>
      <c r="AI5" s="113" t="s">
        <v>34</v>
      </c>
      <c r="AJ5" s="113" t="s">
        <v>34</v>
      </c>
      <c r="AK5" s="113" t="s">
        <v>34</v>
      </c>
      <c r="AL5" s="113" t="s">
        <v>34</v>
      </c>
      <c r="AM5" s="113" t="s">
        <v>34</v>
      </c>
      <c r="AN5" s="113" t="s">
        <v>34</v>
      </c>
      <c r="AO5" s="113" t="s">
        <v>34</v>
      </c>
      <c r="AP5" s="113" t="s">
        <v>34</v>
      </c>
      <c r="AQ5" s="113" t="s">
        <v>103</v>
      </c>
      <c r="AR5" s="113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37</v>
      </c>
      <c r="R6" s="47">
        <f t="shared" ref="R6:R22" si="0">IF(Q6&lt;&gt;0,Q6-5,NA())</f>
        <v>32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9100</v>
      </c>
      <c r="Y6" s="47">
        <v>0</v>
      </c>
      <c r="Z6" s="47">
        <f t="shared" ref="Z6:Z22" si="1">VLOOKUP(R6,$AE$39:$AF$59,2)</f>
        <v>103.59999999999997</v>
      </c>
      <c r="AA6" s="47">
        <v>1</v>
      </c>
      <c r="AB6" s="47">
        <f t="shared" ref="AB6:AB22" si="2">VLOOKUP(R6,$AE$39:$AG$59,3)</f>
        <v>10560</v>
      </c>
      <c r="AC6" s="63">
        <v>5000</v>
      </c>
      <c r="AD6" s="63">
        <v>31250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22" si="3">VLOOKUP(R6,$AE$39:$AH$59,4)</f>
        <v>44.000000000000007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89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 t="s">
        <v>255</v>
      </c>
      <c r="J7" s="47">
        <v>2</v>
      </c>
      <c r="K7" s="19">
        <v>-0.8</v>
      </c>
      <c r="L7" s="116" t="s">
        <v>107</v>
      </c>
      <c r="M7" s="105" t="s">
        <v>65</v>
      </c>
      <c r="N7" s="47">
        <v>10.199999999999999</v>
      </c>
      <c r="O7" s="63">
        <v>73</v>
      </c>
      <c r="P7" s="63">
        <v>14.28</v>
      </c>
      <c r="Q7" s="47">
        <v>0</v>
      </c>
      <c r="R7" s="47" t="e">
        <f t="shared" si="0"/>
        <v>#N/A</v>
      </c>
      <c r="S7" s="47">
        <v>3</v>
      </c>
      <c r="T7" s="47">
        <v>0</v>
      </c>
      <c r="U7" s="75">
        <v>1.7999999999999999E-2</v>
      </c>
      <c r="V7" s="75">
        <v>0</v>
      </c>
      <c r="W7" s="47">
        <v>0.5</v>
      </c>
      <c r="X7" s="47">
        <v>13500</v>
      </c>
      <c r="Y7" s="47">
        <v>0</v>
      </c>
      <c r="Z7" s="47" t="e">
        <f t="shared" si="1"/>
        <v>#N/A</v>
      </c>
      <c r="AA7" s="47">
        <v>1</v>
      </c>
      <c r="AB7" s="47" t="e">
        <f t="shared" si="2"/>
        <v>#N/A</v>
      </c>
      <c r="AC7" s="63">
        <v>72000</v>
      </c>
      <c r="AD7" s="63">
        <v>15714.28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 t="e">
        <f t="shared" si="3"/>
        <v>#N/A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259</v>
      </c>
      <c r="J8" s="47">
        <v>3</v>
      </c>
      <c r="K8" s="19">
        <v>-1.5</v>
      </c>
      <c r="L8" s="116" t="s">
        <v>106</v>
      </c>
      <c r="M8" s="105" t="s">
        <v>64</v>
      </c>
      <c r="N8" s="47">
        <v>10</v>
      </c>
      <c r="O8" s="63">
        <v>0</v>
      </c>
      <c r="P8" s="63">
        <v>0</v>
      </c>
      <c r="Q8" s="47">
        <v>41</v>
      </c>
      <c r="R8" s="47">
        <f t="shared" si="0"/>
        <v>36</v>
      </c>
      <c r="S8" s="47">
        <v>2.1</v>
      </c>
      <c r="T8" s="47">
        <v>0</v>
      </c>
      <c r="U8" s="75">
        <v>0</v>
      </c>
      <c r="V8" s="75">
        <v>0</v>
      </c>
      <c r="W8" s="47">
        <v>0</v>
      </c>
      <c r="X8" s="47">
        <v>62600</v>
      </c>
      <c r="Y8" s="47">
        <v>0</v>
      </c>
      <c r="Z8" s="47">
        <f t="shared" si="1"/>
        <v>114.99999999999996</v>
      </c>
      <c r="AA8" s="47">
        <v>1</v>
      </c>
      <c r="AB8" s="47">
        <f t="shared" si="2"/>
        <v>12000</v>
      </c>
      <c r="AC8" s="63">
        <v>57000</v>
      </c>
      <c r="AD8" s="63">
        <v>6000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82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261</v>
      </c>
      <c r="J9" s="47">
        <v>4</v>
      </c>
      <c r="K9" s="19">
        <v>-5</v>
      </c>
      <c r="L9" s="116" t="s">
        <v>106</v>
      </c>
      <c r="M9" s="105" t="s">
        <v>64</v>
      </c>
      <c r="N9" s="47">
        <v>9.9</v>
      </c>
      <c r="O9" s="63">
        <v>0</v>
      </c>
      <c r="P9" s="63">
        <v>0</v>
      </c>
      <c r="Q9" s="47">
        <v>38</v>
      </c>
      <c r="R9" s="47">
        <f t="shared" si="0"/>
        <v>33</v>
      </c>
      <c r="S9" s="47">
        <v>1.2</v>
      </c>
      <c r="T9" s="47">
        <v>0</v>
      </c>
      <c r="U9" s="75">
        <v>0</v>
      </c>
      <c r="V9" s="75">
        <v>0</v>
      </c>
      <c r="W9" s="47">
        <v>0</v>
      </c>
      <c r="X9" s="47">
        <v>49700</v>
      </c>
      <c r="Y9" s="47">
        <v>0</v>
      </c>
      <c r="Z9" s="47">
        <f t="shared" si="1"/>
        <v>107.39999999999996</v>
      </c>
      <c r="AA9" s="47">
        <v>1</v>
      </c>
      <c r="AB9" s="47">
        <f t="shared" si="2"/>
        <v>11040</v>
      </c>
      <c r="AC9" s="63">
        <v>77000</v>
      </c>
      <c r="AD9" s="63">
        <v>3750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3"/>
        <v>46.000000000000007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64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261</v>
      </c>
      <c r="J10" s="47">
        <v>5</v>
      </c>
      <c r="K10" s="56">
        <v>-9</v>
      </c>
      <c r="L10" s="116" t="s">
        <v>106</v>
      </c>
      <c r="M10" s="105" t="s">
        <v>64</v>
      </c>
      <c r="N10" s="47">
        <v>9.9</v>
      </c>
      <c r="O10" s="63">
        <v>0</v>
      </c>
      <c r="P10" s="63">
        <v>0</v>
      </c>
      <c r="Q10" s="47">
        <v>41</v>
      </c>
      <c r="R10" s="47">
        <f t="shared" si="0"/>
        <v>36</v>
      </c>
      <c r="S10" s="47">
        <v>1.4</v>
      </c>
      <c r="T10" s="47">
        <v>0</v>
      </c>
      <c r="U10" s="75">
        <v>0</v>
      </c>
      <c r="V10" s="75">
        <v>0</v>
      </c>
      <c r="W10" s="47">
        <v>0</v>
      </c>
      <c r="X10" s="47">
        <v>99900</v>
      </c>
      <c r="Y10" s="47">
        <v>0</v>
      </c>
      <c r="Z10" s="47">
        <f t="shared" si="1"/>
        <v>114.99999999999996</v>
      </c>
      <c r="AA10" s="47">
        <v>1</v>
      </c>
      <c r="AB10" s="47">
        <f t="shared" si="2"/>
        <v>12000</v>
      </c>
      <c r="AC10" s="63">
        <v>104000</v>
      </c>
      <c r="AD10" s="63">
        <v>34000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3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84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278</v>
      </c>
      <c r="J11" s="47">
        <v>6</v>
      </c>
      <c r="K11" s="19">
        <v>-9.5</v>
      </c>
      <c r="L11" s="116" t="s">
        <v>106</v>
      </c>
      <c r="M11" s="105" t="s">
        <v>64</v>
      </c>
      <c r="N11" s="47">
        <v>10</v>
      </c>
      <c r="O11" s="63">
        <v>0</v>
      </c>
      <c r="P11" s="63">
        <v>0</v>
      </c>
      <c r="Q11" s="47">
        <v>29</v>
      </c>
      <c r="R11" s="47">
        <f t="shared" si="0"/>
        <v>24</v>
      </c>
      <c r="S11" s="47">
        <v>2</v>
      </c>
      <c r="T11" s="47">
        <v>0</v>
      </c>
      <c r="U11" s="75">
        <v>0</v>
      </c>
      <c r="V11" s="75">
        <v>0</v>
      </c>
      <c r="W11" s="47">
        <v>0</v>
      </c>
      <c r="X11" s="47">
        <v>32800</v>
      </c>
      <c r="Y11" s="47">
        <v>0</v>
      </c>
      <c r="Z11" s="47">
        <f t="shared" si="1"/>
        <v>78.199999999999974</v>
      </c>
      <c r="AA11" s="47">
        <v>1</v>
      </c>
      <c r="AB11" s="47">
        <f t="shared" si="2"/>
        <v>4420</v>
      </c>
      <c r="AC11" s="63">
        <v>120000</v>
      </c>
      <c r="AD11" s="63">
        <v>-14000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18.400000000000006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79</v>
      </c>
      <c r="AS11" s="33">
        <v>0.2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278</v>
      </c>
      <c r="J12" s="47">
        <v>7</v>
      </c>
      <c r="K12" s="33">
        <v>-10.5</v>
      </c>
      <c r="L12" s="116" t="s">
        <v>106</v>
      </c>
      <c r="M12" s="105" t="s">
        <v>64</v>
      </c>
      <c r="N12" s="47">
        <v>10</v>
      </c>
      <c r="O12" s="63">
        <v>0</v>
      </c>
      <c r="P12" s="63">
        <v>0</v>
      </c>
      <c r="Q12" s="47">
        <v>28</v>
      </c>
      <c r="R12" s="47">
        <f t="shared" si="0"/>
        <v>23</v>
      </c>
      <c r="S12" s="47">
        <v>1.4</v>
      </c>
      <c r="T12" s="47">
        <v>0</v>
      </c>
      <c r="U12" s="75">
        <v>0</v>
      </c>
      <c r="V12" s="75">
        <v>0</v>
      </c>
      <c r="W12" s="47">
        <v>0</v>
      </c>
      <c r="X12" s="47">
        <v>22200</v>
      </c>
      <c r="Y12" s="47">
        <v>0</v>
      </c>
      <c r="Z12" s="47">
        <f t="shared" si="1"/>
        <v>75.399999999999977</v>
      </c>
      <c r="AA12" s="47">
        <v>1</v>
      </c>
      <c r="AB12" s="47">
        <f t="shared" si="2"/>
        <v>4040</v>
      </c>
      <c r="AC12" s="63">
        <v>98000</v>
      </c>
      <c r="AD12" s="63">
        <v>5250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3"/>
        <v>16.800000000000004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67</v>
      </c>
      <c r="AS12" s="33">
        <v>0.2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278</v>
      </c>
      <c r="J13" s="47">
        <v>8</v>
      </c>
      <c r="K13" s="19">
        <v>-14.5</v>
      </c>
      <c r="L13" s="116" t="s">
        <v>106</v>
      </c>
      <c r="M13" s="105" t="s">
        <v>64</v>
      </c>
      <c r="N13" s="47">
        <v>10</v>
      </c>
      <c r="O13" s="63">
        <v>0</v>
      </c>
      <c r="P13" s="63">
        <v>0</v>
      </c>
      <c r="Q13" s="47">
        <v>28</v>
      </c>
      <c r="R13" s="47">
        <f t="shared" si="0"/>
        <v>23</v>
      </c>
      <c r="S13" s="47">
        <v>1.2</v>
      </c>
      <c r="T13" s="47">
        <v>0</v>
      </c>
      <c r="U13" s="75">
        <v>0</v>
      </c>
      <c r="V13" s="75">
        <v>0</v>
      </c>
      <c r="W13" s="47">
        <v>0</v>
      </c>
      <c r="X13" s="47">
        <v>40000</v>
      </c>
      <c r="Y13" s="47">
        <v>0</v>
      </c>
      <c r="Z13" s="47">
        <f t="shared" si="1"/>
        <v>75.399999999999977</v>
      </c>
      <c r="AA13" s="47">
        <v>1</v>
      </c>
      <c r="AB13" s="47">
        <f t="shared" si="2"/>
        <v>4040</v>
      </c>
      <c r="AC13" s="63">
        <v>151000</v>
      </c>
      <c r="AD13" s="63">
        <v>-8000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16.800000000000004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66</v>
      </c>
      <c r="AS13" s="33">
        <v>0.2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278</v>
      </c>
      <c r="J14" s="47">
        <v>9</v>
      </c>
      <c r="K14" s="19">
        <v>-19</v>
      </c>
      <c r="L14" s="116" t="s">
        <v>106</v>
      </c>
      <c r="M14" s="105" t="s">
        <v>64</v>
      </c>
      <c r="N14" s="47">
        <v>10</v>
      </c>
      <c r="O14" s="63">
        <v>0</v>
      </c>
      <c r="P14" s="63">
        <v>0</v>
      </c>
      <c r="Q14" s="47">
        <v>28</v>
      </c>
      <c r="R14" s="47">
        <f t="shared" si="0"/>
        <v>23</v>
      </c>
      <c r="S14" s="47">
        <v>1.1000000000000001</v>
      </c>
      <c r="T14" s="47">
        <v>0</v>
      </c>
      <c r="U14" s="75">
        <v>0</v>
      </c>
      <c r="V14" s="75">
        <v>0</v>
      </c>
      <c r="W14" s="47">
        <v>0</v>
      </c>
      <c r="X14" s="47">
        <v>25000</v>
      </c>
      <c r="Y14" s="47">
        <v>0</v>
      </c>
      <c r="Z14" s="47">
        <f t="shared" si="1"/>
        <v>75.399999999999977</v>
      </c>
      <c r="AA14" s="47">
        <v>1</v>
      </c>
      <c r="AB14" s="47">
        <f t="shared" si="2"/>
        <v>4040</v>
      </c>
      <c r="AC14" s="63">
        <v>128000</v>
      </c>
      <c r="AD14" s="63">
        <v>4250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16.800000000000004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68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271</v>
      </c>
      <c r="J15" s="47">
        <v>10</v>
      </c>
      <c r="K15" s="19">
        <v>-23</v>
      </c>
      <c r="L15" s="116" t="s">
        <v>106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27</v>
      </c>
      <c r="R15" s="47">
        <f t="shared" si="0"/>
        <v>22</v>
      </c>
      <c r="S15" s="47">
        <v>0.9</v>
      </c>
      <c r="T15" s="47">
        <v>0</v>
      </c>
      <c r="U15" s="75">
        <v>0</v>
      </c>
      <c r="V15" s="75">
        <v>0</v>
      </c>
      <c r="W15" s="47">
        <v>0</v>
      </c>
      <c r="X15" s="47">
        <v>24700</v>
      </c>
      <c r="Y15" s="47">
        <v>0</v>
      </c>
      <c r="Z15" s="47">
        <f t="shared" si="1"/>
        <v>72.59999999999998</v>
      </c>
      <c r="AA15" s="47">
        <v>1</v>
      </c>
      <c r="AB15" s="47">
        <f t="shared" si="2"/>
        <v>3660</v>
      </c>
      <c r="AC15" s="63">
        <v>128000</v>
      </c>
      <c r="AD15" s="63">
        <v>4666.67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3"/>
        <v>15.200000000000003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50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271</v>
      </c>
      <c r="J16" s="47">
        <v>11</v>
      </c>
      <c r="K16" s="19">
        <v>-26</v>
      </c>
      <c r="L16" s="116" t="s">
        <v>106</v>
      </c>
      <c r="M16" s="105" t="s">
        <v>64</v>
      </c>
      <c r="N16" s="47">
        <v>9.8000000000000007</v>
      </c>
      <c r="O16" s="63">
        <v>0</v>
      </c>
      <c r="P16" s="63">
        <v>0</v>
      </c>
      <c r="Q16" s="47">
        <v>27</v>
      </c>
      <c r="R16" s="47">
        <f t="shared" si="0"/>
        <v>22</v>
      </c>
      <c r="S16" s="47">
        <v>1</v>
      </c>
      <c r="T16" s="47">
        <v>0</v>
      </c>
      <c r="U16" s="75">
        <v>0</v>
      </c>
      <c r="V16" s="75">
        <v>0</v>
      </c>
      <c r="W16" s="47">
        <v>0</v>
      </c>
      <c r="X16" s="47">
        <v>34100</v>
      </c>
      <c r="Y16" s="47">
        <v>0</v>
      </c>
      <c r="Z16" s="47">
        <f t="shared" si="1"/>
        <v>72.59999999999998</v>
      </c>
      <c r="AA16" s="47">
        <v>1</v>
      </c>
      <c r="AB16" s="47">
        <f t="shared" si="2"/>
        <v>3660</v>
      </c>
      <c r="AC16" s="63">
        <v>130000</v>
      </c>
      <c r="AD16" s="63">
        <v>24666.67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>
        <f t="shared" si="3"/>
        <v>15.200000000000003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60</v>
      </c>
      <c r="AS16" s="33">
        <v>0.2</v>
      </c>
    </row>
    <row r="17" spans="1:45" s="56" customFormat="1" x14ac:dyDescent="0.25">
      <c r="A17" s="33" t="s">
        <v>98</v>
      </c>
      <c r="B17" s="57">
        <v>0.53</v>
      </c>
      <c r="C17" s="45"/>
      <c r="D17" s="113"/>
      <c r="E17" s="113"/>
      <c r="I17" s="33" t="s">
        <v>271</v>
      </c>
      <c r="J17" s="47">
        <v>12</v>
      </c>
      <c r="K17" s="19">
        <v>-27.5</v>
      </c>
      <c r="L17" s="116" t="s">
        <v>106</v>
      </c>
      <c r="M17" s="105" t="s">
        <v>64</v>
      </c>
      <c r="N17" s="47">
        <v>9.8000000000000007</v>
      </c>
      <c r="O17" s="63">
        <v>0</v>
      </c>
      <c r="P17" s="63">
        <v>0</v>
      </c>
      <c r="Q17" s="47">
        <v>27</v>
      </c>
      <c r="R17" s="47">
        <f t="shared" si="0"/>
        <v>22</v>
      </c>
      <c r="S17" s="47">
        <v>0.9</v>
      </c>
      <c r="T17" s="47">
        <v>0</v>
      </c>
      <c r="U17" s="75">
        <v>0</v>
      </c>
      <c r="V17" s="75">
        <v>0</v>
      </c>
      <c r="W17" s="47">
        <v>0</v>
      </c>
      <c r="X17" s="47">
        <v>29100</v>
      </c>
      <c r="Y17" s="47">
        <v>0</v>
      </c>
      <c r="Z17" s="47">
        <f t="shared" si="1"/>
        <v>72.59999999999998</v>
      </c>
      <c r="AA17" s="47">
        <v>1</v>
      </c>
      <c r="AB17" s="47">
        <f t="shared" si="2"/>
        <v>3660</v>
      </c>
      <c r="AC17" s="63">
        <v>172000</v>
      </c>
      <c r="AD17" s="63">
        <v>-9200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>
        <f t="shared" si="3"/>
        <v>15.200000000000003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60</v>
      </c>
      <c r="AS17" s="33">
        <v>0.2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271</v>
      </c>
      <c r="J18" s="47">
        <v>13</v>
      </c>
      <c r="K18" s="19">
        <v>-30</v>
      </c>
      <c r="L18" s="116" t="s">
        <v>106</v>
      </c>
      <c r="M18" s="105" t="s">
        <v>64</v>
      </c>
      <c r="N18" s="47">
        <v>9.8000000000000007</v>
      </c>
      <c r="O18" s="63">
        <v>0</v>
      </c>
      <c r="P18" s="63">
        <v>0</v>
      </c>
      <c r="Q18" s="47">
        <v>27</v>
      </c>
      <c r="R18" s="47">
        <f t="shared" si="0"/>
        <v>22</v>
      </c>
      <c r="S18" s="47">
        <v>0.7</v>
      </c>
      <c r="T18" s="47">
        <v>0</v>
      </c>
      <c r="U18" s="75">
        <v>0</v>
      </c>
      <c r="V18" s="75">
        <v>0</v>
      </c>
      <c r="W18" s="47">
        <v>0</v>
      </c>
      <c r="X18" s="47">
        <v>41900</v>
      </c>
      <c r="Y18" s="47">
        <v>0</v>
      </c>
      <c r="Z18" s="47">
        <f t="shared" si="1"/>
        <v>72.59999999999998</v>
      </c>
      <c r="AA18" s="47">
        <v>1</v>
      </c>
      <c r="AB18" s="47">
        <f t="shared" si="2"/>
        <v>3660</v>
      </c>
      <c r="AC18" s="63">
        <v>146000</v>
      </c>
      <c r="AD18" s="63">
        <v>2700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>
        <f t="shared" si="3"/>
        <v>15.200000000000003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51</v>
      </c>
      <c r="AS18" s="33">
        <v>0.2</v>
      </c>
    </row>
    <row r="19" spans="1:45" x14ac:dyDescent="0.25">
      <c r="A19" s="113" t="s">
        <v>38</v>
      </c>
      <c r="B19" s="113" t="s">
        <v>30</v>
      </c>
      <c r="C19" s="113" t="s">
        <v>59</v>
      </c>
      <c r="D19" s="43"/>
      <c r="E19" s="35"/>
      <c r="I19" s="33" t="s">
        <v>271</v>
      </c>
      <c r="J19" s="47">
        <v>14</v>
      </c>
      <c r="K19" s="33">
        <v>-40</v>
      </c>
      <c r="L19" s="116" t="s">
        <v>106</v>
      </c>
      <c r="M19" s="105" t="s">
        <v>64</v>
      </c>
      <c r="N19" s="47">
        <v>9.8000000000000007</v>
      </c>
      <c r="O19" s="63">
        <v>0</v>
      </c>
      <c r="P19" s="63">
        <v>0</v>
      </c>
      <c r="Q19" s="47">
        <v>26</v>
      </c>
      <c r="R19" s="47">
        <f t="shared" si="0"/>
        <v>21</v>
      </c>
      <c r="S19" s="47">
        <v>0.6</v>
      </c>
      <c r="T19" s="47">
        <v>0</v>
      </c>
      <c r="U19" s="75">
        <v>0</v>
      </c>
      <c r="V19" s="75">
        <v>0</v>
      </c>
      <c r="W19" s="47">
        <v>0</v>
      </c>
      <c r="X19" s="47">
        <v>42000</v>
      </c>
      <c r="Y19" s="47">
        <v>0</v>
      </c>
      <c r="Z19" s="47">
        <f t="shared" si="1"/>
        <v>69.799999999999983</v>
      </c>
      <c r="AA19" s="47">
        <v>1</v>
      </c>
      <c r="AB19" s="47">
        <f t="shared" si="2"/>
        <v>3280</v>
      </c>
      <c r="AC19" s="63">
        <v>156000</v>
      </c>
      <c r="AD19" s="63">
        <v>2000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>
        <f t="shared" si="3"/>
        <v>13.600000000000003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42</v>
      </c>
      <c r="AS19" s="33">
        <v>0.2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56" t="s">
        <v>273</v>
      </c>
      <c r="J20" s="47">
        <v>15</v>
      </c>
      <c r="K20" s="19">
        <v>-46</v>
      </c>
      <c r="L20" s="116" t="s">
        <v>288</v>
      </c>
      <c r="M20" s="105" t="s">
        <v>65</v>
      </c>
      <c r="N20" s="47">
        <v>8.9</v>
      </c>
      <c r="O20" s="63">
        <v>261</v>
      </c>
      <c r="P20" s="63">
        <v>5.21</v>
      </c>
      <c r="Q20" s="47">
        <v>0</v>
      </c>
      <c r="R20" s="47" t="e">
        <f t="shared" si="0"/>
        <v>#N/A</v>
      </c>
      <c r="S20" s="47">
        <v>1.6</v>
      </c>
      <c r="T20" s="47">
        <v>0</v>
      </c>
      <c r="U20" s="75">
        <v>1.7999999999999999E-2</v>
      </c>
      <c r="V20" s="75">
        <v>0</v>
      </c>
      <c r="W20" s="47">
        <v>0.25</v>
      </c>
      <c r="X20" s="47">
        <v>27600</v>
      </c>
      <c r="Y20" s="47">
        <v>0</v>
      </c>
      <c r="Z20" s="47" t="e">
        <f t="shared" si="1"/>
        <v>#N/A</v>
      </c>
      <c r="AA20" s="47">
        <v>1</v>
      </c>
      <c r="AB20" s="47" t="e">
        <f t="shared" si="2"/>
        <v>#N/A</v>
      </c>
      <c r="AC20" s="63">
        <v>391000</v>
      </c>
      <c r="AD20" s="63">
        <v>8142.85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 t="e">
        <f t="shared" si="3"/>
        <v>#N/A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0</v>
      </c>
      <c r="AS20" s="33">
        <v>0.4</v>
      </c>
    </row>
    <row r="21" spans="1:45" x14ac:dyDescent="0.25">
      <c r="A21" s="66"/>
      <c r="B21" s="66"/>
      <c r="C21" s="67"/>
      <c r="D21" s="43"/>
      <c r="I21" s="56" t="s">
        <v>273</v>
      </c>
      <c r="J21" s="47">
        <v>16</v>
      </c>
      <c r="K21" s="33">
        <v>-60</v>
      </c>
      <c r="L21" s="116" t="s">
        <v>288</v>
      </c>
      <c r="M21" s="105" t="s">
        <v>65</v>
      </c>
      <c r="N21" s="47">
        <v>8.9</v>
      </c>
      <c r="O21" s="63">
        <v>492</v>
      </c>
      <c r="P21" s="63">
        <v>8.85</v>
      </c>
      <c r="Q21" s="47">
        <v>0</v>
      </c>
      <c r="R21" s="47" t="e">
        <f t="shared" si="0"/>
        <v>#N/A</v>
      </c>
      <c r="S21" s="47">
        <v>2</v>
      </c>
      <c r="T21" s="47">
        <v>0</v>
      </c>
      <c r="U21" s="75">
        <v>1.7999999999999999E-2</v>
      </c>
      <c r="V21" s="75">
        <v>0</v>
      </c>
      <c r="W21" s="47">
        <v>0.25</v>
      </c>
      <c r="X21" s="47">
        <v>50200</v>
      </c>
      <c r="Y21" s="47">
        <v>0</v>
      </c>
      <c r="Z21" s="47" t="e">
        <f t="shared" si="1"/>
        <v>#N/A</v>
      </c>
      <c r="AA21" s="47">
        <v>1</v>
      </c>
      <c r="AB21" s="47" t="e">
        <f t="shared" si="2"/>
        <v>#N/A</v>
      </c>
      <c r="AC21" s="63">
        <v>760000</v>
      </c>
      <c r="AD21" s="63">
        <v>16200</v>
      </c>
      <c r="AE21" s="63">
        <v>0.3</v>
      </c>
      <c r="AF21" s="63">
        <v>0</v>
      </c>
      <c r="AG21" s="63">
        <v>0</v>
      </c>
      <c r="AH21" s="63">
        <v>0</v>
      </c>
      <c r="AI21" s="63">
        <v>0</v>
      </c>
      <c r="AJ21" s="47" t="e">
        <f t="shared" si="3"/>
        <v>#N/A</v>
      </c>
      <c r="AK21" s="47">
        <v>1</v>
      </c>
      <c r="AL21" s="47">
        <v>1</v>
      </c>
      <c r="AM21" s="47">
        <v>1</v>
      </c>
      <c r="AN21" s="47">
        <v>1</v>
      </c>
      <c r="AO21" s="47">
        <v>1</v>
      </c>
      <c r="AP21" s="47">
        <v>1</v>
      </c>
      <c r="AQ21" s="47">
        <v>0</v>
      </c>
      <c r="AR21" s="47">
        <v>0</v>
      </c>
      <c r="AS21" s="33">
        <v>0.4</v>
      </c>
    </row>
    <row r="22" spans="1:45" x14ac:dyDescent="0.25">
      <c r="A22" s="66"/>
      <c r="B22" s="66"/>
      <c r="C22" s="67"/>
      <c r="D22" s="35"/>
      <c r="I22" s="56" t="s">
        <v>273</v>
      </c>
      <c r="J22" s="47">
        <v>17</v>
      </c>
      <c r="K22" s="33">
        <v>-80</v>
      </c>
      <c r="L22" s="116" t="s">
        <v>288</v>
      </c>
      <c r="M22" s="105" t="s">
        <v>65</v>
      </c>
      <c r="N22" s="47">
        <v>8.9</v>
      </c>
      <c r="O22" s="63">
        <v>669</v>
      </c>
      <c r="P22" s="63">
        <v>0</v>
      </c>
      <c r="Q22" s="47">
        <v>0</v>
      </c>
      <c r="R22" s="47" t="e">
        <f t="shared" si="0"/>
        <v>#N/A</v>
      </c>
      <c r="S22" s="47">
        <v>2</v>
      </c>
      <c r="T22" s="47">
        <v>0</v>
      </c>
      <c r="U22" s="75">
        <v>1.7999999999999999E-2</v>
      </c>
      <c r="V22" s="75">
        <v>0</v>
      </c>
      <c r="W22" s="47">
        <v>0.25</v>
      </c>
      <c r="X22" s="47">
        <v>50200</v>
      </c>
      <c r="Y22" s="47">
        <v>0</v>
      </c>
      <c r="Z22" s="47" t="e">
        <f t="shared" si="1"/>
        <v>#N/A</v>
      </c>
      <c r="AA22" s="47">
        <v>1</v>
      </c>
      <c r="AB22" s="47" t="e">
        <f t="shared" si="2"/>
        <v>#N/A</v>
      </c>
      <c r="AC22" s="63">
        <v>1084000</v>
      </c>
      <c r="AD22" s="63">
        <v>0</v>
      </c>
      <c r="AE22" s="63">
        <v>0.3</v>
      </c>
      <c r="AF22" s="63">
        <v>0</v>
      </c>
      <c r="AG22" s="63">
        <v>0</v>
      </c>
      <c r="AH22" s="63">
        <v>0</v>
      </c>
      <c r="AI22" s="63">
        <v>0</v>
      </c>
      <c r="AJ22" s="47" t="e">
        <f t="shared" si="3"/>
        <v>#N/A</v>
      </c>
      <c r="AK22" s="47">
        <v>1</v>
      </c>
      <c r="AL22" s="47">
        <v>1</v>
      </c>
      <c r="AM22" s="47">
        <v>1</v>
      </c>
      <c r="AN22" s="47">
        <v>1</v>
      </c>
      <c r="AO22" s="47">
        <v>1</v>
      </c>
      <c r="AP22" s="47">
        <v>1</v>
      </c>
      <c r="AQ22" s="47">
        <v>0</v>
      </c>
      <c r="AR22" s="47">
        <v>0</v>
      </c>
      <c r="AS22" s="33">
        <v>0.4</v>
      </c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4">AF40+3.8</f>
        <v>55.599999999999994</v>
      </c>
      <c r="AG41" s="33">
        <f t="shared" ref="AG41:AG43" si="5">AG40+200</f>
        <v>2300</v>
      </c>
      <c r="AH41" s="33">
        <f t="shared" ref="AH41:AH44" si="6">AH40+0.8</f>
        <v>9.6000000000000014</v>
      </c>
    </row>
    <row r="42" spans="1:42" x14ac:dyDescent="0.25">
      <c r="L42" s="49"/>
      <c r="AE42" s="33">
        <v>18</v>
      </c>
      <c r="AF42" s="33">
        <f t="shared" si="4"/>
        <v>59.399999999999991</v>
      </c>
      <c r="AG42" s="33">
        <f t="shared" si="5"/>
        <v>2500</v>
      </c>
      <c r="AH42" s="33">
        <f t="shared" si="6"/>
        <v>10.400000000000002</v>
      </c>
    </row>
    <row r="43" spans="1:42" x14ac:dyDescent="0.25">
      <c r="L43" s="49"/>
      <c r="AE43" s="33">
        <v>19</v>
      </c>
      <c r="AF43" s="33">
        <f t="shared" si="4"/>
        <v>63.199999999999989</v>
      </c>
      <c r="AG43" s="33">
        <f t="shared" si="5"/>
        <v>2700</v>
      </c>
      <c r="AH43" s="33">
        <f t="shared" si="6"/>
        <v>11.200000000000003</v>
      </c>
    </row>
    <row r="44" spans="1:42" x14ac:dyDescent="0.25">
      <c r="L44" s="49"/>
      <c r="AE44" s="33">
        <v>20</v>
      </c>
      <c r="AF44" s="33">
        <f t="shared" si="4"/>
        <v>66.999999999999986</v>
      </c>
      <c r="AG44" s="33">
        <f>AG43+200</f>
        <v>2900</v>
      </c>
      <c r="AH44" s="33">
        <f t="shared" si="6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7">AF45+2.8</f>
        <v>72.59999999999998</v>
      </c>
      <c r="AG46" s="33">
        <f t="shared" ref="AG46:AG48" si="8">AG45+380</f>
        <v>3660</v>
      </c>
      <c r="AH46" s="33">
        <f t="shared" ref="AH46:AH49" si="9">AH45+1.6</f>
        <v>15.200000000000003</v>
      </c>
    </row>
    <row r="47" spans="1:42" x14ac:dyDescent="0.25">
      <c r="L47" s="49"/>
      <c r="AE47" s="33">
        <v>23</v>
      </c>
      <c r="AF47" s="33">
        <f t="shared" si="7"/>
        <v>75.399999999999977</v>
      </c>
      <c r="AG47" s="33">
        <f t="shared" si="8"/>
        <v>4040</v>
      </c>
      <c r="AH47" s="33">
        <f t="shared" si="9"/>
        <v>16.800000000000004</v>
      </c>
    </row>
    <row r="48" spans="1:42" x14ac:dyDescent="0.25">
      <c r="L48" s="49"/>
      <c r="AE48" s="33">
        <v>24</v>
      </c>
      <c r="AF48" s="33">
        <f t="shared" si="7"/>
        <v>78.199999999999974</v>
      </c>
      <c r="AG48" s="33">
        <f t="shared" si="8"/>
        <v>4420</v>
      </c>
      <c r="AH48" s="33">
        <f t="shared" si="9"/>
        <v>18.400000000000006</v>
      </c>
    </row>
    <row r="49" spans="12:34" x14ac:dyDescent="0.25">
      <c r="L49" s="49"/>
      <c r="AE49" s="33">
        <v>25</v>
      </c>
      <c r="AF49" s="33">
        <f t="shared" si="7"/>
        <v>80.999999999999972</v>
      </c>
      <c r="AG49" s="33">
        <v>4800</v>
      </c>
      <c r="AH49" s="33">
        <f t="shared" si="9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0">AF50+3</f>
        <v>86.999999999999972</v>
      </c>
      <c r="AG51" s="33">
        <f t="shared" ref="AG51:AG54" si="11">AG50+960</f>
        <v>6720</v>
      </c>
      <c r="AH51" s="33">
        <f t="shared" ref="AH51:AH54" si="12">AH50+4</f>
        <v>28.000000000000007</v>
      </c>
    </row>
    <row r="52" spans="12:34" x14ac:dyDescent="0.25">
      <c r="L52" s="49"/>
      <c r="AE52" s="33">
        <v>28</v>
      </c>
      <c r="AF52" s="33">
        <f t="shared" si="10"/>
        <v>89.999999999999972</v>
      </c>
      <c r="AG52" s="33">
        <f t="shared" si="11"/>
        <v>7680</v>
      </c>
      <c r="AH52" s="33">
        <f t="shared" si="12"/>
        <v>32.000000000000007</v>
      </c>
    </row>
    <row r="53" spans="12:34" x14ac:dyDescent="0.25">
      <c r="L53" s="49"/>
      <c r="AE53" s="33">
        <v>29</v>
      </c>
      <c r="AF53" s="33">
        <f t="shared" si="10"/>
        <v>92.999999999999972</v>
      </c>
      <c r="AG53" s="33">
        <f t="shared" si="11"/>
        <v>8640</v>
      </c>
      <c r="AH53" s="33">
        <f t="shared" si="12"/>
        <v>36.000000000000007</v>
      </c>
    </row>
    <row r="54" spans="12:34" x14ac:dyDescent="0.25">
      <c r="L54" s="49"/>
      <c r="AE54" s="33">
        <v>30</v>
      </c>
      <c r="AF54" s="33">
        <f t="shared" si="10"/>
        <v>95.999999999999972</v>
      </c>
      <c r="AG54" s="33">
        <f t="shared" si="11"/>
        <v>9600</v>
      </c>
      <c r="AH54" s="33">
        <f t="shared" si="12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3">AF55+3.8</f>
        <v>103.59999999999997</v>
      </c>
      <c r="AG56" s="33">
        <f t="shared" ref="AG56:AG59" si="14">AG55+480</f>
        <v>10560</v>
      </c>
      <c r="AH56" s="33">
        <f t="shared" ref="AH56:AH59" si="15">AH55+2</f>
        <v>44.000000000000007</v>
      </c>
    </row>
    <row r="57" spans="12:34" x14ac:dyDescent="0.25">
      <c r="L57" s="49"/>
      <c r="AE57" s="33">
        <v>33</v>
      </c>
      <c r="AF57" s="33">
        <f t="shared" si="13"/>
        <v>107.39999999999996</v>
      </c>
      <c r="AG57" s="33">
        <f t="shared" si="14"/>
        <v>11040</v>
      </c>
      <c r="AH57" s="33">
        <f t="shared" si="15"/>
        <v>46.000000000000007</v>
      </c>
    </row>
    <row r="58" spans="12:34" x14ac:dyDescent="0.25">
      <c r="L58" s="49"/>
      <c r="AE58" s="33">
        <v>34</v>
      </c>
      <c r="AF58" s="33">
        <f t="shared" si="13"/>
        <v>111.19999999999996</v>
      </c>
      <c r="AG58" s="33">
        <f t="shared" si="14"/>
        <v>11520</v>
      </c>
      <c r="AH58" s="33">
        <f t="shared" si="15"/>
        <v>48.000000000000007</v>
      </c>
    </row>
    <row r="59" spans="12:34" x14ac:dyDescent="0.25">
      <c r="L59" s="49"/>
      <c r="AE59" s="33">
        <v>35</v>
      </c>
      <c r="AF59" s="33">
        <f t="shared" si="13"/>
        <v>114.99999999999996</v>
      </c>
      <c r="AG59" s="33">
        <f t="shared" si="14"/>
        <v>12000</v>
      </c>
      <c r="AH59" s="33">
        <f t="shared" si="15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9:AP36 Q29:Q36 N29:N36">
    <cfRule type="expression" dxfId="3217" priority="316">
      <formula>$L29="API sand"</formula>
    </cfRule>
  </conditionalFormatting>
  <conditionalFormatting sqref="R29:S36 AB29:AB35 AJ29:AL36 Z29:Z36 N29:N36">
    <cfRule type="expression" dxfId="3216" priority="315">
      <formula>$M29="API sand"</formula>
    </cfRule>
  </conditionalFormatting>
  <conditionalFormatting sqref="R29:T36 Z29:AB35 AK29:AL36 N29:N36">
    <cfRule type="expression" dxfId="3215" priority="314">
      <formula>$M29="API clay"</formula>
    </cfRule>
  </conditionalFormatting>
  <conditionalFormatting sqref="U29:W36 AM29:AP36">
    <cfRule type="expression" dxfId="3214" priority="311">
      <formula>$L29="Stiff clay w/o free water"</formula>
    </cfRule>
    <cfRule type="expression" dxfId="3213" priority="313">
      <formula>$L29="API clay"</formula>
    </cfRule>
  </conditionalFormatting>
  <conditionalFormatting sqref="U29:Y36 AM29:AP36">
    <cfRule type="expression" dxfId="3212" priority="312">
      <formula>$L29="Kirsch soft clay"</formula>
    </cfRule>
  </conditionalFormatting>
  <conditionalFormatting sqref="U29:Y36 AM29:AP36">
    <cfRule type="expression" dxfId="3211" priority="310">
      <formula>$L29="Kirsch stiff clay"</formula>
    </cfRule>
  </conditionalFormatting>
  <conditionalFormatting sqref="AM29:AP36 Q29:Q36 X29:Y36 N29:N36">
    <cfRule type="expression" dxfId="3210" priority="309">
      <formula>$L29="Kirsch sand"</formula>
    </cfRule>
  </conditionalFormatting>
  <conditionalFormatting sqref="AC29:AD36 AI29:AI36 AM29:AP36 N29:N36">
    <cfRule type="expression" dxfId="3209" priority="308">
      <formula>$L29="Modified Weak rock"</formula>
    </cfRule>
  </conditionalFormatting>
  <conditionalFormatting sqref="AM29:AP36 U29:V36">
    <cfRule type="expression" dxfId="3208" priority="307">
      <formula>$L29="Reese stiff clay"</formula>
    </cfRule>
  </conditionalFormatting>
  <conditionalFormatting sqref="AB36">
    <cfRule type="expression" dxfId="3207" priority="305">
      <formula>$M36="API sand"</formula>
    </cfRule>
  </conditionalFormatting>
  <conditionalFormatting sqref="Z36:AB36">
    <cfRule type="expression" dxfId="3206" priority="304">
      <formula>$M36="API clay"</formula>
    </cfRule>
  </conditionalFormatting>
  <conditionalFormatting sqref="N29:P36">
    <cfRule type="expression" dxfId="3205" priority="301">
      <formula>$L29="Stiff clay w/o free water"</formula>
    </cfRule>
    <cfRule type="expression" dxfId="3204" priority="303">
      <formula>$L29="API clay"</formula>
    </cfRule>
  </conditionalFormatting>
  <conditionalFormatting sqref="N29:P36">
    <cfRule type="expression" dxfId="3203" priority="302">
      <formula>$L29="Kirsch soft clay"</formula>
    </cfRule>
  </conditionalFormatting>
  <conditionalFormatting sqref="N29:P36">
    <cfRule type="expression" dxfId="3202" priority="300">
      <formula>$L29="Kirsch stiff clay"</formula>
    </cfRule>
  </conditionalFormatting>
  <conditionalFormatting sqref="N29:P36">
    <cfRule type="expression" dxfId="3201" priority="297">
      <formula>$L29="Reese stiff clay"</formula>
    </cfRule>
  </conditionalFormatting>
  <conditionalFormatting sqref="AE37:AH37">
    <cfRule type="expression" dxfId="3200" priority="317">
      <formula>$L19="Modified Weak rock"</formula>
    </cfRule>
  </conditionalFormatting>
  <dataValidations count="3">
    <dataValidation type="list" showInputMessage="1" showErrorMessage="1" sqref="L29:L255 L6:L22" xr:uid="{B44EDBE9-17B9-472E-BCEB-C0E35C21B353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22" xr:uid="{7EF7C4A5-89F2-4F54-AA6A-5D7C5FB83115}">
      <formula1>"Zero soil,API sand,API clay"</formula1>
    </dataValidation>
    <dataValidation type="list" showInputMessage="1" showErrorMessage="1" sqref="M29:M36 M7:M22" xr:uid="{F23B89DF-F25B-4AB5-ADF9-155442BC8090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9B995-F543-4F97-9F74-571806B273DA}">
  <sheetPr>
    <tabColor rgb="FF00B0F0"/>
  </sheetPr>
  <dimension ref="A1:AS255"/>
  <sheetViews>
    <sheetView topLeftCell="B1" zoomScale="85" zoomScaleNormal="85" workbookViewId="0">
      <selection activeCell="B9" sqref="B9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Ak_Pisa_WTG33_ULSF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51"/>
      <c r="R3" s="155"/>
      <c r="S3" s="155"/>
      <c r="T3" s="151"/>
      <c r="U3" s="155"/>
      <c r="V3" s="155"/>
      <c r="W3" s="151"/>
      <c r="X3" s="69"/>
      <c r="Y3" s="151"/>
      <c r="Z3" s="151"/>
      <c r="AA3" s="151"/>
      <c r="AB3" s="151"/>
      <c r="AC3" s="69"/>
      <c r="AD3" s="39"/>
      <c r="AE3" s="39"/>
      <c r="AF3" s="39"/>
      <c r="AG3" s="39"/>
      <c r="AH3" s="39"/>
      <c r="AI3" s="39"/>
      <c r="AJ3" s="151"/>
      <c r="AK3" s="151"/>
      <c r="AL3" s="151"/>
      <c r="AM3" s="151"/>
      <c r="AN3" s="151"/>
      <c r="AO3" s="151"/>
      <c r="AP3" s="151"/>
    </row>
    <row r="4" spans="1:45" x14ac:dyDescent="0.25">
      <c r="A4" s="40" t="s">
        <v>60</v>
      </c>
      <c r="B4" s="33">
        <f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2" t="s">
        <v>38</v>
      </c>
      <c r="K5" s="152" t="s">
        <v>30</v>
      </c>
      <c r="L5" s="152" t="s">
        <v>31</v>
      </c>
      <c r="M5" s="152" t="s">
        <v>31</v>
      </c>
      <c r="N5" s="152" t="s">
        <v>32</v>
      </c>
      <c r="O5" s="152" t="s">
        <v>33</v>
      </c>
      <c r="P5" s="152" t="s">
        <v>35</v>
      </c>
      <c r="Q5" s="152" t="s">
        <v>36</v>
      </c>
      <c r="R5" s="152" t="s">
        <v>36</v>
      </c>
      <c r="S5" s="152" t="s">
        <v>34</v>
      </c>
      <c r="T5" s="152" t="s">
        <v>33</v>
      </c>
      <c r="U5" s="152" t="s">
        <v>34</v>
      </c>
      <c r="V5" s="152" t="s">
        <v>62</v>
      </c>
      <c r="W5" s="152" t="s">
        <v>34</v>
      </c>
      <c r="X5" s="152" t="s">
        <v>33</v>
      </c>
      <c r="Y5" s="152" t="s">
        <v>35</v>
      </c>
      <c r="Z5" s="152" t="s">
        <v>33</v>
      </c>
      <c r="AA5" s="152" t="s">
        <v>34</v>
      </c>
      <c r="AB5" s="152" t="s">
        <v>33</v>
      </c>
      <c r="AC5" s="152" t="s">
        <v>33</v>
      </c>
      <c r="AD5" s="152" t="s">
        <v>35</v>
      </c>
      <c r="AE5" s="152" t="s">
        <v>34</v>
      </c>
      <c r="AF5" s="152" t="s">
        <v>33</v>
      </c>
      <c r="AG5" s="152" t="s">
        <v>35</v>
      </c>
      <c r="AH5" s="152" t="s">
        <v>34</v>
      </c>
      <c r="AI5" s="152" t="s">
        <v>34</v>
      </c>
      <c r="AJ5" s="152" t="s">
        <v>34</v>
      </c>
      <c r="AK5" s="152" t="s">
        <v>34</v>
      </c>
      <c r="AL5" s="152" t="s">
        <v>34</v>
      </c>
      <c r="AM5" s="152" t="s">
        <v>34</v>
      </c>
      <c r="AN5" s="152" t="s">
        <v>34</v>
      </c>
      <c r="AO5" s="152" t="s">
        <v>34</v>
      </c>
      <c r="AP5" s="152" t="s">
        <v>34</v>
      </c>
      <c r="AQ5" s="152" t="s">
        <v>103</v>
      </c>
      <c r="AR5" s="152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EW_sand_Ruled_75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33</v>
      </c>
      <c r="R6" s="47">
        <f t="shared" ref="R6:R19" si="0">IF(Q6&lt;&gt;0,Q6-5,NA())</f>
        <v>28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3100</v>
      </c>
      <c r="Y6" s="47">
        <v>0</v>
      </c>
      <c r="Z6" s="47">
        <f t="shared" ref="Z6:Z19" si="1">VLOOKUP(R6,$AE$39:$AF$59,2)</f>
        <v>89.999999999999972</v>
      </c>
      <c r="AA6" s="47">
        <v>1</v>
      </c>
      <c r="AB6" s="47">
        <f t="shared" ref="AB6:AB19" si="2">VLOOKUP(R6,$AE$39:$AG$59,3)</f>
        <v>7680</v>
      </c>
      <c r="AC6" s="63">
        <v>5000</v>
      </c>
      <c r="AD6" s="63">
        <v>24000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9" si="3">VLOOKUP(R6,$AE$39:$AH$59,4)</f>
        <v>32.000000000000007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75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-0.5</v>
      </c>
      <c r="L7" s="33" t="str">
        <f>"EW_sand_Ruled"&amp;"_"&amp;AR7</f>
        <v>EW_sand_Ruled_81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40</v>
      </c>
      <c r="R7" s="47">
        <f t="shared" si="0"/>
        <v>35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24500</v>
      </c>
      <c r="Y7" s="47">
        <v>0</v>
      </c>
      <c r="Z7" s="47">
        <f t="shared" si="1"/>
        <v>114.99999999999996</v>
      </c>
      <c r="AA7" s="47">
        <v>1</v>
      </c>
      <c r="AB7" s="47">
        <f t="shared" si="2"/>
        <v>12000</v>
      </c>
      <c r="AC7" s="63">
        <v>33000</v>
      </c>
      <c r="AD7" s="63">
        <v>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81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20971.850399999999</v>
      </c>
      <c r="H8" s="45" t="s">
        <v>53</v>
      </c>
      <c r="I8" s="56" t="s">
        <v>255</v>
      </c>
      <c r="J8" s="47">
        <v>3</v>
      </c>
      <c r="K8" s="19">
        <v>-1.5</v>
      </c>
      <c r="L8" s="116" t="s">
        <v>275</v>
      </c>
      <c r="M8" s="105" t="s">
        <v>65</v>
      </c>
      <c r="N8" s="47">
        <v>10.199999999999999</v>
      </c>
      <c r="O8" s="63">
        <v>71</v>
      </c>
      <c r="P8" s="63">
        <v>12</v>
      </c>
      <c r="Q8" s="47">
        <v>0</v>
      </c>
      <c r="R8" s="47" t="e">
        <f t="shared" si="0"/>
        <v>#N/A</v>
      </c>
      <c r="S8" s="47">
        <v>3</v>
      </c>
      <c r="T8" s="47">
        <v>0</v>
      </c>
      <c r="U8" s="75">
        <v>1.7999999999999999E-2</v>
      </c>
      <c r="V8" s="75">
        <v>0</v>
      </c>
      <c r="W8" s="47">
        <v>0.5</v>
      </c>
      <c r="X8" s="47">
        <v>14700</v>
      </c>
      <c r="Y8" s="47">
        <v>0</v>
      </c>
      <c r="Z8" s="47" t="e">
        <f t="shared" si="1"/>
        <v>#N/A</v>
      </c>
      <c r="AA8" s="47">
        <v>1</v>
      </c>
      <c r="AB8" s="47" t="e">
        <f t="shared" si="2"/>
        <v>#N/A</v>
      </c>
      <c r="AC8" s="63">
        <v>72000</v>
      </c>
      <c r="AD8" s="63">
        <v>12000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 t="e">
        <f t="shared" si="3"/>
        <v>#N/A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0</v>
      </c>
      <c r="AS8" s="33">
        <v>0.4</v>
      </c>
    </row>
    <row r="9" spans="1:45" x14ac:dyDescent="0.25">
      <c r="A9" s="33" t="s">
        <v>68</v>
      </c>
      <c r="B9" s="57">
        <v>37.5</v>
      </c>
      <c r="C9" s="45" t="s">
        <v>28</v>
      </c>
      <c r="D9" s="57">
        <v>28</v>
      </c>
      <c r="F9" s="33" t="s">
        <v>96</v>
      </c>
      <c r="G9" s="76">
        <v>-890024.76415384596</v>
      </c>
      <c r="H9" s="45" t="s">
        <v>54</v>
      </c>
      <c r="I9" s="56" t="s">
        <v>257</v>
      </c>
      <c r="J9" s="47">
        <v>4</v>
      </c>
      <c r="K9" s="19">
        <v>-2</v>
      </c>
      <c r="L9" s="33" t="str">
        <f>"EW_sand_Ruled"&amp;"_"&amp;AR9</f>
        <v>EW_sand_Ruled_49</v>
      </c>
      <c r="M9" s="105" t="s">
        <v>64</v>
      </c>
      <c r="N9" s="47">
        <v>9.4</v>
      </c>
      <c r="O9" s="63">
        <v>0</v>
      </c>
      <c r="P9" s="63">
        <v>0</v>
      </c>
      <c r="Q9" s="47">
        <v>35</v>
      </c>
      <c r="R9" s="47">
        <f t="shared" si="0"/>
        <v>30</v>
      </c>
      <c r="S9" s="47">
        <v>1.4</v>
      </c>
      <c r="T9" s="47">
        <v>0</v>
      </c>
      <c r="U9" s="75">
        <v>0</v>
      </c>
      <c r="V9" s="75">
        <v>0</v>
      </c>
      <c r="W9" s="47">
        <v>0</v>
      </c>
      <c r="X9" s="47">
        <v>12500</v>
      </c>
      <c r="Y9" s="47">
        <v>0</v>
      </c>
      <c r="Z9" s="47">
        <f t="shared" si="1"/>
        <v>95.999999999999972</v>
      </c>
      <c r="AA9" s="47">
        <v>1</v>
      </c>
      <c r="AB9" s="47">
        <f t="shared" si="2"/>
        <v>9600</v>
      </c>
      <c r="AC9" s="63">
        <v>29000</v>
      </c>
      <c r="AD9" s="63">
        <v>50000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3"/>
        <v>40.000000000000007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49</v>
      </c>
      <c r="AS9" s="33">
        <v>0.4</v>
      </c>
    </row>
    <row r="10" spans="1:45" s="56" customFormat="1" x14ac:dyDescent="0.25">
      <c r="A10" s="56" t="s">
        <v>69</v>
      </c>
      <c r="B10" s="58">
        <v>37.5</v>
      </c>
      <c r="C10" s="45" t="s">
        <v>28</v>
      </c>
      <c r="D10" s="58">
        <v>28</v>
      </c>
      <c r="F10" s="33" t="s">
        <v>51</v>
      </c>
      <c r="G10" s="71">
        <v>36356.951769230771</v>
      </c>
      <c r="H10" s="45" t="s">
        <v>53</v>
      </c>
      <c r="I10" s="33" t="s">
        <v>295</v>
      </c>
      <c r="J10" s="47">
        <v>5</v>
      </c>
      <c r="K10" s="19">
        <v>-2.5</v>
      </c>
      <c r="L10" s="33" t="str">
        <f>"EW_sand_Ruled"&amp;"_"&amp;AR10</f>
        <v>EW_sand_Ruled_45</v>
      </c>
      <c r="M10" s="105" t="s">
        <v>64</v>
      </c>
      <c r="N10" s="47">
        <v>9.4</v>
      </c>
      <c r="O10" s="63">
        <v>0</v>
      </c>
      <c r="P10" s="63">
        <v>0</v>
      </c>
      <c r="Q10" s="47">
        <v>36</v>
      </c>
      <c r="R10" s="47">
        <f t="shared" si="0"/>
        <v>31</v>
      </c>
      <c r="S10" s="47">
        <v>1.1000000000000001</v>
      </c>
      <c r="T10" s="47">
        <v>0</v>
      </c>
      <c r="U10" s="75">
        <v>0</v>
      </c>
      <c r="V10" s="75">
        <v>0</v>
      </c>
      <c r="W10" s="47">
        <v>0</v>
      </c>
      <c r="X10" s="47">
        <v>25900</v>
      </c>
      <c r="Y10" s="47">
        <v>0</v>
      </c>
      <c r="Z10" s="47">
        <f t="shared" si="1"/>
        <v>99.799999999999969</v>
      </c>
      <c r="AA10" s="47">
        <v>1</v>
      </c>
      <c r="AB10" s="47">
        <f t="shared" si="2"/>
        <v>10080</v>
      </c>
      <c r="AC10" s="63">
        <v>52000</v>
      </c>
      <c r="AD10" s="63">
        <v>4000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3"/>
        <v>42.000000000000007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45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295</v>
      </c>
      <c r="J11" s="47">
        <v>6</v>
      </c>
      <c r="K11" s="33">
        <v>-8</v>
      </c>
      <c r="L11" s="33" t="str">
        <f>"EW_sand_Ruled"&amp;"_"&amp;AR11</f>
        <v>EW_sand_Ruled_45</v>
      </c>
      <c r="M11" s="105" t="s">
        <v>64</v>
      </c>
      <c r="N11" s="47">
        <v>9.4</v>
      </c>
      <c r="O11" s="63">
        <v>0</v>
      </c>
      <c r="P11" s="63">
        <v>0</v>
      </c>
      <c r="Q11" s="47">
        <v>36</v>
      </c>
      <c r="R11" s="47">
        <f t="shared" si="0"/>
        <v>31</v>
      </c>
      <c r="S11" s="47">
        <v>0.9</v>
      </c>
      <c r="T11" s="47">
        <v>0</v>
      </c>
      <c r="U11" s="75">
        <v>0</v>
      </c>
      <c r="V11" s="75">
        <v>0</v>
      </c>
      <c r="W11" s="47">
        <v>0</v>
      </c>
      <c r="X11" s="47">
        <v>29600</v>
      </c>
      <c r="Y11" s="47">
        <v>0</v>
      </c>
      <c r="Z11" s="47">
        <f t="shared" si="1"/>
        <v>99.799999999999969</v>
      </c>
      <c r="AA11" s="47">
        <v>1</v>
      </c>
      <c r="AB11" s="47">
        <f t="shared" si="2"/>
        <v>10080</v>
      </c>
      <c r="AC11" s="63">
        <v>82000</v>
      </c>
      <c r="AD11" s="63">
        <v>-6000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42.000000000000007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45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4130.8564638461539</v>
      </c>
      <c r="H12" s="45" t="s">
        <v>53</v>
      </c>
      <c r="I12" s="33" t="s">
        <v>296</v>
      </c>
      <c r="J12" s="47">
        <v>7</v>
      </c>
      <c r="K12" s="19">
        <v>-9.5</v>
      </c>
      <c r="L12" s="116" t="s">
        <v>275</v>
      </c>
      <c r="M12" s="105" t="s">
        <v>65</v>
      </c>
      <c r="N12" s="47">
        <v>9.5</v>
      </c>
      <c r="O12" s="63">
        <v>194</v>
      </c>
      <c r="P12" s="63">
        <v>-22.67</v>
      </c>
      <c r="Q12" s="47">
        <v>0</v>
      </c>
      <c r="R12" s="47" t="e">
        <f t="shared" si="0"/>
        <v>#N/A</v>
      </c>
      <c r="S12" s="47">
        <v>3</v>
      </c>
      <c r="T12" s="47">
        <v>0</v>
      </c>
      <c r="U12" s="75">
        <v>1.7999999999999999E-2</v>
      </c>
      <c r="V12" s="75">
        <v>0</v>
      </c>
      <c r="W12" s="47">
        <v>0.5</v>
      </c>
      <c r="X12" s="47">
        <v>33200</v>
      </c>
      <c r="Y12" s="47">
        <v>0</v>
      </c>
      <c r="Z12" s="47" t="e">
        <f t="shared" si="1"/>
        <v>#N/A</v>
      </c>
      <c r="AA12" s="47">
        <v>1</v>
      </c>
      <c r="AB12" s="47" t="e">
        <f t="shared" si="2"/>
        <v>#N/A</v>
      </c>
      <c r="AC12" s="63">
        <v>235000</v>
      </c>
      <c r="AD12" s="63">
        <v>-26000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3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261</v>
      </c>
      <c r="J13" s="47">
        <v>8</v>
      </c>
      <c r="K13" s="19">
        <v>-11</v>
      </c>
      <c r="L13" s="33" t="str">
        <f>"EW_sand_Ruled"&amp;"_"&amp;AR13</f>
        <v>EW_sand_Ruled_62</v>
      </c>
      <c r="M13" s="105" t="s">
        <v>64</v>
      </c>
      <c r="N13" s="47">
        <v>9.9</v>
      </c>
      <c r="O13" s="63">
        <v>0</v>
      </c>
      <c r="P13" s="63">
        <v>0</v>
      </c>
      <c r="Q13" s="47">
        <v>38</v>
      </c>
      <c r="R13" s="47">
        <f t="shared" si="0"/>
        <v>33</v>
      </c>
      <c r="S13" s="47">
        <v>0.9</v>
      </c>
      <c r="T13" s="47">
        <v>0</v>
      </c>
      <c r="U13" s="75">
        <v>0</v>
      </c>
      <c r="V13" s="75">
        <v>0</v>
      </c>
      <c r="W13" s="47">
        <v>0</v>
      </c>
      <c r="X13" s="47">
        <v>59400</v>
      </c>
      <c r="Y13" s="47">
        <v>0</v>
      </c>
      <c r="Z13" s="47">
        <f t="shared" si="1"/>
        <v>107.39999999999996</v>
      </c>
      <c r="AA13" s="47">
        <v>1</v>
      </c>
      <c r="AB13" s="47">
        <f t="shared" si="2"/>
        <v>11040</v>
      </c>
      <c r="AC13" s="63">
        <v>93000</v>
      </c>
      <c r="AD13" s="63">
        <v>13478.26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46.000000000000007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62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278</v>
      </c>
      <c r="J14" s="47">
        <v>9</v>
      </c>
      <c r="K14" s="19">
        <v>-13.3</v>
      </c>
      <c r="L14" s="33" t="str">
        <f>"EW_sand_Ruled"&amp;"_"&amp;AR14</f>
        <v>EW_sand_Ruled_92</v>
      </c>
      <c r="M14" s="105" t="s">
        <v>64</v>
      </c>
      <c r="N14" s="47">
        <v>10</v>
      </c>
      <c r="O14" s="63">
        <v>0</v>
      </c>
      <c r="P14" s="63">
        <v>0</v>
      </c>
      <c r="Q14" s="47">
        <v>30</v>
      </c>
      <c r="R14" s="47">
        <f t="shared" si="0"/>
        <v>25</v>
      </c>
      <c r="S14" s="47">
        <v>1.8</v>
      </c>
      <c r="T14" s="47">
        <v>0</v>
      </c>
      <c r="U14" s="75">
        <v>0</v>
      </c>
      <c r="V14" s="75">
        <v>0</v>
      </c>
      <c r="W14" s="47">
        <v>0</v>
      </c>
      <c r="X14" s="47">
        <v>50000</v>
      </c>
      <c r="Y14" s="47">
        <v>0</v>
      </c>
      <c r="Z14" s="47">
        <f t="shared" si="1"/>
        <v>80.999999999999972</v>
      </c>
      <c r="AA14" s="47">
        <v>1</v>
      </c>
      <c r="AB14" s="47">
        <f t="shared" si="2"/>
        <v>4800</v>
      </c>
      <c r="AC14" s="63">
        <v>160000</v>
      </c>
      <c r="AD14" s="63">
        <v>2108.84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20.000000000000007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92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271</v>
      </c>
      <c r="J15" s="47">
        <v>10</v>
      </c>
      <c r="K15" s="19">
        <v>-28</v>
      </c>
      <c r="L15" s="33" t="str">
        <f>"EW_sand_Ruled"&amp;"_"&amp;AR15</f>
        <v>EW_sand_Ruled_52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27</v>
      </c>
      <c r="R15" s="47">
        <f t="shared" si="0"/>
        <v>22</v>
      </c>
      <c r="S15" s="47">
        <v>0.8</v>
      </c>
      <c r="T15" s="47">
        <v>0</v>
      </c>
      <c r="U15" s="75">
        <v>0</v>
      </c>
      <c r="V15" s="75">
        <v>0</v>
      </c>
      <c r="W15" s="47">
        <v>0</v>
      </c>
      <c r="X15" s="47">
        <v>30000</v>
      </c>
      <c r="Y15" s="47">
        <v>0</v>
      </c>
      <c r="Z15" s="47">
        <f t="shared" si="1"/>
        <v>72.59999999999998</v>
      </c>
      <c r="AA15" s="47">
        <v>1</v>
      </c>
      <c r="AB15" s="47">
        <f t="shared" si="2"/>
        <v>3660</v>
      </c>
      <c r="AC15" s="63">
        <v>159000</v>
      </c>
      <c r="AD15" s="63">
        <v>-333.33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3"/>
        <v>15.200000000000003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52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216</v>
      </c>
      <c r="J16" s="47">
        <v>11</v>
      </c>
      <c r="K16" s="19">
        <v>-37</v>
      </c>
      <c r="L16" s="116" t="s">
        <v>275</v>
      </c>
      <c r="M16" s="105" t="s">
        <v>65</v>
      </c>
      <c r="N16" s="47">
        <v>9.3000000000000007</v>
      </c>
      <c r="O16" s="63">
        <v>631</v>
      </c>
      <c r="P16" s="63">
        <v>-0.25</v>
      </c>
      <c r="Q16" s="47">
        <v>0</v>
      </c>
      <c r="R16" s="47" t="e">
        <f t="shared" si="0"/>
        <v>#N/A</v>
      </c>
      <c r="S16" s="47">
        <v>3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49900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878000</v>
      </c>
      <c r="AD16" s="63">
        <v>625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52"/>
      <c r="E17" s="152"/>
      <c r="I17" s="33" t="s">
        <v>297</v>
      </c>
      <c r="J17" s="47">
        <v>12</v>
      </c>
      <c r="K17" s="19">
        <v>-45</v>
      </c>
      <c r="L17" s="116" t="s">
        <v>275</v>
      </c>
      <c r="M17" s="105" t="s">
        <v>65</v>
      </c>
      <c r="N17" s="47">
        <v>9.1</v>
      </c>
      <c r="O17" s="63">
        <v>518</v>
      </c>
      <c r="P17" s="63">
        <v>10.25</v>
      </c>
      <c r="Q17" s="47">
        <v>0</v>
      </c>
      <c r="R17" s="47" t="e">
        <f t="shared" si="0"/>
        <v>#N/A</v>
      </c>
      <c r="S17" s="47">
        <v>2.8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47300</v>
      </c>
      <c r="Y17" s="47">
        <v>0</v>
      </c>
      <c r="Z17" s="47" t="e">
        <f t="shared" si="1"/>
        <v>#N/A</v>
      </c>
      <c r="AA17" s="47">
        <v>1</v>
      </c>
      <c r="AB17" s="47" t="e">
        <f t="shared" si="2"/>
        <v>#N/A</v>
      </c>
      <c r="AC17" s="63">
        <v>788000</v>
      </c>
      <c r="AD17" s="63">
        <v>17690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3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56" t="s">
        <v>273</v>
      </c>
      <c r="J18" s="47">
        <v>13</v>
      </c>
      <c r="K18" s="19">
        <v>-48.9</v>
      </c>
      <c r="L18" s="116" t="s">
        <v>275</v>
      </c>
      <c r="M18" s="105" t="s">
        <v>65</v>
      </c>
      <c r="N18" s="47">
        <v>8.9</v>
      </c>
      <c r="O18" s="63">
        <v>329</v>
      </c>
      <c r="P18" s="63">
        <v>5.72</v>
      </c>
      <c r="Q18" s="47">
        <v>0</v>
      </c>
      <c r="R18" s="47" t="e">
        <f t="shared" si="0"/>
        <v>#N/A</v>
      </c>
      <c r="S18" s="47">
        <v>1.6</v>
      </c>
      <c r="T18" s="47">
        <v>0</v>
      </c>
      <c r="U18" s="75">
        <v>1.7999999999999999E-2</v>
      </c>
      <c r="V18" s="75">
        <v>0</v>
      </c>
      <c r="W18" s="47">
        <v>0.25</v>
      </c>
      <c r="X18" s="47">
        <v>37400</v>
      </c>
      <c r="Y18" s="47">
        <v>0</v>
      </c>
      <c r="Z18" s="47" t="e">
        <f t="shared" si="1"/>
        <v>#N/A</v>
      </c>
      <c r="AA18" s="47">
        <v>1</v>
      </c>
      <c r="AB18" s="47" t="e">
        <f t="shared" si="2"/>
        <v>#N/A</v>
      </c>
      <c r="AC18" s="63">
        <v>487000</v>
      </c>
      <c r="AD18" s="63">
        <v>10289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3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52" t="s">
        <v>38</v>
      </c>
      <c r="B19" s="152" t="s">
        <v>30</v>
      </c>
      <c r="C19" s="152" t="s">
        <v>59</v>
      </c>
      <c r="D19" s="43"/>
      <c r="E19" s="35"/>
      <c r="I19" s="56" t="s">
        <v>273</v>
      </c>
      <c r="J19" s="47">
        <v>14</v>
      </c>
      <c r="K19" s="33">
        <v>-80</v>
      </c>
      <c r="L19" s="116" t="s">
        <v>275</v>
      </c>
      <c r="M19" s="105" t="s">
        <v>65</v>
      </c>
      <c r="N19" s="47">
        <v>8.9</v>
      </c>
      <c r="O19" s="63">
        <v>507</v>
      </c>
      <c r="P19" s="63">
        <v>0</v>
      </c>
      <c r="Q19" s="47">
        <v>0</v>
      </c>
      <c r="R19" s="47" t="e">
        <f t="shared" si="0"/>
        <v>#N/A</v>
      </c>
      <c r="S19" s="47">
        <v>1.6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3700</v>
      </c>
      <c r="Y19" s="47">
        <v>0</v>
      </c>
      <c r="Z19" s="47" t="e">
        <f t="shared" si="1"/>
        <v>#N/A</v>
      </c>
      <c r="AA19" s="47">
        <v>1</v>
      </c>
      <c r="AB19" s="47" t="e">
        <f t="shared" si="2"/>
        <v>#N/A</v>
      </c>
      <c r="AC19" s="63">
        <v>807000</v>
      </c>
      <c r="AD19" s="63">
        <v>0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3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5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5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4">AF40+3.8</f>
        <v>55.599999999999994</v>
      </c>
      <c r="AG41" s="33">
        <f t="shared" ref="AG41:AG43" si="5">AG40+200</f>
        <v>2300</v>
      </c>
      <c r="AH41" s="33">
        <f t="shared" ref="AH41:AH44" si="6">AH40+0.8</f>
        <v>9.6000000000000014</v>
      </c>
    </row>
    <row r="42" spans="1:42" x14ac:dyDescent="0.25">
      <c r="L42" s="49"/>
      <c r="AE42" s="33">
        <v>18</v>
      </c>
      <c r="AF42" s="33">
        <f t="shared" si="4"/>
        <v>59.399999999999991</v>
      </c>
      <c r="AG42" s="33">
        <f t="shared" si="5"/>
        <v>2500</v>
      </c>
      <c r="AH42" s="33">
        <f t="shared" si="6"/>
        <v>10.400000000000002</v>
      </c>
    </row>
    <row r="43" spans="1:42" x14ac:dyDescent="0.25">
      <c r="L43" s="49"/>
      <c r="AE43" s="33">
        <v>19</v>
      </c>
      <c r="AF43" s="33">
        <f t="shared" si="4"/>
        <v>63.199999999999989</v>
      </c>
      <c r="AG43" s="33">
        <f t="shared" si="5"/>
        <v>2700</v>
      </c>
      <c r="AH43" s="33">
        <f t="shared" si="6"/>
        <v>11.200000000000003</v>
      </c>
    </row>
    <row r="44" spans="1:42" x14ac:dyDescent="0.25">
      <c r="L44" s="49"/>
      <c r="AE44" s="33">
        <v>20</v>
      </c>
      <c r="AF44" s="33">
        <f t="shared" si="4"/>
        <v>66.999999999999986</v>
      </c>
      <c r="AG44" s="33">
        <f>AG43+200</f>
        <v>2900</v>
      </c>
      <c r="AH44" s="33">
        <f t="shared" si="6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7">AF45+2.8</f>
        <v>72.59999999999998</v>
      </c>
      <c r="AG46" s="33">
        <f t="shared" ref="AG46:AG48" si="8">AG45+380</f>
        <v>3660</v>
      </c>
      <c r="AH46" s="33">
        <f t="shared" ref="AH46:AH49" si="9">AH45+1.6</f>
        <v>15.200000000000003</v>
      </c>
    </row>
    <row r="47" spans="1:42" x14ac:dyDescent="0.25">
      <c r="L47" s="49"/>
      <c r="AE47" s="33">
        <v>23</v>
      </c>
      <c r="AF47" s="33">
        <f t="shared" si="7"/>
        <v>75.399999999999977</v>
      </c>
      <c r="AG47" s="33">
        <f t="shared" si="8"/>
        <v>4040</v>
      </c>
      <c r="AH47" s="33">
        <f t="shared" si="9"/>
        <v>16.800000000000004</v>
      </c>
    </row>
    <row r="48" spans="1:42" x14ac:dyDescent="0.25">
      <c r="L48" s="49"/>
      <c r="AE48" s="33">
        <v>24</v>
      </c>
      <c r="AF48" s="33">
        <f t="shared" si="7"/>
        <v>78.199999999999974</v>
      </c>
      <c r="AG48" s="33">
        <f t="shared" si="8"/>
        <v>4420</v>
      </c>
      <c r="AH48" s="33">
        <f t="shared" si="9"/>
        <v>18.400000000000006</v>
      </c>
    </row>
    <row r="49" spans="12:34" x14ac:dyDescent="0.25">
      <c r="L49" s="49"/>
      <c r="AE49" s="33">
        <v>25</v>
      </c>
      <c r="AF49" s="33">
        <f t="shared" si="7"/>
        <v>80.999999999999972</v>
      </c>
      <c r="AG49" s="33">
        <v>4800</v>
      </c>
      <c r="AH49" s="33">
        <f t="shared" si="9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0">AF50+3</f>
        <v>86.999999999999972</v>
      </c>
      <c r="AG51" s="33">
        <f t="shared" ref="AG51:AG54" si="11">AG50+960</f>
        <v>6720</v>
      </c>
      <c r="AH51" s="33">
        <f t="shared" ref="AH51:AH54" si="12">AH50+4</f>
        <v>28.000000000000007</v>
      </c>
    </row>
    <row r="52" spans="12:34" x14ac:dyDescent="0.25">
      <c r="L52" s="49"/>
      <c r="AE52" s="33">
        <v>28</v>
      </c>
      <c r="AF52" s="33">
        <f t="shared" si="10"/>
        <v>89.999999999999972</v>
      </c>
      <c r="AG52" s="33">
        <f t="shared" si="11"/>
        <v>7680</v>
      </c>
      <c r="AH52" s="33">
        <f t="shared" si="12"/>
        <v>32.000000000000007</v>
      </c>
    </row>
    <row r="53" spans="12:34" x14ac:dyDescent="0.25">
      <c r="L53" s="49"/>
      <c r="AE53" s="33">
        <v>29</v>
      </c>
      <c r="AF53" s="33">
        <f t="shared" si="10"/>
        <v>92.999999999999972</v>
      </c>
      <c r="AG53" s="33">
        <f t="shared" si="11"/>
        <v>8640</v>
      </c>
      <c r="AH53" s="33">
        <f t="shared" si="12"/>
        <v>36.000000000000007</v>
      </c>
    </row>
    <row r="54" spans="12:34" x14ac:dyDescent="0.25">
      <c r="L54" s="49"/>
      <c r="AE54" s="33">
        <v>30</v>
      </c>
      <c r="AF54" s="33">
        <f t="shared" si="10"/>
        <v>95.999999999999972</v>
      </c>
      <c r="AG54" s="33">
        <f t="shared" si="11"/>
        <v>9600</v>
      </c>
      <c r="AH54" s="33">
        <f t="shared" si="12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3">AF55+3.8</f>
        <v>103.59999999999997</v>
      </c>
      <c r="AG56" s="33">
        <f t="shared" ref="AG56:AG59" si="14">AG55+480</f>
        <v>10560</v>
      </c>
      <c r="AH56" s="33">
        <f t="shared" ref="AH56:AH59" si="15">AH55+2</f>
        <v>44.000000000000007</v>
      </c>
    </row>
    <row r="57" spans="12:34" x14ac:dyDescent="0.25">
      <c r="L57" s="49"/>
      <c r="AE57" s="33">
        <v>33</v>
      </c>
      <c r="AF57" s="33">
        <f t="shared" si="13"/>
        <v>107.39999999999996</v>
      </c>
      <c r="AG57" s="33">
        <f t="shared" si="14"/>
        <v>11040</v>
      </c>
      <c r="AH57" s="33">
        <f t="shared" si="15"/>
        <v>46.000000000000007</v>
      </c>
    </row>
    <row r="58" spans="12:34" x14ac:dyDescent="0.25">
      <c r="L58" s="49"/>
      <c r="AE58" s="33">
        <v>34</v>
      </c>
      <c r="AF58" s="33">
        <f t="shared" si="13"/>
        <v>111.19999999999996</v>
      </c>
      <c r="AG58" s="33">
        <f t="shared" si="14"/>
        <v>11520</v>
      </c>
      <c r="AH58" s="33">
        <f t="shared" si="15"/>
        <v>48.000000000000007</v>
      </c>
    </row>
    <row r="59" spans="12:34" x14ac:dyDescent="0.25">
      <c r="L59" s="49"/>
      <c r="AE59" s="33">
        <v>35</v>
      </c>
      <c r="AF59" s="33">
        <f t="shared" si="13"/>
        <v>114.99999999999996</v>
      </c>
      <c r="AG59" s="33">
        <f t="shared" si="14"/>
        <v>12000</v>
      </c>
      <c r="AH59" s="33">
        <f t="shared" si="15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0:AP36">
    <cfRule type="expression" dxfId="3199" priority="24">
      <formula>$L20="API sand"</formula>
    </cfRule>
  </conditionalFormatting>
  <conditionalFormatting sqref="R20:S20 R29:S36 S21:S28 AD21:AD28 AB20:AB35">
    <cfRule type="expression" dxfId="3198" priority="23">
      <formula>$M20="API sand"</formula>
    </cfRule>
  </conditionalFormatting>
  <conditionalFormatting sqref="R20:T20 R29:T36 S21:T28 AD21:AD28 AB20:AB35">
    <cfRule type="expression" dxfId="3197" priority="22">
      <formula>$M20="API clay"</formula>
    </cfRule>
  </conditionalFormatting>
  <conditionalFormatting sqref="U20:W36 AM20:AP36">
    <cfRule type="expression" dxfId="3196" priority="19">
      <formula>$L20="Stiff clay w/o free water"</formula>
    </cfRule>
    <cfRule type="expression" dxfId="3195" priority="21">
      <formula>$L20="API clay"</formula>
    </cfRule>
  </conditionalFormatting>
  <conditionalFormatting sqref="U20:Y36 AM20:AP36">
    <cfRule type="expression" dxfId="3194" priority="20">
      <formula>$L20="Kirsch soft clay"</formula>
    </cfRule>
  </conditionalFormatting>
  <conditionalFormatting sqref="U20:Y36 AM20:AP36">
    <cfRule type="expression" dxfId="3193" priority="18">
      <formula>$L20="Kirsch stiff clay"</formula>
    </cfRule>
  </conditionalFormatting>
  <conditionalFormatting sqref="AM20:AP36">
    <cfRule type="expression" dxfId="3192" priority="17">
      <formula>$L20="Kirsch sand"</formula>
    </cfRule>
  </conditionalFormatting>
  <conditionalFormatting sqref="AM20:AP36">
    <cfRule type="expression" dxfId="3191" priority="16">
      <formula>$L20="Modified Weak rock"</formula>
    </cfRule>
  </conditionalFormatting>
  <conditionalFormatting sqref="U20:V36 AM20:AP36">
    <cfRule type="expression" dxfId="3190" priority="15">
      <formula>$L20="Reese stiff clay"</formula>
    </cfRule>
  </conditionalFormatting>
  <conditionalFormatting sqref="N20:N36 Q20:Q36">
    <cfRule type="expression" dxfId="3189" priority="14">
      <formula>$L20="API sand"</formula>
    </cfRule>
  </conditionalFormatting>
  <conditionalFormatting sqref="N20:N36 AB36 AJ20:AL36 Z20:Z36">
    <cfRule type="expression" dxfId="3188" priority="13">
      <formula>$M20="API sand"</formula>
    </cfRule>
  </conditionalFormatting>
  <conditionalFormatting sqref="Z36:AB36 AK20:AL36 N20:N36 Z20:AA35">
    <cfRule type="expression" dxfId="3187" priority="12">
      <formula>$M20="API clay"</formula>
    </cfRule>
  </conditionalFormatting>
  <conditionalFormatting sqref="N29:P36 N20:N28 P20:P28">
    <cfRule type="expression" dxfId="3186" priority="9">
      <formula>$L20="Stiff clay w/o free water"</formula>
    </cfRule>
    <cfRule type="expression" dxfId="3185" priority="11">
      <formula>$L20="API clay"</formula>
    </cfRule>
  </conditionalFormatting>
  <conditionalFormatting sqref="N29:P36 N20:N28 P20:P28">
    <cfRule type="expression" dxfId="3184" priority="10">
      <formula>$L20="Kirsch soft clay"</formula>
    </cfRule>
  </conditionalFormatting>
  <conditionalFormatting sqref="N29:P36 N20:N28 P20:P28">
    <cfRule type="expression" dxfId="3183" priority="8">
      <formula>$L20="Kirsch stiff clay"</formula>
    </cfRule>
  </conditionalFormatting>
  <conditionalFormatting sqref="N20:N36 Q20:Q36 X20:Y36">
    <cfRule type="expression" dxfId="3182" priority="7">
      <formula>$L20="Kirsch sand"</formula>
    </cfRule>
  </conditionalFormatting>
  <conditionalFormatting sqref="N20:N36 AC20:AD36 AI20:AI36">
    <cfRule type="expression" dxfId="3181" priority="6">
      <formula>$L20="Modified Weak rock"</formula>
    </cfRule>
  </conditionalFormatting>
  <conditionalFormatting sqref="N29:P36 N20:N28 P20:P28">
    <cfRule type="expression" dxfId="3180" priority="5">
      <formula>$L20="Reese stiff clay"</formula>
    </cfRule>
  </conditionalFormatting>
  <conditionalFormatting sqref="O20:O21">
    <cfRule type="expression" dxfId="3179" priority="4">
      <formula>$L20="API sand"</formula>
    </cfRule>
  </conditionalFormatting>
  <conditionalFormatting sqref="O20:O21">
    <cfRule type="expression" dxfId="3178" priority="3">
      <formula>$L20="Kirsch sand"</formula>
    </cfRule>
  </conditionalFormatting>
  <conditionalFormatting sqref="O22:O28">
    <cfRule type="expression" dxfId="3177" priority="2">
      <formula>$L22="API sand"</formula>
    </cfRule>
  </conditionalFormatting>
  <conditionalFormatting sqref="O22:O28">
    <cfRule type="expression" dxfId="3176" priority="1">
      <formula>$L22="Kirsch sand"</formula>
    </cfRule>
  </conditionalFormatting>
  <conditionalFormatting sqref="AE37:AH37">
    <cfRule type="expression" dxfId="3175" priority="25">
      <formula>$L19="Modified Weak rock"</formula>
    </cfRule>
  </conditionalFormatting>
  <dataValidations count="4">
    <dataValidation type="list" showInputMessage="1" showErrorMessage="1" sqref="M6:M19" xr:uid="{13BD9561-C386-4CEA-B49B-ABDFE582AEEE}">
      <formula1>"Zero soil,API sand,API clay"</formula1>
    </dataValidation>
    <dataValidation type="list" showInputMessage="1" showErrorMessage="1" sqref="L20:L255" xr:uid="{4EA441D5-1E3B-4194-88A8-37D9D86BB47F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8:M36" xr:uid="{DA47297F-6840-4E22-A899-E00E5F06C51F}">
      <formula1>"',API sand,API clay"</formula1>
    </dataValidation>
    <dataValidation showInputMessage="1" showErrorMessage="1" sqref="L8 L12 L16:L19" xr:uid="{46B15EF2-B2D4-4584-841F-3C1D39632EB4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FD8DE-1AF0-4BB0-9A4A-3E1E323B502A}">
  <sheetPr>
    <tabColor rgb="FF00B0F0"/>
  </sheetPr>
  <dimension ref="A1:AS255"/>
  <sheetViews>
    <sheetView topLeftCell="B1"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Ak_Pisa_WTG33_RBB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51"/>
      <c r="R3" s="155"/>
      <c r="S3" s="155"/>
      <c r="T3" s="151"/>
      <c r="U3" s="155"/>
      <c r="V3" s="155"/>
      <c r="W3" s="151"/>
      <c r="X3" s="69"/>
      <c r="Y3" s="151"/>
      <c r="Z3" s="151"/>
      <c r="AA3" s="151"/>
      <c r="AB3" s="151"/>
      <c r="AC3" s="69"/>
      <c r="AD3" s="39"/>
      <c r="AE3" s="39"/>
      <c r="AF3" s="39"/>
      <c r="AG3" s="39"/>
      <c r="AH3" s="39"/>
      <c r="AI3" s="39"/>
      <c r="AJ3" s="151"/>
      <c r="AK3" s="151"/>
      <c r="AL3" s="151"/>
      <c r="AM3" s="151"/>
      <c r="AN3" s="151"/>
      <c r="AO3" s="151"/>
      <c r="AP3" s="151"/>
    </row>
    <row r="4" spans="1:45" x14ac:dyDescent="0.25">
      <c r="A4" s="40" t="s">
        <v>60</v>
      </c>
      <c r="B4" s="33">
        <f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2" t="s">
        <v>38</v>
      </c>
      <c r="K5" s="152" t="s">
        <v>30</v>
      </c>
      <c r="L5" s="152" t="s">
        <v>31</v>
      </c>
      <c r="M5" s="152" t="s">
        <v>31</v>
      </c>
      <c r="N5" s="152" t="s">
        <v>32</v>
      </c>
      <c r="O5" s="152" t="s">
        <v>33</v>
      </c>
      <c r="P5" s="152" t="s">
        <v>35</v>
      </c>
      <c r="Q5" s="152" t="s">
        <v>36</v>
      </c>
      <c r="R5" s="152" t="s">
        <v>36</v>
      </c>
      <c r="S5" s="152" t="s">
        <v>34</v>
      </c>
      <c r="T5" s="152" t="s">
        <v>33</v>
      </c>
      <c r="U5" s="152" t="s">
        <v>34</v>
      </c>
      <c r="V5" s="152" t="s">
        <v>62</v>
      </c>
      <c r="W5" s="152" t="s">
        <v>34</v>
      </c>
      <c r="X5" s="152" t="s">
        <v>33</v>
      </c>
      <c r="Y5" s="152" t="s">
        <v>35</v>
      </c>
      <c r="Z5" s="152" t="s">
        <v>33</v>
      </c>
      <c r="AA5" s="152" t="s">
        <v>34</v>
      </c>
      <c r="AB5" s="152" t="s">
        <v>33</v>
      </c>
      <c r="AC5" s="152" t="s">
        <v>33</v>
      </c>
      <c r="AD5" s="152" t="s">
        <v>35</v>
      </c>
      <c r="AE5" s="152" t="s">
        <v>34</v>
      </c>
      <c r="AF5" s="152" t="s">
        <v>33</v>
      </c>
      <c r="AG5" s="152" t="s">
        <v>35</v>
      </c>
      <c r="AH5" s="152" t="s">
        <v>34</v>
      </c>
      <c r="AI5" s="152" t="s">
        <v>34</v>
      </c>
      <c r="AJ5" s="152" t="s">
        <v>34</v>
      </c>
      <c r="AK5" s="152" t="s">
        <v>34</v>
      </c>
      <c r="AL5" s="152" t="s">
        <v>34</v>
      </c>
      <c r="AM5" s="152" t="s">
        <v>34</v>
      </c>
      <c r="AN5" s="152" t="s">
        <v>34</v>
      </c>
      <c r="AO5" s="152" t="s">
        <v>34</v>
      </c>
      <c r="AP5" s="152" t="s">
        <v>34</v>
      </c>
      <c r="AQ5" s="152" t="s">
        <v>103</v>
      </c>
      <c r="AR5" s="152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EW_sand_Ruled_75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33</v>
      </c>
      <c r="R6" s="47">
        <f t="shared" ref="R6:R19" si="0">IF(Q6&lt;&gt;0,Q6-5,NA())</f>
        <v>28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3100</v>
      </c>
      <c r="Y6" s="47">
        <v>0</v>
      </c>
      <c r="Z6" s="47">
        <f t="shared" ref="Z6:Z19" si="1">VLOOKUP(R6,$AE$39:$AF$59,2)</f>
        <v>89.999999999999972</v>
      </c>
      <c r="AA6" s="47">
        <v>1</v>
      </c>
      <c r="AB6" s="47">
        <f t="shared" ref="AB6:AB19" si="2">VLOOKUP(R6,$AE$39:$AG$59,3)</f>
        <v>7680</v>
      </c>
      <c r="AC6" s="63">
        <v>5000</v>
      </c>
      <c r="AD6" s="63">
        <v>24000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9" si="3">VLOOKUP(R6,$AE$39:$AH$59,4)</f>
        <v>32.000000000000007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75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-0.5</v>
      </c>
      <c r="L7" s="33" t="str">
        <f>"EW_sand_Ruled"&amp;"_"&amp;AR7</f>
        <v>EW_sand_Ruled_81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40</v>
      </c>
      <c r="R7" s="47">
        <f t="shared" si="0"/>
        <v>35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24500</v>
      </c>
      <c r="Y7" s="47">
        <v>0</v>
      </c>
      <c r="Z7" s="47">
        <f t="shared" si="1"/>
        <v>114.99999999999996</v>
      </c>
      <c r="AA7" s="47">
        <v>1</v>
      </c>
      <c r="AB7" s="47">
        <f t="shared" si="2"/>
        <v>12000</v>
      </c>
      <c r="AC7" s="63">
        <v>33000</v>
      </c>
      <c r="AD7" s="63">
        <v>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81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32565.223846153847</v>
      </c>
      <c r="H8" s="45" t="s">
        <v>53</v>
      </c>
      <c r="I8" s="56" t="s">
        <v>255</v>
      </c>
      <c r="J8" s="47">
        <v>3</v>
      </c>
      <c r="K8" s="19">
        <v>-1.5</v>
      </c>
      <c r="L8" s="116" t="s">
        <v>275</v>
      </c>
      <c r="M8" s="105" t="s">
        <v>65</v>
      </c>
      <c r="N8" s="47">
        <v>10.199999999999999</v>
      </c>
      <c r="O8" s="63">
        <v>71</v>
      </c>
      <c r="P8" s="63">
        <v>12</v>
      </c>
      <c r="Q8" s="47">
        <v>0</v>
      </c>
      <c r="R8" s="47" t="e">
        <f t="shared" si="0"/>
        <v>#N/A</v>
      </c>
      <c r="S8" s="47">
        <v>3</v>
      </c>
      <c r="T8" s="47">
        <v>0</v>
      </c>
      <c r="U8" s="75">
        <v>1.7999999999999999E-2</v>
      </c>
      <c r="V8" s="75">
        <v>0</v>
      </c>
      <c r="W8" s="47">
        <v>0.5</v>
      </c>
      <c r="X8" s="47">
        <v>14700</v>
      </c>
      <c r="Y8" s="47">
        <v>0</v>
      </c>
      <c r="Z8" s="47" t="e">
        <f t="shared" si="1"/>
        <v>#N/A</v>
      </c>
      <c r="AA8" s="47">
        <v>1</v>
      </c>
      <c r="AB8" s="47" t="e">
        <f t="shared" si="2"/>
        <v>#N/A</v>
      </c>
      <c r="AC8" s="63">
        <v>72000</v>
      </c>
      <c r="AD8" s="63">
        <v>12000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 t="e">
        <f t="shared" si="3"/>
        <v>#N/A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0</v>
      </c>
      <c r="AS8" s="33">
        <v>0.4</v>
      </c>
    </row>
    <row r="9" spans="1:45" x14ac:dyDescent="0.25">
      <c r="A9" s="33" t="s">
        <v>68</v>
      </c>
      <c r="B9" s="57">
        <v>37.5</v>
      </c>
      <c r="C9" s="45" t="s">
        <v>28</v>
      </c>
      <c r="D9" s="57">
        <v>28</v>
      </c>
      <c r="F9" s="33" t="s">
        <v>96</v>
      </c>
      <c r="G9" s="76">
        <v>-1242604.1692307701</v>
      </c>
      <c r="H9" s="45" t="s">
        <v>54</v>
      </c>
      <c r="I9" s="56" t="s">
        <v>257</v>
      </c>
      <c r="J9" s="47">
        <v>4</v>
      </c>
      <c r="K9" s="19">
        <v>-2</v>
      </c>
      <c r="L9" s="33" t="str">
        <f>"EW_sand_Ruled"&amp;"_"&amp;AR9</f>
        <v>EW_sand_Ruled_49</v>
      </c>
      <c r="M9" s="105" t="s">
        <v>64</v>
      </c>
      <c r="N9" s="47">
        <v>9.4</v>
      </c>
      <c r="O9" s="63">
        <v>0</v>
      </c>
      <c r="P9" s="63">
        <v>0</v>
      </c>
      <c r="Q9" s="47">
        <v>35</v>
      </c>
      <c r="R9" s="47">
        <f t="shared" si="0"/>
        <v>30</v>
      </c>
      <c r="S9" s="47">
        <v>1.4</v>
      </c>
      <c r="T9" s="47">
        <v>0</v>
      </c>
      <c r="U9" s="75">
        <v>0</v>
      </c>
      <c r="V9" s="75">
        <v>0</v>
      </c>
      <c r="W9" s="47">
        <v>0</v>
      </c>
      <c r="X9" s="47">
        <v>12500</v>
      </c>
      <c r="Y9" s="47">
        <v>0</v>
      </c>
      <c r="Z9" s="47">
        <f t="shared" si="1"/>
        <v>95.999999999999972</v>
      </c>
      <c r="AA9" s="47">
        <v>1</v>
      </c>
      <c r="AB9" s="47">
        <f t="shared" si="2"/>
        <v>9600</v>
      </c>
      <c r="AC9" s="63">
        <v>29000</v>
      </c>
      <c r="AD9" s="63">
        <v>50000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3"/>
        <v>40.000000000000007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49</v>
      </c>
      <c r="AS9" s="33">
        <v>0.4</v>
      </c>
    </row>
    <row r="10" spans="1:45" s="56" customFormat="1" x14ac:dyDescent="0.25">
      <c r="A10" s="56" t="s">
        <v>69</v>
      </c>
      <c r="B10" s="58">
        <v>37.5</v>
      </c>
      <c r="C10" s="45" t="s">
        <v>28</v>
      </c>
      <c r="D10" s="58">
        <v>28</v>
      </c>
      <c r="F10" s="33" t="s">
        <v>51</v>
      </c>
      <c r="G10" s="71">
        <v>26498.568615384615</v>
      </c>
      <c r="H10" s="45" t="s">
        <v>53</v>
      </c>
      <c r="I10" s="33" t="s">
        <v>295</v>
      </c>
      <c r="J10" s="47">
        <v>5</v>
      </c>
      <c r="K10" s="19">
        <v>-2.5</v>
      </c>
      <c r="L10" s="33" t="str">
        <f>"EW_sand_Ruled"&amp;"_"&amp;AR10</f>
        <v>EW_sand_Ruled_45</v>
      </c>
      <c r="M10" s="105" t="s">
        <v>64</v>
      </c>
      <c r="N10" s="47">
        <v>9.4</v>
      </c>
      <c r="O10" s="63">
        <v>0</v>
      </c>
      <c r="P10" s="63">
        <v>0</v>
      </c>
      <c r="Q10" s="47">
        <v>36</v>
      </c>
      <c r="R10" s="47">
        <f t="shared" si="0"/>
        <v>31</v>
      </c>
      <c r="S10" s="47">
        <v>1.1000000000000001</v>
      </c>
      <c r="T10" s="47">
        <v>0</v>
      </c>
      <c r="U10" s="75">
        <v>0</v>
      </c>
      <c r="V10" s="75">
        <v>0</v>
      </c>
      <c r="W10" s="47">
        <v>0</v>
      </c>
      <c r="X10" s="47">
        <v>25900</v>
      </c>
      <c r="Y10" s="47">
        <v>0</v>
      </c>
      <c r="Z10" s="47">
        <f t="shared" si="1"/>
        <v>99.799999999999969</v>
      </c>
      <c r="AA10" s="47">
        <v>1</v>
      </c>
      <c r="AB10" s="47">
        <f t="shared" si="2"/>
        <v>10080</v>
      </c>
      <c r="AC10" s="63">
        <v>52000</v>
      </c>
      <c r="AD10" s="63">
        <v>4000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3"/>
        <v>42.000000000000007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45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295</v>
      </c>
      <c r="J11" s="47">
        <v>6</v>
      </c>
      <c r="K11" s="33">
        <v>-8</v>
      </c>
      <c r="L11" s="33" t="str">
        <f>"EW_sand_Ruled"&amp;"_"&amp;AR11</f>
        <v>EW_sand_Ruled_45</v>
      </c>
      <c r="M11" s="105" t="s">
        <v>64</v>
      </c>
      <c r="N11" s="47">
        <v>9.4</v>
      </c>
      <c r="O11" s="63">
        <v>0</v>
      </c>
      <c r="P11" s="63">
        <v>0</v>
      </c>
      <c r="Q11" s="47">
        <v>36</v>
      </c>
      <c r="R11" s="47">
        <f t="shared" si="0"/>
        <v>31</v>
      </c>
      <c r="S11" s="47">
        <v>0.9</v>
      </c>
      <c r="T11" s="47">
        <v>0</v>
      </c>
      <c r="U11" s="75">
        <v>0</v>
      </c>
      <c r="V11" s="75">
        <v>0</v>
      </c>
      <c r="W11" s="47">
        <v>0</v>
      </c>
      <c r="X11" s="47">
        <v>29600</v>
      </c>
      <c r="Y11" s="47">
        <v>0</v>
      </c>
      <c r="Z11" s="47">
        <f t="shared" si="1"/>
        <v>99.799999999999969</v>
      </c>
      <c r="AA11" s="47">
        <v>1</v>
      </c>
      <c r="AB11" s="47">
        <f t="shared" si="2"/>
        <v>10080</v>
      </c>
      <c r="AC11" s="63">
        <v>82000</v>
      </c>
      <c r="AD11" s="63">
        <v>-6000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42.000000000000007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45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2180.5670000000005</v>
      </c>
      <c r="H12" s="45" t="s">
        <v>53</v>
      </c>
      <c r="I12" s="33" t="s">
        <v>296</v>
      </c>
      <c r="J12" s="47">
        <v>7</v>
      </c>
      <c r="K12" s="19">
        <v>-9.5</v>
      </c>
      <c r="L12" s="116" t="s">
        <v>275</v>
      </c>
      <c r="M12" s="105" t="s">
        <v>65</v>
      </c>
      <c r="N12" s="47">
        <v>9.5</v>
      </c>
      <c r="O12" s="63">
        <v>194</v>
      </c>
      <c r="P12" s="63">
        <v>-22.67</v>
      </c>
      <c r="Q12" s="47">
        <v>0</v>
      </c>
      <c r="R12" s="47" t="e">
        <f t="shared" si="0"/>
        <v>#N/A</v>
      </c>
      <c r="S12" s="47">
        <v>3</v>
      </c>
      <c r="T12" s="47">
        <v>0</v>
      </c>
      <c r="U12" s="75">
        <v>1.7999999999999999E-2</v>
      </c>
      <c r="V12" s="75">
        <v>0</v>
      </c>
      <c r="W12" s="47">
        <v>0.5</v>
      </c>
      <c r="X12" s="47">
        <v>33200</v>
      </c>
      <c r="Y12" s="47">
        <v>0</v>
      </c>
      <c r="Z12" s="47" t="e">
        <f t="shared" si="1"/>
        <v>#N/A</v>
      </c>
      <c r="AA12" s="47">
        <v>1</v>
      </c>
      <c r="AB12" s="47" t="e">
        <f t="shared" si="2"/>
        <v>#N/A</v>
      </c>
      <c r="AC12" s="63">
        <v>235000</v>
      </c>
      <c r="AD12" s="63">
        <v>-26000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3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261</v>
      </c>
      <c r="J13" s="47">
        <v>8</v>
      </c>
      <c r="K13" s="19">
        <v>-11</v>
      </c>
      <c r="L13" s="33" t="str">
        <f>"EW_sand_Ruled"&amp;"_"&amp;AR13</f>
        <v>EW_sand_Ruled_62</v>
      </c>
      <c r="M13" s="105" t="s">
        <v>64</v>
      </c>
      <c r="N13" s="47">
        <v>9.9</v>
      </c>
      <c r="O13" s="63">
        <v>0</v>
      </c>
      <c r="P13" s="63">
        <v>0</v>
      </c>
      <c r="Q13" s="47">
        <v>38</v>
      </c>
      <c r="R13" s="47">
        <f t="shared" si="0"/>
        <v>33</v>
      </c>
      <c r="S13" s="47">
        <v>0.9</v>
      </c>
      <c r="T13" s="47">
        <v>0</v>
      </c>
      <c r="U13" s="75">
        <v>0</v>
      </c>
      <c r="V13" s="75">
        <v>0</v>
      </c>
      <c r="W13" s="47">
        <v>0</v>
      </c>
      <c r="X13" s="47">
        <v>59400</v>
      </c>
      <c r="Y13" s="47">
        <v>0</v>
      </c>
      <c r="Z13" s="47">
        <f t="shared" si="1"/>
        <v>107.39999999999996</v>
      </c>
      <c r="AA13" s="47">
        <v>1</v>
      </c>
      <c r="AB13" s="47">
        <f t="shared" si="2"/>
        <v>11040</v>
      </c>
      <c r="AC13" s="63">
        <v>93000</v>
      </c>
      <c r="AD13" s="63">
        <v>13478.26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46.000000000000007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62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278</v>
      </c>
      <c r="J14" s="47">
        <v>9</v>
      </c>
      <c r="K14" s="19">
        <v>-13.3</v>
      </c>
      <c r="L14" s="33" t="str">
        <f>"EW_sand_Ruled"&amp;"_"&amp;AR14</f>
        <v>EW_sand_Ruled_92</v>
      </c>
      <c r="M14" s="105" t="s">
        <v>64</v>
      </c>
      <c r="N14" s="47">
        <v>10</v>
      </c>
      <c r="O14" s="63">
        <v>0</v>
      </c>
      <c r="P14" s="63">
        <v>0</v>
      </c>
      <c r="Q14" s="47">
        <v>30</v>
      </c>
      <c r="R14" s="47">
        <f t="shared" si="0"/>
        <v>25</v>
      </c>
      <c r="S14" s="47">
        <v>1.8</v>
      </c>
      <c r="T14" s="47">
        <v>0</v>
      </c>
      <c r="U14" s="75">
        <v>0</v>
      </c>
      <c r="V14" s="75">
        <v>0</v>
      </c>
      <c r="W14" s="47">
        <v>0</v>
      </c>
      <c r="X14" s="47">
        <v>50000</v>
      </c>
      <c r="Y14" s="47">
        <v>0</v>
      </c>
      <c r="Z14" s="47">
        <f t="shared" si="1"/>
        <v>80.999999999999972</v>
      </c>
      <c r="AA14" s="47">
        <v>1</v>
      </c>
      <c r="AB14" s="47">
        <f t="shared" si="2"/>
        <v>4800</v>
      </c>
      <c r="AC14" s="63">
        <v>160000</v>
      </c>
      <c r="AD14" s="63">
        <v>2108.84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20.000000000000007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92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271</v>
      </c>
      <c r="J15" s="47">
        <v>10</v>
      </c>
      <c r="K15" s="19">
        <v>-28</v>
      </c>
      <c r="L15" s="33" t="str">
        <f>"EW_sand_Ruled"&amp;"_"&amp;AR15</f>
        <v>EW_sand_Ruled_52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27</v>
      </c>
      <c r="R15" s="47">
        <f t="shared" si="0"/>
        <v>22</v>
      </c>
      <c r="S15" s="47">
        <v>0.8</v>
      </c>
      <c r="T15" s="47">
        <v>0</v>
      </c>
      <c r="U15" s="75">
        <v>0</v>
      </c>
      <c r="V15" s="75">
        <v>0</v>
      </c>
      <c r="W15" s="47">
        <v>0</v>
      </c>
      <c r="X15" s="47">
        <v>30000</v>
      </c>
      <c r="Y15" s="47">
        <v>0</v>
      </c>
      <c r="Z15" s="47">
        <f t="shared" si="1"/>
        <v>72.59999999999998</v>
      </c>
      <c r="AA15" s="47">
        <v>1</v>
      </c>
      <c r="AB15" s="47">
        <f t="shared" si="2"/>
        <v>3660</v>
      </c>
      <c r="AC15" s="63">
        <v>159000</v>
      </c>
      <c r="AD15" s="63">
        <v>-333.33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3"/>
        <v>15.200000000000003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52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216</v>
      </c>
      <c r="J16" s="47">
        <v>11</v>
      </c>
      <c r="K16" s="19">
        <v>-37</v>
      </c>
      <c r="L16" s="116" t="s">
        <v>275</v>
      </c>
      <c r="M16" s="105" t="s">
        <v>65</v>
      </c>
      <c r="N16" s="47">
        <v>9.3000000000000007</v>
      </c>
      <c r="O16" s="63">
        <v>631</v>
      </c>
      <c r="P16" s="63">
        <v>-0.25</v>
      </c>
      <c r="Q16" s="47">
        <v>0</v>
      </c>
      <c r="R16" s="47" t="e">
        <f t="shared" si="0"/>
        <v>#N/A</v>
      </c>
      <c r="S16" s="47">
        <v>3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49900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878000</v>
      </c>
      <c r="AD16" s="63">
        <v>625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52"/>
      <c r="E17" s="152"/>
      <c r="I17" s="33" t="s">
        <v>297</v>
      </c>
      <c r="J17" s="47">
        <v>12</v>
      </c>
      <c r="K17" s="19">
        <v>-45</v>
      </c>
      <c r="L17" s="116" t="s">
        <v>275</v>
      </c>
      <c r="M17" s="105" t="s">
        <v>65</v>
      </c>
      <c r="N17" s="47">
        <v>9.1</v>
      </c>
      <c r="O17" s="63">
        <v>518</v>
      </c>
      <c r="P17" s="63">
        <v>10.25</v>
      </c>
      <c r="Q17" s="47">
        <v>0</v>
      </c>
      <c r="R17" s="47" t="e">
        <f t="shared" si="0"/>
        <v>#N/A</v>
      </c>
      <c r="S17" s="47">
        <v>2.8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47300</v>
      </c>
      <c r="Y17" s="47">
        <v>0</v>
      </c>
      <c r="Z17" s="47" t="e">
        <f t="shared" si="1"/>
        <v>#N/A</v>
      </c>
      <c r="AA17" s="47">
        <v>1</v>
      </c>
      <c r="AB17" s="47" t="e">
        <f t="shared" si="2"/>
        <v>#N/A</v>
      </c>
      <c r="AC17" s="63">
        <v>788000</v>
      </c>
      <c r="AD17" s="63">
        <v>17690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3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56" t="s">
        <v>273</v>
      </c>
      <c r="J18" s="47">
        <v>13</v>
      </c>
      <c r="K18" s="19">
        <v>-48.9</v>
      </c>
      <c r="L18" s="116" t="s">
        <v>275</v>
      </c>
      <c r="M18" s="105" t="s">
        <v>65</v>
      </c>
      <c r="N18" s="47">
        <v>8.9</v>
      </c>
      <c r="O18" s="63">
        <v>329</v>
      </c>
      <c r="P18" s="63">
        <v>5.72</v>
      </c>
      <c r="Q18" s="47">
        <v>0</v>
      </c>
      <c r="R18" s="47" t="e">
        <f t="shared" si="0"/>
        <v>#N/A</v>
      </c>
      <c r="S18" s="47">
        <v>1.6</v>
      </c>
      <c r="T18" s="47">
        <v>0</v>
      </c>
      <c r="U18" s="75">
        <v>1.7999999999999999E-2</v>
      </c>
      <c r="V18" s="75">
        <v>0</v>
      </c>
      <c r="W18" s="47">
        <v>0.25</v>
      </c>
      <c r="X18" s="47">
        <v>37400</v>
      </c>
      <c r="Y18" s="47">
        <v>0</v>
      </c>
      <c r="Z18" s="47" t="e">
        <f t="shared" si="1"/>
        <v>#N/A</v>
      </c>
      <c r="AA18" s="47">
        <v>1</v>
      </c>
      <c r="AB18" s="47" t="e">
        <f t="shared" si="2"/>
        <v>#N/A</v>
      </c>
      <c r="AC18" s="63">
        <v>487000</v>
      </c>
      <c r="AD18" s="63">
        <v>10289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3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52" t="s">
        <v>38</v>
      </c>
      <c r="B19" s="152" t="s">
        <v>30</v>
      </c>
      <c r="C19" s="152" t="s">
        <v>59</v>
      </c>
      <c r="D19" s="43"/>
      <c r="E19" s="35"/>
      <c r="I19" s="56" t="s">
        <v>273</v>
      </c>
      <c r="J19" s="47">
        <v>14</v>
      </c>
      <c r="K19" s="33">
        <v>-80</v>
      </c>
      <c r="L19" s="116" t="s">
        <v>275</v>
      </c>
      <c r="M19" s="105" t="s">
        <v>65</v>
      </c>
      <c r="N19" s="47">
        <v>8.9</v>
      </c>
      <c r="O19" s="63">
        <v>507</v>
      </c>
      <c r="P19" s="63">
        <v>0</v>
      </c>
      <c r="Q19" s="47">
        <v>0</v>
      </c>
      <c r="R19" s="47" t="e">
        <f t="shared" si="0"/>
        <v>#N/A</v>
      </c>
      <c r="S19" s="47">
        <v>1.6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3700</v>
      </c>
      <c r="Y19" s="47">
        <v>0</v>
      </c>
      <c r="Z19" s="47" t="e">
        <f t="shared" si="1"/>
        <v>#N/A</v>
      </c>
      <c r="AA19" s="47">
        <v>1</v>
      </c>
      <c r="AB19" s="47" t="e">
        <f t="shared" si="2"/>
        <v>#N/A</v>
      </c>
      <c r="AC19" s="63">
        <v>807000</v>
      </c>
      <c r="AD19" s="63">
        <v>0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3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5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5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4">AF40+3.8</f>
        <v>55.599999999999994</v>
      </c>
      <c r="AG41" s="33">
        <f t="shared" ref="AG41:AG43" si="5">AG40+200</f>
        <v>2300</v>
      </c>
      <c r="AH41" s="33">
        <f t="shared" ref="AH41:AH44" si="6">AH40+0.8</f>
        <v>9.6000000000000014</v>
      </c>
    </row>
    <row r="42" spans="1:42" x14ac:dyDescent="0.25">
      <c r="L42" s="49"/>
      <c r="AE42" s="33">
        <v>18</v>
      </c>
      <c r="AF42" s="33">
        <f t="shared" si="4"/>
        <v>59.399999999999991</v>
      </c>
      <c r="AG42" s="33">
        <f t="shared" si="5"/>
        <v>2500</v>
      </c>
      <c r="AH42" s="33">
        <f t="shared" si="6"/>
        <v>10.400000000000002</v>
      </c>
    </row>
    <row r="43" spans="1:42" x14ac:dyDescent="0.25">
      <c r="L43" s="49"/>
      <c r="AE43" s="33">
        <v>19</v>
      </c>
      <c r="AF43" s="33">
        <f t="shared" si="4"/>
        <v>63.199999999999989</v>
      </c>
      <c r="AG43" s="33">
        <f t="shared" si="5"/>
        <v>2700</v>
      </c>
      <c r="AH43" s="33">
        <f t="shared" si="6"/>
        <v>11.200000000000003</v>
      </c>
    </row>
    <row r="44" spans="1:42" x14ac:dyDescent="0.25">
      <c r="L44" s="49"/>
      <c r="AE44" s="33">
        <v>20</v>
      </c>
      <c r="AF44" s="33">
        <f t="shared" si="4"/>
        <v>66.999999999999986</v>
      </c>
      <c r="AG44" s="33">
        <f>AG43+200</f>
        <v>2900</v>
      </c>
      <c r="AH44" s="33">
        <f t="shared" si="6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7">AF45+2.8</f>
        <v>72.59999999999998</v>
      </c>
      <c r="AG46" s="33">
        <f t="shared" ref="AG46:AG48" si="8">AG45+380</f>
        <v>3660</v>
      </c>
      <c r="AH46" s="33">
        <f t="shared" ref="AH46:AH49" si="9">AH45+1.6</f>
        <v>15.200000000000003</v>
      </c>
    </row>
    <row r="47" spans="1:42" x14ac:dyDescent="0.25">
      <c r="L47" s="49"/>
      <c r="AE47" s="33">
        <v>23</v>
      </c>
      <c r="AF47" s="33">
        <f t="shared" si="7"/>
        <v>75.399999999999977</v>
      </c>
      <c r="AG47" s="33">
        <f t="shared" si="8"/>
        <v>4040</v>
      </c>
      <c r="AH47" s="33">
        <f t="shared" si="9"/>
        <v>16.800000000000004</v>
      </c>
    </row>
    <row r="48" spans="1:42" x14ac:dyDescent="0.25">
      <c r="L48" s="49"/>
      <c r="AE48" s="33">
        <v>24</v>
      </c>
      <c r="AF48" s="33">
        <f t="shared" si="7"/>
        <v>78.199999999999974</v>
      </c>
      <c r="AG48" s="33">
        <f t="shared" si="8"/>
        <v>4420</v>
      </c>
      <c r="AH48" s="33">
        <f t="shared" si="9"/>
        <v>18.400000000000006</v>
      </c>
    </row>
    <row r="49" spans="12:34" x14ac:dyDescent="0.25">
      <c r="L49" s="49"/>
      <c r="AE49" s="33">
        <v>25</v>
      </c>
      <c r="AF49" s="33">
        <f t="shared" si="7"/>
        <v>80.999999999999972</v>
      </c>
      <c r="AG49" s="33">
        <v>4800</v>
      </c>
      <c r="AH49" s="33">
        <f t="shared" si="9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0">AF50+3</f>
        <v>86.999999999999972</v>
      </c>
      <c r="AG51" s="33">
        <f t="shared" ref="AG51:AG54" si="11">AG50+960</f>
        <v>6720</v>
      </c>
      <c r="AH51" s="33">
        <f t="shared" ref="AH51:AH54" si="12">AH50+4</f>
        <v>28.000000000000007</v>
      </c>
    </row>
    <row r="52" spans="12:34" x14ac:dyDescent="0.25">
      <c r="L52" s="49"/>
      <c r="AE52" s="33">
        <v>28</v>
      </c>
      <c r="AF52" s="33">
        <f t="shared" si="10"/>
        <v>89.999999999999972</v>
      </c>
      <c r="AG52" s="33">
        <f t="shared" si="11"/>
        <v>7680</v>
      </c>
      <c r="AH52" s="33">
        <f t="shared" si="12"/>
        <v>32.000000000000007</v>
      </c>
    </row>
    <row r="53" spans="12:34" x14ac:dyDescent="0.25">
      <c r="L53" s="49"/>
      <c r="AE53" s="33">
        <v>29</v>
      </c>
      <c r="AF53" s="33">
        <f t="shared" si="10"/>
        <v>92.999999999999972</v>
      </c>
      <c r="AG53" s="33">
        <f t="shared" si="11"/>
        <v>8640</v>
      </c>
      <c r="AH53" s="33">
        <f t="shared" si="12"/>
        <v>36.000000000000007</v>
      </c>
    </row>
    <row r="54" spans="12:34" x14ac:dyDescent="0.25">
      <c r="L54" s="49"/>
      <c r="AE54" s="33">
        <v>30</v>
      </c>
      <c r="AF54" s="33">
        <f t="shared" si="10"/>
        <v>95.999999999999972</v>
      </c>
      <c r="AG54" s="33">
        <f t="shared" si="11"/>
        <v>9600</v>
      </c>
      <c r="AH54" s="33">
        <f t="shared" si="12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3">AF55+3.8</f>
        <v>103.59999999999997</v>
      </c>
      <c r="AG56" s="33">
        <f t="shared" ref="AG56:AG59" si="14">AG55+480</f>
        <v>10560</v>
      </c>
      <c r="AH56" s="33">
        <f t="shared" ref="AH56:AH59" si="15">AH55+2</f>
        <v>44.000000000000007</v>
      </c>
    </row>
    <row r="57" spans="12:34" x14ac:dyDescent="0.25">
      <c r="L57" s="49"/>
      <c r="AE57" s="33">
        <v>33</v>
      </c>
      <c r="AF57" s="33">
        <f t="shared" si="13"/>
        <v>107.39999999999996</v>
      </c>
      <c r="AG57" s="33">
        <f t="shared" si="14"/>
        <v>11040</v>
      </c>
      <c r="AH57" s="33">
        <f t="shared" si="15"/>
        <v>46.000000000000007</v>
      </c>
    </row>
    <row r="58" spans="12:34" x14ac:dyDescent="0.25">
      <c r="L58" s="49"/>
      <c r="AE58" s="33">
        <v>34</v>
      </c>
      <c r="AF58" s="33">
        <f t="shared" si="13"/>
        <v>111.19999999999996</v>
      </c>
      <c r="AG58" s="33">
        <f t="shared" si="14"/>
        <v>11520</v>
      </c>
      <c r="AH58" s="33">
        <f t="shared" si="15"/>
        <v>48.000000000000007</v>
      </c>
    </row>
    <row r="59" spans="12:34" x14ac:dyDescent="0.25">
      <c r="L59" s="49"/>
      <c r="AE59" s="33">
        <v>35</v>
      </c>
      <c r="AF59" s="33">
        <f t="shared" si="13"/>
        <v>114.99999999999996</v>
      </c>
      <c r="AG59" s="33">
        <f t="shared" si="14"/>
        <v>12000</v>
      </c>
      <c r="AH59" s="33">
        <f t="shared" si="15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0:AP36">
    <cfRule type="expression" dxfId="3174" priority="24">
      <formula>$L20="API sand"</formula>
    </cfRule>
  </conditionalFormatting>
  <conditionalFormatting sqref="R20:S20 R29:S36 S21:S28 AD21:AD28 AB20:AB35">
    <cfRule type="expression" dxfId="3173" priority="23">
      <formula>$M20="API sand"</formula>
    </cfRule>
  </conditionalFormatting>
  <conditionalFormatting sqref="R20:T20 R29:T36 S21:T28 AD21:AD28 AB20:AB35">
    <cfRule type="expression" dxfId="3172" priority="22">
      <formula>$M20="API clay"</formula>
    </cfRule>
  </conditionalFormatting>
  <conditionalFormatting sqref="U20:W36 AM20:AP36">
    <cfRule type="expression" dxfId="3171" priority="19">
      <formula>$L20="Stiff clay w/o free water"</formula>
    </cfRule>
    <cfRule type="expression" dxfId="3170" priority="21">
      <formula>$L20="API clay"</formula>
    </cfRule>
  </conditionalFormatting>
  <conditionalFormatting sqref="U20:Y36 AM20:AP36">
    <cfRule type="expression" dxfId="3169" priority="20">
      <formula>$L20="Kirsch soft clay"</formula>
    </cfRule>
  </conditionalFormatting>
  <conditionalFormatting sqref="U20:Y36 AM20:AP36">
    <cfRule type="expression" dxfId="3168" priority="18">
      <formula>$L20="Kirsch stiff clay"</formula>
    </cfRule>
  </conditionalFormatting>
  <conditionalFormatting sqref="AM20:AP36">
    <cfRule type="expression" dxfId="3167" priority="17">
      <formula>$L20="Kirsch sand"</formula>
    </cfRule>
  </conditionalFormatting>
  <conditionalFormatting sqref="AM20:AP36">
    <cfRule type="expression" dxfId="3166" priority="16">
      <formula>$L20="Modified Weak rock"</formula>
    </cfRule>
  </conditionalFormatting>
  <conditionalFormatting sqref="U20:V36 AM20:AP36">
    <cfRule type="expression" dxfId="3165" priority="15">
      <formula>$L20="Reese stiff clay"</formula>
    </cfRule>
  </conditionalFormatting>
  <conditionalFormatting sqref="N20:N36 Q20:Q36">
    <cfRule type="expression" dxfId="3164" priority="14">
      <formula>$L20="API sand"</formula>
    </cfRule>
  </conditionalFormatting>
  <conditionalFormatting sqref="N20:N36 AB36 AJ20:AL36 Z20:Z36">
    <cfRule type="expression" dxfId="3163" priority="13">
      <formula>$M20="API sand"</formula>
    </cfRule>
  </conditionalFormatting>
  <conditionalFormatting sqref="Z36:AB36 AK20:AL36 N20:N36 Z20:AA35">
    <cfRule type="expression" dxfId="3162" priority="12">
      <formula>$M20="API clay"</formula>
    </cfRule>
  </conditionalFormatting>
  <conditionalFormatting sqref="N29:P36 N20:N28 P20:P28">
    <cfRule type="expression" dxfId="3161" priority="9">
      <formula>$L20="Stiff clay w/o free water"</formula>
    </cfRule>
    <cfRule type="expression" dxfId="3160" priority="11">
      <formula>$L20="API clay"</formula>
    </cfRule>
  </conditionalFormatting>
  <conditionalFormatting sqref="N29:P36 N20:N28 P20:P28">
    <cfRule type="expression" dxfId="3159" priority="10">
      <formula>$L20="Kirsch soft clay"</formula>
    </cfRule>
  </conditionalFormatting>
  <conditionalFormatting sqref="N29:P36 N20:N28 P20:P28">
    <cfRule type="expression" dxfId="3158" priority="8">
      <formula>$L20="Kirsch stiff clay"</formula>
    </cfRule>
  </conditionalFormatting>
  <conditionalFormatting sqref="N20:N36 Q20:Q36 X20:Y36">
    <cfRule type="expression" dxfId="3157" priority="7">
      <formula>$L20="Kirsch sand"</formula>
    </cfRule>
  </conditionalFormatting>
  <conditionalFormatting sqref="N20:N36 AC20:AD36 AI20:AI36">
    <cfRule type="expression" dxfId="3156" priority="6">
      <formula>$L20="Modified Weak rock"</formula>
    </cfRule>
  </conditionalFormatting>
  <conditionalFormatting sqref="N29:P36 N20:N28 P20:P28">
    <cfRule type="expression" dxfId="3155" priority="5">
      <formula>$L20="Reese stiff clay"</formula>
    </cfRule>
  </conditionalFormatting>
  <conditionalFormatting sqref="O20:O21">
    <cfRule type="expression" dxfId="3154" priority="4">
      <formula>$L20="API sand"</formula>
    </cfRule>
  </conditionalFormatting>
  <conditionalFormatting sqref="O20:O21">
    <cfRule type="expression" dxfId="3153" priority="3">
      <formula>$L20="Kirsch sand"</formula>
    </cfRule>
  </conditionalFormatting>
  <conditionalFormatting sqref="O22:O28">
    <cfRule type="expression" dxfId="3152" priority="2">
      <formula>$L22="API sand"</formula>
    </cfRule>
  </conditionalFormatting>
  <conditionalFormatting sqref="O22:O28">
    <cfRule type="expression" dxfId="3151" priority="1">
      <formula>$L22="Kirsch sand"</formula>
    </cfRule>
  </conditionalFormatting>
  <conditionalFormatting sqref="AE37:AH37">
    <cfRule type="expression" dxfId="3150" priority="25">
      <formula>$L19="Modified Weak rock"</formula>
    </cfRule>
  </conditionalFormatting>
  <dataValidations count="4">
    <dataValidation showInputMessage="1" showErrorMessage="1" sqref="L8 L12 L16:L19" xr:uid="{230CDE20-21CE-4537-A5BA-126152F5E272}"/>
    <dataValidation type="list" showInputMessage="1" showErrorMessage="1" sqref="M8:M36" xr:uid="{4EF70697-2CE1-41BC-AADE-D40F5334B810}">
      <formula1>"',API sand,API clay"</formula1>
    </dataValidation>
    <dataValidation type="list" showInputMessage="1" showErrorMessage="1" sqref="L20:L255" xr:uid="{9F9A607C-8286-4425-9AB5-EDC77B84698B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9" xr:uid="{59C2963B-8924-4479-98B6-655CF5BC9C07}">
      <formula1>"Zero soil,API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4032C-7608-4BE8-8322-7E8CC4282E2D}">
  <sheetPr>
    <tabColor rgb="FF00B0F0"/>
  </sheetPr>
  <dimension ref="A1:AS255"/>
  <sheetViews>
    <sheetView topLeftCell="B1"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Ak_Pisa_WTG33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4"/>
      <c r="R3" s="155"/>
      <c r="S3" s="155"/>
      <c r="T3" s="114"/>
      <c r="U3" s="155"/>
      <c r="V3" s="155"/>
      <c r="W3" s="114"/>
      <c r="X3" s="69"/>
      <c r="Y3" s="114"/>
      <c r="Z3" s="114"/>
      <c r="AA3" s="114"/>
      <c r="AB3" s="114"/>
      <c r="AC3" s="69"/>
      <c r="AD3" s="39"/>
      <c r="AE3" s="39"/>
      <c r="AF3" s="39"/>
      <c r="AG3" s="39"/>
      <c r="AH3" s="39"/>
      <c r="AI3" s="39"/>
      <c r="AJ3" s="114"/>
      <c r="AK3" s="114"/>
      <c r="AL3" s="114"/>
      <c r="AM3" s="114"/>
      <c r="AN3" s="114"/>
      <c r="AO3" s="114"/>
      <c r="AP3" s="114"/>
    </row>
    <row r="4" spans="1:45" x14ac:dyDescent="0.25">
      <c r="A4" s="40" t="s">
        <v>60</v>
      </c>
      <c r="B4" s="33">
        <f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5" t="s">
        <v>38</v>
      </c>
      <c r="K5" s="115" t="s">
        <v>30</v>
      </c>
      <c r="L5" s="115" t="s">
        <v>31</v>
      </c>
      <c r="M5" s="115" t="s">
        <v>31</v>
      </c>
      <c r="N5" s="115" t="s">
        <v>32</v>
      </c>
      <c r="O5" s="115" t="s">
        <v>33</v>
      </c>
      <c r="P5" s="115" t="s">
        <v>35</v>
      </c>
      <c r="Q5" s="115" t="s">
        <v>36</v>
      </c>
      <c r="R5" s="115" t="s">
        <v>36</v>
      </c>
      <c r="S5" s="115" t="s">
        <v>34</v>
      </c>
      <c r="T5" s="115" t="s">
        <v>33</v>
      </c>
      <c r="U5" s="115" t="s">
        <v>34</v>
      </c>
      <c r="V5" s="115" t="s">
        <v>62</v>
      </c>
      <c r="W5" s="115" t="s">
        <v>34</v>
      </c>
      <c r="X5" s="115" t="s">
        <v>33</v>
      </c>
      <c r="Y5" s="115" t="s">
        <v>35</v>
      </c>
      <c r="Z5" s="115" t="s">
        <v>33</v>
      </c>
      <c r="AA5" s="115" t="s">
        <v>34</v>
      </c>
      <c r="AB5" s="115" t="s">
        <v>33</v>
      </c>
      <c r="AC5" s="115" t="s">
        <v>33</v>
      </c>
      <c r="AD5" s="115" t="s">
        <v>35</v>
      </c>
      <c r="AE5" s="115" t="s">
        <v>34</v>
      </c>
      <c r="AF5" s="115" t="s">
        <v>33</v>
      </c>
      <c r="AG5" s="115" t="s">
        <v>35</v>
      </c>
      <c r="AH5" s="115" t="s">
        <v>34</v>
      </c>
      <c r="AI5" s="115" t="s">
        <v>34</v>
      </c>
      <c r="AJ5" s="115" t="s">
        <v>34</v>
      </c>
      <c r="AK5" s="115" t="s">
        <v>34</v>
      </c>
      <c r="AL5" s="115" t="s">
        <v>34</v>
      </c>
      <c r="AM5" s="115" t="s">
        <v>34</v>
      </c>
      <c r="AN5" s="115" t="s">
        <v>34</v>
      </c>
      <c r="AO5" s="115" t="s">
        <v>34</v>
      </c>
      <c r="AP5" s="115" t="s">
        <v>34</v>
      </c>
      <c r="AQ5" s="115" t="s">
        <v>103</v>
      </c>
      <c r="AR5" s="115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EW_sand_Ruled_75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33</v>
      </c>
      <c r="R6" s="47">
        <f t="shared" ref="R6:R19" si="0">IF(Q6&lt;&gt;0,Q6-5,NA())</f>
        <v>28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3100</v>
      </c>
      <c r="Y6" s="47">
        <v>0</v>
      </c>
      <c r="Z6" s="47">
        <f t="shared" ref="Z6:Z19" si="1">VLOOKUP(R6,$AE$39:$AF$59,2)</f>
        <v>89.999999999999972</v>
      </c>
      <c r="AA6" s="47">
        <v>1</v>
      </c>
      <c r="AB6" s="47">
        <f t="shared" ref="AB6:AB19" si="2">VLOOKUP(R6,$AE$39:$AG$59,3)</f>
        <v>7680</v>
      </c>
      <c r="AC6" s="63">
        <v>5000</v>
      </c>
      <c r="AD6" s="63">
        <v>24000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9" si="3">VLOOKUP(R6,$AE$39:$AH$59,4)</f>
        <v>32.000000000000007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75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-0.5</v>
      </c>
      <c r="L7" s="33" t="str">
        <f>"EW_sand_Ruled"&amp;"_"&amp;AR7</f>
        <v>EW_sand_Ruled_81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40</v>
      </c>
      <c r="R7" s="47">
        <f t="shared" si="0"/>
        <v>35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24500</v>
      </c>
      <c r="Y7" s="47">
        <v>0</v>
      </c>
      <c r="Z7" s="47">
        <f t="shared" si="1"/>
        <v>114.99999999999996</v>
      </c>
      <c r="AA7" s="47">
        <v>1</v>
      </c>
      <c r="AB7" s="47">
        <f t="shared" si="2"/>
        <v>12000</v>
      </c>
      <c r="AC7" s="63">
        <v>33000</v>
      </c>
      <c r="AD7" s="63">
        <v>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81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15534.704</v>
      </c>
      <c r="H8" s="45" t="s">
        <v>53</v>
      </c>
      <c r="I8" s="56" t="s">
        <v>255</v>
      </c>
      <c r="J8" s="47">
        <v>3</v>
      </c>
      <c r="K8" s="19">
        <v>-1.5</v>
      </c>
      <c r="L8" s="116" t="s">
        <v>275</v>
      </c>
      <c r="M8" s="105" t="s">
        <v>65</v>
      </c>
      <c r="N8" s="47">
        <v>10.199999999999999</v>
      </c>
      <c r="O8" s="63">
        <v>71</v>
      </c>
      <c r="P8" s="63">
        <v>12</v>
      </c>
      <c r="Q8" s="47">
        <v>0</v>
      </c>
      <c r="R8" s="47" t="e">
        <f t="shared" si="0"/>
        <v>#N/A</v>
      </c>
      <c r="S8" s="47">
        <v>3</v>
      </c>
      <c r="T8" s="47">
        <v>0</v>
      </c>
      <c r="U8" s="75">
        <v>1.7999999999999999E-2</v>
      </c>
      <c r="V8" s="75">
        <v>0</v>
      </c>
      <c r="W8" s="47">
        <v>0.5</v>
      </c>
      <c r="X8" s="47">
        <v>14700</v>
      </c>
      <c r="Y8" s="47">
        <v>0</v>
      </c>
      <c r="Z8" s="47" t="e">
        <f t="shared" si="1"/>
        <v>#N/A</v>
      </c>
      <c r="AA8" s="47">
        <v>1</v>
      </c>
      <c r="AB8" s="47" t="e">
        <f t="shared" si="2"/>
        <v>#N/A</v>
      </c>
      <c r="AC8" s="63">
        <v>72000</v>
      </c>
      <c r="AD8" s="63">
        <v>12000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 t="e">
        <f t="shared" si="3"/>
        <v>#N/A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0</v>
      </c>
      <c r="AS8" s="33">
        <v>0.4</v>
      </c>
    </row>
    <row r="9" spans="1:45" x14ac:dyDescent="0.25">
      <c r="A9" s="33" t="s">
        <v>68</v>
      </c>
      <c r="B9" s="57">
        <v>37.5</v>
      </c>
      <c r="C9" s="45" t="s">
        <v>28</v>
      </c>
      <c r="D9" s="57">
        <v>28</v>
      </c>
      <c r="F9" s="33" t="s">
        <v>96</v>
      </c>
      <c r="G9" s="76">
        <v>-659277.60307692306</v>
      </c>
      <c r="H9" s="45" t="s">
        <v>54</v>
      </c>
      <c r="I9" s="56" t="s">
        <v>257</v>
      </c>
      <c r="J9" s="47">
        <v>4</v>
      </c>
      <c r="K9" s="19">
        <v>-2</v>
      </c>
      <c r="L9" s="33" t="str">
        <f>"EW_sand_Ruled"&amp;"_"&amp;AR9</f>
        <v>EW_sand_Ruled_49</v>
      </c>
      <c r="M9" s="105" t="s">
        <v>64</v>
      </c>
      <c r="N9" s="47">
        <v>9.4</v>
      </c>
      <c r="O9" s="63">
        <v>0</v>
      </c>
      <c r="P9" s="63">
        <v>0</v>
      </c>
      <c r="Q9" s="47">
        <v>35</v>
      </c>
      <c r="R9" s="47">
        <f t="shared" si="0"/>
        <v>30</v>
      </c>
      <c r="S9" s="47">
        <v>1.4</v>
      </c>
      <c r="T9" s="47">
        <v>0</v>
      </c>
      <c r="U9" s="75">
        <v>0</v>
      </c>
      <c r="V9" s="75">
        <v>0</v>
      </c>
      <c r="W9" s="47">
        <v>0</v>
      </c>
      <c r="X9" s="47">
        <v>12500</v>
      </c>
      <c r="Y9" s="47">
        <v>0</v>
      </c>
      <c r="Z9" s="47">
        <f t="shared" si="1"/>
        <v>95.999999999999972</v>
      </c>
      <c r="AA9" s="47">
        <v>1</v>
      </c>
      <c r="AB9" s="47">
        <f t="shared" si="2"/>
        <v>9600</v>
      </c>
      <c r="AC9" s="63">
        <v>29000</v>
      </c>
      <c r="AD9" s="63">
        <v>50000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3"/>
        <v>40.000000000000007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49</v>
      </c>
      <c r="AS9" s="33">
        <v>0.4</v>
      </c>
    </row>
    <row r="10" spans="1:45" s="56" customFormat="1" x14ac:dyDescent="0.25">
      <c r="A10" s="56" t="s">
        <v>69</v>
      </c>
      <c r="B10" s="58">
        <v>37.5</v>
      </c>
      <c r="C10" s="45" t="s">
        <v>28</v>
      </c>
      <c r="D10" s="58">
        <v>28</v>
      </c>
      <c r="F10" s="33" t="s">
        <v>51</v>
      </c>
      <c r="G10" s="71">
        <v>26931.075384615386</v>
      </c>
      <c r="H10" s="45" t="s">
        <v>53</v>
      </c>
      <c r="I10" s="33" t="s">
        <v>295</v>
      </c>
      <c r="J10" s="47">
        <v>5</v>
      </c>
      <c r="K10" s="19">
        <v>-2.5</v>
      </c>
      <c r="L10" s="33" t="str">
        <f>"EW_sand_Ruled"&amp;"_"&amp;AR10</f>
        <v>EW_sand_Ruled_45</v>
      </c>
      <c r="M10" s="105" t="s">
        <v>64</v>
      </c>
      <c r="N10" s="47">
        <v>9.4</v>
      </c>
      <c r="O10" s="63">
        <v>0</v>
      </c>
      <c r="P10" s="63">
        <v>0</v>
      </c>
      <c r="Q10" s="47">
        <v>36</v>
      </c>
      <c r="R10" s="47">
        <f t="shared" si="0"/>
        <v>31</v>
      </c>
      <c r="S10" s="47">
        <v>1.1000000000000001</v>
      </c>
      <c r="T10" s="47">
        <v>0</v>
      </c>
      <c r="U10" s="75">
        <v>0</v>
      </c>
      <c r="V10" s="75">
        <v>0</v>
      </c>
      <c r="W10" s="47">
        <v>0</v>
      </c>
      <c r="X10" s="47">
        <v>25900</v>
      </c>
      <c r="Y10" s="47">
        <v>0</v>
      </c>
      <c r="Z10" s="47">
        <f t="shared" si="1"/>
        <v>99.799999999999969</v>
      </c>
      <c r="AA10" s="47">
        <v>1</v>
      </c>
      <c r="AB10" s="47">
        <f t="shared" si="2"/>
        <v>10080</v>
      </c>
      <c r="AC10" s="63">
        <v>52000</v>
      </c>
      <c r="AD10" s="63">
        <v>4000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3"/>
        <v>42.000000000000007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45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295</v>
      </c>
      <c r="J11" s="47">
        <v>6</v>
      </c>
      <c r="K11" s="33">
        <v>-8</v>
      </c>
      <c r="L11" s="33" t="str">
        <f>"EW_sand_Ruled"&amp;"_"&amp;AR11</f>
        <v>EW_sand_Ruled_45</v>
      </c>
      <c r="M11" s="105" t="s">
        <v>64</v>
      </c>
      <c r="N11" s="47">
        <v>9.4</v>
      </c>
      <c r="O11" s="63">
        <v>0</v>
      </c>
      <c r="P11" s="63">
        <v>0</v>
      </c>
      <c r="Q11" s="47">
        <v>36</v>
      </c>
      <c r="R11" s="47">
        <f t="shared" si="0"/>
        <v>31</v>
      </c>
      <c r="S11" s="47">
        <v>0.9</v>
      </c>
      <c r="T11" s="47">
        <v>0</v>
      </c>
      <c r="U11" s="75">
        <v>0</v>
      </c>
      <c r="V11" s="75">
        <v>0</v>
      </c>
      <c r="W11" s="47">
        <v>0</v>
      </c>
      <c r="X11" s="47">
        <v>29600</v>
      </c>
      <c r="Y11" s="47">
        <v>0</v>
      </c>
      <c r="Z11" s="47">
        <f t="shared" si="1"/>
        <v>99.799999999999969</v>
      </c>
      <c r="AA11" s="47">
        <v>1</v>
      </c>
      <c r="AB11" s="47">
        <f t="shared" si="2"/>
        <v>10080</v>
      </c>
      <c r="AC11" s="63">
        <v>82000</v>
      </c>
      <c r="AD11" s="63">
        <v>-6000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42.000000000000007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45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3059.8936769230768</v>
      </c>
      <c r="H12" s="45" t="s">
        <v>53</v>
      </c>
      <c r="I12" s="33" t="s">
        <v>296</v>
      </c>
      <c r="J12" s="47">
        <v>7</v>
      </c>
      <c r="K12" s="19">
        <v>-9.5</v>
      </c>
      <c r="L12" s="116" t="s">
        <v>275</v>
      </c>
      <c r="M12" s="105" t="s">
        <v>65</v>
      </c>
      <c r="N12" s="47">
        <v>9.5</v>
      </c>
      <c r="O12" s="63">
        <v>194</v>
      </c>
      <c r="P12" s="63">
        <v>-22.67</v>
      </c>
      <c r="Q12" s="47">
        <v>0</v>
      </c>
      <c r="R12" s="47" t="e">
        <f t="shared" si="0"/>
        <v>#N/A</v>
      </c>
      <c r="S12" s="47">
        <v>3</v>
      </c>
      <c r="T12" s="47">
        <v>0</v>
      </c>
      <c r="U12" s="75">
        <v>1.7999999999999999E-2</v>
      </c>
      <c r="V12" s="75">
        <v>0</v>
      </c>
      <c r="W12" s="47">
        <v>0.5</v>
      </c>
      <c r="X12" s="47">
        <v>33200</v>
      </c>
      <c r="Y12" s="47">
        <v>0</v>
      </c>
      <c r="Z12" s="47" t="e">
        <f t="shared" si="1"/>
        <v>#N/A</v>
      </c>
      <c r="AA12" s="47">
        <v>1</v>
      </c>
      <c r="AB12" s="47" t="e">
        <f t="shared" si="2"/>
        <v>#N/A</v>
      </c>
      <c r="AC12" s="63">
        <v>235000</v>
      </c>
      <c r="AD12" s="63">
        <v>-26000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3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261</v>
      </c>
      <c r="J13" s="47">
        <v>8</v>
      </c>
      <c r="K13" s="19">
        <v>-11</v>
      </c>
      <c r="L13" s="33" t="str">
        <f>"EW_sand_Ruled"&amp;"_"&amp;AR13</f>
        <v>EW_sand_Ruled_62</v>
      </c>
      <c r="M13" s="105" t="s">
        <v>64</v>
      </c>
      <c r="N13" s="47">
        <v>9.9</v>
      </c>
      <c r="O13" s="63">
        <v>0</v>
      </c>
      <c r="P13" s="63">
        <v>0</v>
      </c>
      <c r="Q13" s="47">
        <v>38</v>
      </c>
      <c r="R13" s="47">
        <f t="shared" si="0"/>
        <v>33</v>
      </c>
      <c r="S13" s="47">
        <v>0.9</v>
      </c>
      <c r="T13" s="47">
        <v>0</v>
      </c>
      <c r="U13" s="75">
        <v>0</v>
      </c>
      <c r="V13" s="75">
        <v>0</v>
      </c>
      <c r="W13" s="47">
        <v>0</v>
      </c>
      <c r="X13" s="47">
        <v>59400</v>
      </c>
      <c r="Y13" s="47">
        <v>0</v>
      </c>
      <c r="Z13" s="47">
        <f t="shared" si="1"/>
        <v>107.39999999999996</v>
      </c>
      <c r="AA13" s="47">
        <v>1</v>
      </c>
      <c r="AB13" s="47">
        <f t="shared" si="2"/>
        <v>11040</v>
      </c>
      <c r="AC13" s="63">
        <v>93000</v>
      </c>
      <c r="AD13" s="63">
        <v>13478.26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46.000000000000007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62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278</v>
      </c>
      <c r="J14" s="47">
        <v>9</v>
      </c>
      <c r="K14" s="19">
        <v>-13.3</v>
      </c>
      <c r="L14" s="33" t="str">
        <f>"EW_sand_Ruled"&amp;"_"&amp;AR14</f>
        <v>EW_sand_Ruled_92</v>
      </c>
      <c r="M14" s="105" t="s">
        <v>64</v>
      </c>
      <c r="N14" s="47">
        <v>10</v>
      </c>
      <c r="O14" s="63">
        <v>0</v>
      </c>
      <c r="P14" s="63">
        <v>0</v>
      </c>
      <c r="Q14" s="47">
        <v>30</v>
      </c>
      <c r="R14" s="47">
        <f t="shared" si="0"/>
        <v>25</v>
      </c>
      <c r="S14" s="47">
        <v>1.8</v>
      </c>
      <c r="T14" s="47">
        <v>0</v>
      </c>
      <c r="U14" s="75">
        <v>0</v>
      </c>
      <c r="V14" s="75">
        <v>0</v>
      </c>
      <c r="W14" s="47">
        <v>0</v>
      </c>
      <c r="X14" s="47">
        <v>50000</v>
      </c>
      <c r="Y14" s="47">
        <v>0</v>
      </c>
      <c r="Z14" s="47">
        <f t="shared" si="1"/>
        <v>80.999999999999972</v>
      </c>
      <c r="AA14" s="47">
        <v>1</v>
      </c>
      <c r="AB14" s="47">
        <f t="shared" si="2"/>
        <v>4800</v>
      </c>
      <c r="AC14" s="63">
        <v>160000</v>
      </c>
      <c r="AD14" s="63">
        <v>2108.84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20.000000000000007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92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271</v>
      </c>
      <c r="J15" s="47">
        <v>10</v>
      </c>
      <c r="K15" s="19">
        <v>-28</v>
      </c>
      <c r="L15" s="33" t="str">
        <f>"EW_sand_Ruled"&amp;"_"&amp;AR15</f>
        <v>EW_sand_Ruled_52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27</v>
      </c>
      <c r="R15" s="47">
        <f t="shared" si="0"/>
        <v>22</v>
      </c>
      <c r="S15" s="47">
        <v>0.8</v>
      </c>
      <c r="T15" s="47">
        <v>0</v>
      </c>
      <c r="U15" s="75">
        <v>0</v>
      </c>
      <c r="V15" s="75">
        <v>0</v>
      </c>
      <c r="W15" s="47">
        <v>0</v>
      </c>
      <c r="X15" s="47">
        <v>30000</v>
      </c>
      <c r="Y15" s="47">
        <v>0</v>
      </c>
      <c r="Z15" s="47">
        <f t="shared" si="1"/>
        <v>72.59999999999998</v>
      </c>
      <c r="AA15" s="47">
        <v>1</v>
      </c>
      <c r="AB15" s="47">
        <f t="shared" si="2"/>
        <v>3660</v>
      </c>
      <c r="AC15" s="63">
        <v>159000</v>
      </c>
      <c r="AD15" s="63">
        <v>-333.33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3"/>
        <v>15.200000000000003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52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216</v>
      </c>
      <c r="J16" s="47">
        <v>11</v>
      </c>
      <c r="K16" s="19">
        <v>-37</v>
      </c>
      <c r="L16" s="116" t="s">
        <v>275</v>
      </c>
      <c r="M16" s="105" t="s">
        <v>65</v>
      </c>
      <c r="N16" s="47">
        <v>9.3000000000000007</v>
      </c>
      <c r="O16" s="63">
        <v>631</v>
      </c>
      <c r="P16" s="63">
        <v>-0.25</v>
      </c>
      <c r="Q16" s="47">
        <v>0</v>
      </c>
      <c r="R16" s="47" t="e">
        <f t="shared" si="0"/>
        <v>#N/A</v>
      </c>
      <c r="S16" s="47">
        <v>3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49900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878000</v>
      </c>
      <c r="AD16" s="63">
        <v>625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5"/>
      <c r="E17" s="115"/>
      <c r="I17" s="33" t="s">
        <v>297</v>
      </c>
      <c r="J17" s="47">
        <v>12</v>
      </c>
      <c r="K17" s="19">
        <v>-45</v>
      </c>
      <c r="L17" s="116" t="s">
        <v>275</v>
      </c>
      <c r="M17" s="105" t="s">
        <v>65</v>
      </c>
      <c r="N17" s="47">
        <v>9.1</v>
      </c>
      <c r="O17" s="63">
        <v>518</v>
      </c>
      <c r="P17" s="63">
        <v>10.25</v>
      </c>
      <c r="Q17" s="47">
        <v>0</v>
      </c>
      <c r="R17" s="47" t="e">
        <f t="shared" si="0"/>
        <v>#N/A</v>
      </c>
      <c r="S17" s="47">
        <v>2.8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47300</v>
      </c>
      <c r="Y17" s="47">
        <v>0</v>
      </c>
      <c r="Z17" s="47" t="e">
        <f t="shared" si="1"/>
        <v>#N/A</v>
      </c>
      <c r="AA17" s="47">
        <v>1</v>
      </c>
      <c r="AB17" s="47" t="e">
        <f t="shared" si="2"/>
        <v>#N/A</v>
      </c>
      <c r="AC17" s="63">
        <v>788000</v>
      </c>
      <c r="AD17" s="63">
        <v>17690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3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56" t="s">
        <v>273</v>
      </c>
      <c r="J18" s="47">
        <v>13</v>
      </c>
      <c r="K18" s="19">
        <v>-48.9</v>
      </c>
      <c r="L18" s="116" t="s">
        <v>275</v>
      </c>
      <c r="M18" s="105" t="s">
        <v>65</v>
      </c>
      <c r="N18" s="47">
        <v>8.9</v>
      </c>
      <c r="O18" s="63">
        <v>329</v>
      </c>
      <c r="P18" s="63">
        <v>5.72</v>
      </c>
      <c r="Q18" s="47">
        <v>0</v>
      </c>
      <c r="R18" s="47" t="e">
        <f t="shared" si="0"/>
        <v>#N/A</v>
      </c>
      <c r="S18" s="47">
        <v>1.6</v>
      </c>
      <c r="T18" s="47">
        <v>0</v>
      </c>
      <c r="U18" s="75">
        <v>1.7999999999999999E-2</v>
      </c>
      <c r="V18" s="75">
        <v>0</v>
      </c>
      <c r="W18" s="47">
        <v>0.25</v>
      </c>
      <c r="X18" s="47">
        <v>37400</v>
      </c>
      <c r="Y18" s="47">
        <v>0</v>
      </c>
      <c r="Z18" s="47" t="e">
        <f t="shared" si="1"/>
        <v>#N/A</v>
      </c>
      <c r="AA18" s="47">
        <v>1</v>
      </c>
      <c r="AB18" s="47" t="e">
        <f t="shared" si="2"/>
        <v>#N/A</v>
      </c>
      <c r="AC18" s="63">
        <v>487000</v>
      </c>
      <c r="AD18" s="63">
        <v>10289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3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15" t="s">
        <v>38</v>
      </c>
      <c r="B19" s="115" t="s">
        <v>30</v>
      </c>
      <c r="C19" s="115" t="s">
        <v>59</v>
      </c>
      <c r="D19" s="43"/>
      <c r="E19" s="35"/>
      <c r="I19" s="56" t="s">
        <v>273</v>
      </c>
      <c r="J19" s="47">
        <v>14</v>
      </c>
      <c r="K19" s="33">
        <v>-80</v>
      </c>
      <c r="L19" s="116" t="s">
        <v>275</v>
      </c>
      <c r="M19" s="105" t="s">
        <v>65</v>
      </c>
      <c r="N19" s="47">
        <v>8.9</v>
      </c>
      <c r="O19" s="63">
        <v>507</v>
      </c>
      <c r="P19" s="63">
        <v>0</v>
      </c>
      <c r="Q19" s="47">
        <v>0</v>
      </c>
      <c r="R19" s="47" t="e">
        <f t="shared" si="0"/>
        <v>#N/A</v>
      </c>
      <c r="S19" s="47">
        <v>1.6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3700</v>
      </c>
      <c r="Y19" s="47">
        <v>0</v>
      </c>
      <c r="Z19" s="47" t="e">
        <f t="shared" si="1"/>
        <v>#N/A</v>
      </c>
      <c r="AA19" s="47">
        <v>1</v>
      </c>
      <c r="AB19" s="47" t="e">
        <f t="shared" si="2"/>
        <v>#N/A</v>
      </c>
      <c r="AC19" s="63">
        <v>807000</v>
      </c>
      <c r="AD19" s="63">
        <v>0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3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5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5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4">AF40+3.8</f>
        <v>55.599999999999994</v>
      </c>
      <c r="AG41" s="33">
        <f t="shared" ref="AG41:AG43" si="5">AG40+200</f>
        <v>2300</v>
      </c>
      <c r="AH41" s="33">
        <f t="shared" ref="AH41:AH44" si="6">AH40+0.8</f>
        <v>9.6000000000000014</v>
      </c>
    </row>
    <row r="42" spans="1:42" x14ac:dyDescent="0.25">
      <c r="L42" s="49"/>
      <c r="AE42" s="33">
        <v>18</v>
      </c>
      <c r="AF42" s="33">
        <f t="shared" si="4"/>
        <v>59.399999999999991</v>
      </c>
      <c r="AG42" s="33">
        <f t="shared" si="5"/>
        <v>2500</v>
      </c>
      <c r="AH42" s="33">
        <f t="shared" si="6"/>
        <v>10.400000000000002</v>
      </c>
    </row>
    <row r="43" spans="1:42" x14ac:dyDescent="0.25">
      <c r="L43" s="49"/>
      <c r="AE43" s="33">
        <v>19</v>
      </c>
      <c r="AF43" s="33">
        <f t="shared" si="4"/>
        <v>63.199999999999989</v>
      </c>
      <c r="AG43" s="33">
        <f t="shared" si="5"/>
        <v>2700</v>
      </c>
      <c r="AH43" s="33">
        <f t="shared" si="6"/>
        <v>11.200000000000003</v>
      </c>
    </row>
    <row r="44" spans="1:42" x14ac:dyDescent="0.25">
      <c r="L44" s="49"/>
      <c r="AE44" s="33">
        <v>20</v>
      </c>
      <c r="AF44" s="33">
        <f t="shared" si="4"/>
        <v>66.999999999999986</v>
      </c>
      <c r="AG44" s="33">
        <f>AG43+200</f>
        <v>2900</v>
      </c>
      <c r="AH44" s="33">
        <f t="shared" si="6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7">AF45+2.8</f>
        <v>72.59999999999998</v>
      </c>
      <c r="AG46" s="33">
        <f t="shared" ref="AG46:AG48" si="8">AG45+380</f>
        <v>3660</v>
      </c>
      <c r="AH46" s="33">
        <f t="shared" ref="AH46:AH49" si="9">AH45+1.6</f>
        <v>15.200000000000003</v>
      </c>
    </row>
    <row r="47" spans="1:42" x14ac:dyDescent="0.25">
      <c r="L47" s="49"/>
      <c r="AE47" s="33">
        <v>23</v>
      </c>
      <c r="AF47" s="33">
        <f t="shared" si="7"/>
        <v>75.399999999999977</v>
      </c>
      <c r="AG47" s="33">
        <f t="shared" si="8"/>
        <v>4040</v>
      </c>
      <c r="AH47" s="33">
        <f t="shared" si="9"/>
        <v>16.800000000000004</v>
      </c>
    </row>
    <row r="48" spans="1:42" x14ac:dyDescent="0.25">
      <c r="L48" s="49"/>
      <c r="AE48" s="33">
        <v>24</v>
      </c>
      <c r="AF48" s="33">
        <f t="shared" si="7"/>
        <v>78.199999999999974</v>
      </c>
      <c r="AG48" s="33">
        <f t="shared" si="8"/>
        <v>4420</v>
      </c>
      <c r="AH48" s="33">
        <f t="shared" si="9"/>
        <v>18.400000000000006</v>
      </c>
    </row>
    <row r="49" spans="12:34" x14ac:dyDescent="0.25">
      <c r="L49" s="49"/>
      <c r="AE49" s="33">
        <v>25</v>
      </c>
      <c r="AF49" s="33">
        <f t="shared" si="7"/>
        <v>80.999999999999972</v>
      </c>
      <c r="AG49" s="33">
        <v>4800</v>
      </c>
      <c r="AH49" s="33">
        <f t="shared" si="9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0">AF50+3</f>
        <v>86.999999999999972</v>
      </c>
      <c r="AG51" s="33">
        <f t="shared" ref="AG51:AG54" si="11">AG50+960</f>
        <v>6720</v>
      </c>
      <c r="AH51" s="33">
        <f t="shared" ref="AH51:AH54" si="12">AH50+4</f>
        <v>28.000000000000007</v>
      </c>
    </row>
    <row r="52" spans="12:34" x14ac:dyDescent="0.25">
      <c r="L52" s="49"/>
      <c r="AE52" s="33">
        <v>28</v>
      </c>
      <c r="AF52" s="33">
        <f t="shared" si="10"/>
        <v>89.999999999999972</v>
      </c>
      <c r="AG52" s="33">
        <f t="shared" si="11"/>
        <v>7680</v>
      </c>
      <c r="AH52" s="33">
        <f t="shared" si="12"/>
        <v>32.000000000000007</v>
      </c>
    </row>
    <row r="53" spans="12:34" x14ac:dyDescent="0.25">
      <c r="L53" s="49"/>
      <c r="AE53" s="33">
        <v>29</v>
      </c>
      <c r="AF53" s="33">
        <f t="shared" si="10"/>
        <v>92.999999999999972</v>
      </c>
      <c r="AG53" s="33">
        <f t="shared" si="11"/>
        <v>8640</v>
      </c>
      <c r="AH53" s="33">
        <f t="shared" si="12"/>
        <v>36.000000000000007</v>
      </c>
    </row>
    <row r="54" spans="12:34" x14ac:dyDescent="0.25">
      <c r="L54" s="49"/>
      <c r="AE54" s="33">
        <v>30</v>
      </c>
      <c r="AF54" s="33">
        <f t="shared" si="10"/>
        <v>95.999999999999972</v>
      </c>
      <c r="AG54" s="33">
        <f t="shared" si="11"/>
        <v>9600</v>
      </c>
      <c r="AH54" s="33">
        <f t="shared" si="12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3">AF55+3.8</f>
        <v>103.59999999999997</v>
      </c>
      <c r="AG56" s="33">
        <f t="shared" ref="AG56:AG59" si="14">AG55+480</f>
        <v>10560</v>
      </c>
      <c r="AH56" s="33">
        <f t="shared" ref="AH56:AH59" si="15">AH55+2</f>
        <v>44.000000000000007</v>
      </c>
    </row>
    <row r="57" spans="12:34" x14ac:dyDescent="0.25">
      <c r="L57" s="49"/>
      <c r="AE57" s="33">
        <v>33</v>
      </c>
      <c r="AF57" s="33">
        <f t="shared" si="13"/>
        <v>107.39999999999996</v>
      </c>
      <c r="AG57" s="33">
        <f t="shared" si="14"/>
        <v>11040</v>
      </c>
      <c r="AH57" s="33">
        <f t="shared" si="15"/>
        <v>46.000000000000007</v>
      </c>
    </row>
    <row r="58" spans="12:34" x14ac:dyDescent="0.25">
      <c r="L58" s="49"/>
      <c r="AE58" s="33">
        <v>34</v>
      </c>
      <c r="AF58" s="33">
        <f t="shared" si="13"/>
        <v>111.19999999999996</v>
      </c>
      <c r="AG58" s="33">
        <f t="shared" si="14"/>
        <v>11520</v>
      </c>
      <c r="AH58" s="33">
        <f t="shared" si="15"/>
        <v>48.000000000000007</v>
      </c>
    </row>
    <row r="59" spans="12:34" x14ac:dyDescent="0.25">
      <c r="L59" s="49"/>
      <c r="AE59" s="33">
        <v>35</v>
      </c>
      <c r="AF59" s="33">
        <f t="shared" si="13"/>
        <v>114.99999999999996</v>
      </c>
      <c r="AG59" s="33">
        <f t="shared" si="14"/>
        <v>12000</v>
      </c>
      <c r="AH59" s="33">
        <f t="shared" si="15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0:AP36">
    <cfRule type="expression" dxfId="3149" priority="134">
      <formula>$L20="API sand"</formula>
    </cfRule>
  </conditionalFormatting>
  <conditionalFormatting sqref="R20:S20 R29:S36 S21:S28 AD21:AD28 AB20:AB35">
    <cfRule type="expression" dxfId="3148" priority="133">
      <formula>$M20="API sand"</formula>
    </cfRule>
  </conditionalFormatting>
  <conditionalFormatting sqref="R20:T20 R29:T36 S21:T28 AD21:AD28 AB20:AB35">
    <cfRule type="expression" dxfId="3147" priority="132">
      <formula>$M20="API clay"</formula>
    </cfRule>
  </conditionalFormatting>
  <conditionalFormatting sqref="U20:W36 AM20:AP36">
    <cfRule type="expression" dxfId="3146" priority="129">
      <formula>$L20="Stiff clay w/o free water"</formula>
    </cfRule>
    <cfRule type="expression" dxfId="3145" priority="131">
      <formula>$L20="API clay"</formula>
    </cfRule>
  </conditionalFormatting>
  <conditionalFormatting sqref="U20:Y36 AM20:AP36">
    <cfRule type="expression" dxfId="3144" priority="130">
      <formula>$L20="Kirsch soft clay"</formula>
    </cfRule>
  </conditionalFormatting>
  <conditionalFormatting sqref="U20:Y36 AM20:AP36">
    <cfRule type="expression" dxfId="3143" priority="128">
      <formula>$L20="Kirsch stiff clay"</formula>
    </cfRule>
  </conditionalFormatting>
  <conditionalFormatting sqref="AM20:AP36">
    <cfRule type="expression" dxfId="3142" priority="127">
      <formula>$L20="Kirsch sand"</formula>
    </cfRule>
  </conditionalFormatting>
  <conditionalFormatting sqref="AM20:AP36">
    <cfRule type="expression" dxfId="3141" priority="126">
      <formula>$L20="Modified Weak rock"</formula>
    </cfRule>
  </conditionalFormatting>
  <conditionalFormatting sqref="U20:V36 AM20:AP36">
    <cfRule type="expression" dxfId="3140" priority="125">
      <formula>$L20="Reese stiff clay"</formula>
    </cfRule>
  </conditionalFormatting>
  <conditionalFormatting sqref="N20:N36 Q20:Q36">
    <cfRule type="expression" dxfId="3139" priority="124">
      <formula>$L20="API sand"</formula>
    </cfRule>
  </conditionalFormatting>
  <conditionalFormatting sqref="N20:N36 AB36 AJ20:AL36 Z20:Z36">
    <cfRule type="expression" dxfId="3138" priority="123">
      <formula>$M20="API sand"</formula>
    </cfRule>
  </conditionalFormatting>
  <conditionalFormatting sqref="Z36:AB36 AK20:AL36 N20:N36 Z20:AA35">
    <cfRule type="expression" dxfId="3137" priority="122">
      <formula>$M20="API clay"</formula>
    </cfRule>
  </conditionalFormatting>
  <conditionalFormatting sqref="N29:P36 N20:N28 P20:P28">
    <cfRule type="expression" dxfId="3136" priority="119">
      <formula>$L20="Stiff clay w/o free water"</formula>
    </cfRule>
    <cfRule type="expression" dxfId="3135" priority="121">
      <formula>$L20="API clay"</formula>
    </cfRule>
  </conditionalFormatting>
  <conditionalFormatting sqref="N29:P36 N20:N28 P20:P28">
    <cfRule type="expression" dxfId="3134" priority="120">
      <formula>$L20="Kirsch soft clay"</formula>
    </cfRule>
  </conditionalFormatting>
  <conditionalFormatting sqref="N29:P36 N20:N28 P20:P28">
    <cfRule type="expression" dxfId="3133" priority="118">
      <formula>$L20="Kirsch stiff clay"</formula>
    </cfRule>
  </conditionalFormatting>
  <conditionalFormatting sqref="N20:N36 Q20:Q36 X20:Y36">
    <cfRule type="expression" dxfId="3132" priority="117">
      <formula>$L20="Kirsch sand"</formula>
    </cfRule>
  </conditionalFormatting>
  <conditionalFormatting sqref="N20:N36 AC20:AD36 AI20:AI36">
    <cfRule type="expression" dxfId="3131" priority="116">
      <formula>$L20="Modified Weak rock"</formula>
    </cfRule>
  </conditionalFormatting>
  <conditionalFormatting sqref="N29:P36 N20:N28 P20:P28">
    <cfRule type="expression" dxfId="3130" priority="115">
      <formula>$L20="Reese stiff clay"</formula>
    </cfRule>
  </conditionalFormatting>
  <conditionalFormatting sqref="O20:O21">
    <cfRule type="expression" dxfId="3129" priority="112">
      <formula>$L20="API sand"</formula>
    </cfRule>
  </conditionalFormatting>
  <conditionalFormatting sqref="O20:O21">
    <cfRule type="expression" dxfId="3128" priority="111">
      <formula>$L20="Kirsch sand"</formula>
    </cfRule>
  </conditionalFormatting>
  <conditionalFormatting sqref="O22:O28">
    <cfRule type="expression" dxfId="3127" priority="110">
      <formula>$L22="API sand"</formula>
    </cfRule>
  </conditionalFormatting>
  <conditionalFormatting sqref="O22:O28">
    <cfRule type="expression" dxfId="3126" priority="109">
      <formula>$L22="Kirsch sand"</formula>
    </cfRule>
  </conditionalFormatting>
  <conditionalFormatting sqref="AE37:AH37">
    <cfRule type="expression" dxfId="3125" priority="135">
      <formula>$L19="Modified Weak rock"</formula>
    </cfRule>
  </conditionalFormatting>
  <dataValidations count="4">
    <dataValidation type="list" showInputMessage="1" showErrorMessage="1" sqref="M6:M19" xr:uid="{A9EC9DD2-80B5-480A-9748-8BCE7E19E8AB}">
      <formula1>"Zero soil,API sand,API clay"</formula1>
    </dataValidation>
    <dataValidation type="list" showInputMessage="1" showErrorMessage="1" sqref="L20:L255" xr:uid="{E9874FFC-D034-4BA8-89F8-008E1B4B1AD6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8:M36" xr:uid="{4983F1D0-7588-4991-83A4-F15F450A5E98}">
      <formula1>"',API sand,API clay"</formula1>
    </dataValidation>
    <dataValidation showInputMessage="1" showErrorMessage="1" sqref="L8 L12 L16:L19" xr:uid="{A191BEC7-A9CD-48AD-9711-A2E47E9B2262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8F3B-3899-422D-AC92-C0FEB4D7E6D5}">
  <sheetPr>
    <tabColor rgb="FF00B050"/>
  </sheetPr>
  <dimension ref="A1:AS255"/>
  <sheetViews>
    <sheetView zoomScale="85" zoomScaleNormal="85" workbookViewId="0">
      <selection activeCell="I3" sqref="I3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Ak_kirsch_WTG33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2"/>
      <c r="R3" s="155"/>
      <c r="S3" s="155"/>
      <c r="T3" s="112"/>
      <c r="U3" s="155"/>
      <c r="V3" s="155"/>
      <c r="W3" s="112"/>
      <c r="X3" s="69"/>
      <c r="Y3" s="112"/>
      <c r="Z3" s="112"/>
      <c r="AA3" s="112"/>
      <c r="AB3" s="112"/>
      <c r="AC3" s="69"/>
      <c r="AD3" s="39"/>
      <c r="AE3" s="39"/>
      <c r="AF3" s="39"/>
      <c r="AG3" s="39"/>
      <c r="AH3" s="39"/>
      <c r="AI3" s="39"/>
      <c r="AJ3" s="112"/>
      <c r="AK3" s="112"/>
      <c r="AL3" s="112"/>
      <c r="AM3" s="112"/>
      <c r="AN3" s="112"/>
      <c r="AO3" s="112"/>
      <c r="AP3" s="112"/>
    </row>
    <row r="4" spans="1:45" x14ac:dyDescent="0.25">
      <c r="A4" s="40" t="s">
        <v>60</v>
      </c>
      <c r="B4" s="33">
        <f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3" t="s">
        <v>38</v>
      </c>
      <c r="K5" s="113" t="s">
        <v>30</v>
      </c>
      <c r="L5" s="113" t="s">
        <v>31</v>
      </c>
      <c r="M5" s="113" t="s">
        <v>31</v>
      </c>
      <c r="N5" s="113" t="s">
        <v>32</v>
      </c>
      <c r="O5" s="113" t="s">
        <v>33</v>
      </c>
      <c r="P5" s="113" t="s">
        <v>35</v>
      </c>
      <c r="Q5" s="113" t="s">
        <v>36</v>
      </c>
      <c r="R5" s="113" t="s">
        <v>36</v>
      </c>
      <c r="S5" s="113" t="s">
        <v>34</v>
      </c>
      <c r="T5" s="113" t="s">
        <v>33</v>
      </c>
      <c r="U5" s="113" t="s">
        <v>34</v>
      </c>
      <c r="V5" s="113" t="s">
        <v>62</v>
      </c>
      <c r="W5" s="113" t="s">
        <v>34</v>
      </c>
      <c r="X5" s="113" t="s">
        <v>33</v>
      </c>
      <c r="Y5" s="113" t="s">
        <v>35</v>
      </c>
      <c r="Z5" s="113" t="s">
        <v>33</v>
      </c>
      <c r="AA5" s="113" t="s">
        <v>34</v>
      </c>
      <c r="AB5" s="113" t="s">
        <v>33</v>
      </c>
      <c r="AC5" s="113" t="s">
        <v>33</v>
      </c>
      <c r="AD5" s="113" t="s">
        <v>35</v>
      </c>
      <c r="AE5" s="113" t="s">
        <v>34</v>
      </c>
      <c r="AF5" s="113" t="s">
        <v>33</v>
      </c>
      <c r="AG5" s="113" t="s">
        <v>35</v>
      </c>
      <c r="AH5" s="113" t="s">
        <v>34</v>
      </c>
      <c r="AI5" s="113" t="s">
        <v>34</v>
      </c>
      <c r="AJ5" s="113" t="s">
        <v>34</v>
      </c>
      <c r="AK5" s="113" t="s">
        <v>34</v>
      </c>
      <c r="AL5" s="113" t="s">
        <v>34</v>
      </c>
      <c r="AM5" s="113" t="s">
        <v>34</v>
      </c>
      <c r="AN5" s="113" t="s">
        <v>34</v>
      </c>
      <c r="AO5" s="113" t="s">
        <v>34</v>
      </c>
      <c r="AP5" s="113" t="s">
        <v>34</v>
      </c>
      <c r="AQ5" s="113" t="s">
        <v>103</v>
      </c>
      <c r="AR5" s="113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33</v>
      </c>
      <c r="R6" s="47">
        <f t="shared" ref="R6:R15" si="0">IF(Q6&lt;&gt;0,Q6-5,NA())</f>
        <v>28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3100</v>
      </c>
      <c r="Y6" s="47">
        <v>0</v>
      </c>
      <c r="Z6" s="47">
        <f t="shared" ref="Z6:Z15" si="1">VLOOKUP(R6,$AE$39:$AF$59,2)</f>
        <v>89.999999999999972</v>
      </c>
      <c r="AA6" s="47">
        <v>1</v>
      </c>
      <c r="AB6" s="47">
        <f t="shared" ref="AB6:AB15" si="2">VLOOKUP(R6,$AE$39:$AG$59,3)</f>
        <v>7680</v>
      </c>
      <c r="AC6" s="63">
        <v>5000</v>
      </c>
      <c r="AD6" s="63">
        <v>24000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5" si="3">VLOOKUP(R6,$AE$39:$AH$59,4)</f>
        <v>32.000000000000007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75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-0.5</v>
      </c>
      <c r="L7" s="116" t="s">
        <v>106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40</v>
      </c>
      <c r="R7" s="47">
        <f t="shared" si="0"/>
        <v>35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24500</v>
      </c>
      <c r="Y7" s="47">
        <v>0</v>
      </c>
      <c r="Z7" s="47">
        <f t="shared" si="1"/>
        <v>114.99999999999996</v>
      </c>
      <c r="AA7" s="47">
        <v>1</v>
      </c>
      <c r="AB7" s="47">
        <f t="shared" si="2"/>
        <v>12000</v>
      </c>
      <c r="AC7" s="63">
        <v>33000</v>
      </c>
      <c r="AD7" s="63">
        <v>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81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255</v>
      </c>
      <c r="J8" s="47">
        <v>3</v>
      </c>
      <c r="K8" s="19">
        <v>-1.5</v>
      </c>
      <c r="L8" s="116" t="s">
        <v>107</v>
      </c>
      <c r="M8" s="105" t="s">
        <v>65</v>
      </c>
      <c r="N8" s="47">
        <v>10.199999999999999</v>
      </c>
      <c r="O8" s="63">
        <v>71</v>
      </c>
      <c r="P8" s="63">
        <v>12</v>
      </c>
      <c r="Q8" s="47">
        <v>0</v>
      </c>
      <c r="R8" s="47" t="e">
        <f t="shared" si="0"/>
        <v>#N/A</v>
      </c>
      <c r="S8" s="47">
        <v>3</v>
      </c>
      <c r="T8" s="47">
        <v>0</v>
      </c>
      <c r="U8" s="75">
        <v>1.7999999999999999E-2</v>
      </c>
      <c r="V8" s="75">
        <v>0</v>
      </c>
      <c r="W8" s="47">
        <v>0.5</v>
      </c>
      <c r="X8" s="47">
        <v>14700</v>
      </c>
      <c r="Y8" s="47">
        <v>0</v>
      </c>
      <c r="Z8" s="47" t="e">
        <f t="shared" si="1"/>
        <v>#N/A</v>
      </c>
      <c r="AA8" s="47">
        <v>1</v>
      </c>
      <c r="AB8" s="47" t="e">
        <f t="shared" si="2"/>
        <v>#N/A</v>
      </c>
      <c r="AC8" s="63">
        <v>72000</v>
      </c>
      <c r="AD8" s="63">
        <v>12000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 t="e">
        <f t="shared" si="3"/>
        <v>#N/A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0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56" t="s">
        <v>257</v>
      </c>
      <c r="J9" s="47">
        <v>4</v>
      </c>
      <c r="K9" s="19">
        <v>-2</v>
      </c>
      <c r="L9" s="116" t="s">
        <v>106</v>
      </c>
      <c r="M9" s="105" t="s">
        <v>64</v>
      </c>
      <c r="N9" s="47">
        <v>9.4</v>
      </c>
      <c r="O9" s="63">
        <v>0</v>
      </c>
      <c r="P9" s="63">
        <v>0</v>
      </c>
      <c r="Q9" s="47">
        <v>35</v>
      </c>
      <c r="R9" s="47">
        <f t="shared" si="0"/>
        <v>30</v>
      </c>
      <c r="S9" s="47">
        <v>1.4</v>
      </c>
      <c r="T9" s="47">
        <v>0</v>
      </c>
      <c r="U9" s="75">
        <v>0</v>
      </c>
      <c r="V9" s="75">
        <v>0</v>
      </c>
      <c r="W9" s="47">
        <v>0</v>
      </c>
      <c r="X9" s="47">
        <v>12500</v>
      </c>
      <c r="Y9" s="47">
        <v>0</v>
      </c>
      <c r="Z9" s="47">
        <f t="shared" si="1"/>
        <v>95.999999999999972</v>
      </c>
      <c r="AA9" s="47">
        <v>1</v>
      </c>
      <c r="AB9" s="47">
        <f t="shared" si="2"/>
        <v>9600</v>
      </c>
      <c r="AC9" s="63">
        <v>29000</v>
      </c>
      <c r="AD9" s="63">
        <v>50000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3"/>
        <v>40.000000000000007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49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295</v>
      </c>
      <c r="J10" s="47">
        <v>5</v>
      </c>
      <c r="K10" s="19">
        <v>-2.5</v>
      </c>
      <c r="L10" s="116" t="s">
        <v>106</v>
      </c>
      <c r="M10" s="105" t="s">
        <v>64</v>
      </c>
      <c r="N10" s="47">
        <v>9.4</v>
      </c>
      <c r="O10" s="63">
        <v>0</v>
      </c>
      <c r="P10" s="63">
        <v>0</v>
      </c>
      <c r="Q10" s="47">
        <v>36</v>
      </c>
      <c r="R10" s="47">
        <f t="shared" si="0"/>
        <v>31</v>
      </c>
      <c r="S10" s="47">
        <v>1.1000000000000001</v>
      </c>
      <c r="T10" s="47">
        <v>0</v>
      </c>
      <c r="U10" s="75">
        <v>0</v>
      </c>
      <c r="V10" s="75">
        <v>0</v>
      </c>
      <c r="W10" s="47">
        <v>0</v>
      </c>
      <c r="X10" s="47">
        <v>25900</v>
      </c>
      <c r="Y10" s="47">
        <v>0</v>
      </c>
      <c r="Z10" s="47">
        <f t="shared" si="1"/>
        <v>99.799999999999969</v>
      </c>
      <c r="AA10" s="47">
        <v>1</v>
      </c>
      <c r="AB10" s="47">
        <f t="shared" si="2"/>
        <v>10080</v>
      </c>
      <c r="AC10" s="63">
        <v>52000</v>
      </c>
      <c r="AD10" s="63">
        <v>4000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3"/>
        <v>42.000000000000007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45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295</v>
      </c>
      <c r="J11" s="47">
        <v>6</v>
      </c>
      <c r="K11" s="33">
        <v>-8</v>
      </c>
      <c r="L11" s="116" t="s">
        <v>106</v>
      </c>
      <c r="M11" s="105" t="s">
        <v>64</v>
      </c>
      <c r="N11" s="47">
        <v>9.4</v>
      </c>
      <c r="O11" s="63">
        <v>0</v>
      </c>
      <c r="P11" s="63">
        <v>0</v>
      </c>
      <c r="Q11" s="47">
        <v>36</v>
      </c>
      <c r="R11" s="47">
        <f t="shared" si="0"/>
        <v>31</v>
      </c>
      <c r="S11" s="47">
        <v>0.9</v>
      </c>
      <c r="T11" s="47">
        <v>0</v>
      </c>
      <c r="U11" s="75">
        <v>0</v>
      </c>
      <c r="V11" s="75">
        <v>0</v>
      </c>
      <c r="W11" s="47">
        <v>0</v>
      </c>
      <c r="X11" s="47">
        <v>29600</v>
      </c>
      <c r="Y11" s="47">
        <v>0</v>
      </c>
      <c r="Z11" s="47">
        <f t="shared" si="1"/>
        <v>99.799999999999969</v>
      </c>
      <c r="AA11" s="47">
        <v>1</v>
      </c>
      <c r="AB11" s="47">
        <f t="shared" si="2"/>
        <v>10080</v>
      </c>
      <c r="AC11" s="63">
        <v>82000</v>
      </c>
      <c r="AD11" s="63">
        <v>-6000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42.000000000000007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45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296</v>
      </c>
      <c r="J12" s="47">
        <v>7</v>
      </c>
      <c r="K12" s="19">
        <v>-9.5</v>
      </c>
      <c r="L12" s="116" t="s">
        <v>107</v>
      </c>
      <c r="M12" s="105" t="s">
        <v>65</v>
      </c>
      <c r="N12" s="47">
        <v>9.5</v>
      </c>
      <c r="O12" s="63">
        <v>194</v>
      </c>
      <c r="P12" s="63">
        <v>-22.67</v>
      </c>
      <c r="Q12" s="47">
        <v>0</v>
      </c>
      <c r="R12" s="47" t="e">
        <f t="shared" si="0"/>
        <v>#N/A</v>
      </c>
      <c r="S12" s="47">
        <v>3</v>
      </c>
      <c r="T12" s="47">
        <v>0</v>
      </c>
      <c r="U12" s="75">
        <v>1.7999999999999999E-2</v>
      </c>
      <c r="V12" s="75">
        <v>0</v>
      </c>
      <c r="W12" s="47">
        <v>0.5</v>
      </c>
      <c r="X12" s="47">
        <v>33200</v>
      </c>
      <c r="Y12" s="47">
        <v>0</v>
      </c>
      <c r="Z12" s="47" t="e">
        <f t="shared" si="1"/>
        <v>#N/A</v>
      </c>
      <c r="AA12" s="47">
        <v>1</v>
      </c>
      <c r="AB12" s="47" t="e">
        <f t="shared" si="2"/>
        <v>#N/A</v>
      </c>
      <c r="AC12" s="63">
        <v>235000</v>
      </c>
      <c r="AD12" s="63">
        <v>-26000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3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261</v>
      </c>
      <c r="J13" s="47">
        <v>8</v>
      </c>
      <c r="K13" s="19">
        <v>-11</v>
      </c>
      <c r="L13" s="116" t="s">
        <v>106</v>
      </c>
      <c r="M13" s="105" t="s">
        <v>64</v>
      </c>
      <c r="N13" s="47">
        <v>9.9</v>
      </c>
      <c r="O13" s="63">
        <v>0</v>
      </c>
      <c r="P13" s="63">
        <v>0</v>
      </c>
      <c r="Q13" s="47">
        <v>38</v>
      </c>
      <c r="R13" s="47">
        <f t="shared" si="0"/>
        <v>33</v>
      </c>
      <c r="S13" s="47">
        <v>0.9</v>
      </c>
      <c r="T13" s="47">
        <v>0</v>
      </c>
      <c r="U13" s="75">
        <v>0</v>
      </c>
      <c r="V13" s="75">
        <v>0</v>
      </c>
      <c r="W13" s="47">
        <v>0</v>
      </c>
      <c r="X13" s="47">
        <v>59400</v>
      </c>
      <c r="Y13" s="47">
        <v>0</v>
      </c>
      <c r="Z13" s="47">
        <f t="shared" si="1"/>
        <v>107.39999999999996</v>
      </c>
      <c r="AA13" s="47">
        <v>1</v>
      </c>
      <c r="AB13" s="47">
        <f t="shared" si="2"/>
        <v>11040</v>
      </c>
      <c r="AC13" s="63">
        <v>93000</v>
      </c>
      <c r="AD13" s="63">
        <v>13478.26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46.000000000000007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62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278</v>
      </c>
      <c r="J14" s="47">
        <v>9</v>
      </c>
      <c r="K14" s="19">
        <v>-13.3</v>
      </c>
      <c r="L14" s="116" t="s">
        <v>106</v>
      </c>
      <c r="M14" s="105" t="s">
        <v>64</v>
      </c>
      <c r="N14" s="47">
        <v>10</v>
      </c>
      <c r="O14" s="63">
        <v>0</v>
      </c>
      <c r="P14" s="63">
        <v>0</v>
      </c>
      <c r="Q14" s="47">
        <v>30</v>
      </c>
      <c r="R14" s="47">
        <f t="shared" si="0"/>
        <v>25</v>
      </c>
      <c r="S14" s="47">
        <v>1.8</v>
      </c>
      <c r="T14" s="47">
        <v>0</v>
      </c>
      <c r="U14" s="75">
        <v>0</v>
      </c>
      <c r="V14" s="75">
        <v>0</v>
      </c>
      <c r="W14" s="47">
        <v>0</v>
      </c>
      <c r="X14" s="47">
        <v>50000</v>
      </c>
      <c r="Y14" s="47">
        <v>0</v>
      </c>
      <c r="Z14" s="47">
        <f t="shared" si="1"/>
        <v>80.999999999999972</v>
      </c>
      <c r="AA14" s="47">
        <v>1</v>
      </c>
      <c r="AB14" s="47">
        <f t="shared" si="2"/>
        <v>4800</v>
      </c>
      <c r="AC14" s="63">
        <v>160000</v>
      </c>
      <c r="AD14" s="63">
        <v>2108.84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20.000000000000007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92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271</v>
      </c>
      <c r="J15" s="47">
        <v>10</v>
      </c>
      <c r="K15" s="19">
        <v>-28</v>
      </c>
      <c r="L15" s="116" t="s">
        <v>106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27</v>
      </c>
      <c r="R15" s="47">
        <f t="shared" si="0"/>
        <v>22</v>
      </c>
      <c r="S15" s="47">
        <v>0.8</v>
      </c>
      <c r="T15" s="47">
        <v>0</v>
      </c>
      <c r="U15" s="75">
        <v>0</v>
      </c>
      <c r="V15" s="75">
        <v>0</v>
      </c>
      <c r="W15" s="47">
        <v>0</v>
      </c>
      <c r="X15" s="47">
        <v>30000</v>
      </c>
      <c r="Y15" s="47">
        <v>0</v>
      </c>
      <c r="Z15" s="47">
        <f t="shared" si="1"/>
        <v>72.59999999999998</v>
      </c>
      <c r="AA15" s="47">
        <v>1</v>
      </c>
      <c r="AB15" s="47">
        <f t="shared" si="2"/>
        <v>3660</v>
      </c>
      <c r="AC15" s="63">
        <v>159000</v>
      </c>
      <c r="AD15" s="63">
        <v>-333.33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3"/>
        <v>15.200000000000003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52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216</v>
      </c>
      <c r="J16" s="47">
        <v>11</v>
      </c>
      <c r="K16" s="19">
        <v>-37</v>
      </c>
      <c r="L16" s="116" t="s">
        <v>288</v>
      </c>
      <c r="M16" s="105" t="s">
        <v>65</v>
      </c>
      <c r="N16" s="47">
        <v>9.3000000000000007</v>
      </c>
      <c r="O16" s="63">
        <v>631</v>
      </c>
      <c r="P16" s="63">
        <v>-0.25</v>
      </c>
      <c r="Q16" s="47">
        <v>0</v>
      </c>
      <c r="R16" s="47" t="e">
        <f t="shared" ref="R16:R18" si="4">IF(Q16&lt;&gt;0,Q16-5,NA())</f>
        <v>#N/A</v>
      </c>
      <c r="S16" s="47">
        <v>3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49900</v>
      </c>
      <c r="Y16" s="47">
        <v>0</v>
      </c>
      <c r="Z16" s="47" t="e">
        <f t="shared" ref="Z16:Z18" si="5">VLOOKUP(R16,$AE$39:$AF$59,2)</f>
        <v>#N/A</v>
      </c>
      <c r="AA16" s="47">
        <v>1</v>
      </c>
      <c r="AB16" s="47" t="e">
        <f t="shared" ref="AB16:AB18" si="6">VLOOKUP(R16,$AE$39:$AG$59,3)</f>
        <v>#N/A</v>
      </c>
      <c r="AC16" s="63">
        <v>878000</v>
      </c>
      <c r="AD16" s="63">
        <v>625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ref="AJ16:AJ18" si="7">VLOOKUP(R16,$AE$39:$AH$59,4)</f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3"/>
      <c r="E17" s="113"/>
      <c r="I17" s="33" t="s">
        <v>297</v>
      </c>
      <c r="J17" s="47">
        <v>12</v>
      </c>
      <c r="K17" s="19">
        <v>-45</v>
      </c>
      <c r="L17" s="116" t="s">
        <v>288</v>
      </c>
      <c r="M17" s="105" t="s">
        <v>65</v>
      </c>
      <c r="N17" s="47">
        <v>9.1</v>
      </c>
      <c r="O17" s="63">
        <v>518</v>
      </c>
      <c r="P17" s="63">
        <v>10.25</v>
      </c>
      <c r="Q17" s="47">
        <v>0</v>
      </c>
      <c r="R17" s="47" t="e">
        <f t="shared" si="4"/>
        <v>#N/A</v>
      </c>
      <c r="S17" s="47">
        <v>2.8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47300</v>
      </c>
      <c r="Y17" s="47">
        <v>0</v>
      </c>
      <c r="Z17" s="47" t="e">
        <f t="shared" si="5"/>
        <v>#N/A</v>
      </c>
      <c r="AA17" s="47">
        <v>1</v>
      </c>
      <c r="AB17" s="47" t="e">
        <f t="shared" si="6"/>
        <v>#N/A</v>
      </c>
      <c r="AC17" s="63">
        <v>788000</v>
      </c>
      <c r="AD17" s="63">
        <v>17690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7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56" t="s">
        <v>273</v>
      </c>
      <c r="J18" s="47">
        <v>13</v>
      </c>
      <c r="K18" s="19">
        <v>-48.9</v>
      </c>
      <c r="L18" s="116" t="s">
        <v>288</v>
      </c>
      <c r="M18" s="105" t="s">
        <v>65</v>
      </c>
      <c r="N18" s="47">
        <v>8.9</v>
      </c>
      <c r="O18" s="63">
        <v>329</v>
      </c>
      <c r="P18" s="63">
        <v>5.72</v>
      </c>
      <c r="Q18" s="47">
        <v>0</v>
      </c>
      <c r="R18" s="47" t="e">
        <f t="shared" si="4"/>
        <v>#N/A</v>
      </c>
      <c r="S18" s="47">
        <v>1.6</v>
      </c>
      <c r="T18" s="47">
        <v>0</v>
      </c>
      <c r="U18" s="75">
        <v>1.7999999999999999E-2</v>
      </c>
      <c r="V18" s="75">
        <v>0</v>
      </c>
      <c r="W18" s="47">
        <v>0.25</v>
      </c>
      <c r="X18" s="47">
        <v>37400</v>
      </c>
      <c r="Y18" s="47">
        <v>0</v>
      </c>
      <c r="Z18" s="47" t="e">
        <f t="shared" si="5"/>
        <v>#N/A</v>
      </c>
      <c r="AA18" s="47">
        <v>1</v>
      </c>
      <c r="AB18" s="47" t="e">
        <f t="shared" si="6"/>
        <v>#N/A</v>
      </c>
      <c r="AC18" s="63">
        <v>487000</v>
      </c>
      <c r="AD18" s="63">
        <v>10289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7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113" t="s">
        <v>38</v>
      </c>
      <c r="B19" s="113" t="s">
        <v>30</v>
      </c>
      <c r="C19" s="113" t="s">
        <v>59</v>
      </c>
      <c r="D19" s="43"/>
      <c r="E19" s="35"/>
      <c r="I19" s="56" t="s">
        <v>273</v>
      </c>
      <c r="J19" s="47">
        <v>14</v>
      </c>
      <c r="K19" s="33">
        <v>-80</v>
      </c>
      <c r="L19" s="116" t="s">
        <v>288</v>
      </c>
      <c r="M19" s="105" t="s">
        <v>65</v>
      </c>
      <c r="N19" s="47">
        <v>8.9</v>
      </c>
      <c r="O19" s="63">
        <v>507</v>
      </c>
      <c r="P19" s="63">
        <v>0</v>
      </c>
      <c r="Q19" s="47">
        <v>0</v>
      </c>
      <c r="R19" s="47" t="e">
        <f t="shared" ref="R19" si="8">IF(Q19&lt;&gt;0,Q19-5,NA())</f>
        <v>#N/A</v>
      </c>
      <c r="S19" s="47">
        <v>1.6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3700</v>
      </c>
      <c r="Y19" s="47">
        <v>0</v>
      </c>
      <c r="Z19" s="47" t="e">
        <f t="shared" ref="Z19" si="9">VLOOKUP(R19,$AE$39:$AF$59,2)</f>
        <v>#N/A</v>
      </c>
      <c r="AA19" s="47">
        <v>1</v>
      </c>
      <c r="AB19" s="47" t="e">
        <f t="shared" ref="AB19" si="10">VLOOKUP(R19,$AE$39:$AG$59,3)</f>
        <v>#N/A</v>
      </c>
      <c r="AC19" s="63">
        <v>807000</v>
      </c>
      <c r="AD19" s="63">
        <v>0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ref="AJ19" si="11">VLOOKUP(R19,$AE$39:$AH$59,4)</f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</row>
    <row r="21" spans="1:45" x14ac:dyDescent="0.25">
      <c r="A21" s="66"/>
      <c r="B21" s="66"/>
      <c r="C21" s="67"/>
      <c r="D21" s="43"/>
    </row>
    <row r="22" spans="1:45" x14ac:dyDescent="0.25">
      <c r="A22" s="66"/>
      <c r="B22" s="66"/>
      <c r="C22" s="67"/>
      <c r="D22" s="35"/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12">AF40+3.8</f>
        <v>55.599999999999994</v>
      </c>
      <c r="AG41" s="33">
        <f t="shared" ref="AG41:AG43" si="13">AG40+200</f>
        <v>2300</v>
      </c>
      <c r="AH41" s="33">
        <f t="shared" ref="AH41:AH44" si="14">AH40+0.8</f>
        <v>9.6000000000000014</v>
      </c>
    </row>
    <row r="42" spans="1:42" x14ac:dyDescent="0.25">
      <c r="L42" s="49"/>
      <c r="AE42" s="33">
        <v>18</v>
      </c>
      <c r="AF42" s="33">
        <f t="shared" si="12"/>
        <v>59.399999999999991</v>
      </c>
      <c r="AG42" s="33">
        <f t="shared" si="13"/>
        <v>2500</v>
      </c>
      <c r="AH42" s="33">
        <f t="shared" si="14"/>
        <v>10.400000000000002</v>
      </c>
    </row>
    <row r="43" spans="1:42" x14ac:dyDescent="0.25">
      <c r="L43" s="49"/>
      <c r="AE43" s="33">
        <v>19</v>
      </c>
      <c r="AF43" s="33">
        <f t="shared" si="12"/>
        <v>63.199999999999989</v>
      </c>
      <c r="AG43" s="33">
        <f t="shared" si="13"/>
        <v>2700</v>
      </c>
      <c r="AH43" s="33">
        <f t="shared" si="14"/>
        <v>11.200000000000003</v>
      </c>
    </row>
    <row r="44" spans="1:42" x14ac:dyDescent="0.25">
      <c r="L44" s="49"/>
      <c r="AE44" s="33">
        <v>20</v>
      </c>
      <c r="AF44" s="33">
        <f t="shared" si="12"/>
        <v>66.999999999999986</v>
      </c>
      <c r="AG44" s="33">
        <f>AG43+200</f>
        <v>2900</v>
      </c>
      <c r="AH44" s="33">
        <f t="shared" si="14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5">AF45+2.8</f>
        <v>72.59999999999998</v>
      </c>
      <c r="AG46" s="33">
        <f t="shared" ref="AG46:AG48" si="16">AG45+380</f>
        <v>3660</v>
      </c>
      <c r="AH46" s="33">
        <f t="shared" ref="AH46:AH49" si="17">AH45+1.6</f>
        <v>15.200000000000003</v>
      </c>
    </row>
    <row r="47" spans="1:42" x14ac:dyDescent="0.25">
      <c r="L47" s="49"/>
      <c r="AE47" s="33">
        <v>23</v>
      </c>
      <c r="AF47" s="33">
        <f t="shared" si="15"/>
        <v>75.399999999999977</v>
      </c>
      <c r="AG47" s="33">
        <f t="shared" si="16"/>
        <v>4040</v>
      </c>
      <c r="AH47" s="33">
        <f t="shared" si="17"/>
        <v>16.800000000000004</v>
      </c>
    </row>
    <row r="48" spans="1:42" x14ac:dyDescent="0.25">
      <c r="L48" s="49"/>
      <c r="AE48" s="33">
        <v>24</v>
      </c>
      <c r="AF48" s="33">
        <f t="shared" si="15"/>
        <v>78.199999999999974</v>
      </c>
      <c r="AG48" s="33">
        <f t="shared" si="16"/>
        <v>4420</v>
      </c>
      <c r="AH48" s="33">
        <f t="shared" si="17"/>
        <v>18.400000000000006</v>
      </c>
    </row>
    <row r="49" spans="12:34" x14ac:dyDescent="0.25">
      <c r="L49" s="49"/>
      <c r="AE49" s="33">
        <v>25</v>
      </c>
      <c r="AF49" s="33">
        <f t="shared" si="15"/>
        <v>80.999999999999972</v>
      </c>
      <c r="AG49" s="33">
        <v>4800</v>
      </c>
      <c r="AH49" s="33">
        <f t="shared" si="17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8">AF50+3</f>
        <v>86.999999999999972</v>
      </c>
      <c r="AG51" s="33">
        <f t="shared" ref="AG51:AG54" si="19">AG50+960</f>
        <v>6720</v>
      </c>
      <c r="AH51" s="33">
        <f t="shared" ref="AH51:AH54" si="20">AH50+4</f>
        <v>28.000000000000007</v>
      </c>
    </row>
    <row r="52" spans="12:34" x14ac:dyDescent="0.25">
      <c r="L52" s="49"/>
      <c r="AE52" s="33">
        <v>28</v>
      </c>
      <c r="AF52" s="33">
        <f t="shared" si="18"/>
        <v>89.999999999999972</v>
      </c>
      <c r="AG52" s="33">
        <f t="shared" si="19"/>
        <v>7680</v>
      </c>
      <c r="AH52" s="33">
        <f t="shared" si="20"/>
        <v>32.000000000000007</v>
      </c>
    </row>
    <row r="53" spans="12:34" x14ac:dyDescent="0.25">
      <c r="L53" s="49"/>
      <c r="AE53" s="33">
        <v>29</v>
      </c>
      <c r="AF53" s="33">
        <f t="shared" si="18"/>
        <v>92.999999999999972</v>
      </c>
      <c r="AG53" s="33">
        <f t="shared" si="19"/>
        <v>8640</v>
      </c>
      <c r="AH53" s="33">
        <f t="shared" si="20"/>
        <v>36.000000000000007</v>
      </c>
    </row>
    <row r="54" spans="12:34" x14ac:dyDescent="0.25">
      <c r="L54" s="49"/>
      <c r="AE54" s="33">
        <v>30</v>
      </c>
      <c r="AF54" s="33">
        <f t="shared" si="18"/>
        <v>95.999999999999972</v>
      </c>
      <c r="AG54" s="33">
        <f t="shared" si="19"/>
        <v>9600</v>
      </c>
      <c r="AH54" s="33">
        <f t="shared" si="20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21">AF55+3.8</f>
        <v>103.59999999999997</v>
      </c>
      <c r="AG56" s="33">
        <f t="shared" ref="AG56:AG59" si="22">AG55+480</f>
        <v>10560</v>
      </c>
      <c r="AH56" s="33">
        <f t="shared" ref="AH56:AH59" si="23">AH55+2</f>
        <v>44.000000000000007</v>
      </c>
    </row>
    <row r="57" spans="12:34" x14ac:dyDescent="0.25">
      <c r="L57" s="49"/>
      <c r="AE57" s="33">
        <v>33</v>
      </c>
      <c r="AF57" s="33">
        <f t="shared" si="21"/>
        <v>107.39999999999996</v>
      </c>
      <c r="AG57" s="33">
        <f t="shared" si="22"/>
        <v>11040</v>
      </c>
      <c r="AH57" s="33">
        <f t="shared" si="23"/>
        <v>46.000000000000007</v>
      </c>
    </row>
    <row r="58" spans="12:34" x14ac:dyDescent="0.25">
      <c r="L58" s="49"/>
      <c r="AE58" s="33">
        <v>34</v>
      </c>
      <c r="AF58" s="33">
        <f t="shared" si="21"/>
        <v>111.19999999999996</v>
      </c>
      <c r="AG58" s="33">
        <f t="shared" si="22"/>
        <v>11520</v>
      </c>
      <c r="AH58" s="33">
        <f t="shared" si="23"/>
        <v>48.000000000000007</v>
      </c>
    </row>
    <row r="59" spans="12:34" x14ac:dyDescent="0.25">
      <c r="L59" s="49"/>
      <c r="AE59" s="33">
        <v>35</v>
      </c>
      <c r="AF59" s="33">
        <f t="shared" si="21"/>
        <v>114.99999999999996</v>
      </c>
      <c r="AG59" s="33">
        <f t="shared" si="22"/>
        <v>12000</v>
      </c>
      <c r="AH59" s="33">
        <f t="shared" si="23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9:AP36 Q29:Q36 N29:N36">
    <cfRule type="expression" dxfId="3124" priority="190">
      <formula>$L29="API sand"</formula>
    </cfRule>
  </conditionalFormatting>
  <conditionalFormatting sqref="R29:S36 AB29:AB35 AJ29:AL36 Z29:Z36 N29:N36">
    <cfRule type="expression" dxfId="3123" priority="189">
      <formula>$M29="API sand"</formula>
    </cfRule>
  </conditionalFormatting>
  <conditionalFormatting sqref="R29:T36 Z29:AB35 AK29:AL36 N29:N36">
    <cfRule type="expression" dxfId="3122" priority="188">
      <formula>$M29="API clay"</formula>
    </cfRule>
  </conditionalFormatting>
  <conditionalFormatting sqref="U29:W36 AM29:AP36">
    <cfRule type="expression" dxfId="3121" priority="185">
      <formula>$L29="Stiff clay w/o free water"</formula>
    </cfRule>
    <cfRule type="expression" dxfId="3120" priority="187">
      <formula>$L29="API clay"</formula>
    </cfRule>
  </conditionalFormatting>
  <conditionalFormatting sqref="U29:Y36 AM29:AP36">
    <cfRule type="expression" dxfId="3119" priority="186">
      <formula>$L29="Kirsch soft clay"</formula>
    </cfRule>
  </conditionalFormatting>
  <conditionalFormatting sqref="U29:Y36 AM29:AP36">
    <cfRule type="expression" dxfId="3118" priority="184">
      <formula>$L29="Kirsch stiff clay"</formula>
    </cfRule>
  </conditionalFormatting>
  <conditionalFormatting sqref="AM29:AP36 Q29:Q36 X29:Y36 N29:N36">
    <cfRule type="expression" dxfId="3117" priority="183">
      <formula>$L29="Kirsch sand"</formula>
    </cfRule>
  </conditionalFormatting>
  <conditionalFormatting sqref="AC29:AD36 AI29:AI36 AM29:AP36 N29:N36">
    <cfRule type="expression" dxfId="3116" priority="182">
      <formula>$L29="Modified Weak rock"</formula>
    </cfRule>
  </conditionalFormatting>
  <conditionalFormatting sqref="AM29:AP36 U29:V36">
    <cfRule type="expression" dxfId="3115" priority="181">
      <formula>$L29="Reese stiff clay"</formula>
    </cfRule>
  </conditionalFormatting>
  <conditionalFormatting sqref="AB36">
    <cfRule type="expression" dxfId="3114" priority="179">
      <formula>$M36="API sand"</formula>
    </cfRule>
  </conditionalFormatting>
  <conditionalFormatting sqref="Z36:AB36">
    <cfRule type="expression" dxfId="3113" priority="178">
      <formula>$M36="API clay"</formula>
    </cfRule>
  </conditionalFormatting>
  <conditionalFormatting sqref="N29:P36">
    <cfRule type="expression" dxfId="3112" priority="175">
      <formula>$L29="Stiff clay w/o free water"</formula>
    </cfRule>
    <cfRule type="expression" dxfId="3111" priority="177">
      <formula>$L29="API clay"</formula>
    </cfRule>
  </conditionalFormatting>
  <conditionalFormatting sqref="N29:P36">
    <cfRule type="expression" dxfId="3110" priority="176">
      <formula>$L29="Kirsch soft clay"</formula>
    </cfRule>
  </conditionalFormatting>
  <conditionalFormatting sqref="N29:P36">
    <cfRule type="expression" dxfId="3109" priority="174">
      <formula>$L29="Kirsch stiff clay"</formula>
    </cfRule>
  </conditionalFormatting>
  <conditionalFormatting sqref="N29:P36">
    <cfRule type="expression" dxfId="3108" priority="171">
      <formula>$L29="Reese stiff clay"</formula>
    </cfRule>
  </conditionalFormatting>
  <conditionalFormatting sqref="AE37:AH37">
    <cfRule type="expression" dxfId="3107" priority="805">
      <formula>#REF!="Modified Weak rock"</formula>
    </cfRule>
  </conditionalFormatting>
  <dataValidations count="3">
    <dataValidation type="list" showInputMessage="1" showErrorMessage="1" sqref="L6:L19 L29:L255" xr:uid="{627DA509-2CC0-47C3-8261-589F81349EC8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9" xr:uid="{096C4CDC-F6C1-4952-89C2-0F156EE20536}">
      <formula1>"Zero soil,API sand,API clay"</formula1>
    </dataValidation>
    <dataValidation type="list" showInputMessage="1" showErrorMessage="1" sqref="M8:M19 M29:M36" xr:uid="{7F0054C7-FC8B-4318-AF2D-99F16C1455D4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54B4C-8AC9-4EEC-9DC2-9BA1EFBD7FBF}">
  <sheetPr>
    <tabColor rgb="FF00B0F0"/>
  </sheetPr>
  <dimension ref="A1:AS255"/>
  <sheetViews>
    <sheetView zoomScale="85" zoomScaleNormal="85" workbookViewId="0">
      <selection activeCell="I3" sqref="I3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Ak_Pisa_WTG34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4"/>
      <c r="R3" s="155"/>
      <c r="S3" s="155"/>
      <c r="T3" s="114"/>
      <c r="U3" s="155"/>
      <c r="V3" s="155"/>
      <c r="W3" s="114"/>
      <c r="X3" s="69"/>
      <c r="Y3" s="114"/>
      <c r="Z3" s="114"/>
      <c r="AA3" s="114"/>
      <c r="AB3" s="114"/>
      <c r="AC3" s="69"/>
      <c r="AD3" s="39"/>
      <c r="AE3" s="39"/>
      <c r="AF3" s="39"/>
      <c r="AG3" s="39"/>
      <c r="AH3" s="39"/>
      <c r="AI3" s="39"/>
      <c r="AJ3" s="114"/>
      <c r="AK3" s="114"/>
      <c r="AL3" s="114"/>
      <c r="AM3" s="114"/>
      <c r="AN3" s="114"/>
      <c r="AO3" s="114"/>
      <c r="AP3" s="114"/>
    </row>
    <row r="4" spans="1:45" x14ac:dyDescent="0.25">
      <c r="A4" s="40" t="s">
        <v>60</v>
      </c>
      <c r="B4" s="33">
        <f>COUNTIF(J:J,"&gt;0")</f>
        <v>17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5" t="s">
        <v>38</v>
      </c>
      <c r="K5" s="115" t="s">
        <v>30</v>
      </c>
      <c r="L5" s="115" t="s">
        <v>31</v>
      </c>
      <c r="M5" s="115" t="s">
        <v>31</v>
      </c>
      <c r="N5" s="115" t="s">
        <v>32</v>
      </c>
      <c r="O5" s="115" t="s">
        <v>33</v>
      </c>
      <c r="P5" s="115" t="s">
        <v>35</v>
      </c>
      <c r="Q5" s="115" t="s">
        <v>36</v>
      </c>
      <c r="R5" s="115" t="s">
        <v>36</v>
      </c>
      <c r="S5" s="115" t="s">
        <v>34</v>
      </c>
      <c r="T5" s="115" t="s">
        <v>33</v>
      </c>
      <c r="U5" s="115" t="s">
        <v>34</v>
      </c>
      <c r="V5" s="115" t="s">
        <v>62</v>
      </c>
      <c r="W5" s="115" t="s">
        <v>34</v>
      </c>
      <c r="X5" s="115" t="s">
        <v>33</v>
      </c>
      <c r="Y5" s="115" t="s">
        <v>35</v>
      </c>
      <c r="Z5" s="115" t="s">
        <v>33</v>
      </c>
      <c r="AA5" s="115" t="s">
        <v>34</v>
      </c>
      <c r="AB5" s="115" t="s">
        <v>33</v>
      </c>
      <c r="AC5" s="115" t="s">
        <v>33</v>
      </c>
      <c r="AD5" s="115" t="s">
        <v>35</v>
      </c>
      <c r="AE5" s="115" t="s">
        <v>34</v>
      </c>
      <c r="AF5" s="115" t="s">
        <v>33</v>
      </c>
      <c r="AG5" s="115" t="s">
        <v>35</v>
      </c>
      <c r="AH5" s="115" t="s">
        <v>34</v>
      </c>
      <c r="AI5" s="115" t="s">
        <v>34</v>
      </c>
      <c r="AJ5" s="115" t="s">
        <v>34</v>
      </c>
      <c r="AK5" s="115" t="s">
        <v>34</v>
      </c>
      <c r="AL5" s="115" t="s">
        <v>34</v>
      </c>
      <c r="AM5" s="115" t="s">
        <v>34</v>
      </c>
      <c r="AN5" s="115" t="s">
        <v>34</v>
      </c>
      <c r="AO5" s="115" t="s">
        <v>34</v>
      </c>
      <c r="AP5" s="115" t="s">
        <v>34</v>
      </c>
      <c r="AQ5" s="115" t="s">
        <v>103</v>
      </c>
      <c r="AR5" s="115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EW_sand_Ruled_83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37</v>
      </c>
      <c r="R6" s="47">
        <f t="shared" ref="R6:R22" si="0">IF(Q6&lt;&gt;0,Q6-5,NA())</f>
        <v>32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8600</v>
      </c>
      <c r="Y6" s="47">
        <v>0</v>
      </c>
      <c r="Z6" s="47">
        <f t="shared" ref="Z6:Z22" si="1">VLOOKUP(R6,$AE$39:$AF$59,2)</f>
        <v>103.59999999999997</v>
      </c>
      <c r="AA6" s="47">
        <v>1</v>
      </c>
      <c r="AB6" s="47">
        <f t="shared" ref="AB6:AB22" si="2">VLOOKUP(R6,$AE$39:$AG$59,3)</f>
        <v>10560</v>
      </c>
      <c r="AC6" s="63">
        <v>5000</v>
      </c>
      <c r="AD6" s="63">
        <v>31111.11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22" si="3">VLOOKUP(R6,$AE$39:$AH$59,4)</f>
        <v>44.000000000000007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83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 t="s">
        <v>257</v>
      </c>
      <c r="J7" s="47">
        <v>2</v>
      </c>
      <c r="K7" s="19">
        <v>-0.9</v>
      </c>
      <c r="L7" s="33" t="str">
        <f>"EW_sand_Ruled"&amp;"_"&amp;AR7</f>
        <v>EW_sand_Ruled_63</v>
      </c>
      <c r="M7" s="105" t="s">
        <v>64</v>
      </c>
      <c r="N7" s="47">
        <v>9.4</v>
      </c>
      <c r="O7" s="63">
        <v>0</v>
      </c>
      <c r="P7" s="63">
        <v>0</v>
      </c>
      <c r="Q7" s="47">
        <v>38</v>
      </c>
      <c r="R7" s="47">
        <f t="shared" si="0"/>
        <v>33</v>
      </c>
      <c r="S7" s="47">
        <v>2.2000000000000002</v>
      </c>
      <c r="T7" s="47">
        <v>0</v>
      </c>
      <c r="U7" s="75">
        <v>1.7999999999999999E-2</v>
      </c>
      <c r="V7" s="75">
        <v>0</v>
      </c>
      <c r="W7" s="47">
        <v>0</v>
      </c>
      <c r="X7" s="47">
        <v>20400</v>
      </c>
      <c r="Y7" s="47">
        <v>0</v>
      </c>
      <c r="Z7" s="47">
        <f t="shared" si="1"/>
        <v>107.39999999999996</v>
      </c>
      <c r="AA7" s="47">
        <v>1</v>
      </c>
      <c r="AB7" s="47">
        <f t="shared" si="2"/>
        <v>11040</v>
      </c>
      <c r="AC7" s="63">
        <v>35000</v>
      </c>
      <c r="AD7" s="63">
        <v>2222.2199999999998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46.000000000000007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63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298</v>
      </c>
      <c r="J8" s="47">
        <v>3</v>
      </c>
      <c r="K8" s="19">
        <v>-1.8</v>
      </c>
      <c r="L8" s="116" t="s">
        <v>275</v>
      </c>
      <c r="M8" s="105" t="s">
        <v>65</v>
      </c>
      <c r="N8" s="47">
        <v>8.5</v>
      </c>
      <c r="O8" s="63">
        <v>65</v>
      </c>
      <c r="P8" s="63">
        <v>30</v>
      </c>
      <c r="Q8" s="47">
        <v>0</v>
      </c>
      <c r="R8" s="47" t="e">
        <f t="shared" si="0"/>
        <v>#N/A</v>
      </c>
      <c r="S8" s="47">
        <v>3</v>
      </c>
      <c r="T8" s="47">
        <v>0</v>
      </c>
      <c r="U8" s="75">
        <v>1.7999999999999999E-2</v>
      </c>
      <c r="V8" s="75">
        <v>0</v>
      </c>
      <c r="W8" s="47">
        <v>0.5</v>
      </c>
      <c r="X8" s="47">
        <v>15700</v>
      </c>
      <c r="Y8" s="47">
        <v>0</v>
      </c>
      <c r="Z8" s="47" t="e">
        <f t="shared" si="1"/>
        <v>#N/A</v>
      </c>
      <c r="AA8" s="47">
        <v>1</v>
      </c>
      <c r="AB8" s="47" t="e">
        <f t="shared" si="2"/>
        <v>#N/A</v>
      </c>
      <c r="AC8" s="63">
        <v>65000</v>
      </c>
      <c r="AD8" s="63">
        <v>25555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 t="e">
        <f t="shared" si="3"/>
        <v>#N/A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0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295</v>
      </c>
      <c r="J9" s="47">
        <v>4</v>
      </c>
      <c r="K9" s="19">
        <v>-3.6</v>
      </c>
      <c r="L9" s="33" t="str">
        <f>"EW_sand_Ruled"&amp;"_"&amp;AR9</f>
        <v>EW_sand_Ruled_47</v>
      </c>
      <c r="M9" s="105" t="s">
        <v>64</v>
      </c>
      <c r="N9" s="47">
        <v>9.4</v>
      </c>
      <c r="O9" s="63">
        <v>0</v>
      </c>
      <c r="P9" s="63">
        <v>0</v>
      </c>
      <c r="Q9" s="47">
        <v>36</v>
      </c>
      <c r="R9" s="47">
        <f t="shared" si="0"/>
        <v>31</v>
      </c>
      <c r="S9" s="47">
        <v>1.1000000000000001</v>
      </c>
      <c r="T9" s="47">
        <v>0</v>
      </c>
      <c r="U9" s="75">
        <v>0</v>
      </c>
      <c r="V9" s="75">
        <v>0</v>
      </c>
      <c r="W9" s="47">
        <v>0</v>
      </c>
      <c r="X9" s="47">
        <v>26200</v>
      </c>
      <c r="Y9" s="47">
        <v>0</v>
      </c>
      <c r="Z9" s="47">
        <f t="shared" si="1"/>
        <v>99.799999999999969</v>
      </c>
      <c r="AA9" s="47">
        <v>1</v>
      </c>
      <c r="AB9" s="47">
        <f t="shared" si="2"/>
        <v>10080</v>
      </c>
      <c r="AC9" s="63">
        <v>50000</v>
      </c>
      <c r="AD9" s="63">
        <v>7560.97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3"/>
        <v>42.000000000000007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47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296</v>
      </c>
      <c r="J10" s="47">
        <v>5</v>
      </c>
      <c r="K10" s="19">
        <v>-7.7</v>
      </c>
      <c r="L10" s="116" t="s">
        <v>275</v>
      </c>
      <c r="M10" s="105" t="s">
        <v>65</v>
      </c>
      <c r="N10" s="47">
        <v>9.5</v>
      </c>
      <c r="O10" s="63">
        <v>174</v>
      </c>
      <c r="P10" s="63">
        <v>-29.23</v>
      </c>
      <c r="Q10" s="47">
        <v>0</v>
      </c>
      <c r="R10" s="47" t="e">
        <f t="shared" si="0"/>
        <v>#N/A</v>
      </c>
      <c r="S10" s="47">
        <v>3</v>
      </c>
      <c r="T10" s="47">
        <v>0</v>
      </c>
      <c r="U10" s="75">
        <v>1.7999999999999999E-2</v>
      </c>
      <c r="V10" s="75">
        <v>0</v>
      </c>
      <c r="W10" s="47">
        <v>0.5</v>
      </c>
      <c r="X10" s="47">
        <v>29900</v>
      </c>
      <c r="Y10" s="47">
        <v>0</v>
      </c>
      <c r="Z10" s="47" t="e">
        <f t="shared" si="1"/>
        <v>#N/A</v>
      </c>
      <c r="AA10" s="47">
        <v>1</v>
      </c>
      <c r="AB10" s="47" t="e">
        <f t="shared" si="2"/>
        <v>#N/A</v>
      </c>
      <c r="AC10" s="63">
        <v>202000</v>
      </c>
      <c r="AD10" s="63">
        <v>-31538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 t="e">
        <f t="shared" si="3"/>
        <v>#N/A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287</v>
      </c>
      <c r="J11" s="47">
        <v>6</v>
      </c>
      <c r="K11" s="19">
        <v>-9</v>
      </c>
      <c r="L11" s="116" t="s">
        <v>275</v>
      </c>
      <c r="M11" s="105" t="s">
        <v>65</v>
      </c>
      <c r="N11" s="47">
        <v>8.4</v>
      </c>
      <c r="O11" s="63">
        <v>329</v>
      </c>
      <c r="P11" s="63">
        <v>26.44</v>
      </c>
      <c r="Q11" s="47">
        <v>0</v>
      </c>
      <c r="R11" s="47" t="e">
        <f t="shared" si="0"/>
        <v>#N/A</v>
      </c>
      <c r="S11" s="47">
        <v>3</v>
      </c>
      <c r="T11" s="47">
        <v>0</v>
      </c>
      <c r="U11" s="75">
        <v>1.7999999999999999E-2</v>
      </c>
      <c r="V11" s="75">
        <v>0</v>
      </c>
      <c r="W11" s="47">
        <v>0.25</v>
      </c>
      <c r="X11" s="47">
        <v>63700</v>
      </c>
      <c r="Y11" s="47">
        <v>0</v>
      </c>
      <c r="Z11" s="47" t="e">
        <f t="shared" si="1"/>
        <v>#N/A</v>
      </c>
      <c r="AA11" s="47">
        <v>1</v>
      </c>
      <c r="AB11" s="47" t="e">
        <f t="shared" si="2"/>
        <v>#N/A</v>
      </c>
      <c r="AC11" s="63">
        <v>384000</v>
      </c>
      <c r="AD11" s="63">
        <v>34667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 t="e">
        <f t="shared" si="3"/>
        <v>#N/A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287</v>
      </c>
      <c r="J12" s="47">
        <v>7</v>
      </c>
      <c r="K12" s="33">
        <v>-13.5</v>
      </c>
      <c r="L12" s="116" t="s">
        <v>275</v>
      </c>
      <c r="M12" s="105" t="s">
        <v>65</v>
      </c>
      <c r="N12" s="47">
        <v>8.4</v>
      </c>
      <c r="O12" s="63">
        <v>284</v>
      </c>
      <c r="P12" s="63">
        <v>12</v>
      </c>
      <c r="Q12" s="47">
        <v>0</v>
      </c>
      <c r="R12" s="47" t="e">
        <f t="shared" si="0"/>
        <v>#N/A</v>
      </c>
      <c r="S12" s="47">
        <v>3</v>
      </c>
      <c r="T12" s="47">
        <v>0</v>
      </c>
      <c r="U12" s="75">
        <v>1.7999999999999999E-2</v>
      </c>
      <c r="V12" s="75">
        <v>0</v>
      </c>
      <c r="W12" s="47">
        <v>0.25</v>
      </c>
      <c r="X12" s="47">
        <v>51100</v>
      </c>
      <c r="Y12" s="47">
        <v>0</v>
      </c>
      <c r="Z12" s="47" t="e">
        <f t="shared" si="1"/>
        <v>#N/A</v>
      </c>
      <c r="AA12" s="47">
        <v>1</v>
      </c>
      <c r="AB12" s="47" t="e">
        <f t="shared" si="2"/>
        <v>#N/A</v>
      </c>
      <c r="AC12" s="63">
        <v>342000</v>
      </c>
      <c r="AD12" s="63">
        <v>15000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3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287</v>
      </c>
      <c r="J13" s="47">
        <v>8</v>
      </c>
      <c r="K13" s="33">
        <v>-14.5</v>
      </c>
      <c r="L13" s="116" t="s">
        <v>275</v>
      </c>
      <c r="M13" s="105" t="s">
        <v>65</v>
      </c>
      <c r="N13" s="47">
        <v>8.4</v>
      </c>
      <c r="O13" s="63">
        <v>361</v>
      </c>
      <c r="P13" s="63">
        <v>109.2</v>
      </c>
      <c r="Q13" s="47">
        <v>0</v>
      </c>
      <c r="R13" s="47" t="e">
        <f t="shared" si="0"/>
        <v>#N/A</v>
      </c>
      <c r="S13" s="47">
        <v>3</v>
      </c>
      <c r="T13" s="47">
        <v>0</v>
      </c>
      <c r="U13" s="75">
        <v>1.7999999999999999E-2</v>
      </c>
      <c r="V13" s="75">
        <v>0</v>
      </c>
      <c r="W13" s="47">
        <v>0.25</v>
      </c>
      <c r="X13" s="47">
        <v>80200</v>
      </c>
      <c r="Y13" s="47">
        <v>0</v>
      </c>
      <c r="Z13" s="47" t="e">
        <f t="shared" si="1"/>
        <v>#N/A</v>
      </c>
      <c r="AA13" s="47">
        <v>1</v>
      </c>
      <c r="AB13" s="47" t="e">
        <f t="shared" si="2"/>
        <v>#N/A</v>
      </c>
      <c r="AC13" s="63">
        <v>431000</v>
      </c>
      <c r="AD13" s="63">
        <v>147600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3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287</v>
      </c>
      <c r="J14" s="47">
        <v>9</v>
      </c>
      <c r="K14" s="33">
        <v>-17</v>
      </c>
      <c r="L14" s="116" t="s">
        <v>275</v>
      </c>
      <c r="M14" s="105" t="s">
        <v>65</v>
      </c>
      <c r="N14" s="47">
        <v>8.4</v>
      </c>
      <c r="O14" s="63">
        <v>601</v>
      </c>
      <c r="P14" s="63">
        <v>-116.54</v>
      </c>
      <c r="Q14" s="47">
        <v>0</v>
      </c>
      <c r="R14" s="47" t="e">
        <f t="shared" si="0"/>
        <v>#N/A</v>
      </c>
      <c r="S14" s="47">
        <v>3</v>
      </c>
      <c r="T14" s="47">
        <v>0</v>
      </c>
      <c r="U14" s="75">
        <v>1.7999999999999999E-2</v>
      </c>
      <c r="V14" s="75">
        <v>0</v>
      </c>
      <c r="W14" s="47">
        <v>0.25</v>
      </c>
      <c r="X14" s="47">
        <v>77900</v>
      </c>
      <c r="Y14" s="47">
        <v>0</v>
      </c>
      <c r="Z14" s="47" t="e">
        <f t="shared" si="1"/>
        <v>#N/A</v>
      </c>
      <c r="AA14" s="47">
        <v>1</v>
      </c>
      <c r="AB14" s="47" t="e">
        <f t="shared" si="2"/>
        <v>#N/A</v>
      </c>
      <c r="AC14" s="63">
        <v>754000</v>
      </c>
      <c r="AD14" s="63">
        <v>-152307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 t="e">
        <f t="shared" si="3"/>
        <v>#N/A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299</v>
      </c>
      <c r="J15" s="47">
        <v>10</v>
      </c>
      <c r="K15" s="19">
        <v>-19.600000000000001</v>
      </c>
      <c r="L15" s="116" t="s">
        <v>275</v>
      </c>
      <c r="M15" s="105" t="s">
        <v>65</v>
      </c>
      <c r="N15" s="47">
        <v>9.5</v>
      </c>
      <c r="O15" s="63">
        <v>126</v>
      </c>
      <c r="P15" s="63">
        <v>22.5</v>
      </c>
      <c r="Q15" s="47">
        <v>0</v>
      </c>
      <c r="R15" s="47" t="e">
        <f t="shared" si="0"/>
        <v>#N/A</v>
      </c>
      <c r="S15" s="47">
        <v>2.1</v>
      </c>
      <c r="T15" s="47">
        <v>0</v>
      </c>
      <c r="U15" s="75">
        <v>1.7999999999999999E-2</v>
      </c>
      <c r="V15" s="75">
        <v>0</v>
      </c>
      <c r="W15" s="47">
        <v>0.5</v>
      </c>
      <c r="X15" s="47">
        <v>26500</v>
      </c>
      <c r="Y15" s="47">
        <v>0</v>
      </c>
      <c r="Z15" s="47" t="e">
        <f t="shared" si="1"/>
        <v>#N/A</v>
      </c>
      <c r="AA15" s="47">
        <v>1</v>
      </c>
      <c r="AB15" s="47" t="e">
        <f t="shared" si="2"/>
        <v>#N/A</v>
      </c>
      <c r="AC15" s="63">
        <v>159000</v>
      </c>
      <c r="AD15" s="63">
        <v>25000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3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299</v>
      </c>
      <c r="J16" s="47">
        <v>11</v>
      </c>
      <c r="K16" s="33">
        <v>-20.8</v>
      </c>
      <c r="L16" s="116" t="s">
        <v>275</v>
      </c>
      <c r="M16" s="105" t="s">
        <v>65</v>
      </c>
      <c r="N16" s="47">
        <v>9.5</v>
      </c>
      <c r="O16" s="63">
        <v>175</v>
      </c>
      <c r="P16" s="63">
        <v>-13.33</v>
      </c>
      <c r="Q16" s="47">
        <v>0</v>
      </c>
      <c r="R16" s="47" t="e">
        <f t="shared" si="0"/>
        <v>#N/A</v>
      </c>
      <c r="S16" s="47">
        <v>2.2000000000000002</v>
      </c>
      <c r="T16" s="47">
        <v>0</v>
      </c>
      <c r="U16" s="75">
        <v>1.7999999999999999E-2</v>
      </c>
      <c r="V16" s="75">
        <v>0</v>
      </c>
      <c r="W16" s="47">
        <v>0.5</v>
      </c>
      <c r="X16" s="47">
        <v>30800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221000</v>
      </c>
      <c r="AD16" s="63">
        <v>13333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5"/>
      <c r="E17" s="115"/>
      <c r="I17" s="33" t="s">
        <v>216</v>
      </c>
      <c r="J17" s="47">
        <v>12</v>
      </c>
      <c r="K17" s="19">
        <v>-22</v>
      </c>
      <c r="L17" s="116" t="s">
        <v>275</v>
      </c>
      <c r="M17" s="105" t="s">
        <v>65</v>
      </c>
      <c r="N17" s="47">
        <v>9.3000000000000007</v>
      </c>
      <c r="O17" s="63">
        <v>168</v>
      </c>
      <c r="P17" s="63">
        <v>2.31</v>
      </c>
      <c r="Q17" s="47">
        <v>0</v>
      </c>
      <c r="R17" s="47" t="e">
        <f t="shared" si="0"/>
        <v>#N/A</v>
      </c>
      <c r="S17" s="47">
        <v>2</v>
      </c>
      <c r="T17" s="47">
        <v>0</v>
      </c>
      <c r="U17" s="75">
        <v>1.7999999999999999E-2</v>
      </c>
      <c r="V17" s="75">
        <v>0</v>
      </c>
      <c r="W17" s="47">
        <v>0.5</v>
      </c>
      <c r="X17" s="47">
        <v>15900</v>
      </c>
      <c r="Y17" s="47">
        <v>0</v>
      </c>
      <c r="Z17" s="47" t="e">
        <f t="shared" si="1"/>
        <v>#N/A</v>
      </c>
      <c r="AA17" s="47">
        <v>1</v>
      </c>
      <c r="AB17" s="47" t="e">
        <f t="shared" si="2"/>
        <v>#N/A</v>
      </c>
      <c r="AC17" s="63">
        <v>215000</v>
      </c>
      <c r="AD17" s="63">
        <v>3333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3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300</v>
      </c>
      <c r="J18" s="47">
        <v>13</v>
      </c>
      <c r="K18" s="19">
        <v>-25.9</v>
      </c>
      <c r="L18" s="33" t="str">
        <f>"EW_sand_Ruled"&amp;"_"&amp;AR18</f>
        <v>EW_sand_Ruled_62</v>
      </c>
      <c r="M18" s="105" t="s">
        <v>64</v>
      </c>
      <c r="N18" s="47">
        <v>10</v>
      </c>
      <c r="O18" s="63">
        <v>0</v>
      </c>
      <c r="P18" s="63">
        <v>0</v>
      </c>
      <c r="Q18" s="47">
        <v>27</v>
      </c>
      <c r="R18" s="47">
        <f t="shared" si="0"/>
        <v>22</v>
      </c>
      <c r="S18" s="47">
        <v>0.8</v>
      </c>
      <c r="T18" s="47">
        <v>0</v>
      </c>
      <c r="U18" s="75">
        <v>0</v>
      </c>
      <c r="V18" s="75">
        <v>0</v>
      </c>
      <c r="W18" s="47">
        <v>0</v>
      </c>
      <c r="X18" s="47">
        <v>22700</v>
      </c>
      <c r="Y18" s="47">
        <v>0</v>
      </c>
      <c r="Z18" s="47">
        <f t="shared" si="1"/>
        <v>72.59999999999998</v>
      </c>
      <c r="AA18" s="47">
        <v>1</v>
      </c>
      <c r="AB18" s="47">
        <f t="shared" si="2"/>
        <v>3660</v>
      </c>
      <c r="AC18" s="63">
        <v>138000</v>
      </c>
      <c r="AD18" s="63">
        <v>1000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>
        <f t="shared" si="3"/>
        <v>15.200000000000003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62</v>
      </c>
      <c r="AS18" s="33">
        <v>0.4</v>
      </c>
    </row>
    <row r="19" spans="1:45" x14ac:dyDescent="0.25">
      <c r="A19" s="115" t="s">
        <v>38</v>
      </c>
      <c r="B19" s="115" t="s">
        <v>30</v>
      </c>
      <c r="C19" s="115" t="s">
        <v>59</v>
      </c>
      <c r="D19" s="43"/>
      <c r="E19" s="35"/>
      <c r="I19" s="33" t="s">
        <v>273</v>
      </c>
      <c r="J19" s="47">
        <v>14</v>
      </c>
      <c r="K19" s="19">
        <v>-29.9</v>
      </c>
      <c r="L19" s="116" t="s">
        <v>275</v>
      </c>
      <c r="M19" s="105" t="s">
        <v>65</v>
      </c>
      <c r="N19" s="47">
        <v>8.9</v>
      </c>
      <c r="O19" s="63">
        <v>225</v>
      </c>
      <c r="P19" s="63">
        <v>3.59</v>
      </c>
      <c r="Q19" s="47">
        <v>0</v>
      </c>
      <c r="R19" s="47" t="e">
        <f t="shared" si="0"/>
        <v>#N/A</v>
      </c>
      <c r="S19" s="47">
        <v>2.2000000000000002</v>
      </c>
      <c r="T19" s="47">
        <v>0</v>
      </c>
      <c r="U19" s="75">
        <v>1.7999999999999999E-2</v>
      </c>
      <c r="V19" s="75">
        <v>0</v>
      </c>
      <c r="W19" s="47">
        <v>0.5</v>
      </c>
      <c r="X19" s="47">
        <v>24100</v>
      </c>
      <c r="Y19" s="47">
        <v>0</v>
      </c>
      <c r="Z19" s="47" t="e">
        <f t="shared" si="1"/>
        <v>#N/A</v>
      </c>
      <c r="AA19" s="47">
        <v>1</v>
      </c>
      <c r="AB19" s="47" t="e">
        <f t="shared" si="2"/>
        <v>#N/A</v>
      </c>
      <c r="AC19" s="63">
        <v>323000</v>
      </c>
      <c r="AD19" s="63">
        <v>5083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3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56" t="s">
        <v>218</v>
      </c>
      <c r="J20" s="47">
        <v>15</v>
      </c>
      <c r="K20" s="19">
        <v>-48</v>
      </c>
      <c r="L20" s="116" t="s">
        <v>275</v>
      </c>
      <c r="M20" s="105" t="s">
        <v>65</v>
      </c>
      <c r="N20" s="47">
        <v>8.3000000000000007</v>
      </c>
      <c r="O20" s="63">
        <v>403</v>
      </c>
      <c r="P20" s="63">
        <v>6.41</v>
      </c>
      <c r="Q20" s="47">
        <v>0</v>
      </c>
      <c r="R20" s="47" t="e">
        <f t="shared" si="0"/>
        <v>#N/A</v>
      </c>
      <c r="S20" s="47">
        <v>2.1</v>
      </c>
      <c r="T20" s="47">
        <v>0</v>
      </c>
      <c r="U20" s="75">
        <v>1.7999999999999999E-2</v>
      </c>
      <c r="V20" s="75">
        <v>0</v>
      </c>
      <c r="W20" s="47">
        <v>0.25</v>
      </c>
      <c r="X20" s="47">
        <v>40200</v>
      </c>
      <c r="Y20" s="47">
        <v>0</v>
      </c>
      <c r="Z20" s="47" t="e">
        <f t="shared" si="1"/>
        <v>#N/A</v>
      </c>
      <c r="AA20" s="47">
        <v>1</v>
      </c>
      <c r="AB20" s="47" t="e">
        <f t="shared" si="2"/>
        <v>#N/A</v>
      </c>
      <c r="AC20" s="63">
        <v>581000</v>
      </c>
      <c r="AD20" s="63">
        <v>11000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 t="e">
        <f t="shared" si="3"/>
        <v>#N/A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0</v>
      </c>
      <c r="AS20" s="33">
        <v>0.4</v>
      </c>
    </row>
    <row r="21" spans="1:45" x14ac:dyDescent="0.25">
      <c r="A21" s="66"/>
      <c r="B21" s="66"/>
      <c r="C21" s="67"/>
      <c r="D21" s="43"/>
      <c r="I21" s="56" t="s">
        <v>220</v>
      </c>
      <c r="J21" s="47">
        <v>16</v>
      </c>
      <c r="K21" s="19">
        <v>-65</v>
      </c>
      <c r="L21" s="116" t="s">
        <v>275</v>
      </c>
      <c r="M21" s="105" t="s">
        <v>65</v>
      </c>
      <c r="N21" s="47">
        <v>8.8000000000000007</v>
      </c>
      <c r="O21" s="63">
        <v>937</v>
      </c>
      <c r="P21" s="63">
        <v>11.46</v>
      </c>
      <c r="Q21" s="47">
        <v>0</v>
      </c>
      <c r="R21" s="47" t="e">
        <f t="shared" si="0"/>
        <v>#N/A</v>
      </c>
      <c r="S21" s="47">
        <v>3</v>
      </c>
      <c r="T21" s="47">
        <v>0</v>
      </c>
      <c r="U21" s="75">
        <v>1.7999999999999999E-2</v>
      </c>
      <c r="V21" s="75">
        <v>0</v>
      </c>
      <c r="W21" s="47">
        <v>0.25</v>
      </c>
      <c r="X21" s="47">
        <v>85500</v>
      </c>
      <c r="Y21" s="47">
        <v>0</v>
      </c>
      <c r="Z21" s="47" t="e">
        <f t="shared" si="1"/>
        <v>#N/A</v>
      </c>
      <c r="AA21" s="47">
        <v>1</v>
      </c>
      <c r="AB21" s="47" t="e">
        <f t="shared" si="2"/>
        <v>#N/A</v>
      </c>
      <c r="AC21" s="63">
        <v>1529000</v>
      </c>
      <c r="AD21" s="63">
        <v>23067</v>
      </c>
      <c r="AE21" s="63">
        <v>0.3</v>
      </c>
      <c r="AF21" s="63">
        <v>0</v>
      </c>
      <c r="AG21" s="63">
        <v>0</v>
      </c>
      <c r="AH21" s="63">
        <v>0</v>
      </c>
      <c r="AI21" s="63">
        <v>0</v>
      </c>
      <c r="AJ21" s="47" t="e">
        <f t="shared" si="3"/>
        <v>#N/A</v>
      </c>
      <c r="AK21" s="47">
        <v>1</v>
      </c>
      <c r="AL21" s="47">
        <v>1</v>
      </c>
      <c r="AM21" s="47">
        <v>1</v>
      </c>
      <c r="AN21" s="47">
        <v>1</v>
      </c>
      <c r="AO21" s="47">
        <v>1</v>
      </c>
      <c r="AP21" s="47">
        <v>1</v>
      </c>
      <c r="AQ21" s="47">
        <v>0</v>
      </c>
      <c r="AR21" s="47">
        <v>0</v>
      </c>
      <c r="AS21" s="33">
        <v>0.4</v>
      </c>
    </row>
    <row r="22" spans="1:45" x14ac:dyDescent="0.25">
      <c r="A22" s="66"/>
      <c r="B22" s="66"/>
      <c r="C22" s="67"/>
      <c r="D22" s="35"/>
      <c r="I22" s="56" t="s">
        <v>220</v>
      </c>
      <c r="J22" s="47">
        <v>17</v>
      </c>
      <c r="K22" s="33">
        <v>-80</v>
      </c>
      <c r="L22" s="116" t="s">
        <v>275</v>
      </c>
      <c r="M22" s="105" t="s">
        <v>65</v>
      </c>
      <c r="N22" s="47">
        <v>8.8000000000000007</v>
      </c>
      <c r="O22" s="63">
        <v>1109</v>
      </c>
      <c r="P22" s="63">
        <v>0</v>
      </c>
      <c r="Q22" s="47">
        <v>0</v>
      </c>
      <c r="R22" s="47" t="e">
        <f t="shared" si="0"/>
        <v>#N/A</v>
      </c>
      <c r="S22" s="47">
        <v>3</v>
      </c>
      <c r="T22" s="47">
        <v>0</v>
      </c>
      <c r="U22" s="75">
        <v>1.7999999999999999E-2</v>
      </c>
      <c r="V22" s="75">
        <v>0</v>
      </c>
      <c r="W22" s="47">
        <v>0.25</v>
      </c>
      <c r="X22" s="47">
        <v>85500</v>
      </c>
      <c r="Y22" s="47">
        <v>0</v>
      </c>
      <c r="Z22" s="47" t="e">
        <f t="shared" si="1"/>
        <v>#N/A</v>
      </c>
      <c r="AA22" s="47">
        <v>1</v>
      </c>
      <c r="AB22" s="47" t="e">
        <f t="shared" si="2"/>
        <v>#N/A</v>
      </c>
      <c r="AC22" s="63">
        <v>1875000</v>
      </c>
      <c r="AD22" s="63">
        <v>0</v>
      </c>
      <c r="AE22" s="63">
        <v>0.3</v>
      </c>
      <c r="AF22" s="63">
        <v>0</v>
      </c>
      <c r="AG22" s="63">
        <v>0</v>
      </c>
      <c r="AH22" s="63">
        <v>0</v>
      </c>
      <c r="AI22" s="63">
        <v>0</v>
      </c>
      <c r="AJ22" s="47" t="e">
        <f t="shared" si="3"/>
        <v>#N/A</v>
      </c>
      <c r="AK22" s="47">
        <v>1</v>
      </c>
      <c r="AL22" s="47">
        <v>1</v>
      </c>
      <c r="AM22" s="47">
        <v>1</v>
      </c>
      <c r="AN22" s="47">
        <v>1</v>
      </c>
      <c r="AO22" s="47">
        <v>1</v>
      </c>
      <c r="AP22" s="47">
        <v>1</v>
      </c>
      <c r="AQ22" s="47">
        <v>0</v>
      </c>
      <c r="AR22" s="47">
        <v>0</v>
      </c>
      <c r="AS22" s="33">
        <v>0.4</v>
      </c>
    </row>
    <row r="23" spans="1:45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5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4">AF40+3.8</f>
        <v>55.599999999999994</v>
      </c>
      <c r="AG41" s="33">
        <f t="shared" ref="AG41:AG43" si="5">AG40+200</f>
        <v>2300</v>
      </c>
      <c r="AH41" s="33">
        <f t="shared" ref="AH41:AH44" si="6">AH40+0.8</f>
        <v>9.6000000000000014</v>
      </c>
    </row>
    <row r="42" spans="1:42" x14ac:dyDescent="0.25">
      <c r="L42" s="49"/>
      <c r="AE42" s="33">
        <v>18</v>
      </c>
      <c r="AF42" s="33">
        <f t="shared" si="4"/>
        <v>59.399999999999991</v>
      </c>
      <c r="AG42" s="33">
        <f t="shared" si="5"/>
        <v>2500</v>
      </c>
      <c r="AH42" s="33">
        <f t="shared" si="6"/>
        <v>10.400000000000002</v>
      </c>
    </row>
    <row r="43" spans="1:42" x14ac:dyDescent="0.25">
      <c r="L43" s="49"/>
      <c r="AE43" s="33">
        <v>19</v>
      </c>
      <c r="AF43" s="33">
        <f t="shared" si="4"/>
        <v>63.199999999999989</v>
      </c>
      <c r="AG43" s="33">
        <f t="shared" si="5"/>
        <v>2700</v>
      </c>
      <c r="AH43" s="33">
        <f t="shared" si="6"/>
        <v>11.200000000000003</v>
      </c>
    </row>
    <row r="44" spans="1:42" x14ac:dyDescent="0.25">
      <c r="L44" s="49"/>
      <c r="AE44" s="33">
        <v>20</v>
      </c>
      <c r="AF44" s="33">
        <f t="shared" si="4"/>
        <v>66.999999999999986</v>
      </c>
      <c r="AG44" s="33">
        <f>AG43+200</f>
        <v>2900</v>
      </c>
      <c r="AH44" s="33">
        <f t="shared" si="6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7">AF45+2.8</f>
        <v>72.59999999999998</v>
      </c>
      <c r="AG46" s="33">
        <f t="shared" ref="AG46:AG48" si="8">AG45+380</f>
        <v>3660</v>
      </c>
      <c r="AH46" s="33">
        <f t="shared" ref="AH46:AH49" si="9">AH45+1.6</f>
        <v>15.200000000000003</v>
      </c>
    </row>
    <row r="47" spans="1:42" x14ac:dyDescent="0.25">
      <c r="L47" s="49"/>
      <c r="AE47" s="33">
        <v>23</v>
      </c>
      <c r="AF47" s="33">
        <f t="shared" si="7"/>
        <v>75.399999999999977</v>
      </c>
      <c r="AG47" s="33">
        <f t="shared" si="8"/>
        <v>4040</v>
      </c>
      <c r="AH47" s="33">
        <f t="shared" si="9"/>
        <v>16.800000000000004</v>
      </c>
    </row>
    <row r="48" spans="1:42" x14ac:dyDescent="0.25">
      <c r="L48" s="49"/>
      <c r="AE48" s="33">
        <v>24</v>
      </c>
      <c r="AF48" s="33">
        <f t="shared" si="7"/>
        <v>78.199999999999974</v>
      </c>
      <c r="AG48" s="33">
        <f t="shared" si="8"/>
        <v>4420</v>
      </c>
      <c r="AH48" s="33">
        <f t="shared" si="9"/>
        <v>18.400000000000006</v>
      </c>
    </row>
    <row r="49" spans="12:34" x14ac:dyDescent="0.25">
      <c r="L49" s="49"/>
      <c r="AE49" s="33">
        <v>25</v>
      </c>
      <c r="AF49" s="33">
        <f t="shared" si="7"/>
        <v>80.999999999999972</v>
      </c>
      <c r="AG49" s="33">
        <v>4800</v>
      </c>
      <c r="AH49" s="33">
        <f t="shared" si="9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0">AF50+3</f>
        <v>86.999999999999972</v>
      </c>
      <c r="AG51" s="33">
        <f t="shared" ref="AG51:AG54" si="11">AG50+960</f>
        <v>6720</v>
      </c>
      <c r="AH51" s="33">
        <f t="shared" ref="AH51:AH54" si="12">AH50+4</f>
        <v>28.000000000000007</v>
      </c>
    </row>
    <row r="52" spans="12:34" x14ac:dyDescent="0.25">
      <c r="L52" s="49"/>
      <c r="AE52" s="33">
        <v>28</v>
      </c>
      <c r="AF52" s="33">
        <f t="shared" si="10"/>
        <v>89.999999999999972</v>
      </c>
      <c r="AG52" s="33">
        <f t="shared" si="11"/>
        <v>7680</v>
      </c>
      <c r="AH52" s="33">
        <f t="shared" si="12"/>
        <v>32.000000000000007</v>
      </c>
    </row>
    <row r="53" spans="12:34" x14ac:dyDescent="0.25">
      <c r="L53" s="49"/>
      <c r="AE53" s="33">
        <v>29</v>
      </c>
      <c r="AF53" s="33">
        <f t="shared" si="10"/>
        <v>92.999999999999972</v>
      </c>
      <c r="AG53" s="33">
        <f t="shared" si="11"/>
        <v>8640</v>
      </c>
      <c r="AH53" s="33">
        <f t="shared" si="12"/>
        <v>36.000000000000007</v>
      </c>
    </row>
    <row r="54" spans="12:34" x14ac:dyDescent="0.25">
      <c r="L54" s="49"/>
      <c r="AE54" s="33">
        <v>30</v>
      </c>
      <c r="AF54" s="33">
        <f t="shared" si="10"/>
        <v>95.999999999999972</v>
      </c>
      <c r="AG54" s="33">
        <f t="shared" si="11"/>
        <v>9600</v>
      </c>
      <c r="AH54" s="33">
        <f t="shared" si="12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3">AF55+3.8</f>
        <v>103.59999999999997</v>
      </c>
      <c r="AG56" s="33">
        <f t="shared" ref="AG56:AG59" si="14">AG55+480</f>
        <v>10560</v>
      </c>
      <c r="AH56" s="33">
        <f t="shared" ref="AH56:AH59" si="15">AH55+2</f>
        <v>44.000000000000007</v>
      </c>
    </row>
    <row r="57" spans="12:34" x14ac:dyDescent="0.25">
      <c r="L57" s="49"/>
      <c r="AE57" s="33">
        <v>33</v>
      </c>
      <c r="AF57" s="33">
        <f t="shared" si="13"/>
        <v>107.39999999999996</v>
      </c>
      <c r="AG57" s="33">
        <f t="shared" si="14"/>
        <v>11040</v>
      </c>
      <c r="AH57" s="33">
        <f t="shared" si="15"/>
        <v>46.000000000000007</v>
      </c>
    </row>
    <row r="58" spans="12:34" x14ac:dyDescent="0.25">
      <c r="L58" s="49"/>
      <c r="AE58" s="33">
        <v>34</v>
      </c>
      <c r="AF58" s="33">
        <f t="shared" si="13"/>
        <v>111.19999999999996</v>
      </c>
      <c r="AG58" s="33">
        <f t="shared" si="14"/>
        <v>11520</v>
      </c>
      <c r="AH58" s="33">
        <f t="shared" si="15"/>
        <v>48.000000000000007</v>
      </c>
    </row>
    <row r="59" spans="12:34" x14ac:dyDescent="0.25">
      <c r="L59" s="49"/>
      <c r="AE59" s="33">
        <v>35</v>
      </c>
      <c r="AF59" s="33">
        <f t="shared" si="13"/>
        <v>114.99999999999996</v>
      </c>
      <c r="AG59" s="33">
        <f t="shared" si="14"/>
        <v>12000</v>
      </c>
      <c r="AH59" s="33">
        <f t="shared" si="15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3:AP36">
    <cfRule type="expression" dxfId="3106" priority="126">
      <formula>$L23="API sand"</formula>
    </cfRule>
  </conditionalFormatting>
  <conditionalFormatting sqref="R29:S36 S23:S28 AD23:AD28 AB23:AB35">
    <cfRule type="expression" dxfId="3105" priority="125">
      <formula>$M23="API sand"</formula>
    </cfRule>
  </conditionalFormatting>
  <conditionalFormatting sqref="R29:T36 S23:T28 AD23:AD28 AB23:AB35">
    <cfRule type="expression" dxfId="3104" priority="124">
      <formula>$M23="API clay"</formula>
    </cfRule>
  </conditionalFormatting>
  <conditionalFormatting sqref="U23:W36 AM23:AP36">
    <cfRule type="expression" dxfId="3103" priority="121">
      <formula>$L23="Stiff clay w/o free water"</formula>
    </cfRule>
    <cfRule type="expression" dxfId="3102" priority="123">
      <formula>$L23="API clay"</formula>
    </cfRule>
  </conditionalFormatting>
  <conditionalFormatting sqref="U23:Y36 AM23:AP36">
    <cfRule type="expression" dxfId="3101" priority="122">
      <formula>$L23="Kirsch soft clay"</formula>
    </cfRule>
  </conditionalFormatting>
  <conditionalFormatting sqref="U23:Y36 AM23:AP36">
    <cfRule type="expression" dxfId="3100" priority="120">
      <formula>$L23="Kirsch stiff clay"</formula>
    </cfRule>
  </conditionalFormatting>
  <conditionalFormatting sqref="AM23:AP36">
    <cfRule type="expression" dxfId="3099" priority="119">
      <formula>$L23="Kirsch sand"</formula>
    </cfRule>
  </conditionalFormatting>
  <conditionalFormatting sqref="AM23:AP36">
    <cfRule type="expression" dxfId="3098" priority="118">
      <formula>$L23="Modified Weak rock"</formula>
    </cfRule>
  </conditionalFormatting>
  <conditionalFormatting sqref="U23:V36 AM23:AP36">
    <cfRule type="expression" dxfId="3097" priority="117">
      <formula>$L23="Reese stiff clay"</formula>
    </cfRule>
  </conditionalFormatting>
  <conditionalFormatting sqref="N23:N36 Q23:Q36">
    <cfRule type="expression" dxfId="3096" priority="116">
      <formula>$L23="API sand"</formula>
    </cfRule>
  </conditionalFormatting>
  <conditionalFormatting sqref="N23:N36 AB36 AJ23:AL36 Z23:Z36">
    <cfRule type="expression" dxfId="3095" priority="115">
      <formula>$M23="API sand"</formula>
    </cfRule>
  </conditionalFormatting>
  <conditionalFormatting sqref="Z36:AB36 AK23:AL36 N23:N36 Z23:AA35">
    <cfRule type="expression" dxfId="3094" priority="114">
      <formula>$M23="API clay"</formula>
    </cfRule>
  </conditionalFormatting>
  <conditionalFormatting sqref="N29:P36 N23:N28 P23:P28">
    <cfRule type="expression" dxfId="3093" priority="111">
      <formula>$L23="Stiff clay w/o free water"</formula>
    </cfRule>
    <cfRule type="expression" dxfId="3092" priority="113">
      <formula>$L23="API clay"</formula>
    </cfRule>
  </conditionalFormatting>
  <conditionalFormatting sqref="N29:P36 N23:N28 P23:P28">
    <cfRule type="expression" dxfId="3091" priority="112">
      <formula>$L23="Kirsch soft clay"</formula>
    </cfRule>
  </conditionalFormatting>
  <conditionalFormatting sqref="N29:P36 N23:N28 P23:P28">
    <cfRule type="expression" dxfId="3090" priority="110">
      <formula>$L23="Kirsch stiff clay"</formula>
    </cfRule>
  </conditionalFormatting>
  <conditionalFormatting sqref="N23:N36 Q23:Q36 X23:Y36">
    <cfRule type="expression" dxfId="3089" priority="109">
      <formula>$L23="Kirsch sand"</formula>
    </cfRule>
  </conditionalFormatting>
  <conditionalFormatting sqref="N23:N36 AC23:AD36 AI23:AI36">
    <cfRule type="expression" dxfId="3088" priority="108">
      <formula>$L23="Modified Weak rock"</formula>
    </cfRule>
  </conditionalFormatting>
  <conditionalFormatting sqref="N29:P36 N23:N28 P23:P28">
    <cfRule type="expression" dxfId="3087" priority="107">
      <formula>$L23="Reese stiff clay"</formula>
    </cfRule>
  </conditionalFormatting>
  <conditionalFormatting sqref="O23:O28">
    <cfRule type="expression" dxfId="3086" priority="102">
      <formula>$L23="API sand"</formula>
    </cfRule>
  </conditionalFormatting>
  <conditionalFormatting sqref="O23:O28">
    <cfRule type="expression" dxfId="3085" priority="101">
      <formula>$L23="Kirsch sand"</formula>
    </cfRule>
  </conditionalFormatting>
  <conditionalFormatting sqref="AE37:AH37">
    <cfRule type="expression" dxfId="3084" priority="127">
      <formula>$L19="Modified Weak rock"</formula>
    </cfRule>
  </conditionalFormatting>
  <dataValidations count="4">
    <dataValidation type="list" showInputMessage="1" showErrorMessage="1" sqref="M7:M36" xr:uid="{4AF5EFBE-B6DE-414A-97AA-16E010532C6D}">
      <formula1>"',API sand,API clay"</formula1>
    </dataValidation>
    <dataValidation type="list" showInputMessage="1" showErrorMessage="1" sqref="L23:L255" xr:uid="{449903A5-E9A8-4E56-A9C7-7F1A17397AFC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22" xr:uid="{2C06EB98-B134-4EEC-8417-BAC7816CAED9}">
      <formula1>"Zero soil,API sand,API clay"</formula1>
    </dataValidation>
    <dataValidation showInputMessage="1" showErrorMessage="1" sqref="L8 L10:L17 L19:L22" xr:uid="{30F8759A-4301-4CE7-B832-99D241A48397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4401A-58F2-43A1-920E-A48F75326173}">
  <sheetPr>
    <tabColor rgb="FF00B050"/>
  </sheetPr>
  <dimension ref="A1:AS255"/>
  <sheetViews>
    <sheetView zoomScale="85" zoomScaleNormal="85" workbookViewId="0">
      <selection activeCell="I3" sqref="I3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Ak_kirsch_WTG34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2"/>
      <c r="R3" s="155"/>
      <c r="S3" s="155"/>
      <c r="T3" s="112"/>
      <c r="U3" s="155"/>
      <c r="V3" s="155"/>
      <c r="W3" s="112"/>
      <c r="X3" s="69"/>
      <c r="Y3" s="112"/>
      <c r="Z3" s="112"/>
      <c r="AA3" s="112"/>
      <c r="AB3" s="112"/>
      <c r="AC3" s="69"/>
      <c r="AD3" s="39"/>
      <c r="AE3" s="39"/>
      <c r="AF3" s="39"/>
      <c r="AG3" s="39"/>
      <c r="AH3" s="39"/>
      <c r="AI3" s="39"/>
      <c r="AJ3" s="112"/>
      <c r="AK3" s="112"/>
      <c r="AL3" s="112"/>
      <c r="AM3" s="112"/>
      <c r="AN3" s="112"/>
      <c r="AO3" s="112"/>
      <c r="AP3" s="112"/>
    </row>
    <row r="4" spans="1:45" x14ac:dyDescent="0.25">
      <c r="A4" s="40" t="s">
        <v>60</v>
      </c>
      <c r="B4" s="33">
        <f>COUNTIF(J:J,"&gt;0")</f>
        <v>17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3" t="s">
        <v>38</v>
      </c>
      <c r="K5" s="113" t="s">
        <v>30</v>
      </c>
      <c r="L5" s="113" t="s">
        <v>31</v>
      </c>
      <c r="M5" s="113" t="s">
        <v>31</v>
      </c>
      <c r="N5" s="113" t="s">
        <v>32</v>
      </c>
      <c r="O5" s="113" t="s">
        <v>33</v>
      </c>
      <c r="P5" s="113" t="s">
        <v>35</v>
      </c>
      <c r="Q5" s="113" t="s">
        <v>36</v>
      </c>
      <c r="R5" s="113" t="s">
        <v>36</v>
      </c>
      <c r="S5" s="113" t="s">
        <v>34</v>
      </c>
      <c r="T5" s="113" t="s">
        <v>33</v>
      </c>
      <c r="U5" s="113" t="s">
        <v>34</v>
      </c>
      <c r="V5" s="113" t="s">
        <v>62</v>
      </c>
      <c r="W5" s="113" t="s">
        <v>34</v>
      </c>
      <c r="X5" s="113" t="s">
        <v>33</v>
      </c>
      <c r="Y5" s="113" t="s">
        <v>35</v>
      </c>
      <c r="Z5" s="113" t="s">
        <v>33</v>
      </c>
      <c r="AA5" s="113" t="s">
        <v>34</v>
      </c>
      <c r="AB5" s="113" t="s">
        <v>33</v>
      </c>
      <c r="AC5" s="113" t="s">
        <v>33</v>
      </c>
      <c r="AD5" s="113" t="s">
        <v>35</v>
      </c>
      <c r="AE5" s="113" t="s">
        <v>34</v>
      </c>
      <c r="AF5" s="113" t="s">
        <v>33</v>
      </c>
      <c r="AG5" s="113" t="s">
        <v>35</v>
      </c>
      <c r="AH5" s="113" t="s">
        <v>34</v>
      </c>
      <c r="AI5" s="113" t="s">
        <v>34</v>
      </c>
      <c r="AJ5" s="113" t="s">
        <v>34</v>
      </c>
      <c r="AK5" s="113" t="s">
        <v>34</v>
      </c>
      <c r="AL5" s="113" t="s">
        <v>34</v>
      </c>
      <c r="AM5" s="113" t="s">
        <v>34</v>
      </c>
      <c r="AN5" s="113" t="s">
        <v>34</v>
      </c>
      <c r="AO5" s="113" t="s">
        <v>34</v>
      </c>
      <c r="AP5" s="113" t="s">
        <v>34</v>
      </c>
      <c r="AQ5" s="113" t="s">
        <v>103</v>
      </c>
      <c r="AR5" s="113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37</v>
      </c>
      <c r="R6" s="47">
        <f t="shared" ref="R6:R20" si="0">IF(Q6&lt;&gt;0,Q6-5,NA())</f>
        <v>32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8600</v>
      </c>
      <c r="Y6" s="47">
        <v>0</v>
      </c>
      <c r="Z6" s="47">
        <f t="shared" ref="Z6:Z20" si="1">VLOOKUP(R6,$AE$39:$AF$59,2)</f>
        <v>103.59999999999997</v>
      </c>
      <c r="AA6" s="47">
        <v>1</v>
      </c>
      <c r="AB6" s="47">
        <f t="shared" ref="AB6:AB20" si="2">VLOOKUP(R6,$AE$39:$AG$59,3)</f>
        <v>10560</v>
      </c>
      <c r="AC6" s="63">
        <v>5000</v>
      </c>
      <c r="AD6" s="63">
        <v>31111.11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20" si="3">VLOOKUP(R6,$AE$39:$AH$59,4)</f>
        <v>44.000000000000007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83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 t="s">
        <v>257</v>
      </c>
      <c r="J7" s="47">
        <v>2</v>
      </c>
      <c r="K7" s="19">
        <v>-0.9</v>
      </c>
      <c r="L7" s="116" t="s">
        <v>106</v>
      </c>
      <c r="M7" s="105" t="s">
        <v>64</v>
      </c>
      <c r="N7" s="47">
        <v>9.4</v>
      </c>
      <c r="O7" s="63">
        <v>0</v>
      </c>
      <c r="P7" s="63">
        <v>0</v>
      </c>
      <c r="Q7" s="47">
        <v>38</v>
      </c>
      <c r="R7" s="47">
        <f t="shared" si="0"/>
        <v>33</v>
      </c>
      <c r="S7" s="47">
        <v>2.2000000000000002</v>
      </c>
      <c r="T7" s="47">
        <v>0</v>
      </c>
      <c r="U7" s="75">
        <v>1.7999999999999999E-2</v>
      </c>
      <c r="V7" s="75">
        <v>0</v>
      </c>
      <c r="W7" s="47">
        <v>0</v>
      </c>
      <c r="X7" s="47">
        <v>20400</v>
      </c>
      <c r="Y7" s="47">
        <v>0</v>
      </c>
      <c r="Z7" s="47">
        <f t="shared" si="1"/>
        <v>107.39999999999996</v>
      </c>
      <c r="AA7" s="47">
        <v>1</v>
      </c>
      <c r="AB7" s="47">
        <f t="shared" si="2"/>
        <v>11040</v>
      </c>
      <c r="AC7" s="63">
        <v>35000</v>
      </c>
      <c r="AD7" s="63">
        <v>2222.2199999999998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46.000000000000007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63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298</v>
      </c>
      <c r="J8" s="47">
        <v>3</v>
      </c>
      <c r="K8" s="19">
        <v>-1.8</v>
      </c>
      <c r="L8" s="116" t="s">
        <v>107</v>
      </c>
      <c r="M8" s="105" t="s">
        <v>65</v>
      </c>
      <c r="N8" s="47">
        <v>8.5</v>
      </c>
      <c r="O8" s="63">
        <v>65</v>
      </c>
      <c r="P8" s="63">
        <v>30</v>
      </c>
      <c r="Q8" s="47">
        <v>0</v>
      </c>
      <c r="R8" s="47" t="e">
        <f t="shared" si="0"/>
        <v>#N/A</v>
      </c>
      <c r="S8" s="47">
        <v>3</v>
      </c>
      <c r="T8" s="47">
        <v>0</v>
      </c>
      <c r="U8" s="75">
        <v>1.7999999999999999E-2</v>
      </c>
      <c r="V8" s="75">
        <v>0</v>
      </c>
      <c r="W8" s="47">
        <v>0.5</v>
      </c>
      <c r="X8" s="47">
        <v>15700</v>
      </c>
      <c r="Y8" s="47">
        <v>0</v>
      </c>
      <c r="Z8" s="47" t="e">
        <f t="shared" si="1"/>
        <v>#N/A</v>
      </c>
      <c r="AA8" s="47">
        <v>1</v>
      </c>
      <c r="AB8" s="47" t="e">
        <f t="shared" si="2"/>
        <v>#N/A</v>
      </c>
      <c r="AC8" s="63">
        <v>65000</v>
      </c>
      <c r="AD8" s="63">
        <v>25555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 t="e">
        <f t="shared" si="3"/>
        <v>#N/A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0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295</v>
      </c>
      <c r="J9" s="47">
        <v>4</v>
      </c>
      <c r="K9" s="19">
        <v>-3.6</v>
      </c>
      <c r="L9" s="116" t="s">
        <v>106</v>
      </c>
      <c r="M9" s="105" t="s">
        <v>64</v>
      </c>
      <c r="N9" s="47">
        <v>9.4</v>
      </c>
      <c r="O9" s="63">
        <v>0</v>
      </c>
      <c r="P9" s="63">
        <v>0</v>
      </c>
      <c r="Q9" s="47">
        <v>36</v>
      </c>
      <c r="R9" s="47">
        <f t="shared" si="0"/>
        <v>31</v>
      </c>
      <c r="S9" s="47">
        <v>1.1000000000000001</v>
      </c>
      <c r="T9" s="47">
        <v>0</v>
      </c>
      <c r="U9" s="75">
        <v>0</v>
      </c>
      <c r="V9" s="75">
        <v>0</v>
      </c>
      <c r="W9" s="47">
        <v>0</v>
      </c>
      <c r="X9" s="47">
        <v>26200</v>
      </c>
      <c r="Y9" s="47">
        <v>0</v>
      </c>
      <c r="Z9" s="47">
        <f t="shared" si="1"/>
        <v>99.799999999999969</v>
      </c>
      <c r="AA9" s="47">
        <v>1</v>
      </c>
      <c r="AB9" s="47">
        <f t="shared" si="2"/>
        <v>10080</v>
      </c>
      <c r="AC9" s="63">
        <v>50000</v>
      </c>
      <c r="AD9" s="63">
        <v>7560.97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3"/>
        <v>42.000000000000007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47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296</v>
      </c>
      <c r="J10" s="47">
        <v>5</v>
      </c>
      <c r="K10" s="19">
        <v>-7.7</v>
      </c>
      <c r="L10" s="116" t="s">
        <v>107</v>
      </c>
      <c r="M10" s="105" t="s">
        <v>65</v>
      </c>
      <c r="N10" s="47">
        <v>9.5</v>
      </c>
      <c r="O10" s="63">
        <v>174</v>
      </c>
      <c r="P10" s="63">
        <v>-29.23</v>
      </c>
      <c r="Q10" s="47">
        <v>0</v>
      </c>
      <c r="R10" s="47" t="e">
        <f t="shared" si="0"/>
        <v>#N/A</v>
      </c>
      <c r="S10" s="47">
        <v>3</v>
      </c>
      <c r="T10" s="47">
        <v>0</v>
      </c>
      <c r="U10" s="75">
        <v>1.7999999999999999E-2</v>
      </c>
      <c r="V10" s="75">
        <v>0</v>
      </c>
      <c r="W10" s="47">
        <v>0.5</v>
      </c>
      <c r="X10" s="47">
        <v>29900</v>
      </c>
      <c r="Y10" s="47">
        <v>0</v>
      </c>
      <c r="Z10" s="47" t="e">
        <f t="shared" si="1"/>
        <v>#N/A</v>
      </c>
      <c r="AA10" s="47">
        <v>1</v>
      </c>
      <c r="AB10" s="47" t="e">
        <f t="shared" si="2"/>
        <v>#N/A</v>
      </c>
      <c r="AC10" s="63">
        <v>202000</v>
      </c>
      <c r="AD10" s="63">
        <v>-31538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 t="e">
        <f t="shared" si="3"/>
        <v>#N/A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287</v>
      </c>
      <c r="J11" s="47">
        <v>6</v>
      </c>
      <c r="K11" s="19">
        <v>-9</v>
      </c>
      <c r="L11" s="116" t="s">
        <v>288</v>
      </c>
      <c r="M11" s="105" t="s">
        <v>65</v>
      </c>
      <c r="N11" s="47">
        <v>8.4</v>
      </c>
      <c r="O11" s="63">
        <v>329</v>
      </c>
      <c r="P11" s="63">
        <v>26.44</v>
      </c>
      <c r="Q11" s="47">
        <v>0</v>
      </c>
      <c r="R11" s="47" t="e">
        <f t="shared" si="0"/>
        <v>#N/A</v>
      </c>
      <c r="S11" s="47">
        <v>3</v>
      </c>
      <c r="T11" s="47">
        <v>0</v>
      </c>
      <c r="U11" s="75">
        <v>1.7999999999999999E-2</v>
      </c>
      <c r="V11" s="75">
        <v>0</v>
      </c>
      <c r="W11" s="47">
        <v>0.25</v>
      </c>
      <c r="X11" s="47">
        <v>63700</v>
      </c>
      <c r="Y11" s="47">
        <v>0</v>
      </c>
      <c r="Z11" s="47" t="e">
        <f t="shared" si="1"/>
        <v>#N/A</v>
      </c>
      <c r="AA11" s="47">
        <v>1</v>
      </c>
      <c r="AB11" s="47" t="e">
        <f t="shared" si="2"/>
        <v>#N/A</v>
      </c>
      <c r="AC11" s="63">
        <v>384000</v>
      </c>
      <c r="AD11" s="63">
        <v>34667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 t="e">
        <f t="shared" si="3"/>
        <v>#N/A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287</v>
      </c>
      <c r="J12" s="47">
        <v>7</v>
      </c>
      <c r="K12" s="33">
        <v>-13.5</v>
      </c>
      <c r="L12" s="116" t="s">
        <v>288</v>
      </c>
      <c r="M12" s="105" t="s">
        <v>65</v>
      </c>
      <c r="N12" s="47">
        <v>8.4</v>
      </c>
      <c r="O12" s="63">
        <v>284</v>
      </c>
      <c r="P12" s="63">
        <v>12</v>
      </c>
      <c r="Q12" s="47">
        <v>0</v>
      </c>
      <c r="R12" s="47" t="e">
        <f t="shared" si="0"/>
        <v>#N/A</v>
      </c>
      <c r="S12" s="47">
        <v>3</v>
      </c>
      <c r="T12" s="47">
        <v>0</v>
      </c>
      <c r="U12" s="75">
        <v>1.7999999999999999E-2</v>
      </c>
      <c r="V12" s="75">
        <v>0</v>
      </c>
      <c r="W12" s="47">
        <v>0.25</v>
      </c>
      <c r="X12" s="47">
        <v>51100</v>
      </c>
      <c r="Y12" s="47">
        <v>0</v>
      </c>
      <c r="Z12" s="47" t="e">
        <f t="shared" si="1"/>
        <v>#N/A</v>
      </c>
      <c r="AA12" s="47">
        <v>1</v>
      </c>
      <c r="AB12" s="47" t="e">
        <f t="shared" si="2"/>
        <v>#N/A</v>
      </c>
      <c r="AC12" s="63">
        <v>342000</v>
      </c>
      <c r="AD12" s="63">
        <v>15000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3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287</v>
      </c>
      <c r="J13" s="47">
        <v>8</v>
      </c>
      <c r="K13" s="33">
        <v>-14.5</v>
      </c>
      <c r="L13" s="116" t="s">
        <v>288</v>
      </c>
      <c r="M13" s="105" t="s">
        <v>65</v>
      </c>
      <c r="N13" s="47">
        <v>8.4</v>
      </c>
      <c r="O13" s="63">
        <v>361</v>
      </c>
      <c r="P13" s="63">
        <v>109.2</v>
      </c>
      <c r="Q13" s="47">
        <v>0</v>
      </c>
      <c r="R13" s="47" t="e">
        <f t="shared" si="0"/>
        <v>#N/A</v>
      </c>
      <c r="S13" s="47">
        <v>3</v>
      </c>
      <c r="T13" s="47">
        <v>0</v>
      </c>
      <c r="U13" s="75">
        <v>1.7999999999999999E-2</v>
      </c>
      <c r="V13" s="75">
        <v>0</v>
      </c>
      <c r="W13" s="47">
        <v>0.25</v>
      </c>
      <c r="X13" s="47">
        <v>80200</v>
      </c>
      <c r="Y13" s="47">
        <v>0</v>
      </c>
      <c r="Z13" s="47" t="e">
        <f t="shared" si="1"/>
        <v>#N/A</v>
      </c>
      <c r="AA13" s="47">
        <v>1</v>
      </c>
      <c r="AB13" s="47" t="e">
        <f t="shared" si="2"/>
        <v>#N/A</v>
      </c>
      <c r="AC13" s="63">
        <v>431000</v>
      </c>
      <c r="AD13" s="63">
        <v>147600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3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287</v>
      </c>
      <c r="J14" s="47">
        <v>9</v>
      </c>
      <c r="K14" s="33">
        <v>-17</v>
      </c>
      <c r="L14" s="116" t="s">
        <v>288</v>
      </c>
      <c r="M14" s="105" t="s">
        <v>65</v>
      </c>
      <c r="N14" s="47">
        <v>8.4</v>
      </c>
      <c r="O14" s="63">
        <v>601</v>
      </c>
      <c r="P14" s="63">
        <v>-116.54</v>
      </c>
      <c r="Q14" s="47">
        <v>0</v>
      </c>
      <c r="R14" s="47" t="e">
        <f t="shared" si="0"/>
        <v>#N/A</v>
      </c>
      <c r="S14" s="47">
        <v>3</v>
      </c>
      <c r="T14" s="47">
        <v>0</v>
      </c>
      <c r="U14" s="75">
        <v>1.7999999999999999E-2</v>
      </c>
      <c r="V14" s="75">
        <v>0</v>
      </c>
      <c r="W14" s="47">
        <v>0.25</v>
      </c>
      <c r="X14" s="47">
        <v>77900</v>
      </c>
      <c r="Y14" s="47">
        <v>0</v>
      </c>
      <c r="Z14" s="47" t="e">
        <f t="shared" si="1"/>
        <v>#N/A</v>
      </c>
      <c r="AA14" s="47">
        <v>1</v>
      </c>
      <c r="AB14" s="47" t="e">
        <f t="shared" si="2"/>
        <v>#N/A</v>
      </c>
      <c r="AC14" s="63">
        <v>754000</v>
      </c>
      <c r="AD14" s="63">
        <v>-152307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 t="e">
        <f t="shared" si="3"/>
        <v>#N/A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299</v>
      </c>
      <c r="J15" s="47">
        <v>10</v>
      </c>
      <c r="K15" s="19">
        <v>-19.600000000000001</v>
      </c>
      <c r="L15" s="116" t="s">
        <v>107</v>
      </c>
      <c r="M15" s="105" t="s">
        <v>65</v>
      </c>
      <c r="N15" s="47">
        <v>9.5</v>
      </c>
      <c r="O15" s="63">
        <v>126</v>
      </c>
      <c r="P15" s="63">
        <v>22.5</v>
      </c>
      <c r="Q15" s="47">
        <v>0</v>
      </c>
      <c r="R15" s="47" t="e">
        <f t="shared" si="0"/>
        <v>#N/A</v>
      </c>
      <c r="S15" s="47">
        <v>2.1</v>
      </c>
      <c r="T15" s="47">
        <v>0</v>
      </c>
      <c r="U15" s="75">
        <v>1.7999999999999999E-2</v>
      </c>
      <c r="V15" s="75">
        <v>0</v>
      </c>
      <c r="W15" s="47">
        <v>0.5</v>
      </c>
      <c r="X15" s="47">
        <v>26500</v>
      </c>
      <c r="Y15" s="47">
        <v>0</v>
      </c>
      <c r="Z15" s="47" t="e">
        <f t="shared" si="1"/>
        <v>#N/A</v>
      </c>
      <c r="AA15" s="47">
        <v>1</v>
      </c>
      <c r="AB15" s="47" t="e">
        <f t="shared" si="2"/>
        <v>#N/A</v>
      </c>
      <c r="AC15" s="63">
        <v>159000</v>
      </c>
      <c r="AD15" s="63">
        <v>25000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3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299</v>
      </c>
      <c r="J16" s="47">
        <v>11</v>
      </c>
      <c r="K16" s="33">
        <v>-20.8</v>
      </c>
      <c r="L16" s="116" t="s">
        <v>107</v>
      </c>
      <c r="M16" s="105" t="s">
        <v>65</v>
      </c>
      <c r="N16" s="47">
        <v>9.5</v>
      </c>
      <c r="O16" s="63">
        <v>175</v>
      </c>
      <c r="P16" s="63">
        <v>-13.33</v>
      </c>
      <c r="Q16" s="47">
        <v>0</v>
      </c>
      <c r="R16" s="47" t="e">
        <f t="shared" si="0"/>
        <v>#N/A</v>
      </c>
      <c r="S16" s="47">
        <v>2.2000000000000002</v>
      </c>
      <c r="T16" s="47">
        <v>0</v>
      </c>
      <c r="U16" s="75">
        <v>1.7999999999999999E-2</v>
      </c>
      <c r="V16" s="75">
        <v>0</v>
      </c>
      <c r="W16" s="47">
        <v>0.5</v>
      </c>
      <c r="X16" s="47">
        <v>30800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221000</v>
      </c>
      <c r="AD16" s="63">
        <v>13333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3"/>
      <c r="E17" s="113"/>
      <c r="I17" s="33" t="s">
        <v>216</v>
      </c>
      <c r="J17" s="47">
        <v>12</v>
      </c>
      <c r="K17" s="19">
        <v>-22</v>
      </c>
      <c r="L17" s="116" t="s">
        <v>107</v>
      </c>
      <c r="M17" s="105" t="s">
        <v>65</v>
      </c>
      <c r="N17" s="47">
        <v>9.3000000000000007</v>
      </c>
      <c r="O17" s="63">
        <v>168</v>
      </c>
      <c r="P17" s="63">
        <v>2.31</v>
      </c>
      <c r="Q17" s="47">
        <v>0</v>
      </c>
      <c r="R17" s="47" t="e">
        <f t="shared" si="0"/>
        <v>#N/A</v>
      </c>
      <c r="S17" s="47">
        <v>2</v>
      </c>
      <c r="T17" s="47">
        <v>0</v>
      </c>
      <c r="U17" s="75">
        <v>1.7999999999999999E-2</v>
      </c>
      <c r="V17" s="75">
        <v>0</v>
      </c>
      <c r="W17" s="47">
        <v>0.5</v>
      </c>
      <c r="X17" s="47">
        <v>15900</v>
      </c>
      <c r="Y17" s="47">
        <v>0</v>
      </c>
      <c r="Z17" s="47" t="e">
        <f t="shared" si="1"/>
        <v>#N/A</v>
      </c>
      <c r="AA17" s="47">
        <v>1</v>
      </c>
      <c r="AB17" s="47" t="e">
        <f t="shared" si="2"/>
        <v>#N/A</v>
      </c>
      <c r="AC17" s="63">
        <v>215000</v>
      </c>
      <c r="AD17" s="63">
        <v>3333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3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300</v>
      </c>
      <c r="J18" s="47">
        <v>13</v>
      </c>
      <c r="K18" s="19">
        <v>-25.9</v>
      </c>
      <c r="L18" s="116" t="s">
        <v>106</v>
      </c>
      <c r="M18" s="105" t="s">
        <v>64</v>
      </c>
      <c r="N18" s="47">
        <v>10</v>
      </c>
      <c r="O18" s="63">
        <v>0</v>
      </c>
      <c r="P18" s="63">
        <v>0</v>
      </c>
      <c r="Q18" s="47">
        <v>27</v>
      </c>
      <c r="R18" s="47">
        <f t="shared" si="0"/>
        <v>22</v>
      </c>
      <c r="S18" s="47">
        <v>0.8</v>
      </c>
      <c r="T18" s="47">
        <v>0</v>
      </c>
      <c r="U18" s="75">
        <v>0</v>
      </c>
      <c r="V18" s="75">
        <v>0</v>
      </c>
      <c r="W18" s="47">
        <v>0</v>
      </c>
      <c r="X18" s="47">
        <v>22700</v>
      </c>
      <c r="Y18" s="47">
        <v>0</v>
      </c>
      <c r="Z18" s="47">
        <f t="shared" si="1"/>
        <v>72.59999999999998</v>
      </c>
      <c r="AA18" s="47">
        <v>1</v>
      </c>
      <c r="AB18" s="47">
        <f t="shared" si="2"/>
        <v>3660</v>
      </c>
      <c r="AC18" s="63">
        <v>138000</v>
      </c>
      <c r="AD18" s="63">
        <v>1000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>
        <f t="shared" si="3"/>
        <v>15.200000000000003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62</v>
      </c>
      <c r="AS18" s="33">
        <v>0.4</v>
      </c>
    </row>
    <row r="19" spans="1:45" x14ac:dyDescent="0.25">
      <c r="A19" s="113" t="s">
        <v>38</v>
      </c>
      <c r="B19" s="113" t="s">
        <v>30</v>
      </c>
      <c r="C19" s="113" t="s">
        <v>59</v>
      </c>
      <c r="D19" s="43"/>
      <c r="E19" s="35"/>
      <c r="I19" s="33" t="s">
        <v>273</v>
      </c>
      <c r="J19" s="47">
        <v>14</v>
      </c>
      <c r="K19" s="19">
        <v>-29.9</v>
      </c>
      <c r="L19" s="116" t="s">
        <v>107</v>
      </c>
      <c r="M19" s="105" t="s">
        <v>65</v>
      </c>
      <c r="N19" s="47">
        <v>8.9</v>
      </c>
      <c r="O19" s="63">
        <v>225</v>
      </c>
      <c r="P19" s="63">
        <v>3.59</v>
      </c>
      <c r="Q19" s="47">
        <v>0</v>
      </c>
      <c r="R19" s="47" t="e">
        <f t="shared" si="0"/>
        <v>#N/A</v>
      </c>
      <c r="S19" s="47">
        <v>2.2000000000000002</v>
      </c>
      <c r="T19" s="47">
        <v>0</v>
      </c>
      <c r="U19" s="75">
        <v>1.7999999999999999E-2</v>
      </c>
      <c r="V19" s="75">
        <v>0</v>
      </c>
      <c r="W19" s="47">
        <v>0.5</v>
      </c>
      <c r="X19" s="47">
        <v>24100</v>
      </c>
      <c r="Y19" s="47">
        <v>0</v>
      </c>
      <c r="Z19" s="47" t="e">
        <f t="shared" si="1"/>
        <v>#N/A</v>
      </c>
      <c r="AA19" s="47">
        <v>1</v>
      </c>
      <c r="AB19" s="47" t="e">
        <f t="shared" si="2"/>
        <v>#N/A</v>
      </c>
      <c r="AC19" s="63">
        <v>323000</v>
      </c>
      <c r="AD19" s="63">
        <v>5083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3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56" t="s">
        <v>218</v>
      </c>
      <c r="J20" s="47">
        <v>15</v>
      </c>
      <c r="K20" s="19">
        <v>-48</v>
      </c>
      <c r="L20" s="116" t="s">
        <v>288</v>
      </c>
      <c r="M20" s="105" t="s">
        <v>65</v>
      </c>
      <c r="N20" s="47">
        <v>8.3000000000000007</v>
      </c>
      <c r="O20" s="63">
        <v>403</v>
      </c>
      <c r="P20" s="63">
        <v>6.41</v>
      </c>
      <c r="Q20" s="47">
        <v>0</v>
      </c>
      <c r="R20" s="47" t="e">
        <f t="shared" si="0"/>
        <v>#N/A</v>
      </c>
      <c r="S20" s="47">
        <v>2.1</v>
      </c>
      <c r="T20" s="47">
        <v>0</v>
      </c>
      <c r="U20" s="75">
        <v>1.7999999999999999E-2</v>
      </c>
      <c r="V20" s="75">
        <v>0</v>
      </c>
      <c r="W20" s="47">
        <v>0.25</v>
      </c>
      <c r="X20" s="47">
        <v>40200</v>
      </c>
      <c r="Y20" s="47">
        <v>0</v>
      </c>
      <c r="Z20" s="47" t="e">
        <f t="shared" si="1"/>
        <v>#N/A</v>
      </c>
      <c r="AA20" s="47">
        <v>1</v>
      </c>
      <c r="AB20" s="47" t="e">
        <f t="shared" si="2"/>
        <v>#N/A</v>
      </c>
      <c r="AC20" s="63">
        <v>581000</v>
      </c>
      <c r="AD20" s="63">
        <v>11000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 t="e">
        <f t="shared" si="3"/>
        <v>#N/A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0</v>
      </c>
      <c r="AS20" s="33">
        <v>0.4</v>
      </c>
    </row>
    <row r="21" spans="1:45" x14ac:dyDescent="0.25">
      <c r="A21" s="66"/>
      <c r="B21" s="66"/>
      <c r="C21" s="67"/>
      <c r="D21" s="43"/>
      <c r="I21" s="56" t="s">
        <v>220</v>
      </c>
      <c r="J21" s="47">
        <v>16</v>
      </c>
      <c r="K21" s="19">
        <v>-65</v>
      </c>
      <c r="L21" s="116" t="s">
        <v>288</v>
      </c>
      <c r="M21" s="105" t="s">
        <v>65</v>
      </c>
      <c r="N21" s="47">
        <v>8.8000000000000007</v>
      </c>
      <c r="O21" s="63">
        <v>937</v>
      </c>
      <c r="P21" s="63">
        <v>11.46</v>
      </c>
      <c r="Q21" s="47">
        <v>0</v>
      </c>
      <c r="R21" s="47" t="e">
        <f t="shared" ref="R21" si="4">IF(Q21&lt;&gt;0,Q21-5,NA())</f>
        <v>#N/A</v>
      </c>
      <c r="S21" s="47">
        <v>3</v>
      </c>
      <c r="T21" s="47">
        <v>0</v>
      </c>
      <c r="U21" s="75">
        <v>1.7999999999999999E-2</v>
      </c>
      <c r="V21" s="75">
        <v>0</v>
      </c>
      <c r="W21" s="47">
        <v>0.25</v>
      </c>
      <c r="X21" s="47">
        <v>85500</v>
      </c>
      <c r="Y21" s="47">
        <v>0</v>
      </c>
      <c r="Z21" s="47" t="e">
        <f t="shared" ref="Z21" si="5">VLOOKUP(R21,$AE$39:$AF$59,2)</f>
        <v>#N/A</v>
      </c>
      <c r="AA21" s="47">
        <v>1</v>
      </c>
      <c r="AB21" s="47" t="e">
        <f t="shared" ref="AB21" si="6">VLOOKUP(R21,$AE$39:$AG$59,3)</f>
        <v>#N/A</v>
      </c>
      <c r="AC21" s="63">
        <v>1529000</v>
      </c>
      <c r="AD21" s="63">
        <v>23067</v>
      </c>
      <c r="AE21" s="63">
        <v>0.3</v>
      </c>
      <c r="AF21" s="63">
        <v>0</v>
      </c>
      <c r="AG21" s="63">
        <v>0</v>
      </c>
      <c r="AH21" s="63">
        <v>0</v>
      </c>
      <c r="AI21" s="63">
        <v>0</v>
      </c>
      <c r="AJ21" s="47" t="e">
        <f t="shared" ref="AJ21" si="7">VLOOKUP(R21,$AE$39:$AH$59,4)</f>
        <v>#N/A</v>
      </c>
      <c r="AK21" s="47">
        <v>1</v>
      </c>
      <c r="AL21" s="47">
        <v>1</v>
      </c>
      <c r="AM21" s="47">
        <v>1</v>
      </c>
      <c r="AN21" s="47">
        <v>1</v>
      </c>
      <c r="AO21" s="47">
        <v>1</v>
      </c>
      <c r="AP21" s="47">
        <v>1</v>
      </c>
      <c r="AQ21" s="47">
        <v>0</v>
      </c>
      <c r="AR21" s="47">
        <v>0</v>
      </c>
      <c r="AS21" s="33">
        <v>0.4</v>
      </c>
    </row>
    <row r="22" spans="1:45" x14ac:dyDescent="0.25">
      <c r="A22" s="66"/>
      <c r="B22" s="66"/>
      <c r="C22" s="67"/>
      <c r="D22" s="35"/>
      <c r="I22" s="56" t="s">
        <v>220</v>
      </c>
      <c r="J22" s="47">
        <v>17</v>
      </c>
      <c r="K22" s="33">
        <v>-80</v>
      </c>
      <c r="L22" s="116" t="s">
        <v>288</v>
      </c>
      <c r="M22" s="105" t="s">
        <v>65</v>
      </c>
      <c r="N22" s="47">
        <v>8.8000000000000007</v>
      </c>
      <c r="O22" s="63">
        <v>1109</v>
      </c>
      <c r="P22" s="63">
        <v>0</v>
      </c>
      <c r="Q22" s="47">
        <v>0</v>
      </c>
      <c r="R22" s="47" t="e">
        <f t="shared" ref="R22" si="8">IF(Q22&lt;&gt;0,Q22-5,NA())</f>
        <v>#N/A</v>
      </c>
      <c r="S22" s="47">
        <v>3</v>
      </c>
      <c r="T22" s="47">
        <v>0</v>
      </c>
      <c r="U22" s="75">
        <v>1.7999999999999999E-2</v>
      </c>
      <c r="V22" s="75">
        <v>0</v>
      </c>
      <c r="W22" s="47">
        <v>0.25</v>
      </c>
      <c r="X22" s="47">
        <v>85500</v>
      </c>
      <c r="Y22" s="47">
        <v>0</v>
      </c>
      <c r="Z22" s="47" t="e">
        <f t="shared" ref="Z22" si="9">VLOOKUP(R22,$AE$39:$AF$59,2)</f>
        <v>#N/A</v>
      </c>
      <c r="AA22" s="47">
        <v>1</v>
      </c>
      <c r="AB22" s="47" t="e">
        <f t="shared" ref="AB22" si="10">VLOOKUP(R22,$AE$39:$AG$59,3)</f>
        <v>#N/A</v>
      </c>
      <c r="AC22" s="63">
        <v>1875000</v>
      </c>
      <c r="AD22" s="63">
        <v>0</v>
      </c>
      <c r="AE22" s="63">
        <v>0.3</v>
      </c>
      <c r="AF22" s="63">
        <v>0</v>
      </c>
      <c r="AG22" s="63">
        <v>0</v>
      </c>
      <c r="AH22" s="63">
        <v>0</v>
      </c>
      <c r="AI22" s="63">
        <v>0</v>
      </c>
      <c r="AJ22" s="47" t="e">
        <f t="shared" ref="AJ22" si="11">VLOOKUP(R22,$AE$39:$AH$59,4)</f>
        <v>#N/A</v>
      </c>
      <c r="AK22" s="47">
        <v>1</v>
      </c>
      <c r="AL22" s="47">
        <v>1</v>
      </c>
      <c r="AM22" s="47">
        <v>1</v>
      </c>
      <c r="AN22" s="47">
        <v>1</v>
      </c>
      <c r="AO22" s="47">
        <v>1</v>
      </c>
      <c r="AP22" s="47">
        <v>1</v>
      </c>
      <c r="AQ22" s="47">
        <v>0</v>
      </c>
      <c r="AR22" s="47">
        <v>0</v>
      </c>
      <c r="AS22" s="33">
        <v>0.4</v>
      </c>
    </row>
    <row r="23" spans="1:45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</row>
    <row r="30" spans="1:45" x14ac:dyDescent="0.25">
      <c r="A30" s="66"/>
      <c r="B30" s="66"/>
      <c r="C30" s="67"/>
      <c r="D30" s="35"/>
    </row>
    <row r="31" spans="1:45" x14ac:dyDescent="0.25">
      <c r="A31" s="66"/>
      <c r="B31" s="66"/>
      <c r="C31" s="67"/>
      <c r="D31" s="35"/>
    </row>
    <row r="32" spans="1:45" x14ac:dyDescent="0.25">
      <c r="A32" s="66"/>
      <c r="B32" s="66"/>
      <c r="C32" s="67"/>
      <c r="D32" s="35"/>
    </row>
    <row r="33" spans="1:42" x14ac:dyDescent="0.25">
      <c r="A33" s="66"/>
      <c r="B33" s="66"/>
      <c r="C33" s="67"/>
      <c r="D33" s="35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12">AF40+3.8</f>
        <v>55.599999999999994</v>
      </c>
      <c r="AG41" s="33">
        <f t="shared" ref="AG41:AG43" si="13">AG40+200</f>
        <v>2300</v>
      </c>
      <c r="AH41" s="33">
        <f t="shared" ref="AH41:AH44" si="14">AH40+0.8</f>
        <v>9.6000000000000014</v>
      </c>
    </row>
    <row r="42" spans="1:42" x14ac:dyDescent="0.25">
      <c r="L42" s="49"/>
      <c r="AE42" s="33">
        <v>18</v>
      </c>
      <c r="AF42" s="33">
        <f t="shared" si="12"/>
        <v>59.399999999999991</v>
      </c>
      <c r="AG42" s="33">
        <f t="shared" si="13"/>
        <v>2500</v>
      </c>
      <c r="AH42" s="33">
        <f t="shared" si="14"/>
        <v>10.400000000000002</v>
      </c>
    </row>
    <row r="43" spans="1:42" x14ac:dyDescent="0.25">
      <c r="L43" s="49"/>
      <c r="AE43" s="33">
        <v>19</v>
      </c>
      <c r="AF43" s="33">
        <f t="shared" si="12"/>
        <v>63.199999999999989</v>
      </c>
      <c r="AG43" s="33">
        <f t="shared" si="13"/>
        <v>2700</v>
      </c>
      <c r="AH43" s="33">
        <f t="shared" si="14"/>
        <v>11.200000000000003</v>
      </c>
    </row>
    <row r="44" spans="1:42" x14ac:dyDescent="0.25">
      <c r="L44" s="49"/>
      <c r="AE44" s="33">
        <v>20</v>
      </c>
      <c r="AF44" s="33">
        <f t="shared" si="12"/>
        <v>66.999999999999986</v>
      </c>
      <c r="AG44" s="33">
        <f>AG43+200</f>
        <v>2900</v>
      </c>
      <c r="AH44" s="33">
        <f t="shared" si="14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5">AF45+2.8</f>
        <v>72.59999999999998</v>
      </c>
      <c r="AG46" s="33">
        <f t="shared" ref="AG46:AG48" si="16">AG45+380</f>
        <v>3660</v>
      </c>
      <c r="AH46" s="33">
        <f t="shared" ref="AH46:AH49" si="17">AH45+1.6</f>
        <v>15.200000000000003</v>
      </c>
    </row>
    <row r="47" spans="1:42" x14ac:dyDescent="0.25">
      <c r="L47" s="49"/>
      <c r="AE47" s="33">
        <v>23</v>
      </c>
      <c r="AF47" s="33">
        <f t="shared" si="15"/>
        <v>75.399999999999977</v>
      </c>
      <c r="AG47" s="33">
        <f t="shared" si="16"/>
        <v>4040</v>
      </c>
      <c r="AH47" s="33">
        <f t="shared" si="17"/>
        <v>16.800000000000004</v>
      </c>
    </row>
    <row r="48" spans="1:42" x14ac:dyDescent="0.25">
      <c r="L48" s="49"/>
      <c r="AE48" s="33">
        <v>24</v>
      </c>
      <c r="AF48" s="33">
        <f t="shared" si="15"/>
        <v>78.199999999999974</v>
      </c>
      <c r="AG48" s="33">
        <f t="shared" si="16"/>
        <v>4420</v>
      </c>
      <c r="AH48" s="33">
        <f t="shared" si="17"/>
        <v>18.400000000000006</v>
      </c>
    </row>
    <row r="49" spans="12:34" x14ac:dyDescent="0.25">
      <c r="L49" s="49"/>
      <c r="AE49" s="33">
        <v>25</v>
      </c>
      <c r="AF49" s="33">
        <f t="shared" si="15"/>
        <v>80.999999999999972</v>
      </c>
      <c r="AG49" s="33">
        <v>4800</v>
      </c>
      <c r="AH49" s="33">
        <f t="shared" si="17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8">AF50+3</f>
        <v>86.999999999999972</v>
      </c>
      <c r="AG51" s="33">
        <f t="shared" ref="AG51:AG54" si="19">AG50+960</f>
        <v>6720</v>
      </c>
      <c r="AH51" s="33">
        <f t="shared" ref="AH51:AH54" si="20">AH50+4</f>
        <v>28.000000000000007</v>
      </c>
    </row>
    <row r="52" spans="12:34" x14ac:dyDescent="0.25">
      <c r="L52" s="49"/>
      <c r="AE52" s="33">
        <v>28</v>
      </c>
      <c r="AF52" s="33">
        <f t="shared" si="18"/>
        <v>89.999999999999972</v>
      </c>
      <c r="AG52" s="33">
        <f t="shared" si="19"/>
        <v>7680</v>
      </c>
      <c r="AH52" s="33">
        <f t="shared" si="20"/>
        <v>32.000000000000007</v>
      </c>
    </row>
    <row r="53" spans="12:34" x14ac:dyDescent="0.25">
      <c r="L53" s="49"/>
      <c r="AE53" s="33">
        <v>29</v>
      </c>
      <c r="AF53" s="33">
        <f t="shared" si="18"/>
        <v>92.999999999999972</v>
      </c>
      <c r="AG53" s="33">
        <f t="shared" si="19"/>
        <v>8640</v>
      </c>
      <c r="AH53" s="33">
        <f t="shared" si="20"/>
        <v>36.000000000000007</v>
      </c>
    </row>
    <row r="54" spans="12:34" x14ac:dyDescent="0.25">
      <c r="L54" s="49"/>
      <c r="AE54" s="33">
        <v>30</v>
      </c>
      <c r="AF54" s="33">
        <f t="shared" si="18"/>
        <v>95.999999999999972</v>
      </c>
      <c r="AG54" s="33">
        <f t="shared" si="19"/>
        <v>9600</v>
      </c>
      <c r="AH54" s="33">
        <f t="shared" si="20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21">AF55+3.8</f>
        <v>103.59999999999997</v>
      </c>
      <c r="AG56" s="33">
        <f t="shared" ref="AG56:AG59" si="22">AG55+480</f>
        <v>10560</v>
      </c>
      <c r="AH56" s="33">
        <f t="shared" ref="AH56:AH59" si="23">AH55+2</f>
        <v>44.000000000000007</v>
      </c>
    </row>
    <row r="57" spans="12:34" x14ac:dyDescent="0.25">
      <c r="L57" s="49"/>
      <c r="AE57" s="33">
        <v>33</v>
      </c>
      <c r="AF57" s="33">
        <f t="shared" si="21"/>
        <v>107.39999999999996</v>
      </c>
      <c r="AG57" s="33">
        <f t="shared" si="22"/>
        <v>11040</v>
      </c>
      <c r="AH57" s="33">
        <f t="shared" si="23"/>
        <v>46.000000000000007</v>
      </c>
    </row>
    <row r="58" spans="12:34" x14ac:dyDescent="0.25">
      <c r="L58" s="49"/>
      <c r="AE58" s="33">
        <v>34</v>
      </c>
      <c r="AF58" s="33">
        <f t="shared" si="21"/>
        <v>111.19999999999996</v>
      </c>
      <c r="AG58" s="33">
        <f t="shared" si="22"/>
        <v>11520</v>
      </c>
      <c r="AH58" s="33">
        <f t="shared" si="23"/>
        <v>48.000000000000007</v>
      </c>
    </row>
    <row r="59" spans="12:34" x14ac:dyDescent="0.25">
      <c r="L59" s="49"/>
      <c r="AE59" s="33">
        <v>35</v>
      </c>
      <c r="AF59" s="33">
        <f t="shared" si="21"/>
        <v>114.99999999999996</v>
      </c>
      <c r="AG59" s="33">
        <f t="shared" si="22"/>
        <v>12000</v>
      </c>
      <c r="AH59" s="33">
        <f t="shared" si="23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5:AP36 Q35:Q36 AM23:AP23 Q23 N35:N36 N23:O23">
    <cfRule type="expression" dxfId="3083" priority="144">
      <formula>$L23="API sand"</formula>
    </cfRule>
  </conditionalFormatting>
  <conditionalFormatting sqref="R35:S36 AB35 AJ35:AL36 Z35:Z36 S23 AD23 AB23 AJ23:AL23 Z23 N35:N36 N23">
    <cfRule type="expression" dxfId="3082" priority="143">
      <formula>$M23="API sand"</formula>
    </cfRule>
  </conditionalFormatting>
  <conditionalFormatting sqref="R35:T36 Z35:AB35 S23:T23 AD23 Z23:AB23 AK35:AL36 N35:N36 N23 AK23:AL23">
    <cfRule type="expression" dxfId="3081" priority="142">
      <formula>$M23="API clay"</formula>
    </cfRule>
  </conditionalFormatting>
  <conditionalFormatting sqref="U35:W36 U23:W23 N23 P23 AM35:AP36 N35:P36 AM23:AP23">
    <cfRule type="expression" dxfId="3080" priority="139">
      <formula>$L23="Stiff clay w/o free water"</formula>
    </cfRule>
    <cfRule type="expression" dxfId="3079" priority="141">
      <formula>$L23="API clay"</formula>
    </cfRule>
  </conditionalFormatting>
  <conditionalFormatting sqref="U35:Y36 U23:Y23 N23 P23 AM35:AP36 N35:P36 AM23:AP23">
    <cfRule type="expression" dxfId="3078" priority="140">
      <formula>$L23="Kirsch soft clay"</formula>
    </cfRule>
  </conditionalFormatting>
  <conditionalFormatting sqref="U35:Y36 U23:Y23 N23 P23 AM35:AP36 N35:P36 AM23:AP23">
    <cfRule type="expression" dxfId="3077" priority="138">
      <formula>$L23="Kirsch stiff clay"</formula>
    </cfRule>
  </conditionalFormatting>
  <conditionalFormatting sqref="AM35:AP36 Q35:Q36 X35:Y36 AM23:AP23 Q23 X23:Y23 N35:N36 N23:O23">
    <cfRule type="expression" dxfId="3076" priority="137">
      <formula>$L23="Kirsch sand"</formula>
    </cfRule>
  </conditionalFormatting>
  <conditionalFormatting sqref="AC35:AD36 AI35:AI36 AC23:AD23 AI23 AM35:AP36 N35:N36 N23 AM23:AP23">
    <cfRule type="expression" dxfId="3075" priority="136">
      <formula>$L23="Modified Weak rock"</formula>
    </cfRule>
  </conditionalFormatting>
  <conditionalFormatting sqref="N23 P23 AM35:AP36 N35:P36 U35:V36 U23:V23 AM23:AP23">
    <cfRule type="expression" dxfId="3074" priority="135">
      <formula>$L23="Reese stiff clay"</formula>
    </cfRule>
  </conditionalFormatting>
  <conditionalFormatting sqref="AB36">
    <cfRule type="expression" dxfId="3073" priority="133">
      <formula>$M36="API sand"</formula>
    </cfRule>
  </conditionalFormatting>
  <conditionalFormatting sqref="Z36:AB36">
    <cfRule type="expression" dxfId="3072" priority="132">
      <formula>$M36="API clay"</formula>
    </cfRule>
  </conditionalFormatting>
  <conditionalFormatting sqref="AE37:AH37">
    <cfRule type="expression" dxfId="3071" priority="950">
      <formula>#REF!="Modified Weak rock"</formula>
    </cfRule>
  </conditionalFormatting>
  <dataValidations count="3">
    <dataValidation type="list" showInputMessage="1" showErrorMessage="1" sqref="L35:L255 L6:L23" xr:uid="{17A45376-674C-4B7C-8862-AB16F0059BE2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22" xr:uid="{32482C33-A8DB-45CA-BC92-3FD12EC52D84}">
      <formula1>"Zero soil,API sand,API clay"</formula1>
    </dataValidation>
    <dataValidation type="list" showInputMessage="1" showErrorMessage="1" sqref="M35:M36 M7:M23" xr:uid="{B20875E3-4079-4968-8D3D-484CE8DF28B3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57B1F-D043-4CB2-941C-78169C357EE1}">
  <sheetPr>
    <tabColor rgb="FF00B0F0"/>
  </sheetPr>
  <dimension ref="A1:AS255"/>
  <sheetViews>
    <sheetView zoomScale="85" zoomScaleNormal="85" workbookViewId="0">
      <selection activeCell="I3" sqref="I3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Ak_Pisa_WTG50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4"/>
      <c r="R3" s="155"/>
      <c r="S3" s="155"/>
      <c r="T3" s="114"/>
      <c r="U3" s="155"/>
      <c r="V3" s="155"/>
      <c r="W3" s="114"/>
      <c r="X3" s="69"/>
      <c r="Y3" s="114"/>
      <c r="Z3" s="114"/>
      <c r="AA3" s="114"/>
      <c r="AB3" s="114"/>
      <c r="AC3" s="69"/>
      <c r="AD3" s="39"/>
      <c r="AE3" s="39"/>
      <c r="AF3" s="39"/>
      <c r="AG3" s="39"/>
      <c r="AH3" s="39"/>
      <c r="AI3" s="39"/>
      <c r="AJ3" s="114"/>
      <c r="AK3" s="114"/>
      <c r="AL3" s="114"/>
      <c r="AM3" s="114"/>
      <c r="AN3" s="114"/>
      <c r="AO3" s="114"/>
      <c r="AP3" s="114"/>
    </row>
    <row r="4" spans="1:45" x14ac:dyDescent="0.25">
      <c r="A4" s="40" t="s">
        <v>60</v>
      </c>
      <c r="B4" s="33">
        <f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5" t="s">
        <v>38</v>
      </c>
      <c r="K5" s="115" t="s">
        <v>30</v>
      </c>
      <c r="L5" s="115" t="s">
        <v>31</v>
      </c>
      <c r="M5" s="115" t="s">
        <v>31</v>
      </c>
      <c r="N5" s="115" t="s">
        <v>32</v>
      </c>
      <c r="O5" s="115" t="s">
        <v>33</v>
      </c>
      <c r="P5" s="115" t="s">
        <v>35</v>
      </c>
      <c r="Q5" s="115" t="s">
        <v>36</v>
      </c>
      <c r="R5" s="115" t="s">
        <v>36</v>
      </c>
      <c r="S5" s="115" t="s">
        <v>34</v>
      </c>
      <c r="T5" s="115" t="s">
        <v>33</v>
      </c>
      <c r="U5" s="115" t="s">
        <v>34</v>
      </c>
      <c r="V5" s="115" t="s">
        <v>62</v>
      </c>
      <c r="W5" s="115" t="s">
        <v>34</v>
      </c>
      <c r="X5" s="115" t="s">
        <v>33</v>
      </c>
      <c r="Y5" s="115" t="s">
        <v>35</v>
      </c>
      <c r="Z5" s="115" t="s">
        <v>33</v>
      </c>
      <c r="AA5" s="115" t="s">
        <v>34</v>
      </c>
      <c r="AB5" s="115" t="s">
        <v>33</v>
      </c>
      <c r="AC5" s="115" t="s">
        <v>33</v>
      </c>
      <c r="AD5" s="115" t="s">
        <v>35</v>
      </c>
      <c r="AE5" s="115" t="s">
        <v>34</v>
      </c>
      <c r="AF5" s="115" t="s">
        <v>33</v>
      </c>
      <c r="AG5" s="115" t="s">
        <v>35</v>
      </c>
      <c r="AH5" s="115" t="s">
        <v>34</v>
      </c>
      <c r="AI5" s="115" t="s">
        <v>34</v>
      </c>
      <c r="AJ5" s="115" t="s">
        <v>34</v>
      </c>
      <c r="AK5" s="115" t="s">
        <v>34</v>
      </c>
      <c r="AL5" s="115" t="s">
        <v>34</v>
      </c>
      <c r="AM5" s="115" t="s">
        <v>34</v>
      </c>
      <c r="AN5" s="115" t="s">
        <v>34</v>
      </c>
      <c r="AO5" s="115" t="s">
        <v>34</v>
      </c>
      <c r="AP5" s="115" t="s">
        <v>34</v>
      </c>
      <c r="AQ5" s="115" t="s">
        <v>103</v>
      </c>
      <c r="AR5" s="115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EW_sand_Ruled_93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39</v>
      </c>
      <c r="R6" s="47">
        <f t="shared" ref="R6:R16" si="0">IF(Q6&lt;&gt;0,Q6-5,NA())</f>
        <v>34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14500</v>
      </c>
      <c r="Y6" s="47">
        <v>0</v>
      </c>
      <c r="Z6" s="47">
        <f t="shared" ref="Z6:Z16" si="1">VLOOKUP(R6,$AE$39:$AF$59,2)</f>
        <v>111.19999999999996</v>
      </c>
      <c r="AA6" s="47">
        <v>1</v>
      </c>
      <c r="AB6" s="47">
        <f t="shared" ref="AB6:AB16" si="2">VLOOKUP(R6,$AE$39:$AG$59,3)</f>
        <v>11520</v>
      </c>
      <c r="AC6" s="63">
        <v>11000</v>
      </c>
      <c r="AD6" s="63">
        <v>22000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6" si="3">VLOOKUP(R6,$AE$39:$AH$59,4)</f>
        <v>48.000000000000007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93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-1</v>
      </c>
      <c r="L7" s="33" t="str">
        <f>"EW_sand_Ruled"&amp;"_"&amp;AR7</f>
        <v>EW_sand_Ruled_100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42</v>
      </c>
      <c r="R7" s="47">
        <f t="shared" si="0"/>
        <v>37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49700</v>
      </c>
      <c r="Y7" s="47">
        <v>0</v>
      </c>
      <c r="Z7" s="47">
        <f t="shared" si="1"/>
        <v>114.99999999999996</v>
      </c>
      <c r="AA7" s="47">
        <v>1</v>
      </c>
      <c r="AB7" s="47">
        <f t="shared" si="2"/>
        <v>12000</v>
      </c>
      <c r="AC7" s="63">
        <v>44000</v>
      </c>
      <c r="AD7" s="63">
        <v>10000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295</v>
      </c>
      <c r="J8" s="47">
        <v>3</v>
      </c>
      <c r="K8" s="19">
        <v>-3</v>
      </c>
      <c r="L8" s="33" t="str">
        <f>"EW_sand_Ruled"&amp;"_"&amp;AR8</f>
        <v>EW_sand_Ruled_58</v>
      </c>
      <c r="M8" s="105" t="s">
        <v>64</v>
      </c>
      <c r="N8" s="47">
        <v>9.4</v>
      </c>
      <c r="O8" s="63">
        <v>0</v>
      </c>
      <c r="P8" s="63">
        <v>0</v>
      </c>
      <c r="Q8" s="47">
        <v>38</v>
      </c>
      <c r="R8" s="47">
        <f t="shared" si="0"/>
        <v>33</v>
      </c>
      <c r="S8" s="47">
        <v>1.4</v>
      </c>
      <c r="T8" s="47">
        <v>0</v>
      </c>
      <c r="U8" s="75">
        <v>0</v>
      </c>
      <c r="V8" s="75">
        <v>0</v>
      </c>
      <c r="W8" s="47">
        <v>0</v>
      </c>
      <c r="X8" s="47">
        <v>36200</v>
      </c>
      <c r="Y8" s="47">
        <v>0</v>
      </c>
      <c r="Z8" s="47">
        <f t="shared" si="1"/>
        <v>107.39999999999996</v>
      </c>
      <c r="AA8" s="47">
        <v>1</v>
      </c>
      <c r="AB8" s="47">
        <f t="shared" si="2"/>
        <v>11040</v>
      </c>
      <c r="AC8" s="63">
        <v>55000</v>
      </c>
      <c r="AD8" s="63">
        <v>6410.25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46.000000000000007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58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56" t="s">
        <v>296</v>
      </c>
      <c r="J9" s="47">
        <v>4</v>
      </c>
      <c r="K9" s="19">
        <v>-6.9</v>
      </c>
      <c r="L9" s="116" t="s">
        <v>275</v>
      </c>
      <c r="M9" s="105" t="s">
        <v>65</v>
      </c>
      <c r="N9" s="47">
        <v>9.5</v>
      </c>
      <c r="O9" s="63">
        <v>55</v>
      </c>
      <c r="P9" s="63">
        <v>46.67</v>
      </c>
      <c r="Q9" s="47">
        <v>0</v>
      </c>
      <c r="R9" s="47" t="e">
        <f t="shared" si="0"/>
        <v>#N/A</v>
      </c>
      <c r="S9" s="47">
        <v>3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12300</v>
      </c>
      <c r="Y9" s="47">
        <v>0</v>
      </c>
      <c r="Z9" s="47" t="e">
        <f t="shared" si="1"/>
        <v>#N/A</v>
      </c>
      <c r="AA9" s="47">
        <v>1</v>
      </c>
      <c r="AB9" s="47" t="e">
        <f t="shared" si="2"/>
        <v>#N/A</v>
      </c>
      <c r="AC9" s="63">
        <v>55000</v>
      </c>
      <c r="AD9" s="63">
        <v>40000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3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259</v>
      </c>
      <c r="J10" s="47">
        <v>5</v>
      </c>
      <c r="K10" s="19">
        <v>-7.2</v>
      </c>
      <c r="L10" s="33" t="str">
        <f>"EW_sand_Ruled"&amp;"_"&amp;AR10</f>
        <v>EW_sand_Ruled_63</v>
      </c>
      <c r="M10" s="105" t="s">
        <v>64</v>
      </c>
      <c r="N10" s="47">
        <v>10</v>
      </c>
      <c r="O10" s="63">
        <v>0</v>
      </c>
      <c r="P10" s="63">
        <v>0</v>
      </c>
      <c r="Q10" s="47">
        <v>37</v>
      </c>
      <c r="R10" s="47">
        <f t="shared" si="0"/>
        <v>32</v>
      </c>
      <c r="S10" s="47">
        <v>0.9</v>
      </c>
      <c r="T10" s="47">
        <v>0</v>
      </c>
      <c r="U10" s="75">
        <v>0</v>
      </c>
      <c r="V10" s="75">
        <v>0</v>
      </c>
      <c r="W10" s="47">
        <v>0</v>
      </c>
      <c r="X10" s="47">
        <v>48300</v>
      </c>
      <c r="Y10" s="47">
        <v>0</v>
      </c>
      <c r="Z10" s="47">
        <f t="shared" si="1"/>
        <v>103.59999999999997</v>
      </c>
      <c r="AA10" s="47">
        <v>1</v>
      </c>
      <c r="AB10" s="47">
        <f t="shared" si="2"/>
        <v>10560</v>
      </c>
      <c r="AC10" s="63">
        <v>71000</v>
      </c>
      <c r="AD10" s="63">
        <v>6250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3"/>
        <v>44.000000000000007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63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261</v>
      </c>
      <c r="J11" s="47">
        <v>6</v>
      </c>
      <c r="K11" s="19">
        <v>-16</v>
      </c>
      <c r="L11" s="33" t="str">
        <f>"EW_sand_Ruled"&amp;"_"&amp;AR11</f>
        <v>EW_sand_Ruled_66</v>
      </c>
      <c r="M11" s="105" t="s">
        <v>64</v>
      </c>
      <c r="N11" s="47">
        <v>9.9</v>
      </c>
      <c r="O11" s="63">
        <v>0</v>
      </c>
      <c r="P11" s="63">
        <v>0</v>
      </c>
      <c r="Q11" s="47">
        <v>38</v>
      </c>
      <c r="R11" s="47">
        <f t="shared" si="0"/>
        <v>33</v>
      </c>
      <c r="S11" s="47">
        <v>0.7</v>
      </c>
      <c r="T11" s="47">
        <v>0</v>
      </c>
      <c r="U11" s="75">
        <v>0</v>
      </c>
      <c r="V11" s="75">
        <v>0</v>
      </c>
      <c r="W11" s="47">
        <v>0</v>
      </c>
      <c r="X11" s="47">
        <v>58400</v>
      </c>
      <c r="Y11" s="47">
        <v>0</v>
      </c>
      <c r="Z11" s="47">
        <f t="shared" si="1"/>
        <v>107.39999999999996</v>
      </c>
      <c r="AA11" s="47">
        <v>1</v>
      </c>
      <c r="AB11" s="47">
        <f t="shared" si="2"/>
        <v>11040</v>
      </c>
      <c r="AC11" s="63">
        <v>126000</v>
      </c>
      <c r="AD11" s="63">
        <v>2777.78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46.000000000000007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66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291</v>
      </c>
      <c r="J12" s="47">
        <v>7</v>
      </c>
      <c r="K12" s="19">
        <v>-25</v>
      </c>
      <c r="L12" s="33" t="str">
        <f>"EW_sand_Ruled"&amp;"_"&amp;AR12</f>
        <v>EW_sand_Ruled_63</v>
      </c>
      <c r="M12" s="105" t="s">
        <v>64</v>
      </c>
      <c r="N12" s="47">
        <v>8.5</v>
      </c>
      <c r="O12" s="63">
        <v>0</v>
      </c>
      <c r="P12" s="63">
        <v>0</v>
      </c>
      <c r="Q12" s="47">
        <v>26</v>
      </c>
      <c r="R12" s="47">
        <f t="shared" si="0"/>
        <v>21</v>
      </c>
      <c r="S12" s="47">
        <v>0.7</v>
      </c>
      <c r="T12" s="47">
        <v>0</v>
      </c>
      <c r="U12" s="75">
        <v>0</v>
      </c>
      <c r="V12" s="75">
        <v>0</v>
      </c>
      <c r="W12" s="47">
        <v>0</v>
      </c>
      <c r="X12" s="47">
        <v>35000</v>
      </c>
      <c r="Y12" s="47">
        <v>0</v>
      </c>
      <c r="Z12" s="47">
        <f t="shared" si="1"/>
        <v>69.799999999999983</v>
      </c>
      <c r="AA12" s="47">
        <v>1</v>
      </c>
      <c r="AB12" s="47">
        <f t="shared" si="2"/>
        <v>3280</v>
      </c>
      <c r="AC12" s="63">
        <v>134000</v>
      </c>
      <c r="AD12" s="63">
        <v>638.29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3"/>
        <v>13.600000000000003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63</v>
      </c>
      <c r="AS12" s="33">
        <v>0.2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56" t="s">
        <v>271</v>
      </c>
      <c r="J13" s="47">
        <v>8</v>
      </c>
      <c r="K13" s="19">
        <v>-34.4</v>
      </c>
      <c r="L13" s="33" t="str">
        <f>"EW_sand_Ruled"&amp;"_"&amp;AR13</f>
        <v>EW_sand_Ruled_61</v>
      </c>
      <c r="M13" s="105" t="s">
        <v>64</v>
      </c>
      <c r="N13" s="47">
        <v>9.8000000000000007</v>
      </c>
      <c r="O13" s="63">
        <v>0</v>
      </c>
      <c r="P13" s="63">
        <v>0</v>
      </c>
      <c r="Q13" s="47">
        <v>27</v>
      </c>
      <c r="R13" s="47">
        <f t="shared" si="0"/>
        <v>22</v>
      </c>
      <c r="S13" s="47">
        <v>0.8</v>
      </c>
      <c r="T13" s="47">
        <v>0</v>
      </c>
      <c r="U13" s="75">
        <v>0</v>
      </c>
      <c r="V13" s="75">
        <v>0</v>
      </c>
      <c r="W13" s="47">
        <v>0</v>
      </c>
      <c r="X13" s="47">
        <v>53000</v>
      </c>
      <c r="Y13" s="47">
        <v>0</v>
      </c>
      <c r="Z13" s="47">
        <f t="shared" si="1"/>
        <v>72.59999999999998</v>
      </c>
      <c r="AA13" s="47">
        <v>1</v>
      </c>
      <c r="AB13" s="47">
        <f t="shared" si="2"/>
        <v>3660</v>
      </c>
      <c r="AC13" s="63">
        <v>202000</v>
      </c>
      <c r="AD13" s="63">
        <v>-4605.26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15.200000000000003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61</v>
      </c>
      <c r="AS13" s="33">
        <v>0.2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271</v>
      </c>
      <c r="J14" s="47">
        <v>9</v>
      </c>
      <c r="K14" s="19">
        <v>-42</v>
      </c>
      <c r="L14" s="33" t="str">
        <f>"EW_sand_Ruled"&amp;"_"&amp;AR14</f>
        <v>EW_sand_Ruled_69</v>
      </c>
      <c r="M14" s="105" t="s">
        <v>64</v>
      </c>
      <c r="N14" s="47">
        <v>9.8000000000000007</v>
      </c>
      <c r="O14" s="63">
        <v>0</v>
      </c>
      <c r="P14" s="63">
        <v>0</v>
      </c>
      <c r="Q14" s="47">
        <v>28</v>
      </c>
      <c r="R14" s="47">
        <f t="shared" si="0"/>
        <v>23</v>
      </c>
      <c r="S14" s="47">
        <v>0.9</v>
      </c>
      <c r="T14" s="47">
        <v>0</v>
      </c>
      <c r="U14" s="75">
        <v>0</v>
      </c>
      <c r="V14" s="75">
        <v>0</v>
      </c>
      <c r="W14" s="47">
        <v>0</v>
      </c>
      <c r="X14" s="47">
        <v>40000</v>
      </c>
      <c r="Y14" s="47">
        <v>0</v>
      </c>
      <c r="Z14" s="47">
        <f t="shared" si="1"/>
        <v>75.399999999999977</v>
      </c>
      <c r="AA14" s="47">
        <v>1</v>
      </c>
      <c r="AB14" s="47">
        <f t="shared" si="2"/>
        <v>4040</v>
      </c>
      <c r="AC14" s="63">
        <v>206000</v>
      </c>
      <c r="AD14" s="63">
        <v>-1000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16.800000000000004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69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273</v>
      </c>
      <c r="J15" s="47">
        <v>10</v>
      </c>
      <c r="K15" s="19">
        <v>-46</v>
      </c>
      <c r="L15" s="116" t="s">
        <v>275</v>
      </c>
      <c r="M15" s="105" t="s">
        <v>65</v>
      </c>
      <c r="N15" s="47">
        <v>8.9</v>
      </c>
      <c r="O15" s="63">
        <v>269</v>
      </c>
      <c r="P15" s="63">
        <v>3.5</v>
      </c>
      <c r="Q15" s="47">
        <v>0</v>
      </c>
      <c r="R15" s="47" t="e">
        <f t="shared" si="0"/>
        <v>#N/A</v>
      </c>
      <c r="S15" s="47">
        <v>1.8</v>
      </c>
      <c r="T15" s="47">
        <v>0</v>
      </c>
      <c r="U15" s="75">
        <v>1.7999999999999999E-2</v>
      </c>
      <c r="V15" s="75">
        <v>0</v>
      </c>
      <c r="W15" s="47">
        <v>0.25</v>
      </c>
      <c r="X15" s="47">
        <v>31800</v>
      </c>
      <c r="Y15" s="47">
        <v>0</v>
      </c>
      <c r="Z15" s="47" t="e">
        <f t="shared" si="1"/>
        <v>#N/A</v>
      </c>
      <c r="AA15" s="47">
        <v>1</v>
      </c>
      <c r="AB15" s="47" t="e">
        <f t="shared" si="2"/>
        <v>#N/A</v>
      </c>
      <c r="AC15" s="63">
        <v>399000</v>
      </c>
      <c r="AD15" s="63">
        <v>5705.88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3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273</v>
      </c>
      <c r="J16" s="47">
        <v>11</v>
      </c>
      <c r="K16" s="19">
        <v>-80</v>
      </c>
      <c r="L16" s="116" t="s">
        <v>275</v>
      </c>
      <c r="M16" s="105" t="s">
        <v>65</v>
      </c>
      <c r="N16" s="47">
        <v>8.9</v>
      </c>
      <c r="O16" s="63">
        <v>388</v>
      </c>
      <c r="P16" s="63">
        <v>0</v>
      </c>
      <c r="Q16" s="47">
        <v>0</v>
      </c>
      <c r="R16" s="47" t="e">
        <f t="shared" si="0"/>
        <v>#N/A</v>
      </c>
      <c r="S16" s="47">
        <v>1.8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31800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593000</v>
      </c>
      <c r="AD16" s="63">
        <v>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5"/>
      <c r="E17" s="115"/>
      <c r="J17" s="47"/>
      <c r="K17" s="19"/>
      <c r="L17" s="116"/>
      <c r="M17" s="105"/>
      <c r="N17" s="47"/>
      <c r="O17" s="63"/>
      <c r="P17" s="63"/>
      <c r="Q17" s="47"/>
      <c r="R17" s="47"/>
      <c r="S17" s="47"/>
      <c r="T17" s="47"/>
      <c r="U17" s="75"/>
      <c r="V17" s="75"/>
      <c r="W17" s="47"/>
      <c r="X17" s="47"/>
      <c r="Y17" s="47"/>
      <c r="Z17" s="47"/>
      <c r="AA17" s="47"/>
      <c r="AB17" s="47"/>
      <c r="AC17" s="63"/>
      <c r="AD17" s="63"/>
      <c r="AE17" s="63"/>
      <c r="AF17" s="63"/>
      <c r="AG17" s="63"/>
      <c r="AH17" s="63"/>
      <c r="AI17" s="63"/>
      <c r="AJ17" s="47"/>
      <c r="AK17" s="47"/>
      <c r="AL17" s="47"/>
      <c r="AM17" s="47"/>
      <c r="AN17" s="47"/>
      <c r="AO17" s="47"/>
      <c r="AP17" s="47"/>
      <c r="AQ17" s="47"/>
      <c r="AR17" s="47"/>
      <c r="AS17" s="33"/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/>
      <c r="M18" s="49"/>
      <c r="N18" s="47"/>
      <c r="O18" s="63"/>
      <c r="P18" s="47"/>
      <c r="Q18" s="47"/>
      <c r="R18" s="47"/>
      <c r="S18" s="47"/>
      <c r="T18" s="47"/>
      <c r="U18" s="47"/>
      <c r="V18" s="75"/>
      <c r="W18" s="47"/>
      <c r="X18" s="47"/>
      <c r="Y18" s="47"/>
      <c r="Z18" s="47"/>
      <c r="AA18" s="47"/>
      <c r="AB18" s="47"/>
      <c r="AC18" s="47"/>
      <c r="AD18" s="47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5" x14ac:dyDescent="0.25">
      <c r="A19" s="115" t="s">
        <v>38</v>
      </c>
      <c r="B19" s="115" t="s">
        <v>30</v>
      </c>
      <c r="C19" s="115" t="s">
        <v>59</v>
      </c>
      <c r="D19" s="43"/>
      <c r="E19" s="35"/>
      <c r="L19" s="49"/>
      <c r="M19" s="49" t="s">
        <v>94</v>
      </c>
      <c r="N19" s="47"/>
      <c r="O19" s="47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  <c r="AO19" s="47"/>
      <c r="AP19" s="47"/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5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5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4">AF40+3.8</f>
        <v>55.599999999999994</v>
      </c>
      <c r="AG41" s="33">
        <f t="shared" ref="AG41:AG43" si="5">AG40+200</f>
        <v>2300</v>
      </c>
      <c r="AH41" s="33">
        <f t="shared" ref="AH41:AH44" si="6">AH40+0.8</f>
        <v>9.6000000000000014</v>
      </c>
    </row>
    <row r="42" spans="1:42" x14ac:dyDescent="0.25">
      <c r="L42" s="49"/>
      <c r="AE42" s="33">
        <v>18</v>
      </c>
      <c r="AF42" s="33">
        <f t="shared" si="4"/>
        <v>59.399999999999991</v>
      </c>
      <c r="AG42" s="33">
        <f t="shared" si="5"/>
        <v>2500</v>
      </c>
      <c r="AH42" s="33">
        <f t="shared" si="6"/>
        <v>10.400000000000002</v>
      </c>
    </row>
    <row r="43" spans="1:42" x14ac:dyDescent="0.25">
      <c r="L43" s="49"/>
      <c r="AE43" s="33">
        <v>19</v>
      </c>
      <c r="AF43" s="33">
        <f t="shared" si="4"/>
        <v>63.199999999999989</v>
      </c>
      <c r="AG43" s="33">
        <f t="shared" si="5"/>
        <v>2700</v>
      </c>
      <c r="AH43" s="33">
        <f t="shared" si="6"/>
        <v>11.200000000000003</v>
      </c>
    </row>
    <row r="44" spans="1:42" x14ac:dyDescent="0.25">
      <c r="L44" s="49"/>
      <c r="AE44" s="33">
        <v>20</v>
      </c>
      <c r="AF44" s="33">
        <f t="shared" si="4"/>
        <v>66.999999999999986</v>
      </c>
      <c r="AG44" s="33">
        <f>AG43+200</f>
        <v>2900</v>
      </c>
      <c r="AH44" s="33">
        <f t="shared" si="6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7">AF45+2.8</f>
        <v>72.59999999999998</v>
      </c>
      <c r="AG46" s="33">
        <f t="shared" ref="AG46:AG48" si="8">AG45+380</f>
        <v>3660</v>
      </c>
      <c r="AH46" s="33">
        <f t="shared" ref="AH46:AH49" si="9">AH45+1.6</f>
        <v>15.200000000000003</v>
      </c>
    </row>
    <row r="47" spans="1:42" x14ac:dyDescent="0.25">
      <c r="L47" s="49"/>
      <c r="AE47" s="33">
        <v>23</v>
      </c>
      <c r="AF47" s="33">
        <f t="shared" si="7"/>
        <v>75.399999999999977</v>
      </c>
      <c r="AG47" s="33">
        <f t="shared" si="8"/>
        <v>4040</v>
      </c>
      <c r="AH47" s="33">
        <f t="shared" si="9"/>
        <v>16.800000000000004</v>
      </c>
    </row>
    <row r="48" spans="1:42" x14ac:dyDescent="0.25">
      <c r="L48" s="49"/>
      <c r="AE48" s="33">
        <v>24</v>
      </c>
      <c r="AF48" s="33">
        <f t="shared" si="7"/>
        <v>78.199999999999974</v>
      </c>
      <c r="AG48" s="33">
        <f t="shared" si="8"/>
        <v>4420</v>
      </c>
      <c r="AH48" s="33">
        <f t="shared" si="9"/>
        <v>18.400000000000006</v>
      </c>
    </row>
    <row r="49" spans="12:34" x14ac:dyDescent="0.25">
      <c r="L49" s="49"/>
      <c r="AE49" s="33">
        <v>25</v>
      </c>
      <c r="AF49" s="33">
        <f t="shared" si="7"/>
        <v>80.999999999999972</v>
      </c>
      <c r="AG49" s="33">
        <v>4800</v>
      </c>
      <c r="AH49" s="33">
        <f t="shared" si="9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0">AF50+3</f>
        <v>86.999999999999972</v>
      </c>
      <c r="AG51" s="33">
        <f t="shared" ref="AG51:AG54" si="11">AG50+960</f>
        <v>6720</v>
      </c>
      <c r="AH51" s="33">
        <f t="shared" ref="AH51:AH54" si="12">AH50+4</f>
        <v>28.000000000000007</v>
      </c>
    </row>
    <row r="52" spans="12:34" x14ac:dyDescent="0.25">
      <c r="L52" s="49"/>
      <c r="AE52" s="33">
        <v>28</v>
      </c>
      <c r="AF52" s="33">
        <f t="shared" si="10"/>
        <v>89.999999999999972</v>
      </c>
      <c r="AG52" s="33">
        <f t="shared" si="11"/>
        <v>7680</v>
      </c>
      <c r="AH52" s="33">
        <f t="shared" si="12"/>
        <v>32.000000000000007</v>
      </c>
    </row>
    <row r="53" spans="12:34" x14ac:dyDescent="0.25">
      <c r="L53" s="49"/>
      <c r="AE53" s="33">
        <v>29</v>
      </c>
      <c r="AF53" s="33">
        <f t="shared" si="10"/>
        <v>92.999999999999972</v>
      </c>
      <c r="AG53" s="33">
        <f t="shared" si="11"/>
        <v>8640</v>
      </c>
      <c r="AH53" s="33">
        <f t="shared" si="12"/>
        <v>36.000000000000007</v>
      </c>
    </row>
    <row r="54" spans="12:34" x14ac:dyDescent="0.25">
      <c r="L54" s="49"/>
      <c r="AE54" s="33">
        <v>30</v>
      </c>
      <c r="AF54" s="33">
        <f t="shared" si="10"/>
        <v>95.999999999999972</v>
      </c>
      <c r="AG54" s="33">
        <f t="shared" si="11"/>
        <v>9600</v>
      </c>
      <c r="AH54" s="33">
        <f t="shared" si="12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3">AF55+3.8</f>
        <v>103.59999999999997</v>
      </c>
      <c r="AG56" s="33">
        <f t="shared" ref="AG56:AG59" si="14">AG55+480</f>
        <v>10560</v>
      </c>
      <c r="AH56" s="33">
        <f t="shared" ref="AH56:AH59" si="15">AH55+2</f>
        <v>44.000000000000007</v>
      </c>
    </row>
    <row r="57" spans="12:34" x14ac:dyDescent="0.25">
      <c r="L57" s="49"/>
      <c r="AE57" s="33">
        <v>33</v>
      </c>
      <c r="AF57" s="33">
        <f t="shared" si="13"/>
        <v>107.39999999999996</v>
      </c>
      <c r="AG57" s="33">
        <f t="shared" si="14"/>
        <v>11040</v>
      </c>
      <c r="AH57" s="33">
        <f t="shared" si="15"/>
        <v>46.000000000000007</v>
      </c>
    </row>
    <row r="58" spans="12:34" x14ac:dyDescent="0.25">
      <c r="L58" s="49"/>
      <c r="AE58" s="33">
        <v>34</v>
      </c>
      <c r="AF58" s="33">
        <f t="shared" si="13"/>
        <v>111.19999999999996</v>
      </c>
      <c r="AG58" s="33">
        <f t="shared" si="14"/>
        <v>11520</v>
      </c>
      <c r="AH58" s="33">
        <f t="shared" si="15"/>
        <v>48.000000000000007</v>
      </c>
    </row>
    <row r="59" spans="12:34" x14ac:dyDescent="0.25">
      <c r="L59" s="49"/>
      <c r="AE59" s="33">
        <v>35</v>
      </c>
      <c r="AF59" s="33">
        <f t="shared" si="13"/>
        <v>114.99999999999996</v>
      </c>
      <c r="AG59" s="33">
        <f t="shared" si="14"/>
        <v>12000</v>
      </c>
      <c r="AH59" s="33">
        <f t="shared" si="15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T18 AM19:AP36 R18 Y18:Z18 N17 AJ17:AJ18 Q17:R17 AB17:AB18 Z17 AM17:AQ18">
    <cfRule type="expression" dxfId="3070" priority="114">
      <formula>$L17="API sand"</formula>
    </cfRule>
  </conditionalFormatting>
  <conditionalFormatting sqref="R19:S20 R29:S36 S21:S28 AD21:AD28 AB19:AB35 S18 N17 AK17:AL18">
    <cfRule type="expression" dxfId="3069" priority="113">
      <formula>$M17="API sand"</formula>
    </cfRule>
  </conditionalFormatting>
  <conditionalFormatting sqref="R19:T20 R29:T36 S21:T28 AD21:AD28 AB19:AB35 S18 N17 AK17:AL18">
    <cfRule type="expression" dxfId="3068" priority="112">
      <formula>$M17="API clay"</formula>
    </cfRule>
  </conditionalFormatting>
  <conditionalFormatting sqref="AE18:AI18 U18:W36 N17:P17 AA17:AA18 AC17:AI17 V17 AM17:AP36">
    <cfRule type="expression" dxfId="3067" priority="109">
      <formula>$L17="Stiff clay w/o free water"</formula>
    </cfRule>
    <cfRule type="expression" dxfId="3066" priority="111">
      <formula>$L17="API clay"</formula>
    </cfRule>
  </conditionalFormatting>
  <conditionalFormatting sqref="U19:Y36 AE18:AI18 U18:X18 N17:P17 AA17:AA18 AC17:AI17 V17 AM17:AP36">
    <cfRule type="expression" dxfId="3065" priority="110">
      <formula>$L17="Kirsch soft clay"</formula>
    </cfRule>
  </conditionalFormatting>
  <conditionalFormatting sqref="U19:Y36 AE18:AI18 U18:X18 N17:P17 AA17:AA18 AC17:AI17 V17 AM17:AP36">
    <cfRule type="expression" dxfId="3064" priority="108">
      <formula>$L17="Kirsch stiff clay"</formula>
    </cfRule>
  </conditionalFormatting>
  <conditionalFormatting sqref="T18 AM19:AP36 R18 Y18:Z18 N17 AJ17:AJ18 Q17:R17 AB17:AB18 Z17 AM17:AQ18">
    <cfRule type="expression" dxfId="3063" priority="107">
      <formula>$L17="Kirsch sand"</formula>
    </cfRule>
  </conditionalFormatting>
  <conditionalFormatting sqref="AC18:AD19 AI19 N17 AM17:AP36">
    <cfRule type="expression" dxfId="3062" priority="106">
      <formula>$L17="Modified Weak rock"</formula>
    </cfRule>
  </conditionalFormatting>
  <conditionalFormatting sqref="AE18:AI18 U18:V36 N17:P17 AA17:AA18 AC17:AI17 V17 AM17:AP36">
    <cfRule type="expression" dxfId="3061" priority="105">
      <formula>$L17="Reese stiff clay"</formula>
    </cfRule>
  </conditionalFormatting>
  <conditionalFormatting sqref="N18:N36 Q18:Q36">
    <cfRule type="expression" dxfId="3060" priority="104">
      <formula>$L18="API sand"</formula>
    </cfRule>
  </conditionalFormatting>
  <conditionalFormatting sqref="N18:N36 AB36 AJ19:AL36 Z19:Z36">
    <cfRule type="expression" dxfId="3059" priority="103">
      <formula>$M18="API sand"</formula>
    </cfRule>
  </conditionalFormatting>
  <conditionalFormatting sqref="Z36:AB36 AK19:AL36 N18:N36 Z19:AA35">
    <cfRule type="expression" dxfId="3058" priority="102">
      <formula>$M18="API clay"</formula>
    </cfRule>
  </conditionalFormatting>
  <conditionalFormatting sqref="N18:P18 N29:P36 N19:N28 P19:P28">
    <cfRule type="expression" dxfId="3057" priority="99">
      <formula>$L18="Stiff clay w/o free water"</formula>
    </cfRule>
    <cfRule type="expression" dxfId="3056" priority="101">
      <formula>$L18="API clay"</formula>
    </cfRule>
  </conditionalFormatting>
  <conditionalFormatting sqref="N18:P18 N29:P36 N19:N28 P19:P28">
    <cfRule type="expression" dxfId="3055" priority="100">
      <formula>$L18="Kirsch soft clay"</formula>
    </cfRule>
  </conditionalFormatting>
  <conditionalFormatting sqref="N18:P18 N29:P36 N19:N28 P19:P28">
    <cfRule type="expression" dxfId="3054" priority="98">
      <formula>$L18="Kirsch stiff clay"</formula>
    </cfRule>
  </conditionalFormatting>
  <conditionalFormatting sqref="N18:N36 Q18:Q36 X19:Y36 X18">
    <cfRule type="expression" dxfId="3053" priority="97">
      <formula>$L18="Kirsch sand"</formula>
    </cfRule>
  </conditionalFormatting>
  <conditionalFormatting sqref="N18:N36 AC20:AD36 AI20:AI36">
    <cfRule type="expression" dxfId="3052" priority="96">
      <formula>$L18="Modified Weak rock"</formula>
    </cfRule>
  </conditionalFormatting>
  <conditionalFormatting sqref="N18:P18 N29:P36 N19:N28 P19:P28">
    <cfRule type="expression" dxfId="3051" priority="95">
      <formula>$L18="Reese stiff clay"</formula>
    </cfRule>
  </conditionalFormatting>
  <conditionalFormatting sqref="AE18:AI18 N17:P17 AA17:AA18 AC17:AI17 V17:V18 AM17:AP18">
    <cfRule type="expression" dxfId="3050" priority="94">
      <formula>$L17="PISA clay"</formula>
    </cfRule>
  </conditionalFormatting>
  <conditionalFormatting sqref="N17 AM17:AP18">
    <cfRule type="expression" dxfId="3049" priority="93">
      <formula>$L17="PISA sand"</formula>
    </cfRule>
  </conditionalFormatting>
  <conditionalFormatting sqref="O19:O21">
    <cfRule type="expression" dxfId="3048" priority="92">
      <formula>$L19="API sand"</formula>
    </cfRule>
  </conditionalFormatting>
  <conditionalFormatting sqref="O19:O21">
    <cfRule type="expression" dxfId="3047" priority="91">
      <formula>$L19="Kirsch sand"</formula>
    </cfRule>
  </conditionalFormatting>
  <conditionalFormatting sqref="O22:O28">
    <cfRule type="expression" dxfId="3046" priority="90">
      <formula>$L22="API sand"</formula>
    </cfRule>
  </conditionalFormatting>
  <conditionalFormatting sqref="O22:O28">
    <cfRule type="expression" dxfId="3045" priority="89">
      <formula>$L22="Kirsch sand"</formula>
    </cfRule>
  </conditionalFormatting>
  <conditionalFormatting sqref="S17:T17 W17:Y17">
    <cfRule type="expression" dxfId="3044" priority="88">
      <formula>$L17="API sand"</formula>
    </cfRule>
  </conditionalFormatting>
  <conditionalFormatting sqref="S17:T17 W17:Y17">
    <cfRule type="expression" dxfId="3043" priority="87">
      <formula>$L17="Kirsch sand"</formula>
    </cfRule>
  </conditionalFormatting>
  <conditionalFormatting sqref="AE37:AH37">
    <cfRule type="expression" dxfId="3042" priority="115">
      <formula>$L19="Modified Weak rock"</formula>
    </cfRule>
  </conditionalFormatting>
  <conditionalFormatting sqref="AR17:AR18">
    <cfRule type="expression" dxfId="3041" priority="86">
      <formula>$L17="API sand"</formula>
    </cfRule>
  </conditionalFormatting>
  <conditionalFormatting sqref="AR17:AR18">
    <cfRule type="expression" dxfId="3040" priority="85">
      <formula>$L17="Kirsch sand"</formula>
    </cfRule>
  </conditionalFormatting>
  <conditionalFormatting sqref="U17">
    <cfRule type="expression" dxfId="3039" priority="82">
      <formula>$L17="Stiff clay w/o free water"</formula>
    </cfRule>
    <cfRule type="expression" dxfId="3038" priority="84">
      <formula>$L17="API clay"</formula>
    </cfRule>
  </conditionalFormatting>
  <conditionalFormatting sqref="U17">
    <cfRule type="expression" dxfId="3037" priority="83">
      <formula>$L17="Kirsch soft clay"</formula>
    </cfRule>
  </conditionalFormatting>
  <conditionalFormatting sqref="U17">
    <cfRule type="expression" dxfId="3036" priority="81">
      <formula>$L17="Kirsch stiff clay"</formula>
    </cfRule>
  </conditionalFormatting>
  <conditionalFormatting sqref="U17">
    <cfRule type="expression" dxfId="3035" priority="80">
      <formula>$L17="Reese stiff clay"</formula>
    </cfRule>
  </conditionalFormatting>
  <conditionalFormatting sqref="U17">
    <cfRule type="expression" dxfId="3034" priority="79">
      <formula>$L17="PISA clay"</formula>
    </cfRule>
  </conditionalFormatting>
  <dataValidations count="4">
    <dataValidation type="list" showInputMessage="1" showErrorMessage="1" sqref="M6:M17" xr:uid="{8BA680D3-C575-4C96-ABA1-66172E04E737}">
      <formula1>"Zero soil,API sand,API clay"</formula1>
    </dataValidation>
    <dataValidation type="list" showInputMessage="1" showErrorMessage="1" sqref="L19:L255 L17" xr:uid="{66E79003-1D38-481B-A689-85C85A0065D7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18:M36 M8:M16" xr:uid="{5931FE81-BCF1-477F-847D-7D83ED2CEA28}">
      <formula1>"',API sand,API clay"</formula1>
    </dataValidation>
    <dataValidation showInputMessage="1" showErrorMessage="1" sqref="L9 L15:L16" xr:uid="{128A39B5-7639-47E7-B519-22E1D6D1460C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C9089-7D30-44CF-B5CA-992795D18D77}">
  <sheetPr>
    <tabColor rgb="FF00B050"/>
  </sheetPr>
  <dimension ref="A1:AS255"/>
  <sheetViews>
    <sheetView zoomScale="85" zoomScaleNormal="85" workbookViewId="0">
      <selection activeCell="A6" sqref="A6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Ak_kirsch_WTG50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2"/>
      <c r="R3" s="155"/>
      <c r="S3" s="155"/>
      <c r="T3" s="112"/>
      <c r="U3" s="155"/>
      <c r="V3" s="155"/>
      <c r="W3" s="112"/>
      <c r="X3" s="69"/>
      <c r="Y3" s="112"/>
      <c r="Z3" s="112"/>
      <c r="AA3" s="112"/>
      <c r="AB3" s="112"/>
      <c r="AC3" s="69"/>
      <c r="AD3" s="39"/>
      <c r="AE3" s="39"/>
      <c r="AF3" s="39"/>
      <c r="AG3" s="39"/>
      <c r="AH3" s="39"/>
      <c r="AI3" s="39"/>
      <c r="AJ3" s="112"/>
      <c r="AK3" s="112"/>
      <c r="AL3" s="112"/>
      <c r="AM3" s="112"/>
      <c r="AN3" s="112"/>
      <c r="AO3" s="112"/>
      <c r="AP3" s="112"/>
    </row>
    <row r="4" spans="1:45" x14ac:dyDescent="0.25">
      <c r="A4" s="40" t="s">
        <v>60</v>
      </c>
      <c r="B4" s="33">
        <f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3" t="s">
        <v>38</v>
      </c>
      <c r="K5" s="113" t="s">
        <v>30</v>
      </c>
      <c r="L5" s="113" t="s">
        <v>31</v>
      </c>
      <c r="M5" s="113" t="s">
        <v>31</v>
      </c>
      <c r="N5" s="113" t="s">
        <v>32</v>
      </c>
      <c r="O5" s="113" t="s">
        <v>33</v>
      </c>
      <c r="P5" s="113" t="s">
        <v>35</v>
      </c>
      <c r="Q5" s="113" t="s">
        <v>36</v>
      </c>
      <c r="R5" s="113" t="s">
        <v>36</v>
      </c>
      <c r="S5" s="113" t="s">
        <v>34</v>
      </c>
      <c r="T5" s="113" t="s">
        <v>33</v>
      </c>
      <c r="U5" s="113" t="s">
        <v>34</v>
      </c>
      <c r="V5" s="113" t="s">
        <v>62</v>
      </c>
      <c r="W5" s="113" t="s">
        <v>34</v>
      </c>
      <c r="X5" s="113" t="s">
        <v>33</v>
      </c>
      <c r="Y5" s="113" t="s">
        <v>35</v>
      </c>
      <c r="Z5" s="113" t="s">
        <v>33</v>
      </c>
      <c r="AA5" s="113" t="s">
        <v>34</v>
      </c>
      <c r="AB5" s="113" t="s">
        <v>33</v>
      </c>
      <c r="AC5" s="113" t="s">
        <v>33</v>
      </c>
      <c r="AD5" s="113" t="s">
        <v>35</v>
      </c>
      <c r="AE5" s="113" t="s">
        <v>34</v>
      </c>
      <c r="AF5" s="113" t="s">
        <v>33</v>
      </c>
      <c r="AG5" s="113" t="s">
        <v>35</v>
      </c>
      <c r="AH5" s="113" t="s">
        <v>34</v>
      </c>
      <c r="AI5" s="113" t="s">
        <v>34</v>
      </c>
      <c r="AJ5" s="113" t="s">
        <v>34</v>
      </c>
      <c r="AK5" s="113" t="s">
        <v>34</v>
      </c>
      <c r="AL5" s="113" t="s">
        <v>34</v>
      </c>
      <c r="AM5" s="113" t="s">
        <v>34</v>
      </c>
      <c r="AN5" s="113" t="s">
        <v>34</v>
      </c>
      <c r="AO5" s="113" t="s">
        <v>34</v>
      </c>
      <c r="AP5" s="113" t="s">
        <v>34</v>
      </c>
      <c r="AQ5" s="113" t="s">
        <v>103</v>
      </c>
      <c r="AR5" s="113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39</v>
      </c>
      <c r="R6" s="47">
        <f t="shared" ref="R6:R16" si="0">IF(Q6&lt;&gt;0,Q6-5,NA())</f>
        <v>34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14500</v>
      </c>
      <c r="Y6" s="47">
        <v>0</v>
      </c>
      <c r="Z6" s="47">
        <f t="shared" ref="Z6:Z16" si="1">VLOOKUP(R6,$AE$39:$AF$59,2)</f>
        <v>111.19999999999996</v>
      </c>
      <c r="AA6" s="47">
        <v>1</v>
      </c>
      <c r="AB6" s="47">
        <f t="shared" ref="AB6:AB16" si="2">VLOOKUP(R6,$AE$39:$AG$59,3)</f>
        <v>11520</v>
      </c>
      <c r="AC6" s="63">
        <v>11000</v>
      </c>
      <c r="AD6" s="63">
        <v>22000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6" si="3">VLOOKUP(R6,$AE$39:$AH$59,4)</f>
        <v>48.000000000000007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93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-1</v>
      </c>
      <c r="L7" s="116" t="s">
        <v>106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42</v>
      </c>
      <c r="R7" s="47">
        <f t="shared" si="0"/>
        <v>37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49700</v>
      </c>
      <c r="Y7" s="47">
        <v>0</v>
      </c>
      <c r="Z7" s="47">
        <f t="shared" si="1"/>
        <v>114.99999999999996</v>
      </c>
      <c r="AA7" s="47">
        <v>1</v>
      </c>
      <c r="AB7" s="47">
        <f t="shared" si="2"/>
        <v>12000</v>
      </c>
      <c r="AC7" s="63">
        <v>44000</v>
      </c>
      <c r="AD7" s="63">
        <v>10000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295</v>
      </c>
      <c r="J8" s="47">
        <v>3</v>
      </c>
      <c r="K8" s="19">
        <v>-3</v>
      </c>
      <c r="L8" s="116" t="s">
        <v>106</v>
      </c>
      <c r="M8" s="105" t="s">
        <v>64</v>
      </c>
      <c r="N8" s="47">
        <v>9.4</v>
      </c>
      <c r="O8" s="63">
        <v>0</v>
      </c>
      <c r="P8" s="63">
        <v>0</v>
      </c>
      <c r="Q8" s="47">
        <v>38</v>
      </c>
      <c r="R8" s="47">
        <f t="shared" si="0"/>
        <v>33</v>
      </c>
      <c r="S8" s="47">
        <v>1.4</v>
      </c>
      <c r="T8" s="47">
        <v>0</v>
      </c>
      <c r="U8" s="75">
        <v>0</v>
      </c>
      <c r="V8" s="75">
        <v>0</v>
      </c>
      <c r="W8" s="47">
        <v>0</v>
      </c>
      <c r="X8" s="47">
        <v>36200</v>
      </c>
      <c r="Y8" s="47">
        <v>0</v>
      </c>
      <c r="Z8" s="47">
        <f t="shared" si="1"/>
        <v>107.39999999999996</v>
      </c>
      <c r="AA8" s="47">
        <v>1</v>
      </c>
      <c r="AB8" s="47">
        <f t="shared" si="2"/>
        <v>11040</v>
      </c>
      <c r="AC8" s="63">
        <v>55000</v>
      </c>
      <c r="AD8" s="63">
        <v>6410.25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46.000000000000007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58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56" t="s">
        <v>296</v>
      </c>
      <c r="J9" s="47">
        <v>4</v>
      </c>
      <c r="K9" s="19">
        <v>-6.9</v>
      </c>
      <c r="L9" s="116" t="s">
        <v>107</v>
      </c>
      <c r="M9" s="105" t="s">
        <v>65</v>
      </c>
      <c r="N9" s="47">
        <v>9.5</v>
      </c>
      <c r="O9" s="63">
        <v>55</v>
      </c>
      <c r="P9" s="63">
        <v>46.67</v>
      </c>
      <c r="Q9" s="47">
        <v>0</v>
      </c>
      <c r="R9" s="47" t="e">
        <f t="shared" si="0"/>
        <v>#N/A</v>
      </c>
      <c r="S9" s="47">
        <v>3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12300</v>
      </c>
      <c r="Y9" s="47">
        <v>0</v>
      </c>
      <c r="Z9" s="47" t="e">
        <f t="shared" si="1"/>
        <v>#N/A</v>
      </c>
      <c r="AA9" s="47">
        <v>1</v>
      </c>
      <c r="AB9" s="47" t="e">
        <f t="shared" si="2"/>
        <v>#N/A</v>
      </c>
      <c r="AC9" s="63">
        <v>55000</v>
      </c>
      <c r="AD9" s="63">
        <v>40000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3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259</v>
      </c>
      <c r="J10" s="47">
        <v>5</v>
      </c>
      <c r="K10" s="19">
        <v>-7.2</v>
      </c>
      <c r="L10" s="116" t="s">
        <v>106</v>
      </c>
      <c r="M10" s="105" t="s">
        <v>64</v>
      </c>
      <c r="N10" s="47">
        <v>10</v>
      </c>
      <c r="O10" s="63">
        <v>0</v>
      </c>
      <c r="P10" s="63">
        <v>0</v>
      </c>
      <c r="Q10" s="47">
        <v>37</v>
      </c>
      <c r="R10" s="47">
        <f t="shared" si="0"/>
        <v>32</v>
      </c>
      <c r="S10" s="47">
        <v>0.9</v>
      </c>
      <c r="T10" s="47">
        <v>0</v>
      </c>
      <c r="U10" s="75">
        <v>0</v>
      </c>
      <c r="V10" s="75">
        <v>0</v>
      </c>
      <c r="W10" s="47">
        <v>0</v>
      </c>
      <c r="X10" s="47">
        <v>48300</v>
      </c>
      <c r="Y10" s="47">
        <v>0</v>
      </c>
      <c r="Z10" s="47">
        <f t="shared" si="1"/>
        <v>103.59999999999997</v>
      </c>
      <c r="AA10" s="47">
        <v>1</v>
      </c>
      <c r="AB10" s="47">
        <f t="shared" si="2"/>
        <v>10560</v>
      </c>
      <c r="AC10" s="63">
        <v>71000</v>
      </c>
      <c r="AD10" s="63">
        <v>6250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3"/>
        <v>44.000000000000007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63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261</v>
      </c>
      <c r="J11" s="47">
        <v>6</v>
      </c>
      <c r="K11" s="19">
        <v>-16</v>
      </c>
      <c r="L11" s="116" t="s">
        <v>106</v>
      </c>
      <c r="M11" s="105" t="s">
        <v>64</v>
      </c>
      <c r="N11" s="47">
        <v>9.9</v>
      </c>
      <c r="O11" s="63">
        <v>0</v>
      </c>
      <c r="P11" s="63">
        <v>0</v>
      </c>
      <c r="Q11" s="47">
        <v>38</v>
      </c>
      <c r="R11" s="47">
        <f t="shared" si="0"/>
        <v>33</v>
      </c>
      <c r="S11" s="47">
        <v>0.7</v>
      </c>
      <c r="T11" s="47">
        <v>0</v>
      </c>
      <c r="U11" s="75">
        <v>0</v>
      </c>
      <c r="V11" s="75">
        <v>0</v>
      </c>
      <c r="W11" s="47">
        <v>0</v>
      </c>
      <c r="X11" s="47">
        <v>58400</v>
      </c>
      <c r="Y11" s="47">
        <v>0</v>
      </c>
      <c r="Z11" s="47">
        <f t="shared" si="1"/>
        <v>107.39999999999996</v>
      </c>
      <c r="AA11" s="47">
        <v>1</v>
      </c>
      <c r="AB11" s="47">
        <f t="shared" si="2"/>
        <v>11040</v>
      </c>
      <c r="AC11" s="63">
        <v>126000</v>
      </c>
      <c r="AD11" s="63">
        <v>2777.78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3"/>
        <v>46.000000000000007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66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291</v>
      </c>
      <c r="J12" s="47">
        <v>7</v>
      </c>
      <c r="K12" s="19">
        <v>-25</v>
      </c>
      <c r="L12" s="116" t="s">
        <v>106</v>
      </c>
      <c r="M12" s="105" t="s">
        <v>64</v>
      </c>
      <c r="N12" s="47">
        <v>8.5</v>
      </c>
      <c r="O12" s="63">
        <v>0</v>
      </c>
      <c r="P12" s="63">
        <v>0</v>
      </c>
      <c r="Q12" s="47">
        <v>26</v>
      </c>
      <c r="R12" s="47">
        <f t="shared" si="0"/>
        <v>21</v>
      </c>
      <c r="S12" s="47">
        <v>0.7</v>
      </c>
      <c r="T12" s="47">
        <v>0</v>
      </c>
      <c r="U12" s="75">
        <v>0</v>
      </c>
      <c r="V12" s="75">
        <v>0</v>
      </c>
      <c r="W12" s="47">
        <v>0</v>
      </c>
      <c r="X12" s="47">
        <v>35000</v>
      </c>
      <c r="Y12" s="47">
        <v>0</v>
      </c>
      <c r="Z12" s="47">
        <f t="shared" si="1"/>
        <v>69.799999999999983</v>
      </c>
      <c r="AA12" s="47">
        <v>1</v>
      </c>
      <c r="AB12" s="47">
        <f t="shared" si="2"/>
        <v>3280</v>
      </c>
      <c r="AC12" s="63">
        <v>134000</v>
      </c>
      <c r="AD12" s="63">
        <v>638.29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3"/>
        <v>13.600000000000003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63</v>
      </c>
      <c r="AS12" s="33">
        <v>0.2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56" t="s">
        <v>271</v>
      </c>
      <c r="J13" s="47">
        <v>8</v>
      </c>
      <c r="K13" s="19">
        <v>-34.4</v>
      </c>
      <c r="L13" s="116" t="s">
        <v>106</v>
      </c>
      <c r="M13" s="105" t="s">
        <v>64</v>
      </c>
      <c r="N13" s="47">
        <v>9.8000000000000007</v>
      </c>
      <c r="O13" s="63">
        <v>0</v>
      </c>
      <c r="P13" s="63">
        <v>0</v>
      </c>
      <c r="Q13" s="47">
        <v>27</v>
      </c>
      <c r="R13" s="47">
        <f t="shared" si="0"/>
        <v>22</v>
      </c>
      <c r="S13" s="47">
        <v>0.8</v>
      </c>
      <c r="T13" s="47">
        <v>0</v>
      </c>
      <c r="U13" s="75">
        <v>0</v>
      </c>
      <c r="V13" s="75">
        <v>0</v>
      </c>
      <c r="W13" s="47">
        <v>0</v>
      </c>
      <c r="X13" s="47">
        <v>53000</v>
      </c>
      <c r="Y13" s="47">
        <v>0</v>
      </c>
      <c r="Z13" s="47">
        <f t="shared" si="1"/>
        <v>72.59999999999998</v>
      </c>
      <c r="AA13" s="47">
        <v>1</v>
      </c>
      <c r="AB13" s="47">
        <f t="shared" si="2"/>
        <v>3660</v>
      </c>
      <c r="AC13" s="63">
        <v>202000</v>
      </c>
      <c r="AD13" s="63">
        <v>-4605.26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15.200000000000003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61</v>
      </c>
      <c r="AS13" s="33">
        <v>0.2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271</v>
      </c>
      <c r="J14" s="47">
        <v>9</v>
      </c>
      <c r="K14" s="19">
        <v>-42</v>
      </c>
      <c r="L14" s="116" t="s">
        <v>106</v>
      </c>
      <c r="M14" s="105" t="s">
        <v>64</v>
      </c>
      <c r="N14" s="47">
        <v>9.8000000000000007</v>
      </c>
      <c r="O14" s="63">
        <v>0</v>
      </c>
      <c r="P14" s="63">
        <v>0</v>
      </c>
      <c r="Q14" s="47">
        <v>28</v>
      </c>
      <c r="R14" s="47">
        <f t="shared" si="0"/>
        <v>23</v>
      </c>
      <c r="S14" s="47">
        <v>0.9</v>
      </c>
      <c r="T14" s="47">
        <v>0</v>
      </c>
      <c r="U14" s="75">
        <v>0</v>
      </c>
      <c r="V14" s="75">
        <v>0</v>
      </c>
      <c r="W14" s="47">
        <v>0</v>
      </c>
      <c r="X14" s="47">
        <v>40000</v>
      </c>
      <c r="Y14" s="47">
        <v>0</v>
      </c>
      <c r="Z14" s="47">
        <f t="shared" si="1"/>
        <v>75.399999999999977</v>
      </c>
      <c r="AA14" s="47">
        <v>1</v>
      </c>
      <c r="AB14" s="47">
        <f t="shared" si="2"/>
        <v>4040</v>
      </c>
      <c r="AC14" s="63">
        <v>206000</v>
      </c>
      <c r="AD14" s="63">
        <v>-1000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16.800000000000004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69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273</v>
      </c>
      <c r="J15" s="47">
        <v>10</v>
      </c>
      <c r="K15" s="19">
        <v>-46</v>
      </c>
      <c r="L15" s="116" t="s">
        <v>288</v>
      </c>
      <c r="M15" s="105" t="s">
        <v>65</v>
      </c>
      <c r="N15" s="47">
        <v>8.9</v>
      </c>
      <c r="O15" s="63">
        <v>269</v>
      </c>
      <c r="P15" s="63">
        <v>3.5</v>
      </c>
      <c r="Q15" s="47">
        <v>0</v>
      </c>
      <c r="R15" s="47" t="e">
        <f t="shared" si="0"/>
        <v>#N/A</v>
      </c>
      <c r="S15" s="47">
        <v>1.8</v>
      </c>
      <c r="T15" s="47">
        <v>0</v>
      </c>
      <c r="U15" s="75">
        <v>1.7999999999999999E-2</v>
      </c>
      <c r="V15" s="75">
        <v>0</v>
      </c>
      <c r="W15" s="47">
        <v>0.25</v>
      </c>
      <c r="X15" s="47">
        <v>31800</v>
      </c>
      <c r="Y15" s="47">
        <v>0</v>
      </c>
      <c r="Z15" s="47" t="e">
        <f t="shared" si="1"/>
        <v>#N/A</v>
      </c>
      <c r="AA15" s="47">
        <v>1</v>
      </c>
      <c r="AB15" s="47" t="e">
        <f t="shared" si="2"/>
        <v>#N/A</v>
      </c>
      <c r="AC15" s="63">
        <v>399000</v>
      </c>
      <c r="AD15" s="63">
        <v>5705.88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3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273</v>
      </c>
      <c r="J16" s="47">
        <v>11</v>
      </c>
      <c r="K16" s="19">
        <v>-80</v>
      </c>
      <c r="L16" s="116" t="s">
        <v>288</v>
      </c>
      <c r="M16" s="105" t="s">
        <v>65</v>
      </c>
      <c r="N16" s="47">
        <v>8.9</v>
      </c>
      <c r="O16" s="63">
        <v>388</v>
      </c>
      <c r="P16" s="63">
        <v>0</v>
      </c>
      <c r="Q16" s="47">
        <v>0</v>
      </c>
      <c r="R16" s="47" t="e">
        <f t="shared" si="0"/>
        <v>#N/A</v>
      </c>
      <c r="S16" s="47">
        <v>1.8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31800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593000</v>
      </c>
      <c r="AD16" s="63">
        <v>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13"/>
      <c r="E17" s="113"/>
      <c r="J17" s="47"/>
      <c r="K17" s="19"/>
      <c r="L17" s="116"/>
      <c r="M17" s="105"/>
      <c r="N17" s="47"/>
      <c r="O17" s="63"/>
      <c r="P17" s="63"/>
      <c r="Q17" s="47"/>
      <c r="R17" s="47"/>
      <c r="S17" s="47"/>
      <c r="T17" s="47"/>
      <c r="U17" s="75"/>
      <c r="V17" s="75"/>
      <c r="W17" s="47"/>
      <c r="X17" s="47"/>
      <c r="Y17" s="47"/>
      <c r="Z17" s="47"/>
      <c r="AA17" s="47"/>
      <c r="AB17" s="47"/>
      <c r="AC17" s="63"/>
      <c r="AD17" s="63"/>
      <c r="AE17" s="63"/>
      <c r="AF17" s="63"/>
      <c r="AG17" s="63"/>
      <c r="AH17" s="63"/>
      <c r="AI17" s="63"/>
      <c r="AJ17" s="47"/>
      <c r="AK17" s="47"/>
      <c r="AL17" s="47"/>
      <c r="AM17" s="47"/>
      <c r="AN17" s="47"/>
      <c r="AO17" s="47"/>
      <c r="AP17" s="47"/>
      <c r="AQ17" s="47"/>
      <c r="AR17" s="47"/>
      <c r="AS17" s="33"/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/>
      <c r="M18" s="49"/>
      <c r="N18" s="47"/>
      <c r="O18" s="63"/>
      <c r="P18" s="47"/>
      <c r="Q18" s="47"/>
      <c r="R18" s="47"/>
      <c r="S18" s="47"/>
      <c r="T18" s="47"/>
      <c r="U18" s="47"/>
      <c r="V18" s="75"/>
      <c r="W18" s="47"/>
      <c r="X18" s="47"/>
      <c r="Y18" s="47"/>
      <c r="Z18" s="47"/>
      <c r="AA18" s="47"/>
      <c r="AB18" s="47"/>
      <c r="AC18" s="47"/>
      <c r="AD18" s="47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5" x14ac:dyDescent="0.25">
      <c r="A19" s="113" t="s">
        <v>38</v>
      </c>
      <c r="B19" s="113" t="s">
        <v>30</v>
      </c>
      <c r="C19" s="113" t="s">
        <v>59</v>
      </c>
      <c r="D19" s="43"/>
      <c r="E19" s="35"/>
      <c r="L19" s="49"/>
      <c r="M19" s="49" t="s">
        <v>94</v>
      </c>
      <c r="N19" s="47"/>
      <c r="O19" s="47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  <c r="AO19" s="47"/>
      <c r="AP19" s="47"/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4">AF40+3.8</f>
        <v>55.599999999999994</v>
      </c>
      <c r="AG41" s="33">
        <f t="shared" ref="AG41:AG43" si="5">AG40+200</f>
        <v>2300</v>
      </c>
      <c r="AH41" s="33">
        <f t="shared" ref="AH41:AH44" si="6">AH40+0.8</f>
        <v>9.6000000000000014</v>
      </c>
    </row>
    <row r="42" spans="1:42" x14ac:dyDescent="0.25">
      <c r="L42" s="49"/>
      <c r="AE42" s="33">
        <v>18</v>
      </c>
      <c r="AF42" s="33">
        <f t="shared" si="4"/>
        <v>59.399999999999991</v>
      </c>
      <c r="AG42" s="33">
        <f t="shared" si="5"/>
        <v>2500</v>
      </c>
      <c r="AH42" s="33">
        <f t="shared" si="6"/>
        <v>10.400000000000002</v>
      </c>
    </row>
    <row r="43" spans="1:42" x14ac:dyDescent="0.25">
      <c r="L43" s="49"/>
      <c r="AE43" s="33">
        <v>19</v>
      </c>
      <c r="AF43" s="33">
        <f t="shared" si="4"/>
        <v>63.199999999999989</v>
      </c>
      <c r="AG43" s="33">
        <f t="shared" si="5"/>
        <v>2700</v>
      </c>
      <c r="AH43" s="33">
        <f t="shared" si="6"/>
        <v>11.200000000000003</v>
      </c>
    </row>
    <row r="44" spans="1:42" x14ac:dyDescent="0.25">
      <c r="L44" s="49"/>
      <c r="AE44" s="33">
        <v>20</v>
      </c>
      <c r="AF44" s="33">
        <f t="shared" si="4"/>
        <v>66.999999999999986</v>
      </c>
      <c r="AG44" s="33">
        <f>AG43+200</f>
        <v>2900</v>
      </c>
      <c r="AH44" s="33">
        <f t="shared" si="6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7">AF45+2.8</f>
        <v>72.59999999999998</v>
      </c>
      <c r="AG46" s="33">
        <f t="shared" ref="AG46:AG48" si="8">AG45+380</f>
        <v>3660</v>
      </c>
      <c r="AH46" s="33">
        <f t="shared" ref="AH46:AH49" si="9">AH45+1.6</f>
        <v>15.200000000000003</v>
      </c>
    </row>
    <row r="47" spans="1:42" x14ac:dyDescent="0.25">
      <c r="L47" s="49"/>
      <c r="AE47" s="33">
        <v>23</v>
      </c>
      <c r="AF47" s="33">
        <f t="shared" si="7"/>
        <v>75.399999999999977</v>
      </c>
      <c r="AG47" s="33">
        <f t="shared" si="8"/>
        <v>4040</v>
      </c>
      <c r="AH47" s="33">
        <f t="shared" si="9"/>
        <v>16.800000000000004</v>
      </c>
    </row>
    <row r="48" spans="1:42" x14ac:dyDescent="0.25">
      <c r="L48" s="49"/>
      <c r="AE48" s="33">
        <v>24</v>
      </c>
      <c r="AF48" s="33">
        <f t="shared" si="7"/>
        <v>78.199999999999974</v>
      </c>
      <c r="AG48" s="33">
        <f t="shared" si="8"/>
        <v>4420</v>
      </c>
      <c r="AH48" s="33">
        <f t="shared" si="9"/>
        <v>18.400000000000006</v>
      </c>
    </row>
    <row r="49" spans="12:34" x14ac:dyDescent="0.25">
      <c r="L49" s="49"/>
      <c r="AE49" s="33">
        <v>25</v>
      </c>
      <c r="AF49" s="33">
        <f t="shared" si="7"/>
        <v>80.999999999999972</v>
      </c>
      <c r="AG49" s="33">
        <v>4800</v>
      </c>
      <c r="AH49" s="33">
        <f t="shared" si="9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0">AF50+3</f>
        <v>86.999999999999972</v>
      </c>
      <c r="AG51" s="33">
        <f t="shared" ref="AG51:AG54" si="11">AG50+960</f>
        <v>6720</v>
      </c>
      <c r="AH51" s="33">
        <f t="shared" ref="AH51:AH54" si="12">AH50+4</f>
        <v>28.000000000000007</v>
      </c>
    </row>
    <row r="52" spans="12:34" x14ac:dyDescent="0.25">
      <c r="L52" s="49"/>
      <c r="AE52" s="33">
        <v>28</v>
      </c>
      <c r="AF52" s="33">
        <f t="shared" si="10"/>
        <v>89.999999999999972</v>
      </c>
      <c r="AG52" s="33">
        <f t="shared" si="11"/>
        <v>7680</v>
      </c>
      <c r="AH52" s="33">
        <f t="shared" si="12"/>
        <v>32.000000000000007</v>
      </c>
    </row>
    <row r="53" spans="12:34" x14ac:dyDescent="0.25">
      <c r="L53" s="49"/>
      <c r="AE53" s="33">
        <v>29</v>
      </c>
      <c r="AF53" s="33">
        <f t="shared" si="10"/>
        <v>92.999999999999972</v>
      </c>
      <c r="AG53" s="33">
        <f t="shared" si="11"/>
        <v>8640</v>
      </c>
      <c r="AH53" s="33">
        <f t="shared" si="12"/>
        <v>36.000000000000007</v>
      </c>
    </row>
    <row r="54" spans="12:34" x14ac:dyDescent="0.25">
      <c r="L54" s="49"/>
      <c r="AE54" s="33">
        <v>30</v>
      </c>
      <c r="AF54" s="33">
        <f t="shared" si="10"/>
        <v>95.999999999999972</v>
      </c>
      <c r="AG54" s="33">
        <f t="shared" si="11"/>
        <v>9600</v>
      </c>
      <c r="AH54" s="33">
        <f t="shared" si="12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3">AF55+3.8</f>
        <v>103.59999999999997</v>
      </c>
      <c r="AG56" s="33">
        <f t="shared" ref="AG56:AG59" si="14">AG55+480</f>
        <v>10560</v>
      </c>
      <c r="AH56" s="33">
        <f t="shared" ref="AH56:AH59" si="15">AH55+2</f>
        <v>44.000000000000007</v>
      </c>
    </row>
    <row r="57" spans="12:34" x14ac:dyDescent="0.25">
      <c r="L57" s="49"/>
      <c r="AE57" s="33">
        <v>33</v>
      </c>
      <c r="AF57" s="33">
        <f t="shared" si="13"/>
        <v>107.39999999999996</v>
      </c>
      <c r="AG57" s="33">
        <f t="shared" si="14"/>
        <v>11040</v>
      </c>
      <c r="AH57" s="33">
        <f t="shared" si="15"/>
        <v>46.000000000000007</v>
      </c>
    </row>
    <row r="58" spans="12:34" x14ac:dyDescent="0.25">
      <c r="L58" s="49"/>
      <c r="AE58" s="33">
        <v>34</v>
      </c>
      <c r="AF58" s="33">
        <f t="shared" si="13"/>
        <v>111.19999999999996</v>
      </c>
      <c r="AG58" s="33">
        <f t="shared" si="14"/>
        <v>11520</v>
      </c>
      <c r="AH58" s="33">
        <f t="shared" si="15"/>
        <v>48.000000000000007</v>
      </c>
    </row>
    <row r="59" spans="12:34" x14ac:dyDescent="0.25">
      <c r="L59" s="49"/>
      <c r="AE59" s="33">
        <v>35</v>
      </c>
      <c r="AF59" s="33">
        <f t="shared" si="13"/>
        <v>114.99999999999996</v>
      </c>
      <c r="AG59" s="33">
        <f t="shared" si="14"/>
        <v>12000</v>
      </c>
      <c r="AH59" s="33">
        <f t="shared" si="15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T18 R18 Y18:Z18 AM19:AP21 AM29:AP36 Q18:Q21 Q29:Q36 N29:N36 AJ17:AJ18 AB17:AB18 N17:N21 Q17:T17 W17:Z17 AM17:AR18">
    <cfRule type="expression" dxfId="3033" priority="96">
      <formula>$L17="API sand"</formula>
    </cfRule>
  </conditionalFormatting>
  <conditionalFormatting sqref="R19:S20 R29:S36 S18 S21 AD21 AB19:AB21 AB29:AB35 AJ19:AL21 AJ29:AL36 Z19:Z21 Z29:Z36 N29:N36 AK17:AL18 N17:N21">
    <cfRule type="expression" dxfId="3032" priority="95">
      <formula>$M17="API sand"</formula>
    </cfRule>
  </conditionalFormatting>
  <conditionalFormatting sqref="R19:T20 R29:T36 S18 S21:T21 AD21 Z19:AB21 Z29:AB35 AK29:AL36 N29:N36 AK17:AL21 N17:N21">
    <cfRule type="expression" dxfId="3031" priority="94">
      <formula>$M17="API clay"</formula>
    </cfRule>
  </conditionalFormatting>
  <conditionalFormatting sqref="AE18:AI18 U18:W21 U29:W36 N19:N21 P19:P21 AM29:AP36 N17:P17 AA17:AA18 AC17:AI17 AM17:AP21 U17:V17">
    <cfRule type="expression" dxfId="3030" priority="91">
      <formula>$L17="Stiff clay w/o free water"</formula>
    </cfRule>
    <cfRule type="expression" dxfId="3029" priority="93">
      <formula>$L17="API clay"</formula>
    </cfRule>
  </conditionalFormatting>
  <conditionalFormatting sqref="AE18:AI18 U18:X18 U19:Y21 U29:Y36 N19:N21 P19:P21 AM29:AP36 N17:P17 AA17:AA18 AC17:AI17 AM17:AP21 U17:V17">
    <cfRule type="expression" dxfId="3028" priority="92">
      <formula>$L17="Kirsch soft clay"</formula>
    </cfRule>
  </conditionalFormatting>
  <conditionalFormatting sqref="AE18:AI18 U18:X18 U19:Y21 U29:Y36 N19:N21 P19:P21 AM29:AP36 N17:P17 AA17:AA18 AC17:AI17 AM17:AP21 U17:V17">
    <cfRule type="expression" dxfId="3027" priority="90">
      <formula>$L17="Kirsch stiff clay"</formula>
    </cfRule>
  </conditionalFormatting>
  <conditionalFormatting sqref="T18 R18 Y18:Z18 AM19:AP21 AM29:AP36 Q18:Q21 Q29:Q36 X19:Y21 X29:Y36 N29:N36 AJ17:AJ18 AB17:AB18 N17:N21 Q17:T17 W17:Z17 AM17:AR18">
    <cfRule type="expression" dxfId="3026" priority="89">
      <formula>$L17="Kirsch sand"</formula>
    </cfRule>
  </conditionalFormatting>
  <conditionalFormatting sqref="AC18:AD21 AC29:AD36 AI19:AI21 AI29:AI36 AM29:AP36 N29:N36 AM17:AP21 N17:N21">
    <cfRule type="expression" dxfId="3025" priority="88">
      <formula>$L17="Modified Weak rock"</formula>
    </cfRule>
  </conditionalFormatting>
  <conditionalFormatting sqref="AE18:AI18 N19:N21 P19:P21 AM29:AP36 U29:V36 N17:P17 AA17:AA18 AC17:AI17 AM17:AP21 U17:V21">
    <cfRule type="expression" dxfId="3024" priority="87">
      <formula>$L17="Reese stiff clay"</formula>
    </cfRule>
  </conditionalFormatting>
  <conditionalFormatting sqref="AB36">
    <cfRule type="expression" dxfId="3023" priority="85">
      <formula>$M36="API sand"</formula>
    </cfRule>
  </conditionalFormatting>
  <conditionalFormatting sqref="Z36:AB36">
    <cfRule type="expression" dxfId="3022" priority="84">
      <formula>$M36="API clay"</formula>
    </cfRule>
  </conditionalFormatting>
  <conditionalFormatting sqref="N18:P18 N29:P36">
    <cfRule type="expression" dxfId="3021" priority="81">
      <formula>$L18="Stiff clay w/o free water"</formula>
    </cfRule>
    <cfRule type="expression" dxfId="3020" priority="83">
      <formula>$L18="API clay"</formula>
    </cfRule>
  </conditionalFormatting>
  <conditionalFormatting sqref="N18:P18 N29:P36">
    <cfRule type="expression" dxfId="3019" priority="82">
      <formula>$L18="Kirsch soft clay"</formula>
    </cfRule>
  </conditionalFormatting>
  <conditionalFormatting sqref="N18:P18 N29:P36">
    <cfRule type="expression" dxfId="3018" priority="80">
      <formula>$L18="Kirsch stiff clay"</formula>
    </cfRule>
  </conditionalFormatting>
  <conditionalFormatting sqref="X18">
    <cfRule type="expression" dxfId="3017" priority="79">
      <formula>$L18="Kirsch sand"</formula>
    </cfRule>
  </conditionalFormatting>
  <conditionalFormatting sqref="N18:P18 N29:P36">
    <cfRule type="expression" dxfId="3016" priority="77">
      <formula>$L18="Reese stiff clay"</formula>
    </cfRule>
  </conditionalFormatting>
  <conditionalFormatting sqref="AE18:AI18 V17:V18 U17 N17:P17 AA17:AA18 AC17:AI17 AM17:AP18">
    <cfRule type="expression" dxfId="3015" priority="76">
      <formula>$L17="PISA clay"</formula>
    </cfRule>
  </conditionalFormatting>
  <conditionalFormatting sqref="N17 AM17:AP18">
    <cfRule type="expression" dxfId="3014" priority="75">
      <formula>$L17="PISA sand"</formula>
    </cfRule>
  </conditionalFormatting>
  <conditionalFormatting sqref="O19:O21">
    <cfRule type="expression" dxfId="3013" priority="74">
      <formula>$L19="API sand"</formula>
    </cfRule>
  </conditionalFormatting>
  <conditionalFormatting sqref="O19:O21">
    <cfRule type="expression" dxfId="3012" priority="73">
      <formula>$L19="Kirsch sand"</formula>
    </cfRule>
  </conditionalFormatting>
  <conditionalFormatting sqref="AE37:AH37">
    <cfRule type="expression" dxfId="3011" priority="97">
      <formula>$L19="Modified Weak rock"</formula>
    </cfRule>
  </conditionalFormatting>
  <dataValidations count="3">
    <dataValidation type="list" showInputMessage="1" showErrorMessage="1" sqref="L19:L21 L29:L255 L6:L17" xr:uid="{CBF77FA2-4785-4F00-97A8-FDDF0EC71FBD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7" xr:uid="{8731DA2E-5C6D-416D-B61F-5CCBF63C82C5}">
      <formula1>"Zero soil,API sand,API clay"</formula1>
    </dataValidation>
    <dataValidation type="list" showInputMessage="1" showErrorMessage="1" sqref="M18:M21 M8:M16 M29:M36" xr:uid="{9CEE78B5-C712-423B-AF7E-2CA26828CDAA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E68A1-6261-418A-86BF-3FC8CE1627F5}">
  <sheetPr>
    <tabColor rgb="FF00B0F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Ak_Pisa_WTG57_ULSF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51"/>
      <c r="R3" s="155"/>
      <c r="S3" s="155"/>
      <c r="T3" s="151"/>
      <c r="U3" s="155"/>
      <c r="V3" s="155"/>
      <c r="W3" s="151"/>
      <c r="X3" s="69"/>
      <c r="Y3" s="151"/>
      <c r="Z3" s="151"/>
      <c r="AA3" s="151"/>
      <c r="AB3" s="151"/>
      <c r="AC3" s="69"/>
      <c r="AD3" s="39"/>
      <c r="AE3" s="39"/>
      <c r="AF3" s="39"/>
      <c r="AG3" s="39"/>
      <c r="AH3" s="39"/>
      <c r="AI3" s="39"/>
      <c r="AJ3" s="151"/>
      <c r="AK3" s="151"/>
      <c r="AL3" s="151"/>
      <c r="AM3" s="151"/>
      <c r="AN3" s="151"/>
      <c r="AO3" s="151"/>
      <c r="AP3" s="151"/>
    </row>
    <row r="4" spans="1:45" x14ac:dyDescent="0.25">
      <c r="A4" s="40" t="s">
        <v>60</v>
      </c>
      <c r="B4" s="33">
        <f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2" t="s">
        <v>38</v>
      </c>
      <c r="K5" s="152" t="s">
        <v>30</v>
      </c>
      <c r="L5" s="152" t="s">
        <v>31</v>
      </c>
      <c r="M5" s="152" t="s">
        <v>31</v>
      </c>
      <c r="N5" s="152" t="s">
        <v>32</v>
      </c>
      <c r="O5" s="152" t="s">
        <v>33</v>
      </c>
      <c r="P5" s="152" t="s">
        <v>35</v>
      </c>
      <c r="Q5" s="152" t="s">
        <v>36</v>
      </c>
      <c r="R5" s="152" t="s">
        <v>36</v>
      </c>
      <c r="S5" s="152" t="s">
        <v>34</v>
      </c>
      <c r="T5" s="152" t="s">
        <v>33</v>
      </c>
      <c r="U5" s="152" t="s">
        <v>34</v>
      </c>
      <c r="V5" s="152" t="s">
        <v>62</v>
      </c>
      <c r="W5" s="152" t="s">
        <v>34</v>
      </c>
      <c r="X5" s="152" t="s">
        <v>33</v>
      </c>
      <c r="Y5" s="152" t="s">
        <v>35</v>
      </c>
      <c r="Z5" s="152" t="s">
        <v>33</v>
      </c>
      <c r="AA5" s="152" t="s">
        <v>34</v>
      </c>
      <c r="AB5" s="152" t="s">
        <v>33</v>
      </c>
      <c r="AC5" s="152" t="s">
        <v>33</v>
      </c>
      <c r="AD5" s="152" t="s">
        <v>35</v>
      </c>
      <c r="AE5" s="152" t="s">
        <v>34</v>
      </c>
      <c r="AF5" s="152" t="s">
        <v>33</v>
      </c>
      <c r="AG5" s="152" t="s">
        <v>35</v>
      </c>
      <c r="AH5" s="152" t="s">
        <v>34</v>
      </c>
      <c r="AI5" s="152" t="s">
        <v>34</v>
      </c>
      <c r="AJ5" s="152" t="s">
        <v>34</v>
      </c>
      <c r="AK5" s="152" t="s">
        <v>34</v>
      </c>
      <c r="AL5" s="152" t="s">
        <v>34</v>
      </c>
      <c r="AM5" s="152" t="s">
        <v>34</v>
      </c>
      <c r="AN5" s="152" t="s">
        <v>34</v>
      </c>
      <c r="AO5" s="152" t="s">
        <v>34</v>
      </c>
      <c r="AP5" s="152" t="s">
        <v>34</v>
      </c>
      <c r="AQ5" s="152" t="s">
        <v>103</v>
      </c>
      <c r="AR5" s="152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EW_sand_Ruled_71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33</v>
      </c>
      <c r="R6" s="47">
        <f t="shared" ref="R6:R17" si="0">IF(Q6&lt;&gt;0,Q6-5,NA())</f>
        <v>28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2800</v>
      </c>
      <c r="Y6" s="47">
        <v>0</v>
      </c>
      <c r="Z6" s="47">
        <f t="shared" ref="Z6:Z17" si="1">VLOOKUP(R6,$AE$39:$AF$59,2)</f>
        <v>89.999999999999972</v>
      </c>
      <c r="AA6" s="47">
        <v>1</v>
      </c>
      <c r="AB6" s="47">
        <f t="shared" ref="AB6:AB17" si="2">VLOOKUP(R6,$AE$39:$AG$59,3)</f>
        <v>7680</v>
      </c>
      <c r="AC6" s="63">
        <v>5000</v>
      </c>
      <c r="AD6" s="63">
        <v>24000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7" si="3">VLOOKUP(R6,$AE$39:$AH$59,4)</f>
        <v>32.000000000000007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71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-0.5</v>
      </c>
      <c r="L7" s="33" t="str">
        <f>"EW_sand_Ruled"&amp;"_"&amp;AR7</f>
        <v>EW_sand_Ruled_77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38</v>
      </c>
      <c r="R7" s="47">
        <f t="shared" si="0"/>
        <v>33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15200</v>
      </c>
      <c r="Y7" s="47">
        <v>0</v>
      </c>
      <c r="Z7" s="47">
        <f t="shared" si="1"/>
        <v>107.39999999999996</v>
      </c>
      <c r="AA7" s="47">
        <v>1</v>
      </c>
      <c r="AB7" s="47">
        <f t="shared" si="2"/>
        <v>11040</v>
      </c>
      <c r="AC7" s="63">
        <v>22000</v>
      </c>
      <c r="AD7" s="63">
        <v>18000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46.000000000000007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77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21064.989600000001</v>
      </c>
      <c r="H8" s="45" t="s">
        <v>53</v>
      </c>
      <c r="I8" s="33" t="s">
        <v>279</v>
      </c>
      <c r="J8" s="47">
        <v>3</v>
      </c>
      <c r="K8" s="33">
        <v>-1</v>
      </c>
      <c r="L8" s="33" t="str">
        <f>"EW_sand_Ruled"&amp;"_"&amp;AR8</f>
        <v>EW_sand_Ruled_76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39</v>
      </c>
      <c r="R8" s="47">
        <f t="shared" si="0"/>
        <v>34</v>
      </c>
      <c r="S8" s="47">
        <v>0.5</v>
      </c>
      <c r="T8" s="47">
        <v>0</v>
      </c>
      <c r="U8" s="75">
        <v>0</v>
      </c>
      <c r="V8" s="75">
        <v>0</v>
      </c>
      <c r="W8" s="47">
        <v>0</v>
      </c>
      <c r="X8" s="47">
        <v>25700</v>
      </c>
      <c r="Y8" s="47">
        <v>0</v>
      </c>
      <c r="Z8" s="47">
        <f t="shared" si="1"/>
        <v>111.19999999999996</v>
      </c>
      <c r="AA8" s="47">
        <v>1</v>
      </c>
      <c r="AB8" s="47">
        <f t="shared" si="2"/>
        <v>11520</v>
      </c>
      <c r="AC8" s="63">
        <v>36000</v>
      </c>
      <c r="AD8" s="63">
        <v>7000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48.000000000000007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76</v>
      </c>
      <c r="AS8" s="33">
        <v>0.4</v>
      </c>
    </row>
    <row r="9" spans="1:45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-898177.09430769202</v>
      </c>
      <c r="H9" s="45" t="s">
        <v>54</v>
      </c>
      <c r="I9" s="56" t="s">
        <v>293</v>
      </c>
      <c r="J9" s="47">
        <v>4</v>
      </c>
      <c r="K9" s="19">
        <v>-2</v>
      </c>
      <c r="L9" s="33" t="str">
        <f>"EW_sand_Ruled"&amp;"_"&amp;AR9</f>
        <v>EW_sand_Ruled_70</v>
      </c>
      <c r="M9" s="105" t="s">
        <v>64</v>
      </c>
      <c r="N9" s="47">
        <v>9.6</v>
      </c>
      <c r="O9" s="63">
        <v>0</v>
      </c>
      <c r="P9" s="63">
        <v>0</v>
      </c>
      <c r="Q9" s="47">
        <v>39</v>
      </c>
      <c r="R9" s="47">
        <f t="shared" si="0"/>
        <v>34</v>
      </c>
      <c r="S9" s="47">
        <v>1.8</v>
      </c>
      <c r="T9" s="47">
        <v>0</v>
      </c>
      <c r="U9" s="75">
        <v>0</v>
      </c>
      <c r="V9" s="75">
        <v>0</v>
      </c>
      <c r="W9" s="47">
        <v>0</v>
      </c>
      <c r="X9" s="47">
        <v>35000</v>
      </c>
      <c r="Y9" s="47">
        <v>0</v>
      </c>
      <c r="Z9" s="47">
        <f t="shared" si="1"/>
        <v>111.19999999999996</v>
      </c>
      <c r="AA9" s="47">
        <v>1</v>
      </c>
      <c r="AB9" s="47">
        <f t="shared" si="2"/>
        <v>11520</v>
      </c>
      <c r="AC9" s="63">
        <v>55000</v>
      </c>
      <c r="AD9" s="63">
        <v>625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3"/>
        <v>48.000000000000007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70</v>
      </c>
      <c r="AS9" s="33">
        <v>0.4</v>
      </c>
    </row>
    <row r="10" spans="1:45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36462.326538461544</v>
      </c>
      <c r="H10" s="45" t="s">
        <v>53</v>
      </c>
      <c r="I10" s="56" t="s">
        <v>299</v>
      </c>
      <c r="J10" s="47">
        <v>5</v>
      </c>
      <c r="K10" s="19">
        <v>-3.6</v>
      </c>
      <c r="L10" s="116" t="s">
        <v>275</v>
      </c>
      <c r="M10" s="105" t="s">
        <v>65</v>
      </c>
      <c r="N10" s="47">
        <v>9.5</v>
      </c>
      <c r="O10" s="63">
        <v>206</v>
      </c>
      <c r="P10" s="63">
        <v>6.59</v>
      </c>
      <c r="Q10" s="47">
        <v>0</v>
      </c>
      <c r="R10" s="47" t="e">
        <f t="shared" si="0"/>
        <v>#N/A</v>
      </c>
      <c r="S10" s="47">
        <v>3</v>
      </c>
      <c r="T10" s="47">
        <v>0</v>
      </c>
      <c r="U10" s="75">
        <v>1.7999999999999999E-2</v>
      </c>
      <c r="V10" s="75">
        <v>0</v>
      </c>
      <c r="W10" s="47">
        <v>0.5</v>
      </c>
      <c r="X10" s="47">
        <v>42100</v>
      </c>
      <c r="Y10" s="47">
        <v>0</v>
      </c>
      <c r="Z10" s="47" t="e">
        <f t="shared" si="1"/>
        <v>#N/A</v>
      </c>
      <c r="AA10" s="47">
        <v>1</v>
      </c>
      <c r="AB10" s="47" t="e">
        <f t="shared" si="2"/>
        <v>#N/A</v>
      </c>
      <c r="AC10" s="63">
        <v>247000</v>
      </c>
      <c r="AD10" s="63">
        <v>9148.93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 t="e">
        <f t="shared" si="3"/>
        <v>#N/A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56" t="s">
        <v>299</v>
      </c>
      <c r="J11" s="47">
        <v>6</v>
      </c>
      <c r="K11" s="19">
        <v>-13</v>
      </c>
      <c r="L11" s="116" t="s">
        <v>275</v>
      </c>
      <c r="M11" s="105" t="s">
        <v>65</v>
      </c>
      <c r="N11" s="47">
        <v>9.5</v>
      </c>
      <c r="O11" s="63">
        <v>93</v>
      </c>
      <c r="P11" s="63">
        <v>11.2</v>
      </c>
      <c r="Q11" s="47">
        <v>0</v>
      </c>
      <c r="R11" s="47" t="e">
        <f t="shared" si="0"/>
        <v>#N/A</v>
      </c>
      <c r="S11" s="47">
        <v>2.5</v>
      </c>
      <c r="T11" s="47">
        <v>0</v>
      </c>
      <c r="U11" s="75">
        <v>1.7999999999999999E-2</v>
      </c>
      <c r="V11" s="75">
        <v>0</v>
      </c>
      <c r="W11" s="47">
        <v>0.5</v>
      </c>
      <c r="X11" s="47">
        <v>20400</v>
      </c>
      <c r="Y11" s="47">
        <v>0</v>
      </c>
      <c r="Z11" s="47" t="e">
        <f t="shared" si="1"/>
        <v>#N/A</v>
      </c>
      <c r="AA11" s="47">
        <v>1</v>
      </c>
      <c r="AB11" s="47" t="e">
        <f t="shared" si="2"/>
        <v>#N/A</v>
      </c>
      <c r="AC11" s="63">
        <v>107000</v>
      </c>
      <c r="AD11" s="63">
        <v>13600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 t="e">
        <f t="shared" si="3"/>
        <v>#N/A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33">
        <v>0.4</v>
      </c>
    </row>
    <row r="12" spans="1:45" x14ac:dyDescent="0.25">
      <c r="A12" s="33" t="s">
        <v>74</v>
      </c>
      <c r="B12" s="57">
        <v>9.6</v>
      </c>
      <c r="C12" s="45" t="s">
        <v>28</v>
      </c>
      <c r="E12" s="59"/>
      <c r="F12" s="56" t="s">
        <v>97</v>
      </c>
      <c r="G12" s="71">
        <v>4085.831097692308</v>
      </c>
      <c r="H12" s="45" t="s">
        <v>53</v>
      </c>
      <c r="I12" s="56" t="s">
        <v>304</v>
      </c>
      <c r="J12" s="47">
        <v>7</v>
      </c>
      <c r="K12" s="19">
        <v>-15.5</v>
      </c>
      <c r="L12" s="116" t="s">
        <v>275</v>
      </c>
      <c r="M12" s="105" t="s">
        <v>65</v>
      </c>
      <c r="N12" s="47">
        <v>9</v>
      </c>
      <c r="O12" s="63">
        <v>291</v>
      </c>
      <c r="P12" s="63">
        <v>25.2</v>
      </c>
      <c r="Q12" s="47">
        <v>0</v>
      </c>
      <c r="R12" s="47" t="e">
        <f t="shared" si="0"/>
        <v>#N/A</v>
      </c>
      <c r="S12" s="47">
        <v>3</v>
      </c>
      <c r="T12" s="47">
        <v>0</v>
      </c>
      <c r="U12" s="75">
        <v>1.7999999999999999E-2</v>
      </c>
      <c r="V12" s="75">
        <v>0</v>
      </c>
      <c r="W12" s="47">
        <v>0.25</v>
      </c>
      <c r="X12" s="47">
        <v>28500</v>
      </c>
      <c r="Y12" s="47">
        <v>0</v>
      </c>
      <c r="Z12" s="47" t="e">
        <f t="shared" si="1"/>
        <v>#N/A</v>
      </c>
      <c r="AA12" s="47">
        <v>1</v>
      </c>
      <c r="AB12" s="47" t="e">
        <f t="shared" si="2"/>
        <v>#N/A</v>
      </c>
      <c r="AC12" s="63">
        <v>506000</v>
      </c>
      <c r="AD12" s="63">
        <v>38800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3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56" t="s">
        <v>291</v>
      </c>
      <c r="J13" s="47">
        <v>8</v>
      </c>
      <c r="K13" s="19">
        <v>-18</v>
      </c>
      <c r="L13" s="33" t="str">
        <f>"EW_sand_Ruled"&amp;"_"&amp;AR13</f>
        <v>EW_sand_Ruled_71</v>
      </c>
      <c r="M13" s="105" t="s">
        <v>64</v>
      </c>
      <c r="N13" s="47">
        <v>8.5</v>
      </c>
      <c r="O13" s="63">
        <v>0</v>
      </c>
      <c r="P13" s="63">
        <v>0</v>
      </c>
      <c r="Q13" s="47">
        <v>28</v>
      </c>
      <c r="R13" s="47">
        <f t="shared" si="0"/>
        <v>23</v>
      </c>
      <c r="S13" s="47">
        <v>1.2</v>
      </c>
      <c r="T13" s="47">
        <v>0</v>
      </c>
      <c r="U13" s="75">
        <v>0</v>
      </c>
      <c r="V13" s="75">
        <v>0</v>
      </c>
      <c r="W13" s="47">
        <v>0</v>
      </c>
      <c r="X13" s="47">
        <v>23600</v>
      </c>
      <c r="Y13" s="47">
        <v>0</v>
      </c>
      <c r="Z13" s="47">
        <f t="shared" si="1"/>
        <v>75.399999999999977</v>
      </c>
      <c r="AA13" s="47">
        <v>1</v>
      </c>
      <c r="AB13" s="47">
        <f t="shared" si="2"/>
        <v>4040</v>
      </c>
      <c r="AC13" s="63">
        <v>138000</v>
      </c>
      <c r="AD13" s="63">
        <v>-7333.33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16.800000000000004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71</v>
      </c>
      <c r="AS13" s="33">
        <v>0.2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291</v>
      </c>
      <c r="J14" s="47">
        <v>9</v>
      </c>
      <c r="K14" s="19">
        <v>-21</v>
      </c>
      <c r="L14" s="33" t="str">
        <f>"EW_sand_Ruled"&amp;"_"&amp;AR14</f>
        <v>EW_sand_Ruled_76</v>
      </c>
      <c r="M14" s="105" t="s">
        <v>64</v>
      </c>
      <c r="N14" s="47">
        <v>8.5</v>
      </c>
      <c r="O14" s="63">
        <v>0</v>
      </c>
      <c r="P14" s="63">
        <v>0</v>
      </c>
      <c r="Q14" s="47">
        <v>28</v>
      </c>
      <c r="R14" s="47">
        <f t="shared" si="0"/>
        <v>23</v>
      </c>
      <c r="S14" s="47">
        <v>1.2</v>
      </c>
      <c r="T14" s="47">
        <v>0</v>
      </c>
      <c r="U14" s="75">
        <v>0</v>
      </c>
      <c r="V14" s="75">
        <v>0</v>
      </c>
      <c r="W14" s="47">
        <v>0</v>
      </c>
      <c r="X14" s="47">
        <v>30300</v>
      </c>
      <c r="Y14" s="47">
        <v>0</v>
      </c>
      <c r="Z14" s="47">
        <f t="shared" si="1"/>
        <v>75.399999999999977</v>
      </c>
      <c r="AA14" s="47">
        <v>1</v>
      </c>
      <c r="AB14" s="47">
        <f t="shared" si="2"/>
        <v>4040</v>
      </c>
      <c r="AC14" s="63">
        <v>122000</v>
      </c>
      <c r="AD14" s="63">
        <v>6896.55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16.800000000000004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76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271</v>
      </c>
      <c r="J15" s="47">
        <v>10</v>
      </c>
      <c r="K15" s="19">
        <v>-26.8</v>
      </c>
      <c r="L15" s="33" t="str">
        <f>"EW_sand_Ruled"&amp;"_"&amp;AR15</f>
        <v>EW_sand_Ruled_22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25.5</v>
      </c>
      <c r="R15" s="47">
        <f t="shared" si="0"/>
        <v>20.5</v>
      </c>
      <c r="S15" s="47">
        <v>0.5</v>
      </c>
      <c r="T15" s="47">
        <v>0</v>
      </c>
      <c r="U15" s="75">
        <v>0</v>
      </c>
      <c r="V15" s="75">
        <v>0</v>
      </c>
      <c r="W15" s="47">
        <v>0</v>
      </c>
      <c r="X15" s="47">
        <v>20200</v>
      </c>
      <c r="Y15" s="47">
        <v>0</v>
      </c>
      <c r="Z15" s="47">
        <f t="shared" si="1"/>
        <v>66.999999999999986</v>
      </c>
      <c r="AA15" s="47">
        <v>1</v>
      </c>
      <c r="AB15" s="47">
        <f t="shared" si="2"/>
        <v>2900</v>
      </c>
      <c r="AC15" s="63">
        <v>119000</v>
      </c>
      <c r="AD15" s="63">
        <v>157.88999999999999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3"/>
        <v>12.000000000000004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22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273</v>
      </c>
      <c r="J16" s="47">
        <v>11</v>
      </c>
      <c r="K16" s="19">
        <v>-45.8</v>
      </c>
      <c r="L16" s="116" t="s">
        <v>275</v>
      </c>
      <c r="M16" s="105" t="s">
        <v>65</v>
      </c>
      <c r="N16" s="47">
        <v>8.9</v>
      </c>
      <c r="O16" s="63">
        <v>361</v>
      </c>
      <c r="P16" s="63">
        <v>5.96</v>
      </c>
      <c r="Q16" s="47">
        <v>0</v>
      </c>
      <c r="R16" s="47" t="e">
        <f t="shared" si="0"/>
        <v>#N/A</v>
      </c>
      <c r="S16" s="47">
        <v>1.9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40900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534000</v>
      </c>
      <c r="AD16" s="63">
        <v>10877.19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52"/>
      <c r="E17" s="152"/>
      <c r="I17" s="56" t="s">
        <v>273</v>
      </c>
      <c r="J17" s="47">
        <v>12</v>
      </c>
      <c r="K17" s="19">
        <v>-80</v>
      </c>
      <c r="L17" s="116" t="s">
        <v>275</v>
      </c>
      <c r="M17" s="105" t="s">
        <v>65</v>
      </c>
      <c r="N17" s="47">
        <v>8.9</v>
      </c>
      <c r="O17" s="63">
        <v>565</v>
      </c>
      <c r="P17" s="63">
        <v>0</v>
      </c>
      <c r="Q17" s="47">
        <v>0</v>
      </c>
      <c r="R17" s="47" t="e">
        <f t="shared" si="0"/>
        <v>#N/A</v>
      </c>
      <c r="S17" s="47">
        <v>1.9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40900</v>
      </c>
      <c r="Y17" s="47">
        <v>0</v>
      </c>
      <c r="Z17" s="47" t="e">
        <f t="shared" si="1"/>
        <v>#N/A</v>
      </c>
      <c r="AA17" s="47">
        <v>1</v>
      </c>
      <c r="AB17" s="47" t="e">
        <f t="shared" si="2"/>
        <v>#N/A</v>
      </c>
      <c r="AC17" s="63">
        <v>906000</v>
      </c>
      <c r="AD17" s="63">
        <v>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3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/>
      <c r="M18" s="49"/>
      <c r="N18" s="47"/>
      <c r="O18" s="63"/>
      <c r="P18" s="47"/>
      <c r="Q18" s="47"/>
      <c r="R18" s="47"/>
      <c r="S18" s="47"/>
      <c r="T18" s="47"/>
      <c r="U18" s="47"/>
      <c r="V18" s="75"/>
      <c r="W18" s="47"/>
      <c r="X18" s="47"/>
      <c r="Y18" s="47"/>
      <c r="Z18" s="47"/>
      <c r="AA18" s="47"/>
      <c r="AB18" s="47"/>
      <c r="AC18" s="47"/>
      <c r="AD18" s="47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5" x14ac:dyDescent="0.25">
      <c r="A19" s="152" t="s">
        <v>38</v>
      </c>
      <c r="B19" s="152" t="s">
        <v>30</v>
      </c>
      <c r="C19" s="152" t="s">
        <v>59</v>
      </c>
      <c r="D19" s="43"/>
      <c r="E19" s="35"/>
      <c r="L19" s="49"/>
      <c r="M19" s="49" t="s">
        <v>94</v>
      </c>
      <c r="N19" s="47"/>
      <c r="O19" s="47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  <c r="AO19" s="47"/>
      <c r="AP19" s="47"/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  <c r="J26" s="47"/>
      <c r="K26" s="19"/>
      <c r="L26" s="116"/>
      <c r="M26" s="105"/>
      <c r="N26" s="47"/>
      <c r="O26" s="63"/>
      <c r="P26" s="63"/>
      <c r="Q26" s="47"/>
      <c r="R26" s="47"/>
      <c r="S26" s="47"/>
      <c r="T26" s="47"/>
      <c r="U26" s="75"/>
      <c r="V26" s="75"/>
      <c r="W26" s="47"/>
      <c r="X26" s="47"/>
      <c r="Y26" s="47"/>
      <c r="Z26" s="47"/>
      <c r="AA26" s="47"/>
      <c r="AB26" s="47"/>
      <c r="AC26" s="63"/>
      <c r="AD26" s="63"/>
      <c r="AE26" s="63"/>
      <c r="AF26" s="63"/>
      <c r="AG26" s="63"/>
      <c r="AH26" s="63"/>
      <c r="AI26" s="63"/>
      <c r="AJ26" s="47"/>
      <c r="AK26" s="47"/>
      <c r="AL26" s="47"/>
      <c r="AM26" s="47"/>
      <c r="AN26" s="47"/>
      <c r="AO26" s="47"/>
      <c r="AP26" s="47"/>
      <c r="AQ26" s="47"/>
      <c r="AR26" s="47"/>
    </row>
    <row r="27" spans="1:45" x14ac:dyDescent="0.25">
      <c r="A27" s="66"/>
      <c r="B27" s="66"/>
      <c r="C27" s="67"/>
      <c r="D27" s="35"/>
      <c r="J27" s="47"/>
      <c r="K27" s="19"/>
      <c r="L27" s="116"/>
      <c r="M27" s="105"/>
      <c r="N27" s="47"/>
      <c r="O27" s="63"/>
      <c r="P27" s="63"/>
      <c r="Q27" s="47"/>
      <c r="R27" s="47"/>
      <c r="S27" s="47"/>
      <c r="T27" s="47"/>
      <c r="U27" s="75"/>
      <c r="V27" s="75"/>
      <c r="W27" s="47"/>
      <c r="X27" s="47"/>
      <c r="Y27" s="47"/>
      <c r="Z27" s="47"/>
      <c r="AA27" s="47"/>
      <c r="AB27" s="47"/>
      <c r="AC27" s="63"/>
      <c r="AD27" s="63"/>
      <c r="AE27" s="63"/>
      <c r="AF27" s="63"/>
      <c r="AG27" s="63"/>
      <c r="AH27" s="63"/>
      <c r="AI27" s="63"/>
      <c r="AJ27" s="47"/>
      <c r="AK27" s="47"/>
      <c r="AL27" s="47"/>
      <c r="AM27" s="47"/>
      <c r="AN27" s="47"/>
      <c r="AO27" s="47"/>
      <c r="AP27" s="47"/>
      <c r="AQ27" s="47"/>
      <c r="AR27" s="47"/>
    </row>
    <row r="28" spans="1:45" x14ac:dyDescent="0.25">
      <c r="A28" s="66"/>
      <c r="B28" s="66"/>
      <c r="C28" s="67"/>
      <c r="D28" s="35"/>
      <c r="J28" s="47"/>
      <c r="K28" s="19"/>
      <c r="L28" s="116"/>
      <c r="M28" s="105"/>
      <c r="N28" s="47"/>
      <c r="O28" s="63"/>
      <c r="P28" s="63"/>
      <c r="Q28" s="47"/>
      <c r="R28" s="47"/>
      <c r="S28" s="47"/>
      <c r="T28" s="47"/>
      <c r="U28" s="75"/>
      <c r="V28" s="75"/>
      <c r="W28" s="47"/>
      <c r="X28" s="47"/>
      <c r="Y28" s="47"/>
      <c r="Z28" s="47"/>
      <c r="AA28" s="47"/>
      <c r="AB28" s="47"/>
      <c r="AC28" s="63"/>
      <c r="AD28" s="63"/>
      <c r="AE28" s="63"/>
      <c r="AF28" s="63"/>
      <c r="AG28" s="63"/>
      <c r="AH28" s="63"/>
      <c r="AI28" s="63"/>
      <c r="AJ28" s="47"/>
      <c r="AK28" s="47"/>
      <c r="AL28" s="47"/>
      <c r="AM28" s="47"/>
      <c r="AN28" s="47"/>
      <c r="AO28" s="47"/>
      <c r="AP28" s="47"/>
      <c r="AQ28" s="47"/>
      <c r="AR28" s="47"/>
    </row>
    <row r="29" spans="1:45" x14ac:dyDescent="0.25">
      <c r="A29" s="66"/>
      <c r="B29" s="66"/>
      <c r="C29" s="67"/>
      <c r="D29" s="35"/>
      <c r="I29" s="56"/>
      <c r="J29" s="47"/>
      <c r="K29" s="19"/>
      <c r="L29" s="116"/>
      <c r="M29" s="105"/>
      <c r="N29" s="47"/>
      <c r="O29" s="63"/>
      <c r="P29" s="63"/>
      <c r="Q29" s="47"/>
      <c r="R29" s="47"/>
      <c r="S29" s="47"/>
      <c r="T29" s="47"/>
      <c r="U29" s="75"/>
      <c r="V29" s="75"/>
      <c r="W29" s="47"/>
      <c r="X29" s="47"/>
      <c r="Y29" s="47"/>
      <c r="Z29" s="47"/>
      <c r="AA29" s="47"/>
      <c r="AB29" s="47"/>
      <c r="AC29" s="63"/>
      <c r="AD29" s="63"/>
      <c r="AE29" s="63"/>
      <c r="AF29" s="63"/>
      <c r="AG29" s="63"/>
      <c r="AH29" s="63"/>
      <c r="AI29" s="63"/>
      <c r="AJ29" s="47"/>
      <c r="AK29" s="47"/>
      <c r="AL29" s="47"/>
      <c r="AM29" s="47"/>
      <c r="AN29" s="47"/>
      <c r="AO29" s="47"/>
      <c r="AP29" s="47"/>
      <c r="AQ29" s="47"/>
      <c r="AR29" s="47"/>
    </row>
    <row r="30" spans="1:45" x14ac:dyDescent="0.25">
      <c r="A30" s="66"/>
      <c r="B30" s="66"/>
      <c r="C30" s="67"/>
      <c r="D30" s="35"/>
      <c r="I30" s="56"/>
      <c r="J30" s="47"/>
      <c r="K30" s="19"/>
      <c r="L30" s="116"/>
      <c r="M30" s="105"/>
      <c r="N30" s="47"/>
      <c r="O30" s="63"/>
      <c r="P30" s="63"/>
      <c r="Q30" s="47"/>
      <c r="R30" s="47"/>
      <c r="S30" s="47"/>
      <c r="T30" s="47"/>
      <c r="U30" s="75"/>
      <c r="V30" s="75"/>
      <c r="W30" s="47"/>
      <c r="X30" s="47"/>
      <c r="Y30" s="47"/>
      <c r="Z30" s="47"/>
      <c r="AA30" s="47"/>
      <c r="AB30" s="47"/>
      <c r="AC30" s="63"/>
      <c r="AD30" s="63"/>
      <c r="AE30" s="63"/>
      <c r="AF30" s="63"/>
      <c r="AG30" s="63"/>
      <c r="AH30" s="63"/>
      <c r="AI30" s="63"/>
      <c r="AJ30" s="47"/>
      <c r="AK30" s="47"/>
      <c r="AL30" s="47"/>
      <c r="AM30" s="47"/>
      <c r="AN30" s="47"/>
      <c r="AO30" s="47"/>
      <c r="AP30" s="47"/>
      <c r="AQ30" s="47"/>
      <c r="AR30" s="47"/>
    </row>
    <row r="31" spans="1:45" x14ac:dyDescent="0.25">
      <c r="A31" s="66"/>
      <c r="B31" s="66"/>
      <c r="C31" s="67"/>
      <c r="D31" s="35"/>
      <c r="J31" s="47"/>
      <c r="K31" s="19"/>
      <c r="L31" s="116"/>
      <c r="M31" s="105"/>
      <c r="N31" s="47"/>
      <c r="O31" s="63"/>
      <c r="P31" s="63"/>
      <c r="Q31" s="47"/>
      <c r="R31" s="47"/>
      <c r="S31" s="47"/>
      <c r="T31" s="47"/>
      <c r="U31" s="75"/>
      <c r="V31" s="75"/>
      <c r="W31" s="47"/>
      <c r="X31" s="47"/>
      <c r="Y31" s="47"/>
      <c r="Z31" s="47"/>
      <c r="AA31" s="47"/>
      <c r="AB31" s="47"/>
      <c r="AC31" s="63"/>
      <c r="AD31" s="63"/>
      <c r="AE31" s="63"/>
      <c r="AF31" s="63"/>
      <c r="AG31" s="63"/>
      <c r="AH31" s="63"/>
      <c r="AI31" s="63"/>
      <c r="AJ31" s="47"/>
      <c r="AK31" s="47"/>
      <c r="AL31" s="47"/>
      <c r="AM31" s="47"/>
      <c r="AN31" s="47"/>
      <c r="AO31" s="47"/>
      <c r="AP31" s="47"/>
      <c r="AQ31" s="47"/>
      <c r="AR31" s="47"/>
    </row>
    <row r="32" spans="1:45" x14ac:dyDescent="0.25">
      <c r="A32" s="66"/>
      <c r="B32" s="66"/>
      <c r="C32" s="67"/>
      <c r="D32" s="35"/>
      <c r="J32" s="47"/>
      <c r="K32" s="19"/>
      <c r="L32" s="116"/>
      <c r="M32" s="105"/>
      <c r="N32" s="47"/>
      <c r="O32" s="63"/>
      <c r="P32" s="63"/>
      <c r="Q32" s="47"/>
      <c r="R32" s="47"/>
      <c r="S32" s="47"/>
      <c r="T32" s="47"/>
      <c r="U32" s="75"/>
      <c r="V32" s="75"/>
      <c r="W32" s="47"/>
      <c r="X32" s="47"/>
      <c r="Y32" s="47"/>
      <c r="Z32" s="47"/>
      <c r="AA32" s="47"/>
      <c r="AB32" s="47"/>
      <c r="AC32" s="63"/>
      <c r="AD32" s="63"/>
      <c r="AE32" s="63"/>
      <c r="AF32" s="63"/>
      <c r="AG32" s="63"/>
      <c r="AH32" s="63"/>
      <c r="AI32" s="63"/>
      <c r="AJ32" s="47"/>
      <c r="AK32" s="47"/>
      <c r="AL32" s="47"/>
      <c r="AM32" s="47"/>
      <c r="AN32" s="47"/>
      <c r="AO32" s="47"/>
      <c r="AP32" s="47"/>
      <c r="AQ32" s="47"/>
      <c r="AR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4">AF40+3.8</f>
        <v>55.599999999999994</v>
      </c>
      <c r="AG41" s="33">
        <f t="shared" ref="AG41:AG43" si="5">AG40+200</f>
        <v>2300</v>
      </c>
      <c r="AH41" s="33">
        <f t="shared" ref="AH41:AH44" si="6">AH40+0.8</f>
        <v>9.6000000000000014</v>
      </c>
    </row>
    <row r="42" spans="1:42" x14ac:dyDescent="0.25">
      <c r="L42" s="49"/>
      <c r="AE42" s="33">
        <v>18</v>
      </c>
      <c r="AF42" s="33">
        <f t="shared" si="4"/>
        <v>59.399999999999991</v>
      </c>
      <c r="AG42" s="33">
        <f t="shared" si="5"/>
        <v>2500</v>
      </c>
      <c r="AH42" s="33">
        <f t="shared" si="6"/>
        <v>10.400000000000002</v>
      </c>
    </row>
    <row r="43" spans="1:42" x14ac:dyDescent="0.25">
      <c r="L43" s="49"/>
      <c r="AE43" s="33">
        <v>19</v>
      </c>
      <c r="AF43" s="33">
        <f t="shared" si="4"/>
        <v>63.199999999999989</v>
      </c>
      <c r="AG43" s="33">
        <f t="shared" si="5"/>
        <v>2700</v>
      </c>
      <c r="AH43" s="33">
        <f t="shared" si="6"/>
        <v>11.200000000000003</v>
      </c>
    </row>
    <row r="44" spans="1:42" x14ac:dyDescent="0.25">
      <c r="L44" s="49"/>
      <c r="AE44" s="33">
        <v>20</v>
      </c>
      <c r="AF44" s="33">
        <f t="shared" si="4"/>
        <v>66.999999999999986</v>
      </c>
      <c r="AG44" s="33">
        <f>AG43+200</f>
        <v>2900</v>
      </c>
      <c r="AH44" s="33">
        <f t="shared" si="6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7">AF45+2.8</f>
        <v>72.59999999999998</v>
      </c>
      <c r="AG46" s="33">
        <f t="shared" ref="AG46:AG48" si="8">AG45+380</f>
        <v>3660</v>
      </c>
      <c r="AH46" s="33">
        <f t="shared" ref="AH46:AH49" si="9">AH45+1.6</f>
        <v>15.200000000000003</v>
      </c>
    </row>
    <row r="47" spans="1:42" x14ac:dyDescent="0.25">
      <c r="L47" s="49"/>
      <c r="AE47" s="33">
        <v>23</v>
      </c>
      <c r="AF47" s="33">
        <f t="shared" si="7"/>
        <v>75.399999999999977</v>
      </c>
      <c r="AG47" s="33">
        <f t="shared" si="8"/>
        <v>4040</v>
      </c>
      <c r="AH47" s="33">
        <f t="shared" si="9"/>
        <v>16.800000000000004</v>
      </c>
    </row>
    <row r="48" spans="1:42" x14ac:dyDescent="0.25">
      <c r="L48" s="49"/>
      <c r="AE48" s="33">
        <v>24</v>
      </c>
      <c r="AF48" s="33">
        <f t="shared" si="7"/>
        <v>78.199999999999974</v>
      </c>
      <c r="AG48" s="33">
        <f t="shared" si="8"/>
        <v>4420</v>
      </c>
      <c r="AH48" s="33">
        <f t="shared" si="9"/>
        <v>18.400000000000006</v>
      </c>
    </row>
    <row r="49" spans="12:34" x14ac:dyDescent="0.25">
      <c r="L49" s="49"/>
      <c r="AE49" s="33">
        <v>25</v>
      </c>
      <c r="AF49" s="33">
        <f t="shared" si="7"/>
        <v>80.999999999999972</v>
      </c>
      <c r="AG49" s="33">
        <v>4800</v>
      </c>
      <c r="AH49" s="33">
        <f t="shared" si="9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0">AF50+3</f>
        <v>86.999999999999972</v>
      </c>
      <c r="AG51" s="33">
        <f t="shared" ref="AG51:AG54" si="11">AG50+960</f>
        <v>6720</v>
      </c>
      <c r="AH51" s="33">
        <f t="shared" ref="AH51:AH54" si="12">AH50+4</f>
        <v>28.000000000000007</v>
      </c>
    </row>
    <row r="52" spans="12:34" x14ac:dyDescent="0.25">
      <c r="L52" s="49"/>
      <c r="AE52" s="33">
        <v>28</v>
      </c>
      <c r="AF52" s="33">
        <f t="shared" si="10"/>
        <v>89.999999999999972</v>
      </c>
      <c r="AG52" s="33">
        <f t="shared" si="11"/>
        <v>7680</v>
      </c>
      <c r="AH52" s="33">
        <f t="shared" si="12"/>
        <v>32.000000000000007</v>
      </c>
    </row>
    <row r="53" spans="12:34" x14ac:dyDescent="0.25">
      <c r="L53" s="49"/>
      <c r="AE53" s="33">
        <v>29</v>
      </c>
      <c r="AF53" s="33">
        <f t="shared" si="10"/>
        <v>92.999999999999972</v>
      </c>
      <c r="AG53" s="33">
        <f t="shared" si="11"/>
        <v>8640</v>
      </c>
      <c r="AH53" s="33">
        <f t="shared" si="12"/>
        <v>36.000000000000007</v>
      </c>
    </row>
    <row r="54" spans="12:34" x14ac:dyDescent="0.25">
      <c r="L54" s="49"/>
      <c r="AE54" s="33">
        <v>30</v>
      </c>
      <c r="AF54" s="33">
        <f t="shared" si="10"/>
        <v>95.999999999999972</v>
      </c>
      <c r="AG54" s="33">
        <f t="shared" si="11"/>
        <v>9600</v>
      </c>
      <c r="AH54" s="33">
        <f t="shared" si="12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3">AF55+3.8</f>
        <v>103.59999999999997</v>
      </c>
      <c r="AG56" s="33">
        <f t="shared" ref="AG56:AG59" si="14">AG55+480</f>
        <v>10560</v>
      </c>
      <c r="AH56" s="33">
        <f t="shared" ref="AH56:AH59" si="15">AH55+2</f>
        <v>44.000000000000007</v>
      </c>
    </row>
    <row r="57" spans="12:34" x14ac:dyDescent="0.25">
      <c r="L57" s="49"/>
      <c r="AE57" s="33">
        <v>33</v>
      </c>
      <c r="AF57" s="33">
        <f t="shared" si="13"/>
        <v>107.39999999999996</v>
      </c>
      <c r="AG57" s="33">
        <f t="shared" si="14"/>
        <v>11040</v>
      </c>
      <c r="AH57" s="33">
        <f t="shared" si="15"/>
        <v>46.000000000000007</v>
      </c>
    </row>
    <row r="58" spans="12:34" x14ac:dyDescent="0.25">
      <c r="L58" s="49"/>
      <c r="AE58" s="33">
        <v>34</v>
      </c>
      <c r="AF58" s="33">
        <f t="shared" si="13"/>
        <v>111.19999999999996</v>
      </c>
      <c r="AG58" s="33">
        <f t="shared" si="14"/>
        <v>11520</v>
      </c>
      <c r="AH58" s="33">
        <f t="shared" si="15"/>
        <v>48.000000000000007</v>
      </c>
    </row>
    <row r="59" spans="12:34" x14ac:dyDescent="0.25">
      <c r="L59" s="49"/>
      <c r="AE59" s="33">
        <v>35</v>
      </c>
      <c r="AF59" s="33">
        <f t="shared" si="13"/>
        <v>114.99999999999996</v>
      </c>
      <c r="AG59" s="33">
        <f t="shared" si="14"/>
        <v>12000</v>
      </c>
      <c r="AH59" s="33">
        <f t="shared" si="15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T18 R18 Y18:Z18 AM19:AP21 Q18:Q21 AJ18 AB18 N18:N21 AM18:AR18 AM33:AP36 Q33:Q36 N33:N36">
    <cfRule type="expression" dxfId="3010" priority="22">
      <formula>$L18="API sand"</formula>
    </cfRule>
  </conditionalFormatting>
  <conditionalFormatting sqref="R19:S20 S18 S21 AD21 AB19:AB21 AJ19:AL21 Z19:Z21 AK18:AL18 N18:N21 R33:S36 AB33:AB35 AJ33:AL36 Z33:Z36 N33:N36">
    <cfRule type="expression" dxfId="3009" priority="21">
      <formula>$M18="API sand"</formula>
    </cfRule>
  </conditionalFormatting>
  <conditionalFormatting sqref="R19:T20 S18 S21:T21 AD21 Z19:AB21 AK18:AL21 N18:N21 R33:T36 Z33:AB35 AK33:AL36 N33:N36">
    <cfRule type="expression" dxfId="3008" priority="20">
      <formula>$M18="API clay"</formula>
    </cfRule>
  </conditionalFormatting>
  <conditionalFormatting sqref="AE18:AI18 U18:W21 N19:N21 P19:P21 AA18 AM18:AP21 U33:W36 AM33:AP36 N33:P36">
    <cfRule type="expression" dxfId="3007" priority="17">
      <formula>$L18="Stiff clay w/o free water"</formula>
    </cfRule>
    <cfRule type="expression" dxfId="3006" priority="19">
      <formula>$L18="API clay"</formula>
    </cfRule>
  </conditionalFormatting>
  <conditionalFormatting sqref="AE18:AI18 U18:X18 U19:Y21 N19:N21 P19:P21 AA18 AM18:AP21 U33:Y36 AM33:AP36 N33:P36">
    <cfRule type="expression" dxfId="3005" priority="18">
      <formula>$L18="Kirsch soft clay"</formula>
    </cfRule>
  </conditionalFormatting>
  <conditionalFormatting sqref="AE18:AI18 U18:X18 U19:Y21 N19:N21 P19:P21 AA18 AM18:AP21 U33:Y36 AM33:AP36 N33:P36">
    <cfRule type="expression" dxfId="3004" priority="16">
      <formula>$L18="Kirsch stiff clay"</formula>
    </cfRule>
  </conditionalFormatting>
  <conditionalFormatting sqref="T18 R18 Y18:Z18 AM19:AP21 Q18:Q21 X19:Y21 AJ18 AB18 N18:N21 AM18:AR18 AM33:AP36 Q33:Q36 X33:Y36 N33:N36">
    <cfRule type="expression" dxfId="3003" priority="15">
      <formula>$L18="Kirsch sand"</formula>
    </cfRule>
  </conditionalFormatting>
  <conditionalFormatting sqref="AC18:AD21 AI19:AI21 AM18:AP21 N18:N21 AC33:AD36 AI33:AI36 AM33:AP36 N33:N36">
    <cfRule type="expression" dxfId="3002" priority="14">
      <formula>$L18="Modified Weak rock"</formula>
    </cfRule>
  </conditionalFormatting>
  <conditionalFormatting sqref="AE18:AI18 N19:N21 P19:P21 AA18 AM18:AP21 U18:V21 AM33:AP36 U33:V36 N33:P36">
    <cfRule type="expression" dxfId="3001" priority="13">
      <formula>$L18="Reese stiff clay"</formula>
    </cfRule>
  </conditionalFormatting>
  <conditionalFormatting sqref="AB36">
    <cfRule type="expression" dxfId="3000" priority="12">
      <formula>$M36="API sand"</formula>
    </cfRule>
  </conditionalFormatting>
  <conditionalFormatting sqref="Z36:AB36">
    <cfRule type="expression" dxfId="2999" priority="11">
      <formula>$M36="API clay"</formula>
    </cfRule>
  </conditionalFormatting>
  <conditionalFormatting sqref="N18:P18">
    <cfRule type="expression" dxfId="2998" priority="8">
      <formula>$L18="Stiff clay w/o free water"</formula>
    </cfRule>
    <cfRule type="expression" dxfId="2997" priority="10">
      <formula>$L18="API clay"</formula>
    </cfRule>
  </conditionalFormatting>
  <conditionalFormatting sqref="N18:P18">
    <cfRule type="expression" dxfId="2996" priority="9">
      <formula>$L18="Kirsch soft clay"</formula>
    </cfRule>
  </conditionalFormatting>
  <conditionalFormatting sqref="N18:P18">
    <cfRule type="expression" dxfId="2995" priority="7">
      <formula>$L18="Kirsch stiff clay"</formula>
    </cfRule>
  </conditionalFormatting>
  <conditionalFormatting sqref="X18">
    <cfRule type="expression" dxfId="2994" priority="6">
      <formula>$L18="Kirsch sand"</formula>
    </cfRule>
  </conditionalFormatting>
  <conditionalFormatting sqref="N18:P18">
    <cfRule type="expression" dxfId="2993" priority="5">
      <formula>$L18="Reese stiff clay"</formula>
    </cfRule>
  </conditionalFormatting>
  <conditionalFormatting sqref="AE18:AI18 V18 AA18 AM18:AP18">
    <cfRule type="expression" dxfId="2992" priority="4">
      <formula>$L18="PISA clay"</formula>
    </cfRule>
  </conditionalFormatting>
  <conditionalFormatting sqref="AM18:AP18">
    <cfRule type="expression" dxfId="2991" priority="3">
      <formula>$L18="PISA sand"</formula>
    </cfRule>
  </conditionalFormatting>
  <conditionalFormatting sqref="O19:O21">
    <cfRule type="expression" dxfId="2990" priority="2">
      <formula>$L19="API sand"</formula>
    </cfRule>
  </conditionalFormatting>
  <conditionalFormatting sqref="O19:O21">
    <cfRule type="expression" dxfId="2989" priority="1">
      <formula>$L19="Kirsch sand"</formula>
    </cfRule>
  </conditionalFormatting>
  <conditionalFormatting sqref="AE37:AH37">
    <cfRule type="expression" dxfId="2988" priority="23">
      <formula>$L19="Modified Weak rock"</formula>
    </cfRule>
  </conditionalFormatting>
  <dataValidations count="4">
    <dataValidation type="list" showInputMessage="1" showErrorMessage="1" sqref="M26:M32 M6:M17" xr:uid="{B30A21EA-7356-474C-B4A7-994834C3F97C}">
      <formula1>"Zero soil,API sand,API clay"</formula1>
    </dataValidation>
    <dataValidation type="list" showInputMessage="1" showErrorMessage="1" sqref="L19:L21 L26:L255" xr:uid="{44E3BEC7-9FBD-47DA-BF47-0E2EE94F3FB5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26:M36 M9:M21" xr:uid="{5417BC10-B8B0-4F61-B286-7B13323B2DCE}">
      <formula1>"',API sand,API clay"</formula1>
    </dataValidation>
    <dataValidation showInputMessage="1" showErrorMessage="1" sqref="L10:L12 L16:L17" xr:uid="{F7B91CDD-ECE5-4D8C-9F10-3CA1DF7F425E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8EB19-36C6-4D7D-89A5-39D79A48F6F5}">
  <sheetPr>
    <tabColor rgb="FF00B0F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Ak_Pisa_WTG57_RBB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51"/>
      <c r="R3" s="155"/>
      <c r="S3" s="155"/>
      <c r="T3" s="151"/>
      <c r="U3" s="155"/>
      <c r="V3" s="155"/>
      <c r="W3" s="151"/>
      <c r="X3" s="69"/>
      <c r="Y3" s="151"/>
      <c r="Z3" s="151"/>
      <c r="AA3" s="151"/>
      <c r="AB3" s="151"/>
      <c r="AC3" s="69"/>
      <c r="AD3" s="39"/>
      <c r="AE3" s="39"/>
      <c r="AF3" s="39"/>
      <c r="AG3" s="39"/>
      <c r="AH3" s="39"/>
      <c r="AI3" s="39"/>
      <c r="AJ3" s="151"/>
      <c r="AK3" s="151"/>
      <c r="AL3" s="151"/>
      <c r="AM3" s="151"/>
      <c r="AN3" s="151"/>
      <c r="AO3" s="151"/>
      <c r="AP3" s="151"/>
    </row>
    <row r="4" spans="1:45" x14ac:dyDescent="0.25">
      <c r="A4" s="40" t="s">
        <v>60</v>
      </c>
      <c r="B4" s="33">
        <f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2" t="s">
        <v>38</v>
      </c>
      <c r="K5" s="152" t="s">
        <v>30</v>
      </c>
      <c r="L5" s="152" t="s">
        <v>31</v>
      </c>
      <c r="M5" s="152" t="s">
        <v>31</v>
      </c>
      <c r="N5" s="152" t="s">
        <v>32</v>
      </c>
      <c r="O5" s="152" t="s">
        <v>33</v>
      </c>
      <c r="P5" s="152" t="s">
        <v>35</v>
      </c>
      <c r="Q5" s="152" t="s">
        <v>36</v>
      </c>
      <c r="R5" s="152" t="s">
        <v>36</v>
      </c>
      <c r="S5" s="152" t="s">
        <v>34</v>
      </c>
      <c r="T5" s="152" t="s">
        <v>33</v>
      </c>
      <c r="U5" s="152" t="s">
        <v>34</v>
      </c>
      <c r="V5" s="152" t="s">
        <v>62</v>
      </c>
      <c r="W5" s="152" t="s">
        <v>34</v>
      </c>
      <c r="X5" s="152" t="s">
        <v>33</v>
      </c>
      <c r="Y5" s="152" t="s">
        <v>35</v>
      </c>
      <c r="Z5" s="152" t="s">
        <v>33</v>
      </c>
      <c r="AA5" s="152" t="s">
        <v>34</v>
      </c>
      <c r="AB5" s="152" t="s">
        <v>33</v>
      </c>
      <c r="AC5" s="152" t="s">
        <v>33</v>
      </c>
      <c r="AD5" s="152" t="s">
        <v>35</v>
      </c>
      <c r="AE5" s="152" t="s">
        <v>34</v>
      </c>
      <c r="AF5" s="152" t="s">
        <v>33</v>
      </c>
      <c r="AG5" s="152" t="s">
        <v>35</v>
      </c>
      <c r="AH5" s="152" t="s">
        <v>34</v>
      </c>
      <c r="AI5" s="152" t="s">
        <v>34</v>
      </c>
      <c r="AJ5" s="152" t="s">
        <v>34</v>
      </c>
      <c r="AK5" s="152" t="s">
        <v>34</v>
      </c>
      <c r="AL5" s="152" t="s">
        <v>34</v>
      </c>
      <c r="AM5" s="152" t="s">
        <v>34</v>
      </c>
      <c r="AN5" s="152" t="s">
        <v>34</v>
      </c>
      <c r="AO5" s="152" t="s">
        <v>34</v>
      </c>
      <c r="AP5" s="152" t="s">
        <v>34</v>
      </c>
      <c r="AQ5" s="152" t="s">
        <v>103</v>
      </c>
      <c r="AR5" s="152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EW_sand_Ruled_71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33</v>
      </c>
      <c r="R6" s="47">
        <f t="shared" ref="R6:R17" si="0">IF(Q6&lt;&gt;0,Q6-5,NA())</f>
        <v>28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2800</v>
      </c>
      <c r="Y6" s="47">
        <v>0</v>
      </c>
      <c r="Z6" s="47">
        <f t="shared" ref="Z6:Z17" si="1">VLOOKUP(R6,$AE$39:$AF$59,2)</f>
        <v>89.999999999999972</v>
      </c>
      <c r="AA6" s="47">
        <v>1</v>
      </c>
      <c r="AB6" s="47">
        <f t="shared" ref="AB6:AB17" si="2">VLOOKUP(R6,$AE$39:$AG$59,3)</f>
        <v>7680</v>
      </c>
      <c r="AC6" s="63">
        <v>5000</v>
      </c>
      <c r="AD6" s="63">
        <v>24000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17" si="3">VLOOKUP(R6,$AE$39:$AH$59,4)</f>
        <v>32.000000000000007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71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-0.5</v>
      </c>
      <c r="L7" s="33" t="str">
        <f>"EW_sand_Ruled"&amp;"_"&amp;AR7</f>
        <v>EW_sand_Ruled_77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38</v>
      </c>
      <c r="R7" s="47">
        <f t="shared" si="0"/>
        <v>33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15200</v>
      </c>
      <c r="Y7" s="47">
        <v>0</v>
      </c>
      <c r="Z7" s="47">
        <f t="shared" si="1"/>
        <v>107.39999999999996</v>
      </c>
      <c r="AA7" s="47">
        <v>1</v>
      </c>
      <c r="AB7" s="47">
        <f t="shared" si="2"/>
        <v>11040</v>
      </c>
      <c r="AC7" s="63">
        <v>22000</v>
      </c>
      <c r="AD7" s="63">
        <v>18000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46.000000000000007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77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32472.257692307692</v>
      </c>
      <c r="H8" s="45" t="s">
        <v>53</v>
      </c>
      <c r="I8" s="33" t="s">
        <v>279</v>
      </c>
      <c r="J8" s="47">
        <v>3</v>
      </c>
      <c r="K8" s="33">
        <v>-1</v>
      </c>
      <c r="L8" s="33" t="str">
        <f>"EW_sand_Ruled"&amp;"_"&amp;AR8</f>
        <v>EW_sand_Ruled_76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39</v>
      </c>
      <c r="R8" s="47">
        <f t="shared" si="0"/>
        <v>34</v>
      </c>
      <c r="S8" s="47">
        <v>0.5</v>
      </c>
      <c r="T8" s="47">
        <v>0</v>
      </c>
      <c r="U8" s="75">
        <v>0</v>
      </c>
      <c r="V8" s="75">
        <v>0</v>
      </c>
      <c r="W8" s="47">
        <v>0</v>
      </c>
      <c r="X8" s="47">
        <v>25700</v>
      </c>
      <c r="Y8" s="47">
        <v>0</v>
      </c>
      <c r="Z8" s="47">
        <f t="shared" si="1"/>
        <v>111.19999999999996</v>
      </c>
      <c r="AA8" s="47">
        <v>1</v>
      </c>
      <c r="AB8" s="47">
        <f t="shared" si="2"/>
        <v>11520</v>
      </c>
      <c r="AC8" s="63">
        <v>36000</v>
      </c>
      <c r="AD8" s="63">
        <v>7000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48.000000000000007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76</v>
      </c>
      <c r="AS8" s="33">
        <v>0.4</v>
      </c>
    </row>
    <row r="9" spans="1:45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-1254786.13846154</v>
      </c>
      <c r="H9" s="45" t="s">
        <v>54</v>
      </c>
      <c r="I9" s="56" t="s">
        <v>293</v>
      </c>
      <c r="J9" s="47">
        <v>4</v>
      </c>
      <c r="K9" s="19">
        <v>-2</v>
      </c>
      <c r="L9" s="33" t="str">
        <f>"EW_sand_Ruled"&amp;"_"&amp;AR9</f>
        <v>EW_sand_Ruled_70</v>
      </c>
      <c r="M9" s="105" t="s">
        <v>64</v>
      </c>
      <c r="N9" s="47">
        <v>9.6</v>
      </c>
      <c r="O9" s="63">
        <v>0</v>
      </c>
      <c r="P9" s="63">
        <v>0</v>
      </c>
      <c r="Q9" s="47">
        <v>39</v>
      </c>
      <c r="R9" s="47">
        <f t="shared" si="0"/>
        <v>34</v>
      </c>
      <c r="S9" s="47">
        <v>1.8</v>
      </c>
      <c r="T9" s="47">
        <v>0</v>
      </c>
      <c r="U9" s="75">
        <v>0</v>
      </c>
      <c r="V9" s="75">
        <v>0</v>
      </c>
      <c r="W9" s="47">
        <v>0</v>
      </c>
      <c r="X9" s="47">
        <v>35000</v>
      </c>
      <c r="Y9" s="47">
        <v>0</v>
      </c>
      <c r="Z9" s="47">
        <f t="shared" si="1"/>
        <v>111.19999999999996</v>
      </c>
      <c r="AA9" s="47">
        <v>1</v>
      </c>
      <c r="AB9" s="47">
        <f t="shared" si="2"/>
        <v>11520</v>
      </c>
      <c r="AC9" s="63">
        <v>55000</v>
      </c>
      <c r="AD9" s="63">
        <v>625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3"/>
        <v>48.000000000000007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70</v>
      </c>
      <c r="AS9" s="33">
        <v>0.4</v>
      </c>
    </row>
    <row r="10" spans="1:45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26593.665230769227</v>
      </c>
      <c r="H10" s="45" t="s">
        <v>53</v>
      </c>
      <c r="I10" s="56" t="s">
        <v>299</v>
      </c>
      <c r="J10" s="47">
        <v>5</v>
      </c>
      <c r="K10" s="19">
        <v>-3.6</v>
      </c>
      <c r="L10" s="116" t="s">
        <v>275</v>
      </c>
      <c r="M10" s="105" t="s">
        <v>65</v>
      </c>
      <c r="N10" s="47">
        <v>9.5</v>
      </c>
      <c r="O10" s="63">
        <v>206</v>
      </c>
      <c r="P10" s="63">
        <v>6.59</v>
      </c>
      <c r="Q10" s="47">
        <v>0</v>
      </c>
      <c r="R10" s="47" t="e">
        <f t="shared" si="0"/>
        <v>#N/A</v>
      </c>
      <c r="S10" s="47">
        <v>3</v>
      </c>
      <c r="T10" s="47">
        <v>0</v>
      </c>
      <c r="U10" s="75">
        <v>1.7999999999999999E-2</v>
      </c>
      <c r="V10" s="75">
        <v>0</v>
      </c>
      <c r="W10" s="47">
        <v>0.5</v>
      </c>
      <c r="X10" s="47">
        <v>42100</v>
      </c>
      <c r="Y10" s="47">
        <v>0</v>
      </c>
      <c r="Z10" s="47" t="e">
        <f t="shared" si="1"/>
        <v>#N/A</v>
      </c>
      <c r="AA10" s="47">
        <v>1</v>
      </c>
      <c r="AB10" s="47" t="e">
        <f t="shared" si="2"/>
        <v>#N/A</v>
      </c>
      <c r="AC10" s="63">
        <v>247000</v>
      </c>
      <c r="AD10" s="63">
        <v>9148.93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 t="e">
        <f t="shared" si="3"/>
        <v>#N/A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56" t="s">
        <v>299</v>
      </c>
      <c r="J11" s="47">
        <v>6</v>
      </c>
      <c r="K11" s="19">
        <v>-13</v>
      </c>
      <c r="L11" s="116" t="s">
        <v>275</v>
      </c>
      <c r="M11" s="105" t="s">
        <v>65</v>
      </c>
      <c r="N11" s="47">
        <v>9.5</v>
      </c>
      <c r="O11" s="63">
        <v>93</v>
      </c>
      <c r="P11" s="63">
        <v>11.2</v>
      </c>
      <c r="Q11" s="47">
        <v>0</v>
      </c>
      <c r="R11" s="47" t="e">
        <f t="shared" si="0"/>
        <v>#N/A</v>
      </c>
      <c r="S11" s="47">
        <v>2.5</v>
      </c>
      <c r="T11" s="47">
        <v>0</v>
      </c>
      <c r="U11" s="75">
        <v>1.7999999999999999E-2</v>
      </c>
      <c r="V11" s="75">
        <v>0</v>
      </c>
      <c r="W11" s="47">
        <v>0.5</v>
      </c>
      <c r="X11" s="47">
        <v>20400</v>
      </c>
      <c r="Y11" s="47">
        <v>0</v>
      </c>
      <c r="Z11" s="47" t="e">
        <f t="shared" si="1"/>
        <v>#N/A</v>
      </c>
      <c r="AA11" s="47">
        <v>1</v>
      </c>
      <c r="AB11" s="47" t="e">
        <f t="shared" si="2"/>
        <v>#N/A</v>
      </c>
      <c r="AC11" s="63">
        <v>107000</v>
      </c>
      <c r="AD11" s="63">
        <v>13600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 t="e">
        <f t="shared" si="3"/>
        <v>#N/A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33">
        <v>0.4</v>
      </c>
    </row>
    <row r="12" spans="1:45" x14ac:dyDescent="0.25">
      <c r="A12" s="33" t="s">
        <v>74</v>
      </c>
      <c r="B12" s="57">
        <v>9.6</v>
      </c>
      <c r="C12" s="45" t="s">
        <v>28</v>
      </c>
      <c r="E12" s="59"/>
      <c r="F12" s="56" t="s">
        <v>97</v>
      </c>
      <c r="G12" s="71">
        <v>1982.7510000000011</v>
      </c>
      <c r="H12" s="45" t="s">
        <v>53</v>
      </c>
      <c r="I12" s="56" t="s">
        <v>304</v>
      </c>
      <c r="J12" s="47">
        <v>7</v>
      </c>
      <c r="K12" s="19">
        <v>-15.5</v>
      </c>
      <c r="L12" s="116" t="s">
        <v>275</v>
      </c>
      <c r="M12" s="105" t="s">
        <v>65</v>
      </c>
      <c r="N12" s="47">
        <v>9</v>
      </c>
      <c r="O12" s="63">
        <v>291</v>
      </c>
      <c r="P12" s="63">
        <v>25.2</v>
      </c>
      <c r="Q12" s="47">
        <v>0</v>
      </c>
      <c r="R12" s="47" t="e">
        <f t="shared" si="0"/>
        <v>#N/A</v>
      </c>
      <c r="S12" s="47">
        <v>3</v>
      </c>
      <c r="T12" s="47">
        <v>0</v>
      </c>
      <c r="U12" s="75">
        <v>1.7999999999999999E-2</v>
      </c>
      <c r="V12" s="75">
        <v>0</v>
      </c>
      <c r="W12" s="47">
        <v>0.25</v>
      </c>
      <c r="X12" s="47">
        <v>28500</v>
      </c>
      <c r="Y12" s="47">
        <v>0</v>
      </c>
      <c r="Z12" s="47" t="e">
        <f t="shared" si="1"/>
        <v>#N/A</v>
      </c>
      <c r="AA12" s="47">
        <v>1</v>
      </c>
      <c r="AB12" s="47" t="e">
        <f t="shared" si="2"/>
        <v>#N/A</v>
      </c>
      <c r="AC12" s="63">
        <v>506000</v>
      </c>
      <c r="AD12" s="63">
        <v>38800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3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56" t="s">
        <v>291</v>
      </c>
      <c r="J13" s="47">
        <v>8</v>
      </c>
      <c r="K13" s="19">
        <v>-18</v>
      </c>
      <c r="L13" s="33" t="str">
        <f>"EW_sand_Ruled"&amp;"_"&amp;AR13</f>
        <v>EW_sand_Ruled_71</v>
      </c>
      <c r="M13" s="105" t="s">
        <v>64</v>
      </c>
      <c r="N13" s="47">
        <v>8.5</v>
      </c>
      <c r="O13" s="63">
        <v>0</v>
      </c>
      <c r="P13" s="63">
        <v>0</v>
      </c>
      <c r="Q13" s="47">
        <v>28</v>
      </c>
      <c r="R13" s="47">
        <f t="shared" si="0"/>
        <v>23</v>
      </c>
      <c r="S13" s="47">
        <v>1.2</v>
      </c>
      <c r="T13" s="47">
        <v>0</v>
      </c>
      <c r="U13" s="75">
        <v>0</v>
      </c>
      <c r="V13" s="75">
        <v>0</v>
      </c>
      <c r="W13" s="47">
        <v>0</v>
      </c>
      <c r="X13" s="47">
        <v>23600</v>
      </c>
      <c r="Y13" s="47">
        <v>0</v>
      </c>
      <c r="Z13" s="47">
        <f t="shared" si="1"/>
        <v>75.399999999999977</v>
      </c>
      <c r="AA13" s="47">
        <v>1</v>
      </c>
      <c r="AB13" s="47">
        <f t="shared" si="2"/>
        <v>4040</v>
      </c>
      <c r="AC13" s="63">
        <v>138000</v>
      </c>
      <c r="AD13" s="63">
        <v>-7333.33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3"/>
        <v>16.800000000000004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71</v>
      </c>
      <c r="AS13" s="33">
        <v>0.2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291</v>
      </c>
      <c r="J14" s="47">
        <v>9</v>
      </c>
      <c r="K14" s="19">
        <v>-21</v>
      </c>
      <c r="L14" s="33" t="str">
        <f>"EW_sand_Ruled"&amp;"_"&amp;AR14</f>
        <v>EW_sand_Ruled_76</v>
      </c>
      <c r="M14" s="105" t="s">
        <v>64</v>
      </c>
      <c r="N14" s="47">
        <v>8.5</v>
      </c>
      <c r="O14" s="63">
        <v>0</v>
      </c>
      <c r="P14" s="63">
        <v>0</v>
      </c>
      <c r="Q14" s="47">
        <v>28</v>
      </c>
      <c r="R14" s="47">
        <f t="shared" si="0"/>
        <v>23</v>
      </c>
      <c r="S14" s="47">
        <v>1.2</v>
      </c>
      <c r="T14" s="47">
        <v>0</v>
      </c>
      <c r="U14" s="75">
        <v>0</v>
      </c>
      <c r="V14" s="75">
        <v>0</v>
      </c>
      <c r="W14" s="47">
        <v>0</v>
      </c>
      <c r="X14" s="47">
        <v>30300</v>
      </c>
      <c r="Y14" s="47">
        <v>0</v>
      </c>
      <c r="Z14" s="47">
        <f t="shared" si="1"/>
        <v>75.399999999999977</v>
      </c>
      <c r="AA14" s="47">
        <v>1</v>
      </c>
      <c r="AB14" s="47">
        <f t="shared" si="2"/>
        <v>4040</v>
      </c>
      <c r="AC14" s="63">
        <v>122000</v>
      </c>
      <c r="AD14" s="63">
        <v>6896.55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3"/>
        <v>16.800000000000004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76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271</v>
      </c>
      <c r="J15" s="47">
        <v>10</v>
      </c>
      <c r="K15" s="19">
        <v>-26.8</v>
      </c>
      <c r="L15" s="33" t="str">
        <f>"EW_sand_Ruled"&amp;"_"&amp;AR15</f>
        <v>EW_sand_Ruled_22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25.5</v>
      </c>
      <c r="R15" s="47">
        <f t="shared" si="0"/>
        <v>20.5</v>
      </c>
      <c r="S15" s="47">
        <v>0.5</v>
      </c>
      <c r="T15" s="47">
        <v>0</v>
      </c>
      <c r="U15" s="75">
        <v>0</v>
      </c>
      <c r="V15" s="75">
        <v>0</v>
      </c>
      <c r="W15" s="47">
        <v>0</v>
      </c>
      <c r="X15" s="47">
        <v>20200</v>
      </c>
      <c r="Y15" s="47">
        <v>0</v>
      </c>
      <c r="Z15" s="47">
        <f t="shared" si="1"/>
        <v>66.999999999999986</v>
      </c>
      <c r="AA15" s="47">
        <v>1</v>
      </c>
      <c r="AB15" s="47">
        <f t="shared" si="2"/>
        <v>2900</v>
      </c>
      <c r="AC15" s="63">
        <v>119000</v>
      </c>
      <c r="AD15" s="63">
        <v>157.88999999999999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3"/>
        <v>12.000000000000004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22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273</v>
      </c>
      <c r="J16" s="47">
        <v>11</v>
      </c>
      <c r="K16" s="19">
        <v>-45.8</v>
      </c>
      <c r="L16" s="116" t="s">
        <v>275</v>
      </c>
      <c r="M16" s="105" t="s">
        <v>65</v>
      </c>
      <c r="N16" s="47">
        <v>8.9</v>
      </c>
      <c r="O16" s="63">
        <v>361</v>
      </c>
      <c r="P16" s="63">
        <v>5.96</v>
      </c>
      <c r="Q16" s="47">
        <v>0</v>
      </c>
      <c r="R16" s="47" t="e">
        <f t="shared" si="0"/>
        <v>#N/A</v>
      </c>
      <c r="S16" s="47">
        <v>1.9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40900</v>
      </c>
      <c r="Y16" s="47">
        <v>0</v>
      </c>
      <c r="Z16" s="47" t="e">
        <f t="shared" si="1"/>
        <v>#N/A</v>
      </c>
      <c r="AA16" s="47">
        <v>1</v>
      </c>
      <c r="AB16" s="47" t="e">
        <f t="shared" si="2"/>
        <v>#N/A</v>
      </c>
      <c r="AC16" s="63">
        <v>534000</v>
      </c>
      <c r="AD16" s="63">
        <v>10877.19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3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52"/>
      <c r="E17" s="152"/>
      <c r="I17" s="56" t="s">
        <v>273</v>
      </c>
      <c r="J17" s="47">
        <v>12</v>
      </c>
      <c r="K17" s="19">
        <v>-80</v>
      </c>
      <c r="L17" s="116" t="s">
        <v>275</v>
      </c>
      <c r="M17" s="105" t="s">
        <v>65</v>
      </c>
      <c r="N17" s="47">
        <v>8.9</v>
      </c>
      <c r="O17" s="63">
        <v>565</v>
      </c>
      <c r="P17" s="63">
        <v>0</v>
      </c>
      <c r="Q17" s="47">
        <v>0</v>
      </c>
      <c r="R17" s="47" t="e">
        <f t="shared" si="0"/>
        <v>#N/A</v>
      </c>
      <c r="S17" s="47">
        <v>1.9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40900</v>
      </c>
      <c r="Y17" s="47">
        <v>0</v>
      </c>
      <c r="Z17" s="47" t="e">
        <f t="shared" si="1"/>
        <v>#N/A</v>
      </c>
      <c r="AA17" s="47">
        <v>1</v>
      </c>
      <c r="AB17" s="47" t="e">
        <f t="shared" si="2"/>
        <v>#N/A</v>
      </c>
      <c r="AC17" s="63">
        <v>906000</v>
      </c>
      <c r="AD17" s="63">
        <v>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3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/>
      <c r="M18" s="49"/>
      <c r="N18" s="47"/>
      <c r="O18" s="63"/>
      <c r="P18" s="47"/>
      <c r="Q18" s="47"/>
      <c r="R18" s="47"/>
      <c r="S18" s="47"/>
      <c r="T18" s="47"/>
      <c r="U18" s="47"/>
      <c r="V18" s="75"/>
      <c r="W18" s="47"/>
      <c r="X18" s="47"/>
      <c r="Y18" s="47"/>
      <c r="Z18" s="47"/>
      <c r="AA18" s="47"/>
      <c r="AB18" s="47"/>
      <c r="AC18" s="47"/>
      <c r="AD18" s="47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5" x14ac:dyDescent="0.25">
      <c r="A19" s="152" t="s">
        <v>38</v>
      </c>
      <c r="B19" s="152" t="s">
        <v>30</v>
      </c>
      <c r="C19" s="152" t="s">
        <v>59</v>
      </c>
      <c r="D19" s="43"/>
      <c r="E19" s="35"/>
      <c r="L19" s="49"/>
      <c r="M19" s="49" t="s">
        <v>94</v>
      </c>
      <c r="N19" s="47"/>
      <c r="O19" s="47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  <c r="AO19" s="47"/>
      <c r="AP19" s="47"/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  <c r="J26" s="47"/>
      <c r="K26" s="19"/>
      <c r="L26" s="116"/>
      <c r="M26" s="105"/>
      <c r="N26" s="47"/>
      <c r="O26" s="63"/>
      <c r="P26" s="63"/>
      <c r="Q26" s="47"/>
      <c r="R26" s="47"/>
      <c r="S26" s="47"/>
      <c r="T26" s="47"/>
      <c r="U26" s="75"/>
      <c r="V26" s="75"/>
      <c r="W26" s="47"/>
      <c r="X26" s="47"/>
      <c r="Y26" s="47"/>
      <c r="Z26" s="47"/>
      <c r="AA26" s="47"/>
      <c r="AB26" s="47"/>
      <c r="AC26" s="63"/>
      <c r="AD26" s="63"/>
      <c r="AE26" s="63"/>
      <c r="AF26" s="63"/>
      <c r="AG26" s="63"/>
      <c r="AH26" s="63"/>
      <c r="AI26" s="63"/>
      <c r="AJ26" s="47"/>
      <c r="AK26" s="47"/>
      <c r="AL26" s="47"/>
      <c r="AM26" s="47"/>
      <c r="AN26" s="47"/>
      <c r="AO26" s="47"/>
      <c r="AP26" s="47"/>
      <c r="AQ26" s="47"/>
      <c r="AR26" s="47"/>
    </row>
    <row r="27" spans="1:45" x14ac:dyDescent="0.25">
      <c r="A27" s="66"/>
      <c r="B27" s="66"/>
      <c r="C27" s="67"/>
      <c r="D27" s="35"/>
      <c r="J27" s="47"/>
      <c r="K27" s="19"/>
      <c r="L27" s="116"/>
      <c r="M27" s="105"/>
      <c r="N27" s="47"/>
      <c r="O27" s="63"/>
      <c r="P27" s="63"/>
      <c r="Q27" s="47"/>
      <c r="R27" s="47"/>
      <c r="S27" s="47"/>
      <c r="T27" s="47"/>
      <c r="U27" s="75"/>
      <c r="V27" s="75"/>
      <c r="W27" s="47"/>
      <c r="X27" s="47"/>
      <c r="Y27" s="47"/>
      <c r="Z27" s="47"/>
      <c r="AA27" s="47"/>
      <c r="AB27" s="47"/>
      <c r="AC27" s="63"/>
      <c r="AD27" s="63"/>
      <c r="AE27" s="63"/>
      <c r="AF27" s="63"/>
      <c r="AG27" s="63"/>
      <c r="AH27" s="63"/>
      <c r="AI27" s="63"/>
      <c r="AJ27" s="47"/>
      <c r="AK27" s="47"/>
      <c r="AL27" s="47"/>
      <c r="AM27" s="47"/>
      <c r="AN27" s="47"/>
      <c r="AO27" s="47"/>
      <c r="AP27" s="47"/>
      <c r="AQ27" s="47"/>
      <c r="AR27" s="47"/>
    </row>
    <row r="28" spans="1:45" x14ac:dyDescent="0.25">
      <c r="A28" s="66"/>
      <c r="B28" s="66"/>
      <c r="C28" s="67"/>
      <c r="D28" s="35"/>
      <c r="J28" s="47"/>
      <c r="K28" s="19"/>
      <c r="L28" s="116"/>
      <c r="M28" s="105"/>
      <c r="N28" s="47"/>
      <c r="O28" s="63"/>
      <c r="P28" s="63"/>
      <c r="Q28" s="47"/>
      <c r="R28" s="47"/>
      <c r="S28" s="47"/>
      <c r="T28" s="47"/>
      <c r="U28" s="75"/>
      <c r="V28" s="75"/>
      <c r="W28" s="47"/>
      <c r="X28" s="47"/>
      <c r="Y28" s="47"/>
      <c r="Z28" s="47"/>
      <c r="AA28" s="47"/>
      <c r="AB28" s="47"/>
      <c r="AC28" s="63"/>
      <c r="AD28" s="63"/>
      <c r="AE28" s="63"/>
      <c r="AF28" s="63"/>
      <c r="AG28" s="63"/>
      <c r="AH28" s="63"/>
      <c r="AI28" s="63"/>
      <c r="AJ28" s="47"/>
      <c r="AK28" s="47"/>
      <c r="AL28" s="47"/>
      <c r="AM28" s="47"/>
      <c r="AN28" s="47"/>
      <c r="AO28" s="47"/>
      <c r="AP28" s="47"/>
      <c r="AQ28" s="47"/>
      <c r="AR28" s="47"/>
    </row>
    <row r="29" spans="1:45" x14ac:dyDescent="0.25">
      <c r="A29" s="66"/>
      <c r="B29" s="66"/>
      <c r="C29" s="67"/>
      <c r="D29" s="35"/>
      <c r="I29" s="56"/>
      <c r="J29" s="47"/>
      <c r="K29" s="19"/>
      <c r="L29" s="116"/>
      <c r="M29" s="105"/>
      <c r="N29" s="47"/>
      <c r="O29" s="63"/>
      <c r="P29" s="63"/>
      <c r="Q29" s="47"/>
      <c r="R29" s="47"/>
      <c r="S29" s="47"/>
      <c r="T29" s="47"/>
      <c r="U29" s="75"/>
      <c r="V29" s="75"/>
      <c r="W29" s="47"/>
      <c r="X29" s="47"/>
      <c r="Y29" s="47"/>
      <c r="Z29" s="47"/>
      <c r="AA29" s="47"/>
      <c r="AB29" s="47"/>
      <c r="AC29" s="63"/>
      <c r="AD29" s="63"/>
      <c r="AE29" s="63"/>
      <c r="AF29" s="63"/>
      <c r="AG29" s="63"/>
      <c r="AH29" s="63"/>
      <c r="AI29" s="63"/>
      <c r="AJ29" s="47"/>
      <c r="AK29" s="47"/>
      <c r="AL29" s="47"/>
      <c r="AM29" s="47"/>
      <c r="AN29" s="47"/>
      <c r="AO29" s="47"/>
      <c r="AP29" s="47"/>
      <c r="AQ29" s="47"/>
      <c r="AR29" s="47"/>
    </row>
    <row r="30" spans="1:45" x14ac:dyDescent="0.25">
      <c r="A30" s="66"/>
      <c r="B30" s="66"/>
      <c r="C30" s="67"/>
      <c r="D30" s="35"/>
      <c r="I30" s="56"/>
      <c r="J30" s="47"/>
      <c r="K30" s="19"/>
      <c r="L30" s="116"/>
      <c r="M30" s="105"/>
      <c r="N30" s="47"/>
      <c r="O30" s="63"/>
      <c r="P30" s="63"/>
      <c r="Q30" s="47"/>
      <c r="R30" s="47"/>
      <c r="S30" s="47"/>
      <c r="T30" s="47"/>
      <c r="U30" s="75"/>
      <c r="V30" s="75"/>
      <c r="W30" s="47"/>
      <c r="X30" s="47"/>
      <c r="Y30" s="47"/>
      <c r="Z30" s="47"/>
      <c r="AA30" s="47"/>
      <c r="AB30" s="47"/>
      <c r="AC30" s="63"/>
      <c r="AD30" s="63"/>
      <c r="AE30" s="63"/>
      <c r="AF30" s="63"/>
      <c r="AG30" s="63"/>
      <c r="AH30" s="63"/>
      <c r="AI30" s="63"/>
      <c r="AJ30" s="47"/>
      <c r="AK30" s="47"/>
      <c r="AL30" s="47"/>
      <c r="AM30" s="47"/>
      <c r="AN30" s="47"/>
      <c r="AO30" s="47"/>
      <c r="AP30" s="47"/>
      <c r="AQ30" s="47"/>
      <c r="AR30" s="47"/>
    </row>
    <row r="31" spans="1:45" x14ac:dyDescent="0.25">
      <c r="A31" s="66"/>
      <c r="B31" s="66"/>
      <c r="C31" s="67"/>
      <c r="D31" s="35"/>
      <c r="J31" s="47"/>
      <c r="K31" s="19"/>
      <c r="L31" s="116"/>
      <c r="M31" s="105"/>
      <c r="N31" s="47"/>
      <c r="O31" s="63"/>
      <c r="P31" s="63"/>
      <c r="Q31" s="47"/>
      <c r="R31" s="47"/>
      <c r="S31" s="47"/>
      <c r="T31" s="47"/>
      <c r="U31" s="75"/>
      <c r="V31" s="75"/>
      <c r="W31" s="47"/>
      <c r="X31" s="47"/>
      <c r="Y31" s="47"/>
      <c r="Z31" s="47"/>
      <c r="AA31" s="47"/>
      <c r="AB31" s="47"/>
      <c r="AC31" s="63"/>
      <c r="AD31" s="63"/>
      <c r="AE31" s="63"/>
      <c r="AF31" s="63"/>
      <c r="AG31" s="63"/>
      <c r="AH31" s="63"/>
      <c r="AI31" s="63"/>
      <c r="AJ31" s="47"/>
      <c r="AK31" s="47"/>
      <c r="AL31" s="47"/>
      <c r="AM31" s="47"/>
      <c r="AN31" s="47"/>
      <c r="AO31" s="47"/>
      <c r="AP31" s="47"/>
      <c r="AQ31" s="47"/>
      <c r="AR31" s="47"/>
    </row>
    <row r="32" spans="1:45" x14ac:dyDescent="0.25">
      <c r="A32" s="66"/>
      <c r="B32" s="66"/>
      <c r="C32" s="67"/>
      <c r="D32" s="35"/>
      <c r="J32" s="47"/>
      <c r="K32" s="19"/>
      <c r="L32" s="116"/>
      <c r="M32" s="105"/>
      <c r="N32" s="47"/>
      <c r="O32" s="63"/>
      <c r="P32" s="63"/>
      <c r="Q32" s="47"/>
      <c r="R32" s="47"/>
      <c r="S32" s="47"/>
      <c r="T32" s="47"/>
      <c r="U32" s="75"/>
      <c r="V32" s="75"/>
      <c r="W32" s="47"/>
      <c r="X32" s="47"/>
      <c r="Y32" s="47"/>
      <c r="Z32" s="47"/>
      <c r="AA32" s="47"/>
      <c r="AB32" s="47"/>
      <c r="AC32" s="63"/>
      <c r="AD32" s="63"/>
      <c r="AE32" s="63"/>
      <c r="AF32" s="63"/>
      <c r="AG32" s="63"/>
      <c r="AH32" s="63"/>
      <c r="AI32" s="63"/>
      <c r="AJ32" s="47"/>
      <c r="AK32" s="47"/>
      <c r="AL32" s="47"/>
      <c r="AM32" s="47"/>
      <c r="AN32" s="47"/>
      <c r="AO32" s="47"/>
      <c r="AP32" s="47"/>
      <c r="AQ32" s="47"/>
      <c r="AR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4">AF40+3.8</f>
        <v>55.599999999999994</v>
      </c>
      <c r="AG41" s="33">
        <f t="shared" ref="AG41:AG43" si="5">AG40+200</f>
        <v>2300</v>
      </c>
      <c r="AH41" s="33">
        <f t="shared" ref="AH41:AH44" si="6">AH40+0.8</f>
        <v>9.6000000000000014</v>
      </c>
    </row>
    <row r="42" spans="1:42" x14ac:dyDescent="0.25">
      <c r="L42" s="49"/>
      <c r="AE42" s="33">
        <v>18</v>
      </c>
      <c r="AF42" s="33">
        <f t="shared" si="4"/>
        <v>59.399999999999991</v>
      </c>
      <c r="AG42" s="33">
        <f t="shared" si="5"/>
        <v>2500</v>
      </c>
      <c r="AH42" s="33">
        <f t="shared" si="6"/>
        <v>10.400000000000002</v>
      </c>
    </row>
    <row r="43" spans="1:42" x14ac:dyDescent="0.25">
      <c r="L43" s="49"/>
      <c r="AE43" s="33">
        <v>19</v>
      </c>
      <c r="AF43" s="33">
        <f t="shared" si="4"/>
        <v>63.199999999999989</v>
      </c>
      <c r="AG43" s="33">
        <f t="shared" si="5"/>
        <v>2700</v>
      </c>
      <c r="AH43" s="33">
        <f t="shared" si="6"/>
        <v>11.200000000000003</v>
      </c>
    </row>
    <row r="44" spans="1:42" x14ac:dyDescent="0.25">
      <c r="L44" s="49"/>
      <c r="AE44" s="33">
        <v>20</v>
      </c>
      <c r="AF44" s="33">
        <f t="shared" si="4"/>
        <v>66.999999999999986</v>
      </c>
      <c r="AG44" s="33">
        <f>AG43+200</f>
        <v>2900</v>
      </c>
      <c r="AH44" s="33">
        <f t="shared" si="6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7">AF45+2.8</f>
        <v>72.59999999999998</v>
      </c>
      <c r="AG46" s="33">
        <f t="shared" ref="AG46:AG48" si="8">AG45+380</f>
        <v>3660</v>
      </c>
      <c r="AH46" s="33">
        <f t="shared" ref="AH46:AH49" si="9">AH45+1.6</f>
        <v>15.200000000000003</v>
      </c>
    </row>
    <row r="47" spans="1:42" x14ac:dyDescent="0.25">
      <c r="L47" s="49"/>
      <c r="AE47" s="33">
        <v>23</v>
      </c>
      <c r="AF47" s="33">
        <f t="shared" si="7"/>
        <v>75.399999999999977</v>
      </c>
      <c r="AG47" s="33">
        <f t="shared" si="8"/>
        <v>4040</v>
      </c>
      <c r="AH47" s="33">
        <f t="shared" si="9"/>
        <v>16.800000000000004</v>
      </c>
    </row>
    <row r="48" spans="1:42" x14ac:dyDescent="0.25">
      <c r="L48" s="49"/>
      <c r="AE48" s="33">
        <v>24</v>
      </c>
      <c r="AF48" s="33">
        <f t="shared" si="7"/>
        <v>78.199999999999974</v>
      </c>
      <c r="AG48" s="33">
        <f t="shared" si="8"/>
        <v>4420</v>
      </c>
      <c r="AH48" s="33">
        <f t="shared" si="9"/>
        <v>18.400000000000006</v>
      </c>
    </row>
    <row r="49" spans="12:34" x14ac:dyDescent="0.25">
      <c r="L49" s="49"/>
      <c r="AE49" s="33">
        <v>25</v>
      </c>
      <c r="AF49" s="33">
        <f t="shared" si="7"/>
        <v>80.999999999999972</v>
      </c>
      <c r="AG49" s="33">
        <v>4800</v>
      </c>
      <c r="AH49" s="33">
        <f t="shared" si="9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0">AF50+3</f>
        <v>86.999999999999972</v>
      </c>
      <c r="AG51" s="33">
        <f t="shared" ref="AG51:AG54" si="11">AG50+960</f>
        <v>6720</v>
      </c>
      <c r="AH51" s="33">
        <f t="shared" ref="AH51:AH54" si="12">AH50+4</f>
        <v>28.000000000000007</v>
      </c>
    </row>
    <row r="52" spans="12:34" x14ac:dyDescent="0.25">
      <c r="L52" s="49"/>
      <c r="AE52" s="33">
        <v>28</v>
      </c>
      <c r="AF52" s="33">
        <f t="shared" si="10"/>
        <v>89.999999999999972</v>
      </c>
      <c r="AG52" s="33">
        <f t="shared" si="11"/>
        <v>7680</v>
      </c>
      <c r="AH52" s="33">
        <f t="shared" si="12"/>
        <v>32.000000000000007</v>
      </c>
    </row>
    <row r="53" spans="12:34" x14ac:dyDescent="0.25">
      <c r="L53" s="49"/>
      <c r="AE53" s="33">
        <v>29</v>
      </c>
      <c r="AF53" s="33">
        <f t="shared" si="10"/>
        <v>92.999999999999972</v>
      </c>
      <c r="AG53" s="33">
        <f t="shared" si="11"/>
        <v>8640</v>
      </c>
      <c r="AH53" s="33">
        <f t="shared" si="12"/>
        <v>36.000000000000007</v>
      </c>
    </row>
    <row r="54" spans="12:34" x14ac:dyDescent="0.25">
      <c r="L54" s="49"/>
      <c r="AE54" s="33">
        <v>30</v>
      </c>
      <c r="AF54" s="33">
        <f t="shared" si="10"/>
        <v>95.999999999999972</v>
      </c>
      <c r="AG54" s="33">
        <f t="shared" si="11"/>
        <v>9600</v>
      </c>
      <c r="AH54" s="33">
        <f t="shared" si="12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3">AF55+3.8</f>
        <v>103.59999999999997</v>
      </c>
      <c r="AG56" s="33">
        <f t="shared" ref="AG56:AG59" si="14">AG55+480</f>
        <v>10560</v>
      </c>
      <c r="AH56" s="33">
        <f t="shared" ref="AH56:AH59" si="15">AH55+2</f>
        <v>44.000000000000007</v>
      </c>
    </row>
    <row r="57" spans="12:34" x14ac:dyDescent="0.25">
      <c r="L57" s="49"/>
      <c r="AE57" s="33">
        <v>33</v>
      </c>
      <c r="AF57" s="33">
        <f t="shared" si="13"/>
        <v>107.39999999999996</v>
      </c>
      <c r="AG57" s="33">
        <f t="shared" si="14"/>
        <v>11040</v>
      </c>
      <c r="AH57" s="33">
        <f t="shared" si="15"/>
        <v>46.000000000000007</v>
      </c>
    </row>
    <row r="58" spans="12:34" x14ac:dyDescent="0.25">
      <c r="L58" s="49"/>
      <c r="AE58" s="33">
        <v>34</v>
      </c>
      <c r="AF58" s="33">
        <f t="shared" si="13"/>
        <v>111.19999999999996</v>
      </c>
      <c r="AG58" s="33">
        <f t="shared" si="14"/>
        <v>11520</v>
      </c>
      <c r="AH58" s="33">
        <f t="shared" si="15"/>
        <v>48.000000000000007</v>
      </c>
    </row>
    <row r="59" spans="12:34" x14ac:dyDescent="0.25">
      <c r="L59" s="49"/>
      <c r="AE59" s="33">
        <v>35</v>
      </c>
      <c r="AF59" s="33">
        <f t="shared" si="13"/>
        <v>114.99999999999996</v>
      </c>
      <c r="AG59" s="33">
        <f t="shared" si="14"/>
        <v>12000</v>
      </c>
      <c r="AH59" s="33">
        <f t="shared" si="15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T18 R18 Y18:Z18 AM19:AP21 Q18:Q21 AJ18 AB18 N18:N21 AM18:AR18 AM33:AP36 Q33:Q36 N33:N36">
    <cfRule type="expression" dxfId="2987" priority="22">
      <formula>$L18="API sand"</formula>
    </cfRule>
  </conditionalFormatting>
  <conditionalFormatting sqref="R19:S20 S18 S21 AD21 AB19:AB21 AJ19:AL21 Z19:Z21 AK18:AL18 N18:N21 R33:S36 AB33:AB35 AJ33:AL36 Z33:Z36 N33:N36">
    <cfRule type="expression" dxfId="2986" priority="21">
      <formula>$M18="API sand"</formula>
    </cfRule>
  </conditionalFormatting>
  <conditionalFormatting sqref="R19:T20 S18 S21:T21 AD21 Z19:AB21 AK18:AL21 N18:N21 R33:T36 Z33:AB35 AK33:AL36 N33:N36">
    <cfRule type="expression" dxfId="2985" priority="20">
      <formula>$M18="API clay"</formula>
    </cfRule>
  </conditionalFormatting>
  <conditionalFormatting sqref="AE18:AI18 U18:W21 N19:N21 P19:P21 AA18 AM18:AP21 U33:W36 AM33:AP36 N33:P36">
    <cfRule type="expression" dxfId="2984" priority="17">
      <formula>$L18="Stiff clay w/o free water"</formula>
    </cfRule>
    <cfRule type="expression" dxfId="2983" priority="19">
      <formula>$L18="API clay"</formula>
    </cfRule>
  </conditionalFormatting>
  <conditionalFormatting sqref="AE18:AI18 U18:X18 U19:Y21 N19:N21 P19:P21 AA18 AM18:AP21 U33:Y36 AM33:AP36 N33:P36">
    <cfRule type="expression" dxfId="2982" priority="18">
      <formula>$L18="Kirsch soft clay"</formula>
    </cfRule>
  </conditionalFormatting>
  <conditionalFormatting sqref="AE18:AI18 U18:X18 U19:Y21 N19:N21 P19:P21 AA18 AM18:AP21 U33:Y36 AM33:AP36 N33:P36">
    <cfRule type="expression" dxfId="2981" priority="16">
      <formula>$L18="Kirsch stiff clay"</formula>
    </cfRule>
  </conditionalFormatting>
  <conditionalFormatting sqref="T18 R18 Y18:Z18 AM19:AP21 Q18:Q21 X19:Y21 AJ18 AB18 N18:N21 AM18:AR18 AM33:AP36 Q33:Q36 X33:Y36 N33:N36">
    <cfRule type="expression" dxfId="2980" priority="15">
      <formula>$L18="Kirsch sand"</formula>
    </cfRule>
  </conditionalFormatting>
  <conditionalFormatting sqref="AC18:AD21 AI19:AI21 AM18:AP21 N18:N21 AC33:AD36 AI33:AI36 AM33:AP36 N33:N36">
    <cfRule type="expression" dxfId="2979" priority="14">
      <formula>$L18="Modified Weak rock"</formula>
    </cfRule>
  </conditionalFormatting>
  <conditionalFormatting sqref="AE18:AI18 N19:N21 P19:P21 AA18 AM18:AP21 U18:V21 AM33:AP36 U33:V36 N33:P36">
    <cfRule type="expression" dxfId="2978" priority="13">
      <formula>$L18="Reese stiff clay"</formula>
    </cfRule>
  </conditionalFormatting>
  <conditionalFormatting sqref="AB36">
    <cfRule type="expression" dxfId="2977" priority="12">
      <formula>$M36="API sand"</formula>
    </cfRule>
  </conditionalFormatting>
  <conditionalFormatting sqref="Z36:AB36">
    <cfRule type="expression" dxfId="2976" priority="11">
      <formula>$M36="API clay"</formula>
    </cfRule>
  </conditionalFormatting>
  <conditionalFormatting sqref="N18:P18">
    <cfRule type="expression" dxfId="2975" priority="8">
      <formula>$L18="Stiff clay w/o free water"</formula>
    </cfRule>
    <cfRule type="expression" dxfId="2974" priority="10">
      <formula>$L18="API clay"</formula>
    </cfRule>
  </conditionalFormatting>
  <conditionalFormatting sqref="N18:P18">
    <cfRule type="expression" dxfId="2973" priority="9">
      <formula>$L18="Kirsch soft clay"</formula>
    </cfRule>
  </conditionalFormatting>
  <conditionalFormatting sqref="N18:P18">
    <cfRule type="expression" dxfId="2972" priority="7">
      <formula>$L18="Kirsch stiff clay"</formula>
    </cfRule>
  </conditionalFormatting>
  <conditionalFormatting sqref="X18">
    <cfRule type="expression" dxfId="2971" priority="6">
      <formula>$L18="Kirsch sand"</formula>
    </cfRule>
  </conditionalFormatting>
  <conditionalFormatting sqref="N18:P18">
    <cfRule type="expression" dxfId="2970" priority="5">
      <formula>$L18="Reese stiff clay"</formula>
    </cfRule>
  </conditionalFormatting>
  <conditionalFormatting sqref="AE18:AI18 V18 AA18 AM18:AP18">
    <cfRule type="expression" dxfId="2969" priority="4">
      <formula>$L18="PISA clay"</formula>
    </cfRule>
  </conditionalFormatting>
  <conditionalFormatting sqref="AM18:AP18">
    <cfRule type="expression" dxfId="2968" priority="3">
      <formula>$L18="PISA sand"</formula>
    </cfRule>
  </conditionalFormatting>
  <conditionalFormatting sqref="O19:O21">
    <cfRule type="expression" dxfId="2967" priority="2">
      <formula>$L19="API sand"</formula>
    </cfRule>
  </conditionalFormatting>
  <conditionalFormatting sqref="O19:O21">
    <cfRule type="expression" dxfId="2966" priority="1">
      <formula>$L19="Kirsch sand"</formula>
    </cfRule>
  </conditionalFormatting>
  <conditionalFormatting sqref="AE37:AH37">
    <cfRule type="expression" dxfId="2965" priority="23">
      <formula>$L19="Modified Weak rock"</formula>
    </cfRule>
  </conditionalFormatting>
  <dataValidations count="4">
    <dataValidation showInputMessage="1" showErrorMessage="1" sqref="L10:L12 L16:L17" xr:uid="{3E625707-4359-440A-9DDC-7DF175EBF9E9}"/>
    <dataValidation type="list" showInputMessage="1" showErrorMessage="1" sqref="M26:M36 M9:M21" xr:uid="{3BCB18E5-3836-453E-A377-3856CEED7A54}">
      <formula1>"',API sand,API clay"</formula1>
    </dataValidation>
    <dataValidation type="list" showInputMessage="1" showErrorMessage="1" sqref="L19:L21 L26:L255" xr:uid="{A9901AE6-3DE3-42BD-A097-880A79D29AB4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26:M32 M6:M17" xr:uid="{A172C7AE-5FEB-4DC3-B776-9F10D78B6C5A}">
      <formula1>"Zero soil,API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18A2C-E38C-4DAD-B67C-02AF5B3A1698}">
  <sheetPr>
    <tabColor rgb="FF00B0F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Ak_Pisa_WTG57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22"/>
      <c r="R3" s="155"/>
      <c r="S3" s="155"/>
      <c r="T3" s="122"/>
      <c r="U3" s="155"/>
      <c r="V3" s="155"/>
      <c r="W3" s="122"/>
      <c r="X3" s="69"/>
      <c r="Y3" s="122"/>
      <c r="Z3" s="122"/>
      <c r="AA3" s="122"/>
      <c r="AB3" s="122"/>
      <c r="AC3" s="69"/>
      <c r="AD3" s="39"/>
      <c r="AE3" s="39"/>
      <c r="AF3" s="39"/>
      <c r="AG3" s="39"/>
      <c r="AH3" s="39"/>
      <c r="AI3" s="39"/>
      <c r="AJ3" s="122"/>
      <c r="AK3" s="122"/>
      <c r="AL3" s="122"/>
      <c r="AM3" s="122"/>
      <c r="AN3" s="122"/>
      <c r="AO3" s="122"/>
      <c r="AP3" s="122"/>
    </row>
    <row r="4" spans="1:45" x14ac:dyDescent="0.25">
      <c r="A4" s="40" t="s">
        <v>60</v>
      </c>
      <c r="B4" s="33">
        <f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23" t="s">
        <v>38</v>
      </c>
      <c r="K5" s="123" t="s">
        <v>30</v>
      </c>
      <c r="L5" s="123" t="s">
        <v>31</v>
      </c>
      <c r="M5" s="123" t="s">
        <v>31</v>
      </c>
      <c r="N5" s="123" t="s">
        <v>32</v>
      </c>
      <c r="O5" s="123" t="s">
        <v>33</v>
      </c>
      <c r="P5" s="123" t="s">
        <v>35</v>
      </c>
      <c r="Q5" s="123" t="s">
        <v>36</v>
      </c>
      <c r="R5" s="123" t="s">
        <v>36</v>
      </c>
      <c r="S5" s="123" t="s">
        <v>34</v>
      </c>
      <c r="T5" s="123" t="s">
        <v>33</v>
      </c>
      <c r="U5" s="123" t="s">
        <v>34</v>
      </c>
      <c r="V5" s="123" t="s">
        <v>62</v>
      </c>
      <c r="W5" s="123" t="s">
        <v>34</v>
      </c>
      <c r="X5" s="123" t="s">
        <v>33</v>
      </c>
      <c r="Y5" s="123" t="s">
        <v>35</v>
      </c>
      <c r="Z5" s="123" t="s">
        <v>33</v>
      </c>
      <c r="AA5" s="123" t="s">
        <v>34</v>
      </c>
      <c r="AB5" s="123" t="s">
        <v>33</v>
      </c>
      <c r="AC5" s="123" t="s">
        <v>33</v>
      </c>
      <c r="AD5" s="123" t="s">
        <v>35</v>
      </c>
      <c r="AE5" s="123" t="s">
        <v>34</v>
      </c>
      <c r="AF5" s="123" t="s">
        <v>33</v>
      </c>
      <c r="AG5" s="123" t="s">
        <v>35</v>
      </c>
      <c r="AH5" s="123" t="s">
        <v>34</v>
      </c>
      <c r="AI5" s="123" t="s">
        <v>34</v>
      </c>
      <c r="AJ5" s="123" t="s">
        <v>34</v>
      </c>
      <c r="AK5" s="123" t="s">
        <v>34</v>
      </c>
      <c r="AL5" s="123" t="s">
        <v>34</v>
      </c>
      <c r="AM5" s="123" t="s">
        <v>34</v>
      </c>
      <c r="AN5" s="123" t="s">
        <v>34</v>
      </c>
      <c r="AO5" s="123" t="s">
        <v>34</v>
      </c>
      <c r="AP5" s="123" t="s">
        <v>34</v>
      </c>
      <c r="AQ5" s="123" t="s">
        <v>103</v>
      </c>
      <c r="AR5" s="123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>"EW_sand_Ruled"&amp;"_"&amp;AR6</f>
        <v>EW_sand_Ruled_71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33</v>
      </c>
      <c r="R6" s="47">
        <f t="shared" ref="R6:R8" si="0">IF(Q6&lt;&gt;0,Q6-5,NA())</f>
        <v>28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2800</v>
      </c>
      <c r="Y6" s="47">
        <v>0</v>
      </c>
      <c r="Z6" s="47">
        <f t="shared" ref="Z6:Z8" si="1">VLOOKUP(R6,$AE$39:$AF$59,2)</f>
        <v>89.999999999999972</v>
      </c>
      <c r="AA6" s="47">
        <v>1</v>
      </c>
      <c r="AB6" s="47">
        <f t="shared" ref="AB6:AB8" si="2">VLOOKUP(R6,$AE$39:$AG$59,3)</f>
        <v>7680</v>
      </c>
      <c r="AC6" s="63">
        <v>5000</v>
      </c>
      <c r="AD6" s="63">
        <v>24000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8" si="3">VLOOKUP(R6,$AE$39:$AH$59,4)</f>
        <v>32.000000000000007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71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-0.5</v>
      </c>
      <c r="L7" s="33" t="str">
        <f>"EW_sand_Ruled"&amp;"_"&amp;AR7</f>
        <v>EW_sand_Ruled_77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38</v>
      </c>
      <c r="R7" s="47">
        <f t="shared" si="0"/>
        <v>33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15200</v>
      </c>
      <c r="Y7" s="47">
        <v>0</v>
      </c>
      <c r="Z7" s="47">
        <f t="shared" si="1"/>
        <v>107.39999999999996</v>
      </c>
      <c r="AA7" s="47">
        <v>1</v>
      </c>
      <c r="AB7" s="47">
        <f t="shared" si="2"/>
        <v>11040</v>
      </c>
      <c r="AC7" s="63">
        <v>22000</v>
      </c>
      <c r="AD7" s="63">
        <v>18000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46.000000000000007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77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15603.696</v>
      </c>
      <c r="H8" s="45" t="s">
        <v>53</v>
      </c>
      <c r="I8" s="33" t="s">
        <v>279</v>
      </c>
      <c r="J8" s="47">
        <v>3</v>
      </c>
      <c r="K8" s="33">
        <v>-1</v>
      </c>
      <c r="L8" s="33" t="str">
        <f>"EW_sand_Ruled"&amp;"_"&amp;AR8</f>
        <v>EW_sand_Ruled_76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39</v>
      </c>
      <c r="R8" s="47">
        <f t="shared" si="0"/>
        <v>34</v>
      </c>
      <c r="S8" s="47">
        <v>0.5</v>
      </c>
      <c r="T8" s="47">
        <v>0</v>
      </c>
      <c r="U8" s="75">
        <v>0</v>
      </c>
      <c r="V8" s="75">
        <v>0</v>
      </c>
      <c r="W8" s="47">
        <v>0</v>
      </c>
      <c r="X8" s="47">
        <v>25700</v>
      </c>
      <c r="Y8" s="47">
        <v>0</v>
      </c>
      <c r="Z8" s="47">
        <f t="shared" si="1"/>
        <v>111.19999999999996</v>
      </c>
      <c r="AA8" s="47">
        <v>1</v>
      </c>
      <c r="AB8" s="47">
        <f t="shared" si="2"/>
        <v>11520</v>
      </c>
      <c r="AC8" s="63">
        <v>36000</v>
      </c>
      <c r="AD8" s="63">
        <v>7000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48.000000000000007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76</v>
      </c>
      <c r="AS8" s="33">
        <v>0.4</v>
      </c>
    </row>
    <row r="9" spans="1:45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-665316.36615384603</v>
      </c>
      <c r="H9" s="45" t="s">
        <v>54</v>
      </c>
      <c r="I9" s="56" t="s">
        <v>293</v>
      </c>
      <c r="J9" s="47">
        <v>4</v>
      </c>
      <c r="K9" s="19">
        <v>-2</v>
      </c>
      <c r="L9" s="33" t="str">
        <f>"EW_sand_Ruled"&amp;"_"&amp;AR9</f>
        <v>EW_sand_Ruled_70</v>
      </c>
      <c r="M9" s="105" t="s">
        <v>64</v>
      </c>
      <c r="N9" s="47">
        <v>9.6</v>
      </c>
      <c r="O9" s="63">
        <v>0</v>
      </c>
      <c r="P9" s="63">
        <v>0</v>
      </c>
      <c r="Q9" s="47">
        <v>39</v>
      </c>
      <c r="R9" s="47">
        <f t="shared" ref="R9:R17" si="4">IF(Q9&lt;&gt;0,Q9-5,NA())</f>
        <v>34</v>
      </c>
      <c r="S9" s="47">
        <v>1.8</v>
      </c>
      <c r="T9" s="47">
        <v>0</v>
      </c>
      <c r="U9" s="75">
        <v>0</v>
      </c>
      <c r="V9" s="75">
        <v>0</v>
      </c>
      <c r="W9" s="47">
        <v>0</v>
      </c>
      <c r="X9" s="47">
        <v>35000</v>
      </c>
      <c r="Y9" s="47">
        <v>0</v>
      </c>
      <c r="Z9" s="47">
        <f t="shared" ref="Z9:Z17" si="5">VLOOKUP(R9,$AE$39:$AF$59,2)</f>
        <v>111.19999999999996</v>
      </c>
      <c r="AA9" s="47">
        <v>1</v>
      </c>
      <c r="AB9" s="47">
        <f t="shared" ref="AB9:AB17" si="6">VLOOKUP(R9,$AE$39:$AG$59,3)</f>
        <v>11520</v>
      </c>
      <c r="AC9" s="63">
        <v>55000</v>
      </c>
      <c r="AD9" s="63">
        <v>625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ref="AJ9:AJ17" si="7">VLOOKUP(R9,$AE$39:$AH$59,4)</f>
        <v>48.000000000000007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70</v>
      </c>
      <c r="AS9" s="33">
        <v>0.4</v>
      </c>
    </row>
    <row r="10" spans="1:45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27009.130769230771</v>
      </c>
      <c r="H10" s="45" t="s">
        <v>53</v>
      </c>
      <c r="I10" s="56" t="s">
        <v>299</v>
      </c>
      <c r="J10" s="47">
        <v>5</v>
      </c>
      <c r="K10" s="19">
        <v>-3.6</v>
      </c>
      <c r="L10" s="116" t="s">
        <v>275</v>
      </c>
      <c r="M10" s="105" t="s">
        <v>65</v>
      </c>
      <c r="N10" s="47">
        <v>9.5</v>
      </c>
      <c r="O10" s="63">
        <v>206</v>
      </c>
      <c r="P10" s="63">
        <v>6.59</v>
      </c>
      <c r="Q10" s="47">
        <v>0</v>
      </c>
      <c r="R10" s="47" t="e">
        <f t="shared" si="4"/>
        <v>#N/A</v>
      </c>
      <c r="S10" s="47">
        <v>3</v>
      </c>
      <c r="T10" s="47">
        <v>0</v>
      </c>
      <c r="U10" s="75">
        <v>1.7999999999999999E-2</v>
      </c>
      <c r="V10" s="75">
        <v>0</v>
      </c>
      <c r="W10" s="47">
        <v>0.5</v>
      </c>
      <c r="X10" s="47">
        <v>42100</v>
      </c>
      <c r="Y10" s="47">
        <v>0</v>
      </c>
      <c r="Z10" s="47" t="e">
        <f t="shared" si="5"/>
        <v>#N/A</v>
      </c>
      <c r="AA10" s="47">
        <v>1</v>
      </c>
      <c r="AB10" s="47" t="e">
        <f t="shared" si="6"/>
        <v>#N/A</v>
      </c>
      <c r="AC10" s="63">
        <v>247000</v>
      </c>
      <c r="AD10" s="63">
        <v>9148.93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 t="e">
        <f t="shared" si="7"/>
        <v>#N/A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56" t="s">
        <v>299</v>
      </c>
      <c r="J11" s="47">
        <v>6</v>
      </c>
      <c r="K11" s="19">
        <v>-13</v>
      </c>
      <c r="L11" s="116" t="s">
        <v>275</v>
      </c>
      <c r="M11" s="105" t="s">
        <v>65</v>
      </c>
      <c r="N11" s="47">
        <v>9.5</v>
      </c>
      <c r="O11" s="63">
        <v>93</v>
      </c>
      <c r="P11" s="63">
        <v>11.2</v>
      </c>
      <c r="Q11" s="47">
        <v>0</v>
      </c>
      <c r="R11" s="47" t="e">
        <f t="shared" si="4"/>
        <v>#N/A</v>
      </c>
      <c r="S11" s="47">
        <v>2.5</v>
      </c>
      <c r="T11" s="47">
        <v>0</v>
      </c>
      <c r="U11" s="75">
        <v>1.7999999999999999E-2</v>
      </c>
      <c r="V11" s="75">
        <v>0</v>
      </c>
      <c r="W11" s="47">
        <v>0.5</v>
      </c>
      <c r="X11" s="47">
        <v>20400</v>
      </c>
      <c r="Y11" s="47">
        <v>0</v>
      </c>
      <c r="Z11" s="47" t="e">
        <f t="shared" si="5"/>
        <v>#N/A</v>
      </c>
      <c r="AA11" s="47">
        <v>1</v>
      </c>
      <c r="AB11" s="47" t="e">
        <f t="shared" si="6"/>
        <v>#N/A</v>
      </c>
      <c r="AC11" s="63">
        <v>107000</v>
      </c>
      <c r="AD11" s="63">
        <v>13600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 t="e">
        <f t="shared" si="7"/>
        <v>#N/A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33">
        <v>0.4</v>
      </c>
    </row>
    <row r="12" spans="1:45" x14ac:dyDescent="0.25">
      <c r="A12" s="33" t="s">
        <v>74</v>
      </c>
      <c r="B12" s="57">
        <v>9.6</v>
      </c>
      <c r="C12" s="45" t="s">
        <v>28</v>
      </c>
      <c r="E12" s="59"/>
      <c r="F12" s="56" t="s">
        <v>97</v>
      </c>
      <c r="G12" s="71">
        <v>3026.5415538461539</v>
      </c>
      <c r="H12" s="45" t="s">
        <v>53</v>
      </c>
      <c r="I12" s="56" t="s">
        <v>304</v>
      </c>
      <c r="J12" s="47">
        <v>7</v>
      </c>
      <c r="K12" s="19">
        <v>-15.5</v>
      </c>
      <c r="L12" s="116" t="s">
        <v>275</v>
      </c>
      <c r="M12" s="105" t="s">
        <v>65</v>
      </c>
      <c r="N12" s="47">
        <v>9</v>
      </c>
      <c r="O12" s="63">
        <v>291</v>
      </c>
      <c r="P12" s="63">
        <v>25.2</v>
      </c>
      <c r="Q12" s="47">
        <v>0</v>
      </c>
      <c r="R12" s="47" t="e">
        <f t="shared" si="4"/>
        <v>#N/A</v>
      </c>
      <c r="S12" s="47">
        <v>3</v>
      </c>
      <c r="T12" s="47">
        <v>0</v>
      </c>
      <c r="U12" s="75">
        <v>1.7999999999999999E-2</v>
      </c>
      <c r="V12" s="75">
        <v>0</v>
      </c>
      <c r="W12" s="47">
        <v>0.25</v>
      </c>
      <c r="X12" s="47">
        <v>28500</v>
      </c>
      <c r="Y12" s="47">
        <v>0</v>
      </c>
      <c r="Z12" s="47" t="e">
        <f t="shared" si="5"/>
        <v>#N/A</v>
      </c>
      <c r="AA12" s="47">
        <v>1</v>
      </c>
      <c r="AB12" s="47" t="e">
        <f t="shared" si="6"/>
        <v>#N/A</v>
      </c>
      <c r="AC12" s="63">
        <v>506000</v>
      </c>
      <c r="AD12" s="63">
        <v>38800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7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56" t="s">
        <v>291</v>
      </c>
      <c r="J13" s="47">
        <v>8</v>
      </c>
      <c r="K13" s="19">
        <v>-18</v>
      </c>
      <c r="L13" s="33" t="str">
        <f>"EW_sand_Ruled"&amp;"_"&amp;AR13</f>
        <v>EW_sand_Ruled_71</v>
      </c>
      <c r="M13" s="105" t="s">
        <v>64</v>
      </c>
      <c r="N13" s="47">
        <v>8.5</v>
      </c>
      <c r="O13" s="63">
        <v>0</v>
      </c>
      <c r="P13" s="63">
        <v>0</v>
      </c>
      <c r="Q13" s="47">
        <v>28</v>
      </c>
      <c r="R13" s="47">
        <f t="shared" si="4"/>
        <v>23</v>
      </c>
      <c r="S13" s="47">
        <v>1.2</v>
      </c>
      <c r="T13" s="47">
        <v>0</v>
      </c>
      <c r="U13" s="75">
        <v>0</v>
      </c>
      <c r="V13" s="75">
        <v>0</v>
      </c>
      <c r="W13" s="47">
        <v>0</v>
      </c>
      <c r="X13" s="47">
        <v>23600</v>
      </c>
      <c r="Y13" s="47">
        <v>0</v>
      </c>
      <c r="Z13" s="47">
        <f t="shared" si="5"/>
        <v>75.399999999999977</v>
      </c>
      <c r="AA13" s="47">
        <v>1</v>
      </c>
      <c r="AB13" s="47">
        <f t="shared" si="6"/>
        <v>4040</v>
      </c>
      <c r="AC13" s="63">
        <v>138000</v>
      </c>
      <c r="AD13" s="63">
        <v>-7333.33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7"/>
        <v>16.800000000000004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71</v>
      </c>
      <c r="AS13" s="33">
        <v>0.2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291</v>
      </c>
      <c r="J14" s="47">
        <v>9</v>
      </c>
      <c r="K14" s="19">
        <v>-21</v>
      </c>
      <c r="L14" s="33" t="str">
        <f>"EW_sand_Ruled"&amp;"_"&amp;AR14</f>
        <v>EW_sand_Ruled_76</v>
      </c>
      <c r="M14" s="105" t="s">
        <v>64</v>
      </c>
      <c r="N14" s="47">
        <v>8.5</v>
      </c>
      <c r="O14" s="63">
        <v>0</v>
      </c>
      <c r="P14" s="63">
        <v>0</v>
      </c>
      <c r="Q14" s="47">
        <v>28</v>
      </c>
      <c r="R14" s="47">
        <f t="shared" si="4"/>
        <v>23</v>
      </c>
      <c r="S14" s="47">
        <v>1.2</v>
      </c>
      <c r="T14" s="47">
        <v>0</v>
      </c>
      <c r="U14" s="75">
        <v>0</v>
      </c>
      <c r="V14" s="75">
        <v>0</v>
      </c>
      <c r="W14" s="47">
        <v>0</v>
      </c>
      <c r="X14" s="47">
        <v>30300</v>
      </c>
      <c r="Y14" s="47">
        <v>0</v>
      </c>
      <c r="Z14" s="47">
        <f t="shared" si="5"/>
        <v>75.399999999999977</v>
      </c>
      <c r="AA14" s="47">
        <v>1</v>
      </c>
      <c r="AB14" s="47">
        <f t="shared" si="6"/>
        <v>4040</v>
      </c>
      <c r="AC14" s="63">
        <v>122000</v>
      </c>
      <c r="AD14" s="63">
        <v>6896.55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7"/>
        <v>16.800000000000004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76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271</v>
      </c>
      <c r="J15" s="47">
        <v>10</v>
      </c>
      <c r="K15" s="19">
        <v>-26.8</v>
      </c>
      <c r="L15" s="33" t="str">
        <f>"EW_sand_Ruled"&amp;"_"&amp;AR15</f>
        <v>EW_sand_Ruled_22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25.5</v>
      </c>
      <c r="R15" s="47">
        <f t="shared" si="4"/>
        <v>20.5</v>
      </c>
      <c r="S15" s="47">
        <v>0.5</v>
      </c>
      <c r="T15" s="47">
        <v>0</v>
      </c>
      <c r="U15" s="75">
        <v>0</v>
      </c>
      <c r="V15" s="75">
        <v>0</v>
      </c>
      <c r="W15" s="47">
        <v>0</v>
      </c>
      <c r="X15" s="47">
        <v>20200</v>
      </c>
      <c r="Y15" s="47">
        <v>0</v>
      </c>
      <c r="Z15" s="47">
        <f t="shared" si="5"/>
        <v>66.999999999999986</v>
      </c>
      <c r="AA15" s="47">
        <v>1</v>
      </c>
      <c r="AB15" s="47">
        <f t="shared" si="6"/>
        <v>2900</v>
      </c>
      <c r="AC15" s="63">
        <v>119000</v>
      </c>
      <c r="AD15" s="63">
        <v>157.88999999999999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7"/>
        <v>12.000000000000004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22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273</v>
      </c>
      <c r="J16" s="47">
        <v>11</v>
      </c>
      <c r="K16" s="19">
        <v>-45.8</v>
      </c>
      <c r="L16" s="116" t="s">
        <v>275</v>
      </c>
      <c r="M16" s="105" t="s">
        <v>65</v>
      </c>
      <c r="N16" s="47">
        <v>8.9</v>
      </c>
      <c r="O16" s="63">
        <v>361</v>
      </c>
      <c r="P16" s="63">
        <v>5.96</v>
      </c>
      <c r="Q16" s="47">
        <v>0</v>
      </c>
      <c r="R16" s="47" t="e">
        <f t="shared" si="4"/>
        <v>#N/A</v>
      </c>
      <c r="S16" s="47">
        <v>1.9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40900</v>
      </c>
      <c r="Y16" s="47">
        <v>0</v>
      </c>
      <c r="Z16" s="47" t="e">
        <f t="shared" si="5"/>
        <v>#N/A</v>
      </c>
      <c r="AA16" s="47">
        <v>1</v>
      </c>
      <c r="AB16" s="47" t="e">
        <f t="shared" si="6"/>
        <v>#N/A</v>
      </c>
      <c r="AC16" s="63">
        <v>534000</v>
      </c>
      <c r="AD16" s="63">
        <v>10877.19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7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23"/>
      <c r="E17" s="123"/>
      <c r="I17" s="56" t="s">
        <v>273</v>
      </c>
      <c r="J17" s="47">
        <v>12</v>
      </c>
      <c r="K17" s="19">
        <v>-80</v>
      </c>
      <c r="L17" s="116" t="s">
        <v>275</v>
      </c>
      <c r="M17" s="105" t="s">
        <v>65</v>
      </c>
      <c r="N17" s="47">
        <v>8.9</v>
      </c>
      <c r="O17" s="63">
        <v>565</v>
      </c>
      <c r="P17" s="63">
        <v>0</v>
      </c>
      <c r="Q17" s="47">
        <v>0</v>
      </c>
      <c r="R17" s="47" t="e">
        <f t="shared" si="4"/>
        <v>#N/A</v>
      </c>
      <c r="S17" s="47">
        <v>1.9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40900</v>
      </c>
      <c r="Y17" s="47">
        <v>0</v>
      </c>
      <c r="Z17" s="47" t="e">
        <f t="shared" si="5"/>
        <v>#N/A</v>
      </c>
      <c r="AA17" s="47">
        <v>1</v>
      </c>
      <c r="AB17" s="47" t="e">
        <f t="shared" si="6"/>
        <v>#N/A</v>
      </c>
      <c r="AC17" s="63">
        <v>906000</v>
      </c>
      <c r="AD17" s="63">
        <v>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7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/>
      <c r="M18" s="49"/>
      <c r="N18" s="47"/>
      <c r="O18" s="63"/>
      <c r="P18" s="47"/>
      <c r="Q18" s="47"/>
      <c r="R18" s="47"/>
      <c r="S18" s="47"/>
      <c r="T18" s="47"/>
      <c r="U18" s="47"/>
      <c r="V18" s="75"/>
      <c r="W18" s="47"/>
      <c r="X18" s="47"/>
      <c r="Y18" s="47"/>
      <c r="Z18" s="47"/>
      <c r="AA18" s="47"/>
      <c r="AB18" s="47"/>
      <c r="AC18" s="47"/>
      <c r="AD18" s="47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5" x14ac:dyDescent="0.25">
      <c r="A19" s="123" t="s">
        <v>38</v>
      </c>
      <c r="B19" s="123" t="s">
        <v>30</v>
      </c>
      <c r="C19" s="123" t="s">
        <v>59</v>
      </c>
      <c r="D19" s="43"/>
      <c r="E19" s="35"/>
      <c r="L19" s="49"/>
      <c r="M19" s="49" t="s">
        <v>94</v>
      </c>
      <c r="N19" s="47"/>
      <c r="O19" s="47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  <c r="AO19" s="47"/>
      <c r="AP19" s="47"/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  <c r="J26" s="47"/>
      <c r="K26" s="19"/>
      <c r="L26" s="116"/>
      <c r="M26" s="105"/>
      <c r="N26" s="47"/>
      <c r="O26" s="63"/>
      <c r="P26" s="63"/>
      <c r="Q26" s="47"/>
      <c r="R26" s="47"/>
      <c r="S26" s="47"/>
      <c r="T26" s="47"/>
      <c r="U26" s="75"/>
      <c r="V26" s="75"/>
      <c r="W26" s="47"/>
      <c r="X26" s="47"/>
      <c r="Y26" s="47"/>
      <c r="Z26" s="47"/>
      <c r="AA26" s="47"/>
      <c r="AB26" s="47"/>
      <c r="AC26" s="63"/>
      <c r="AD26" s="63"/>
      <c r="AE26" s="63"/>
      <c r="AF26" s="63"/>
      <c r="AG26" s="63"/>
      <c r="AH26" s="63"/>
      <c r="AI26" s="63"/>
      <c r="AJ26" s="47"/>
      <c r="AK26" s="47"/>
      <c r="AL26" s="47"/>
      <c r="AM26" s="47"/>
      <c r="AN26" s="47"/>
      <c r="AO26" s="47"/>
      <c r="AP26" s="47"/>
      <c r="AQ26" s="47"/>
      <c r="AR26" s="47"/>
    </row>
    <row r="27" spans="1:45" x14ac:dyDescent="0.25">
      <c r="A27" s="66"/>
      <c r="B27" s="66"/>
      <c r="C27" s="67"/>
      <c r="D27" s="35"/>
      <c r="J27" s="47"/>
      <c r="K27" s="19"/>
      <c r="L27" s="116"/>
      <c r="M27" s="105"/>
      <c r="N27" s="47"/>
      <c r="O27" s="63"/>
      <c r="P27" s="63"/>
      <c r="Q27" s="47"/>
      <c r="R27" s="47"/>
      <c r="S27" s="47"/>
      <c r="T27" s="47"/>
      <c r="U27" s="75"/>
      <c r="V27" s="75"/>
      <c r="W27" s="47"/>
      <c r="X27" s="47"/>
      <c r="Y27" s="47"/>
      <c r="Z27" s="47"/>
      <c r="AA27" s="47"/>
      <c r="AB27" s="47"/>
      <c r="AC27" s="63"/>
      <c r="AD27" s="63"/>
      <c r="AE27" s="63"/>
      <c r="AF27" s="63"/>
      <c r="AG27" s="63"/>
      <c r="AH27" s="63"/>
      <c r="AI27" s="63"/>
      <c r="AJ27" s="47"/>
      <c r="AK27" s="47"/>
      <c r="AL27" s="47"/>
      <c r="AM27" s="47"/>
      <c r="AN27" s="47"/>
      <c r="AO27" s="47"/>
      <c r="AP27" s="47"/>
      <c r="AQ27" s="47"/>
      <c r="AR27" s="47"/>
    </row>
    <row r="28" spans="1:45" x14ac:dyDescent="0.25">
      <c r="A28" s="66"/>
      <c r="B28" s="66"/>
      <c r="C28" s="67"/>
      <c r="D28" s="35"/>
      <c r="J28" s="47"/>
      <c r="K28" s="19"/>
      <c r="L28" s="116"/>
      <c r="M28" s="105"/>
      <c r="N28" s="47"/>
      <c r="O28" s="63"/>
      <c r="P28" s="63"/>
      <c r="Q28" s="47"/>
      <c r="R28" s="47"/>
      <c r="S28" s="47"/>
      <c r="T28" s="47"/>
      <c r="U28" s="75"/>
      <c r="V28" s="75"/>
      <c r="W28" s="47"/>
      <c r="X28" s="47"/>
      <c r="Y28" s="47"/>
      <c r="Z28" s="47"/>
      <c r="AA28" s="47"/>
      <c r="AB28" s="47"/>
      <c r="AC28" s="63"/>
      <c r="AD28" s="63"/>
      <c r="AE28" s="63"/>
      <c r="AF28" s="63"/>
      <c r="AG28" s="63"/>
      <c r="AH28" s="63"/>
      <c r="AI28" s="63"/>
      <c r="AJ28" s="47"/>
      <c r="AK28" s="47"/>
      <c r="AL28" s="47"/>
      <c r="AM28" s="47"/>
      <c r="AN28" s="47"/>
      <c r="AO28" s="47"/>
      <c r="AP28" s="47"/>
      <c r="AQ28" s="47"/>
      <c r="AR28" s="47"/>
    </row>
    <row r="29" spans="1:45" x14ac:dyDescent="0.25">
      <c r="A29" s="66"/>
      <c r="B29" s="66"/>
      <c r="C29" s="67"/>
      <c r="D29" s="35"/>
      <c r="I29" s="56"/>
      <c r="J29" s="47"/>
      <c r="K29" s="19"/>
      <c r="L29" s="116"/>
      <c r="M29" s="105"/>
      <c r="N29" s="47"/>
      <c r="O29" s="63"/>
      <c r="P29" s="63"/>
      <c r="Q29" s="47"/>
      <c r="R29" s="47"/>
      <c r="S29" s="47"/>
      <c r="T29" s="47"/>
      <c r="U29" s="75"/>
      <c r="V29" s="75"/>
      <c r="W29" s="47"/>
      <c r="X29" s="47"/>
      <c r="Y29" s="47"/>
      <c r="Z29" s="47"/>
      <c r="AA29" s="47"/>
      <c r="AB29" s="47"/>
      <c r="AC29" s="63"/>
      <c r="AD29" s="63"/>
      <c r="AE29" s="63"/>
      <c r="AF29" s="63"/>
      <c r="AG29" s="63"/>
      <c r="AH29" s="63"/>
      <c r="AI29" s="63"/>
      <c r="AJ29" s="47"/>
      <c r="AK29" s="47"/>
      <c r="AL29" s="47"/>
      <c r="AM29" s="47"/>
      <c r="AN29" s="47"/>
      <c r="AO29" s="47"/>
      <c r="AP29" s="47"/>
      <c r="AQ29" s="47"/>
      <c r="AR29" s="47"/>
    </row>
    <row r="30" spans="1:45" x14ac:dyDescent="0.25">
      <c r="A30" s="66"/>
      <c r="B30" s="66"/>
      <c r="C30" s="67"/>
      <c r="D30" s="35"/>
      <c r="I30" s="56"/>
      <c r="J30" s="47"/>
      <c r="K30" s="19"/>
      <c r="L30" s="116"/>
      <c r="M30" s="105"/>
      <c r="N30" s="47"/>
      <c r="O30" s="63"/>
      <c r="P30" s="63"/>
      <c r="Q30" s="47"/>
      <c r="R30" s="47"/>
      <c r="S30" s="47"/>
      <c r="T30" s="47"/>
      <c r="U30" s="75"/>
      <c r="V30" s="75"/>
      <c r="W30" s="47"/>
      <c r="X30" s="47"/>
      <c r="Y30" s="47"/>
      <c r="Z30" s="47"/>
      <c r="AA30" s="47"/>
      <c r="AB30" s="47"/>
      <c r="AC30" s="63"/>
      <c r="AD30" s="63"/>
      <c r="AE30" s="63"/>
      <c r="AF30" s="63"/>
      <c r="AG30" s="63"/>
      <c r="AH30" s="63"/>
      <c r="AI30" s="63"/>
      <c r="AJ30" s="47"/>
      <c r="AK30" s="47"/>
      <c r="AL30" s="47"/>
      <c r="AM30" s="47"/>
      <c r="AN30" s="47"/>
      <c r="AO30" s="47"/>
      <c r="AP30" s="47"/>
      <c r="AQ30" s="47"/>
      <c r="AR30" s="47"/>
    </row>
    <row r="31" spans="1:45" x14ac:dyDescent="0.25">
      <c r="A31" s="66"/>
      <c r="B31" s="66"/>
      <c r="C31" s="67"/>
      <c r="D31" s="35"/>
      <c r="J31" s="47"/>
      <c r="K31" s="19"/>
      <c r="L31" s="116"/>
      <c r="M31" s="105"/>
      <c r="N31" s="47"/>
      <c r="O31" s="63"/>
      <c r="P31" s="63"/>
      <c r="Q31" s="47"/>
      <c r="R31" s="47"/>
      <c r="S31" s="47"/>
      <c r="T31" s="47"/>
      <c r="U31" s="75"/>
      <c r="V31" s="75"/>
      <c r="W31" s="47"/>
      <c r="X31" s="47"/>
      <c r="Y31" s="47"/>
      <c r="Z31" s="47"/>
      <c r="AA31" s="47"/>
      <c r="AB31" s="47"/>
      <c r="AC31" s="63"/>
      <c r="AD31" s="63"/>
      <c r="AE31" s="63"/>
      <c r="AF31" s="63"/>
      <c r="AG31" s="63"/>
      <c r="AH31" s="63"/>
      <c r="AI31" s="63"/>
      <c r="AJ31" s="47"/>
      <c r="AK31" s="47"/>
      <c r="AL31" s="47"/>
      <c r="AM31" s="47"/>
      <c r="AN31" s="47"/>
      <c r="AO31" s="47"/>
      <c r="AP31" s="47"/>
      <c r="AQ31" s="47"/>
      <c r="AR31" s="47"/>
    </row>
    <row r="32" spans="1:45" x14ac:dyDescent="0.25">
      <c r="A32" s="66"/>
      <c r="B32" s="66"/>
      <c r="C32" s="67"/>
      <c r="D32" s="35"/>
      <c r="J32" s="47"/>
      <c r="K32" s="19"/>
      <c r="L32" s="116"/>
      <c r="M32" s="105"/>
      <c r="N32" s="47"/>
      <c r="O32" s="63"/>
      <c r="P32" s="63"/>
      <c r="Q32" s="47"/>
      <c r="R32" s="47"/>
      <c r="S32" s="47"/>
      <c r="T32" s="47"/>
      <c r="U32" s="75"/>
      <c r="V32" s="75"/>
      <c r="W32" s="47"/>
      <c r="X32" s="47"/>
      <c r="Y32" s="47"/>
      <c r="Z32" s="47"/>
      <c r="AA32" s="47"/>
      <c r="AB32" s="47"/>
      <c r="AC32" s="63"/>
      <c r="AD32" s="63"/>
      <c r="AE32" s="63"/>
      <c r="AF32" s="63"/>
      <c r="AG32" s="63"/>
      <c r="AH32" s="63"/>
      <c r="AI32" s="63"/>
      <c r="AJ32" s="47"/>
      <c r="AK32" s="47"/>
      <c r="AL32" s="47"/>
      <c r="AM32" s="47"/>
      <c r="AN32" s="47"/>
      <c r="AO32" s="47"/>
      <c r="AP32" s="47"/>
      <c r="AQ32" s="47"/>
      <c r="AR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8">AF40+3.8</f>
        <v>55.599999999999994</v>
      </c>
      <c r="AG41" s="33">
        <f t="shared" ref="AG41:AG43" si="9">AG40+200</f>
        <v>2300</v>
      </c>
      <c r="AH41" s="33">
        <f t="shared" ref="AH41:AH44" si="10">AH40+0.8</f>
        <v>9.6000000000000014</v>
      </c>
    </row>
    <row r="42" spans="1:42" x14ac:dyDescent="0.25">
      <c r="L42" s="49"/>
      <c r="AE42" s="33">
        <v>18</v>
      </c>
      <c r="AF42" s="33">
        <f t="shared" si="8"/>
        <v>59.399999999999991</v>
      </c>
      <c r="AG42" s="33">
        <f t="shared" si="9"/>
        <v>2500</v>
      </c>
      <c r="AH42" s="33">
        <f t="shared" si="10"/>
        <v>10.400000000000002</v>
      </c>
    </row>
    <row r="43" spans="1:42" x14ac:dyDescent="0.25">
      <c r="L43" s="49"/>
      <c r="AE43" s="33">
        <v>19</v>
      </c>
      <c r="AF43" s="33">
        <f t="shared" si="8"/>
        <v>63.199999999999989</v>
      </c>
      <c r="AG43" s="33">
        <f t="shared" si="9"/>
        <v>2700</v>
      </c>
      <c r="AH43" s="33">
        <f t="shared" si="10"/>
        <v>11.200000000000003</v>
      </c>
    </row>
    <row r="44" spans="1:42" x14ac:dyDescent="0.25">
      <c r="L44" s="49"/>
      <c r="AE44" s="33">
        <v>20</v>
      </c>
      <c r="AF44" s="33">
        <f t="shared" si="8"/>
        <v>66.999999999999986</v>
      </c>
      <c r="AG44" s="33">
        <f>AG43+200</f>
        <v>2900</v>
      </c>
      <c r="AH44" s="33">
        <f t="shared" si="10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1">AF45+2.8</f>
        <v>72.59999999999998</v>
      </c>
      <c r="AG46" s="33">
        <f t="shared" ref="AG46:AG48" si="12">AG45+380</f>
        <v>3660</v>
      </c>
      <c r="AH46" s="33">
        <f t="shared" ref="AH46:AH49" si="13">AH45+1.6</f>
        <v>15.200000000000003</v>
      </c>
    </row>
    <row r="47" spans="1:42" x14ac:dyDescent="0.25">
      <c r="L47" s="49"/>
      <c r="AE47" s="33">
        <v>23</v>
      </c>
      <c r="AF47" s="33">
        <f t="shared" si="11"/>
        <v>75.399999999999977</v>
      </c>
      <c r="AG47" s="33">
        <f t="shared" si="12"/>
        <v>4040</v>
      </c>
      <c r="AH47" s="33">
        <f t="shared" si="13"/>
        <v>16.800000000000004</v>
      </c>
    </row>
    <row r="48" spans="1:42" x14ac:dyDescent="0.25">
      <c r="L48" s="49"/>
      <c r="AE48" s="33">
        <v>24</v>
      </c>
      <c r="AF48" s="33">
        <f t="shared" si="11"/>
        <v>78.199999999999974</v>
      </c>
      <c r="AG48" s="33">
        <f t="shared" si="12"/>
        <v>4420</v>
      </c>
      <c r="AH48" s="33">
        <f t="shared" si="13"/>
        <v>18.400000000000006</v>
      </c>
    </row>
    <row r="49" spans="12:34" x14ac:dyDescent="0.25">
      <c r="L49" s="49"/>
      <c r="AE49" s="33">
        <v>25</v>
      </c>
      <c r="AF49" s="33">
        <f t="shared" si="11"/>
        <v>80.999999999999972</v>
      </c>
      <c r="AG49" s="33">
        <v>4800</v>
      </c>
      <c r="AH49" s="33">
        <f t="shared" si="13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4">AF50+3</f>
        <v>86.999999999999972</v>
      </c>
      <c r="AG51" s="33">
        <f t="shared" ref="AG51:AG54" si="15">AG50+960</f>
        <v>6720</v>
      </c>
      <c r="AH51" s="33">
        <f t="shared" ref="AH51:AH54" si="16">AH50+4</f>
        <v>28.000000000000007</v>
      </c>
    </row>
    <row r="52" spans="12:34" x14ac:dyDescent="0.25">
      <c r="L52" s="49"/>
      <c r="AE52" s="33">
        <v>28</v>
      </c>
      <c r="AF52" s="33">
        <f t="shared" si="14"/>
        <v>89.999999999999972</v>
      </c>
      <c r="AG52" s="33">
        <f t="shared" si="15"/>
        <v>7680</v>
      </c>
      <c r="AH52" s="33">
        <f t="shared" si="16"/>
        <v>32.000000000000007</v>
      </c>
    </row>
    <row r="53" spans="12:34" x14ac:dyDescent="0.25">
      <c r="L53" s="49"/>
      <c r="AE53" s="33">
        <v>29</v>
      </c>
      <c r="AF53" s="33">
        <f t="shared" si="14"/>
        <v>92.999999999999972</v>
      </c>
      <c r="AG53" s="33">
        <f t="shared" si="15"/>
        <v>8640</v>
      </c>
      <c r="AH53" s="33">
        <f t="shared" si="16"/>
        <v>36.000000000000007</v>
      </c>
    </row>
    <row r="54" spans="12:34" x14ac:dyDescent="0.25">
      <c r="L54" s="49"/>
      <c r="AE54" s="33">
        <v>30</v>
      </c>
      <c r="AF54" s="33">
        <f t="shared" si="14"/>
        <v>95.999999999999972</v>
      </c>
      <c r="AG54" s="33">
        <f t="shared" si="15"/>
        <v>9600</v>
      </c>
      <c r="AH54" s="33">
        <f t="shared" si="16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7">AF55+3.8</f>
        <v>103.59999999999997</v>
      </c>
      <c r="AG56" s="33">
        <f t="shared" ref="AG56:AG59" si="18">AG55+480</f>
        <v>10560</v>
      </c>
      <c r="AH56" s="33">
        <f t="shared" ref="AH56:AH59" si="19">AH55+2</f>
        <v>44.000000000000007</v>
      </c>
    </row>
    <row r="57" spans="12:34" x14ac:dyDescent="0.25">
      <c r="L57" s="49"/>
      <c r="AE57" s="33">
        <v>33</v>
      </c>
      <c r="AF57" s="33">
        <f t="shared" si="17"/>
        <v>107.39999999999996</v>
      </c>
      <c r="AG57" s="33">
        <f t="shared" si="18"/>
        <v>11040</v>
      </c>
      <c r="AH57" s="33">
        <f t="shared" si="19"/>
        <v>46.000000000000007</v>
      </c>
    </row>
    <row r="58" spans="12:34" x14ac:dyDescent="0.25">
      <c r="L58" s="49"/>
      <c r="AE58" s="33">
        <v>34</v>
      </c>
      <c r="AF58" s="33">
        <f t="shared" si="17"/>
        <v>111.19999999999996</v>
      </c>
      <c r="AG58" s="33">
        <f t="shared" si="18"/>
        <v>11520</v>
      </c>
      <c r="AH58" s="33">
        <f t="shared" si="19"/>
        <v>48.000000000000007</v>
      </c>
    </row>
    <row r="59" spans="12:34" x14ac:dyDescent="0.25">
      <c r="L59" s="49"/>
      <c r="AE59" s="33">
        <v>35</v>
      </c>
      <c r="AF59" s="33">
        <f t="shared" si="17"/>
        <v>114.99999999999996</v>
      </c>
      <c r="AG59" s="33">
        <f t="shared" si="18"/>
        <v>12000</v>
      </c>
      <c r="AH59" s="33">
        <f t="shared" si="19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T18 R18 Y18:Z18 AM19:AP21 Q18:Q21 AJ18 AB18 N18:N21 AM18:AR18 AM33:AP36 Q33:Q36 N33:N36">
    <cfRule type="expression" dxfId="2964" priority="22">
      <formula>$L18="API sand"</formula>
    </cfRule>
  </conditionalFormatting>
  <conditionalFormatting sqref="R19:S20 S18 S21 AD21 AB19:AB21 AJ19:AL21 Z19:Z21 AK18:AL18 N18:N21 R33:S36 AB33:AB35 AJ33:AL36 Z33:Z36 N33:N36">
    <cfRule type="expression" dxfId="2963" priority="21">
      <formula>$M18="API sand"</formula>
    </cfRule>
  </conditionalFormatting>
  <conditionalFormatting sqref="R19:T20 S18 S21:T21 AD21 Z19:AB21 AK18:AL21 N18:N21 R33:T36 Z33:AB35 AK33:AL36 N33:N36">
    <cfRule type="expression" dxfId="2962" priority="20">
      <formula>$M18="API clay"</formula>
    </cfRule>
  </conditionalFormatting>
  <conditionalFormatting sqref="AE18:AI18 U18:W21 N19:N21 P19:P21 AA18 AM18:AP21 U33:W36 AM33:AP36 N33:P36">
    <cfRule type="expression" dxfId="2961" priority="17">
      <formula>$L18="Stiff clay w/o free water"</formula>
    </cfRule>
    <cfRule type="expression" dxfId="2960" priority="19">
      <formula>$L18="API clay"</formula>
    </cfRule>
  </conditionalFormatting>
  <conditionalFormatting sqref="AE18:AI18 U18:X18 U19:Y21 N19:N21 P19:P21 AA18 AM18:AP21 U33:Y36 AM33:AP36 N33:P36">
    <cfRule type="expression" dxfId="2959" priority="18">
      <formula>$L18="Kirsch soft clay"</formula>
    </cfRule>
  </conditionalFormatting>
  <conditionalFormatting sqref="AE18:AI18 U18:X18 U19:Y21 N19:N21 P19:P21 AA18 AM18:AP21 U33:Y36 AM33:AP36 N33:P36">
    <cfRule type="expression" dxfId="2958" priority="16">
      <formula>$L18="Kirsch stiff clay"</formula>
    </cfRule>
  </conditionalFormatting>
  <conditionalFormatting sqref="T18 R18 Y18:Z18 AM19:AP21 Q18:Q21 X19:Y21 AJ18 AB18 N18:N21 AM18:AR18 AM33:AP36 Q33:Q36 X33:Y36 N33:N36">
    <cfRule type="expression" dxfId="2957" priority="15">
      <formula>$L18="Kirsch sand"</formula>
    </cfRule>
  </conditionalFormatting>
  <conditionalFormatting sqref="AC18:AD21 AI19:AI21 AM18:AP21 N18:N21 AC33:AD36 AI33:AI36 AM33:AP36 N33:N36">
    <cfRule type="expression" dxfId="2956" priority="14">
      <formula>$L18="Modified Weak rock"</formula>
    </cfRule>
  </conditionalFormatting>
  <conditionalFormatting sqref="AE18:AI18 N19:N21 P19:P21 AA18 AM18:AP21 U18:V21 AM33:AP36 U33:V36 N33:P36">
    <cfRule type="expression" dxfId="2955" priority="13">
      <formula>$L18="Reese stiff clay"</formula>
    </cfRule>
  </conditionalFormatting>
  <conditionalFormatting sqref="AB36">
    <cfRule type="expression" dxfId="2954" priority="12">
      <formula>$M36="API sand"</formula>
    </cfRule>
  </conditionalFormatting>
  <conditionalFormatting sqref="Z36:AB36">
    <cfRule type="expression" dxfId="2953" priority="11">
      <formula>$M36="API clay"</formula>
    </cfRule>
  </conditionalFormatting>
  <conditionalFormatting sqref="N18:P18">
    <cfRule type="expression" dxfId="2952" priority="8">
      <formula>$L18="Stiff clay w/o free water"</formula>
    </cfRule>
    <cfRule type="expression" dxfId="2951" priority="10">
      <formula>$L18="API clay"</formula>
    </cfRule>
  </conditionalFormatting>
  <conditionalFormatting sqref="N18:P18">
    <cfRule type="expression" dxfId="2950" priority="9">
      <formula>$L18="Kirsch soft clay"</formula>
    </cfRule>
  </conditionalFormatting>
  <conditionalFormatting sqref="N18:P18">
    <cfRule type="expression" dxfId="2949" priority="7">
      <formula>$L18="Kirsch stiff clay"</formula>
    </cfRule>
  </conditionalFormatting>
  <conditionalFormatting sqref="X18">
    <cfRule type="expression" dxfId="2948" priority="6">
      <formula>$L18="Kirsch sand"</formula>
    </cfRule>
  </conditionalFormatting>
  <conditionalFormatting sqref="N18:P18">
    <cfRule type="expression" dxfId="2947" priority="5">
      <formula>$L18="Reese stiff clay"</formula>
    </cfRule>
  </conditionalFormatting>
  <conditionalFormatting sqref="AE18:AI18 V18 AA18 AM18:AP18">
    <cfRule type="expression" dxfId="2946" priority="4">
      <formula>$L18="PISA clay"</formula>
    </cfRule>
  </conditionalFormatting>
  <conditionalFormatting sqref="AM18:AP18">
    <cfRule type="expression" dxfId="2945" priority="3">
      <formula>$L18="PISA sand"</formula>
    </cfRule>
  </conditionalFormatting>
  <conditionalFormatting sqref="O19:O21">
    <cfRule type="expression" dxfId="2944" priority="2">
      <formula>$L19="API sand"</formula>
    </cfRule>
  </conditionalFormatting>
  <conditionalFormatting sqref="O19:O21">
    <cfRule type="expression" dxfId="2943" priority="1">
      <formula>$L19="Kirsch sand"</formula>
    </cfRule>
  </conditionalFormatting>
  <conditionalFormatting sqref="AE37:AH37">
    <cfRule type="expression" dxfId="2942" priority="23">
      <formula>$L19="Modified Weak rock"</formula>
    </cfRule>
  </conditionalFormatting>
  <dataValidations count="4">
    <dataValidation type="list" showInputMessage="1" showErrorMessage="1" sqref="M26:M32 M6:M17" xr:uid="{52AEE6B2-11DF-41CC-91AA-80792BF484A5}">
      <formula1>"Zero soil,API sand,API clay"</formula1>
    </dataValidation>
    <dataValidation type="list" showInputMessage="1" showErrorMessage="1" sqref="L19:L21 L26:L255" xr:uid="{E3D06915-F71A-438C-B79E-1833187A30E6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26:M36 M9:M21" xr:uid="{77547E43-55A6-434B-BD06-8A3259267AB4}">
      <formula1>"',API sand,API clay"</formula1>
    </dataValidation>
    <dataValidation showInputMessage="1" showErrorMessage="1" sqref="L10:L12 L16:L17" xr:uid="{3C7D3140-73FC-46EB-B98A-4D0F0FA45070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6D541-D477-464E-AA91-7C52BBBFD8DA}">
  <sheetPr>
    <tabColor rgb="FF00B05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Ak_kirsch_WTG57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22"/>
      <c r="R3" s="155"/>
      <c r="S3" s="155"/>
      <c r="T3" s="122"/>
      <c r="U3" s="155"/>
      <c r="V3" s="155"/>
      <c r="W3" s="122"/>
      <c r="X3" s="69"/>
      <c r="Y3" s="122"/>
      <c r="Z3" s="122"/>
      <c r="AA3" s="122"/>
      <c r="AB3" s="122"/>
      <c r="AC3" s="69"/>
      <c r="AD3" s="39"/>
      <c r="AE3" s="39"/>
      <c r="AF3" s="39"/>
      <c r="AG3" s="39"/>
      <c r="AH3" s="39"/>
      <c r="AI3" s="39"/>
      <c r="AJ3" s="122"/>
      <c r="AK3" s="122"/>
      <c r="AL3" s="122"/>
      <c r="AM3" s="122"/>
      <c r="AN3" s="122"/>
      <c r="AO3" s="122"/>
      <c r="AP3" s="122"/>
    </row>
    <row r="4" spans="1:45" x14ac:dyDescent="0.25">
      <c r="A4" s="40" t="s">
        <v>60</v>
      </c>
      <c r="B4" s="33">
        <f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23" t="s">
        <v>38</v>
      </c>
      <c r="K5" s="123" t="s">
        <v>30</v>
      </c>
      <c r="L5" s="123" t="s">
        <v>31</v>
      </c>
      <c r="M5" s="123" t="s">
        <v>31</v>
      </c>
      <c r="N5" s="123" t="s">
        <v>32</v>
      </c>
      <c r="O5" s="123" t="s">
        <v>33</v>
      </c>
      <c r="P5" s="123" t="s">
        <v>35</v>
      </c>
      <c r="Q5" s="123" t="s">
        <v>36</v>
      </c>
      <c r="R5" s="123" t="s">
        <v>36</v>
      </c>
      <c r="S5" s="123" t="s">
        <v>34</v>
      </c>
      <c r="T5" s="123" t="s">
        <v>33</v>
      </c>
      <c r="U5" s="123" t="s">
        <v>34</v>
      </c>
      <c r="V5" s="123" t="s">
        <v>62</v>
      </c>
      <c r="W5" s="123" t="s">
        <v>34</v>
      </c>
      <c r="X5" s="123" t="s">
        <v>33</v>
      </c>
      <c r="Y5" s="123" t="s">
        <v>35</v>
      </c>
      <c r="Z5" s="123" t="s">
        <v>33</v>
      </c>
      <c r="AA5" s="123" t="s">
        <v>34</v>
      </c>
      <c r="AB5" s="123" t="s">
        <v>33</v>
      </c>
      <c r="AC5" s="123" t="s">
        <v>33</v>
      </c>
      <c r="AD5" s="123" t="s">
        <v>35</v>
      </c>
      <c r="AE5" s="123" t="s">
        <v>34</v>
      </c>
      <c r="AF5" s="123" t="s">
        <v>33</v>
      </c>
      <c r="AG5" s="123" t="s">
        <v>35</v>
      </c>
      <c r="AH5" s="123" t="s">
        <v>34</v>
      </c>
      <c r="AI5" s="123" t="s">
        <v>34</v>
      </c>
      <c r="AJ5" s="123" t="s">
        <v>34</v>
      </c>
      <c r="AK5" s="123" t="s">
        <v>34</v>
      </c>
      <c r="AL5" s="123" t="s">
        <v>34</v>
      </c>
      <c r="AM5" s="123" t="s">
        <v>34</v>
      </c>
      <c r="AN5" s="123" t="s">
        <v>34</v>
      </c>
      <c r="AO5" s="123" t="s">
        <v>34</v>
      </c>
      <c r="AP5" s="123" t="s">
        <v>34</v>
      </c>
      <c r="AQ5" s="123" t="s">
        <v>103</v>
      </c>
      <c r="AR5" s="123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33</v>
      </c>
      <c r="R6" s="47">
        <f t="shared" ref="R6:R7" si="0">IF(Q6&lt;&gt;0,Q6-5,NA())</f>
        <v>28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2800</v>
      </c>
      <c r="Y6" s="47">
        <v>0</v>
      </c>
      <c r="Z6" s="47">
        <f t="shared" ref="Z6:Z8" si="1">VLOOKUP(R6,$AE$39:$AF$59,2)</f>
        <v>89.999999999999972</v>
      </c>
      <c r="AA6" s="47">
        <v>1</v>
      </c>
      <c r="AB6" s="47">
        <f t="shared" ref="AB6:AB8" si="2">VLOOKUP(R6,$AE$39:$AG$59,3)</f>
        <v>7680</v>
      </c>
      <c r="AC6" s="63">
        <v>5000</v>
      </c>
      <c r="AD6" s="63">
        <v>24000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8" si="3">VLOOKUP(R6,$AE$39:$AH$59,4)</f>
        <v>32.000000000000007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71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-0.5</v>
      </c>
      <c r="L7" s="116" t="s">
        <v>106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38</v>
      </c>
      <c r="R7" s="47">
        <f t="shared" si="0"/>
        <v>33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15200</v>
      </c>
      <c r="Y7" s="47">
        <v>0</v>
      </c>
      <c r="Z7" s="47">
        <f t="shared" si="1"/>
        <v>107.39999999999996</v>
      </c>
      <c r="AA7" s="47">
        <v>1</v>
      </c>
      <c r="AB7" s="47">
        <f t="shared" si="2"/>
        <v>11040</v>
      </c>
      <c r="AC7" s="63">
        <v>22000</v>
      </c>
      <c r="AD7" s="63">
        <v>18000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46.000000000000007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77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">
        <v>279</v>
      </c>
      <c r="J8" s="47">
        <v>3</v>
      </c>
      <c r="K8" s="33">
        <v>-1</v>
      </c>
      <c r="L8" s="116" t="s">
        <v>106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39</v>
      </c>
      <c r="R8" s="47">
        <f t="shared" ref="R8" si="4">IF(Q8&lt;&gt;0,Q8-5,NA())</f>
        <v>34</v>
      </c>
      <c r="S8" s="47">
        <v>0.5</v>
      </c>
      <c r="T8" s="47">
        <v>0</v>
      </c>
      <c r="U8" s="75">
        <v>0</v>
      </c>
      <c r="V8" s="75">
        <v>0</v>
      </c>
      <c r="W8" s="47">
        <v>0</v>
      </c>
      <c r="X8" s="47">
        <v>25700</v>
      </c>
      <c r="Y8" s="47">
        <v>0</v>
      </c>
      <c r="Z8" s="47">
        <f t="shared" si="1"/>
        <v>111.19999999999996</v>
      </c>
      <c r="AA8" s="47">
        <v>1</v>
      </c>
      <c r="AB8" s="47">
        <f t="shared" si="2"/>
        <v>11520</v>
      </c>
      <c r="AC8" s="63">
        <v>36000</v>
      </c>
      <c r="AD8" s="63">
        <v>7000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48.000000000000007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76</v>
      </c>
      <c r="AS8" s="33">
        <v>0.4</v>
      </c>
    </row>
    <row r="9" spans="1:45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56" t="s">
        <v>293</v>
      </c>
      <c r="J9" s="47">
        <v>4</v>
      </c>
      <c r="K9" s="19">
        <v>-2</v>
      </c>
      <c r="L9" s="116" t="s">
        <v>106</v>
      </c>
      <c r="M9" s="105" t="s">
        <v>64</v>
      </c>
      <c r="N9" s="47">
        <v>9.6</v>
      </c>
      <c r="O9" s="63">
        <v>0</v>
      </c>
      <c r="P9" s="63">
        <v>0</v>
      </c>
      <c r="Q9" s="47">
        <v>39</v>
      </c>
      <c r="R9" s="47">
        <f t="shared" ref="R9:R17" si="5">IF(Q9&lt;&gt;0,Q9-5,NA())</f>
        <v>34</v>
      </c>
      <c r="S9" s="47">
        <v>1.8</v>
      </c>
      <c r="T9" s="47">
        <v>0</v>
      </c>
      <c r="U9" s="75">
        <v>0</v>
      </c>
      <c r="V9" s="75">
        <v>0</v>
      </c>
      <c r="W9" s="47">
        <v>0</v>
      </c>
      <c r="X9" s="47">
        <v>35000</v>
      </c>
      <c r="Y9" s="47">
        <v>0</v>
      </c>
      <c r="Z9" s="47">
        <f t="shared" ref="Z9:Z17" si="6">VLOOKUP(R9,$AE$39:$AF$59,2)</f>
        <v>111.19999999999996</v>
      </c>
      <c r="AA9" s="47">
        <v>1</v>
      </c>
      <c r="AB9" s="47">
        <f t="shared" ref="AB9:AB17" si="7">VLOOKUP(R9,$AE$39:$AG$59,3)</f>
        <v>11520</v>
      </c>
      <c r="AC9" s="63">
        <v>55000</v>
      </c>
      <c r="AD9" s="63">
        <v>625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ref="AJ9:AJ17" si="8">VLOOKUP(R9,$AE$39:$AH$59,4)</f>
        <v>48.000000000000007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70</v>
      </c>
      <c r="AS9" s="33">
        <v>0.4</v>
      </c>
    </row>
    <row r="10" spans="1:45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56" t="s">
        <v>299</v>
      </c>
      <c r="J10" s="47">
        <v>5</v>
      </c>
      <c r="K10" s="19">
        <v>-3.6</v>
      </c>
      <c r="L10" s="116" t="s">
        <v>107</v>
      </c>
      <c r="M10" s="105" t="s">
        <v>65</v>
      </c>
      <c r="N10" s="47">
        <v>9.5</v>
      </c>
      <c r="O10" s="63">
        <v>206</v>
      </c>
      <c r="P10" s="63">
        <v>6.59</v>
      </c>
      <c r="Q10" s="47">
        <v>0</v>
      </c>
      <c r="R10" s="47" t="e">
        <f t="shared" si="5"/>
        <v>#N/A</v>
      </c>
      <c r="S10" s="47">
        <v>3</v>
      </c>
      <c r="T10" s="47">
        <v>0</v>
      </c>
      <c r="U10" s="75">
        <v>1.7999999999999999E-2</v>
      </c>
      <c r="V10" s="75">
        <v>0</v>
      </c>
      <c r="W10" s="47">
        <v>0.5</v>
      </c>
      <c r="X10" s="47">
        <v>42100</v>
      </c>
      <c r="Y10" s="47">
        <v>0</v>
      </c>
      <c r="Z10" s="47" t="e">
        <f t="shared" si="6"/>
        <v>#N/A</v>
      </c>
      <c r="AA10" s="47">
        <v>1</v>
      </c>
      <c r="AB10" s="47" t="e">
        <f t="shared" si="7"/>
        <v>#N/A</v>
      </c>
      <c r="AC10" s="63">
        <v>247000</v>
      </c>
      <c r="AD10" s="63">
        <v>9148.93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 t="e">
        <f t="shared" si="8"/>
        <v>#N/A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56" t="s">
        <v>299</v>
      </c>
      <c r="J11" s="47">
        <v>6</v>
      </c>
      <c r="K11" s="19">
        <v>-13</v>
      </c>
      <c r="L11" s="116" t="s">
        <v>107</v>
      </c>
      <c r="M11" s="105" t="s">
        <v>65</v>
      </c>
      <c r="N11" s="47">
        <v>9.5</v>
      </c>
      <c r="O11" s="63">
        <v>93</v>
      </c>
      <c r="P11" s="63">
        <v>11.2</v>
      </c>
      <c r="Q11" s="47">
        <v>0</v>
      </c>
      <c r="R11" s="47" t="e">
        <f t="shared" si="5"/>
        <v>#N/A</v>
      </c>
      <c r="S11" s="47">
        <v>2.5</v>
      </c>
      <c r="T11" s="47">
        <v>0</v>
      </c>
      <c r="U11" s="75">
        <v>1.7999999999999999E-2</v>
      </c>
      <c r="V11" s="75">
        <v>0</v>
      </c>
      <c r="W11" s="47">
        <v>0.5</v>
      </c>
      <c r="X11" s="47">
        <v>20400</v>
      </c>
      <c r="Y11" s="47">
        <v>0</v>
      </c>
      <c r="Z11" s="47" t="e">
        <f t="shared" si="6"/>
        <v>#N/A</v>
      </c>
      <c r="AA11" s="47">
        <v>1</v>
      </c>
      <c r="AB11" s="47" t="e">
        <f t="shared" si="7"/>
        <v>#N/A</v>
      </c>
      <c r="AC11" s="63">
        <v>107000</v>
      </c>
      <c r="AD11" s="63">
        <v>13600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 t="e">
        <f t="shared" si="8"/>
        <v>#N/A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 t="s">
        <v>304</v>
      </c>
      <c r="J12" s="47">
        <v>7</v>
      </c>
      <c r="K12" s="19">
        <v>-15.5</v>
      </c>
      <c r="L12" s="116" t="s">
        <v>288</v>
      </c>
      <c r="M12" s="105" t="s">
        <v>65</v>
      </c>
      <c r="N12" s="47">
        <v>9</v>
      </c>
      <c r="O12" s="63">
        <v>291</v>
      </c>
      <c r="P12" s="63">
        <v>25.2</v>
      </c>
      <c r="Q12" s="47">
        <v>0</v>
      </c>
      <c r="R12" s="47" t="e">
        <f t="shared" si="5"/>
        <v>#N/A</v>
      </c>
      <c r="S12" s="47">
        <v>3</v>
      </c>
      <c r="T12" s="47">
        <v>0</v>
      </c>
      <c r="U12" s="75">
        <v>1.7999999999999999E-2</v>
      </c>
      <c r="V12" s="75">
        <v>0</v>
      </c>
      <c r="W12" s="47">
        <v>0.25</v>
      </c>
      <c r="X12" s="47">
        <v>28500</v>
      </c>
      <c r="Y12" s="47">
        <v>0</v>
      </c>
      <c r="Z12" s="47" t="e">
        <f t="shared" si="6"/>
        <v>#N/A</v>
      </c>
      <c r="AA12" s="47">
        <v>1</v>
      </c>
      <c r="AB12" s="47" t="e">
        <f t="shared" si="7"/>
        <v>#N/A</v>
      </c>
      <c r="AC12" s="63">
        <v>506000</v>
      </c>
      <c r="AD12" s="63">
        <v>38800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8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56" t="s">
        <v>291</v>
      </c>
      <c r="J13" s="47">
        <v>8</v>
      </c>
      <c r="K13" s="19">
        <v>-18</v>
      </c>
      <c r="L13" s="116" t="s">
        <v>106</v>
      </c>
      <c r="M13" s="105" t="s">
        <v>64</v>
      </c>
      <c r="N13" s="47">
        <v>8.5</v>
      </c>
      <c r="O13" s="63">
        <v>0</v>
      </c>
      <c r="P13" s="63">
        <v>0</v>
      </c>
      <c r="Q13" s="47">
        <v>28</v>
      </c>
      <c r="R13" s="47">
        <f t="shared" si="5"/>
        <v>23</v>
      </c>
      <c r="S13" s="47">
        <v>1.2</v>
      </c>
      <c r="T13" s="47">
        <v>0</v>
      </c>
      <c r="U13" s="75">
        <v>0</v>
      </c>
      <c r="V13" s="75">
        <v>0</v>
      </c>
      <c r="W13" s="47">
        <v>0</v>
      </c>
      <c r="X13" s="47">
        <v>23600</v>
      </c>
      <c r="Y13" s="47">
        <v>0</v>
      </c>
      <c r="Z13" s="47">
        <f t="shared" si="6"/>
        <v>75.399999999999977</v>
      </c>
      <c r="AA13" s="47">
        <v>1</v>
      </c>
      <c r="AB13" s="47">
        <f t="shared" si="7"/>
        <v>4040</v>
      </c>
      <c r="AC13" s="63">
        <v>138000</v>
      </c>
      <c r="AD13" s="63">
        <v>-7333.33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>
        <f t="shared" si="8"/>
        <v>16.800000000000004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71</v>
      </c>
      <c r="AS13" s="33">
        <v>0.2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56" t="s">
        <v>291</v>
      </c>
      <c r="J14" s="47">
        <v>9</v>
      </c>
      <c r="K14" s="19">
        <v>-21</v>
      </c>
      <c r="L14" s="116" t="s">
        <v>106</v>
      </c>
      <c r="M14" s="105" t="s">
        <v>64</v>
      </c>
      <c r="N14" s="47">
        <v>8.5</v>
      </c>
      <c r="O14" s="63">
        <v>0</v>
      </c>
      <c r="P14" s="63">
        <v>0</v>
      </c>
      <c r="Q14" s="47">
        <v>28</v>
      </c>
      <c r="R14" s="47">
        <f t="shared" si="5"/>
        <v>23</v>
      </c>
      <c r="S14" s="47">
        <v>1.2</v>
      </c>
      <c r="T14" s="47">
        <v>0</v>
      </c>
      <c r="U14" s="75">
        <v>0</v>
      </c>
      <c r="V14" s="75">
        <v>0</v>
      </c>
      <c r="W14" s="47">
        <v>0</v>
      </c>
      <c r="X14" s="47">
        <v>30300</v>
      </c>
      <c r="Y14" s="47">
        <v>0</v>
      </c>
      <c r="Z14" s="47">
        <f t="shared" si="6"/>
        <v>75.399999999999977</v>
      </c>
      <c r="AA14" s="47">
        <v>1</v>
      </c>
      <c r="AB14" s="47">
        <f t="shared" si="7"/>
        <v>4040</v>
      </c>
      <c r="AC14" s="63">
        <v>122000</v>
      </c>
      <c r="AD14" s="63">
        <v>6896.55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8"/>
        <v>16.800000000000004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76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271</v>
      </c>
      <c r="J15" s="47">
        <v>10</v>
      </c>
      <c r="K15" s="19">
        <v>-26.8</v>
      </c>
      <c r="L15" s="116" t="s">
        <v>106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25.5</v>
      </c>
      <c r="R15" s="47">
        <f t="shared" si="5"/>
        <v>20.5</v>
      </c>
      <c r="S15" s="47">
        <v>0.5</v>
      </c>
      <c r="T15" s="47">
        <v>0</v>
      </c>
      <c r="U15" s="75">
        <v>0</v>
      </c>
      <c r="V15" s="75">
        <v>0</v>
      </c>
      <c r="W15" s="47">
        <v>0</v>
      </c>
      <c r="X15" s="47">
        <v>20200</v>
      </c>
      <c r="Y15" s="47">
        <v>0</v>
      </c>
      <c r="Z15" s="47">
        <f t="shared" si="6"/>
        <v>66.999999999999986</v>
      </c>
      <c r="AA15" s="47">
        <v>1</v>
      </c>
      <c r="AB15" s="47">
        <f t="shared" si="7"/>
        <v>2900</v>
      </c>
      <c r="AC15" s="63">
        <v>119000</v>
      </c>
      <c r="AD15" s="63">
        <v>157.88999999999999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8"/>
        <v>12.000000000000004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22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273</v>
      </c>
      <c r="J16" s="47">
        <v>11</v>
      </c>
      <c r="K16" s="19">
        <v>-45.8</v>
      </c>
      <c r="L16" s="116" t="s">
        <v>288</v>
      </c>
      <c r="M16" s="105" t="s">
        <v>65</v>
      </c>
      <c r="N16" s="47">
        <v>8.9</v>
      </c>
      <c r="O16" s="63">
        <v>361</v>
      </c>
      <c r="P16" s="63">
        <v>5.96</v>
      </c>
      <c r="Q16" s="47">
        <v>0</v>
      </c>
      <c r="R16" s="47" t="e">
        <f t="shared" si="5"/>
        <v>#N/A</v>
      </c>
      <c r="S16" s="47">
        <v>1.9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40900</v>
      </c>
      <c r="Y16" s="47">
        <v>0</v>
      </c>
      <c r="Z16" s="47" t="e">
        <f t="shared" si="6"/>
        <v>#N/A</v>
      </c>
      <c r="AA16" s="47">
        <v>1</v>
      </c>
      <c r="AB16" s="47" t="e">
        <f t="shared" si="7"/>
        <v>#N/A</v>
      </c>
      <c r="AC16" s="63">
        <v>534000</v>
      </c>
      <c r="AD16" s="63">
        <v>10877.19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8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23"/>
      <c r="E17" s="123"/>
      <c r="I17" s="56" t="s">
        <v>273</v>
      </c>
      <c r="J17" s="47">
        <v>12</v>
      </c>
      <c r="K17" s="19">
        <v>-80</v>
      </c>
      <c r="L17" s="116" t="s">
        <v>288</v>
      </c>
      <c r="M17" s="105" t="s">
        <v>65</v>
      </c>
      <c r="N17" s="47">
        <v>8.9</v>
      </c>
      <c r="O17" s="63">
        <v>565</v>
      </c>
      <c r="P17" s="63">
        <v>0</v>
      </c>
      <c r="Q17" s="47">
        <v>0</v>
      </c>
      <c r="R17" s="47" t="e">
        <f t="shared" si="5"/>
        <v>#N/A</v>
      </c>
      <c r="S17" s="47">
        <v>1.9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40900</v>
      </c>
      <c r="Y17" s="47">
        <v>0</v>
      </c>
      <c r="Z17" s="47" t="e">
        <f t="shared" si="6"/>
        <v>#N/A</v>
      </c>
      <c r="AA17" s="47">
        <v>1</v>
      </c>
      <c r="AB17" s="47" t="e">
        <f t="shared" si="7"/>
        <v>#N/A</v>
      </c>
      <c r="AC17" s="63">
        <v>906000</v>
      </c>
      <c r="AD17" s="63">
        <v>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8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/>
      <c r="M18" s="49"/>
      <c r="N18" s="47"/>
      <c r="O18" s="63"/>
      <c r="P18" s="47"/>
      <c r="Q18" s="47"/>
      <c r="R18" s="47"/>
      <c r="S18" s="47"/>
      <c r="T18" s="47"/>
      <c r="U18" s="47"/>
      <c r="V18" s="75"/>
      <c r="W18" s="47"/>
      <c r="X18" s="47"/>
      <c r="Y18" s="47"/>
      <c r="Z18" s="47"/>
      <c r="AA18" s="47"/>
      <c r="AB18" s="47"/>
      <c r="AC18" s="47"/>
      <c r="AD18" s="47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5" x14ac:dyDescent="0.25">
      <c r="A19" s="123" t="s">
        <v>38</v>
      </c>
      <c r="B19" s="123" t="s">
        <v>30</v>
      </c>
      <c r="C19" s="123" t="s">
        <v>59</v>
      </c>
      <c r="D19" s="43"/>
      <c r="E19" s="35"/>
      <c r="L19" s="49"/>
      <c r="M19" s="49" t="s">
        <v>94</v>
      </c>
      <c r="N19" s="47"/>
      <c r="O19" s="47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  <c r="AO19" s="47"/>
      <c r="AP19" s="47"/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  <c r="J26" s="47"/>
      <c r="K26" s="19"/>
      <c r="L26" s="116"/>
      <c r="M26" s="105"/>
      <c r="N26" s="47"/>
      <c r="O26" s="63"/>
      <c r="P26" s="63"/>
      <c r="Q26" s="47"/>
      <c r="R26" s="47"/>
      <c r="S26" s="47"/>
      <c r="T26" s="47"/>
      <c r="U26" s="75"/>
      <c r="V26" s="75"/>
      <c r="W26" s="47"/>
      <c r="X26" s="47"/>
      <c r="Y26" s="47"/>
      <c r="Z26" s="47"/>
      <c r="AA26" s="47"/>
      <c r="AB26" s="47"/>
      <c r="AC26" s="63"/>
      <c r="AD26" s="63"/>
      <c r="AE26" s="63"/>
      <c r="AF26" s="63"/>
      <c r="AG26" s="63"/>
      <c r="AH26" s="63"/>
      <c r="AI26" s="63"/>
      <c r="AJ26" s="47"/>
      <c r="AK26" s="47"/>
      <c r="AL26" s="47"/>
      <c r="AM26" s="47"/>
      <c r="AN26" s="47"/>
      <c r="AO26" s="47"/>
      <c r="AP26" s="47"/>
      <c r="AQ26" s="47"/>
      <c r="AR26" s="47"/>
    </row>
    <row r="27" spans="1:45" x14ac:dyDescent="0.25">
      <c r="A27" s="66"/>
      <c r="B27" s="66"/>
      <c r="C27" s="67"/>
      <c r="D27" s="35"/>
      <c r="J27" s="47"/>
      <c r="K27" s="19"/>
      <c r="L27" s="116"/>
      <c r="M27" s="105"/>
      <c r="N27" s="47"/>
      <c r="O27" s="63"/>
      <c r="P27" s="63"/>
      <c r="Q27" s="47"/>
      <c r="R27" s="47"/>
      <c r="S27" s="47"/>
      <c r="T27" s="47"/>
      <c r="U27" s="75"/>
      <c r="V27" s="75"/>
      <c r="W27" s="47"/>
      <c r="X27" s="47"/>
      <c r="Y27" s="47"/>
      <c r="Z27" s="47"/>
      <c r="AA27" s="47"/>
      <c r="AB27" s="47"/>
      <c r="AC27" s="63"/>
      <c r="AD27" s="63"/>
      <c r="AE27" s="63"/>
      <c r="AF27" s="63"/>
      <c r="AG27" s="63"/>
      <c r="AH27" s="63"/>
      <c r="AI27" s="63"/>
      <c r="AJ27" s="47"/>
      <c r="AK27" s="47"/>
      <c r="AL27" s="47"/>
      <c r="AM27" s="47"/>
      <c r="AN27" s="47"/>
      <c r="AO27" s="47"/>
      <c r="AP27" s="47"/>
      <c r="AQ27" s="47"/>
      <c r="AR27" s="47"/>
    </row>
    <row r="28" spans="1:45" x14ac:dyDescent="0.25">
      <c r="A28" s="66"/>
      <c r="B28" s="66"/>
      <c r="C28" s="67"/>
      <c r="D28" s="35"/>
      <c r="J28" s="47"/>
      <c r="K28" s="19"/>
      <c r="L28" s="116"/>
      <c r="M28" s="105"/>
      <c r="N28" s="47"/>
      <c r="O28" s="63"/>
      <c r="P28" s="63"/>
      <c r="Q28" s="47"/>
      <c r="R28" s="47"/>
      <c r="S28" s="47"/>
      <c r="T28" s="47"/>
      <c r="U28" s="75"/>
      <c r="V28" s="75"/>
      <c r="W28" s="47"/>
      <c r="X28" s="47"/>
      <c r="Y28" s="47"/>
      <c r="Z28" s="47"/>
      <c r="AA28" s="47"/>
      <c r="AB28" s="47"/>
      <c r="AC28" s="63"/>
      <c r="AD28" s="63"/>
      <c r="AE28" s="63"/>
      <c r="AF28" s="63"/>
      <c r="AG28" s="63"/>
      <c r="AH28" s="63"/>
      <c r="AI28" s="63"/>
      <c r="AJ28" s="47"/>
      <c r="AK28" s="47"/>
      <c r="AL28" s="47"/>
      <c r="AM28" s="47"/>
      <c r="AN28" s="47"/>
      <c r="AO28" s="47"/>
      <c r="AP28" s="47"/>
      <c r="AQ28" s="47"/>
      <c r="AR28" s="47"/>
    </row>
    <row r="29" spans="1:45" x14ac:dyDescent="0.25">
      <c r="A29" s="66"/>
      <c r="B29" s="66"/>
      <c r="C29" s="67"/>
      <c r="D29" s="35"/>
      <c r="I29" s="56"/>
      <c r="J29" s="47"/>
      <c r="K29" s="19"/>
      <c r="L29" s="116"/>
      <c r="M29" s="105"/>
      <c r="N29" s="47"/>
      <c r="O29" s="63"/>
      <c r="P29" s="63"/>
      <c r="Q29" s="47"/>
      <c r="R29" s="47"/>
      <c r="S29" s="47"/>
      <c r="T29" s="47"/>
      <c r="U29" s="75"/>
      <c r="V29" s="75"/>
      <c r="W29" s="47"/>
      <c r="X29" s="47"/>
      <c r="Y29" s="47"/>
      <c r="Z29" s="47"/>
      <c r="AA29" s="47"/>
      <c r="AB29" s="47"/>
      <c r="AC29" s="63"/>
      <c r="AD29" s="63"/>
      <c r="AE29" s="63"/>
      <c r="AF29" s="63"/>
      <c r="AG29" s="63"/>
      <c r="AH29" s="63"/>
      <c r="AI29" s="63"/>
      <c r="AJ29" s="47"/>
      <c r="AK29" s="47"/>
      <c r="AL29" s="47"/>
      <c r="AM29" s="47"/>
      <c r="AN29" s="47"/>
      <c r="AO29" s="47"/>
      <c r="AP29" s="47"/>
      <c r="AQ29" s="47"/>
      <c r="AR29" s="47"/>
    </row>
    <row r="30" spans="1:45" x14ac:dyDescent="0.25">
      <c r="A30" s="66"/>
      <c r="B30" s="66"/>
      <c r="C30" s="67"/>
      <c r="D30" s="35"/>
      <c r="I30" s="56"/>
      <c r="J30" s="47"/>
      <c r="K30" s="19"/>
      <c r="L30" s="116"/>
      <c r="M30" s="105"/>
      <c r="N30" s="47"/>
      <c r="O30" s="63"/>
      <c r="P30" s="63"/>
      <c r="Q30" s="47"/>
      <c r="R30" s="47"/>
      <c r="S30" s="47"/>
      <c r="T30" s="47"/>
      <c r="U30" s="75"/>
      <c r="V30" s="75"/>
      <c r="W30" s="47"/>
      <c r="X30" s="47"/>
      <c r="Y30" s="47"/>
      <c r="Z30" s="47"/>
      <c r="AA30" s="47"/>
      <c r="AB30" s="47"/>
      <c r="AC30" s="63"/>
      <c r="AD30" s="63"/>
      <c r="AE30" s="63"/>
      <c r="AF30" s="63"/>
      <c r="AG30" s="63"/>
      <c r="AH30" s="63"/>
      <c r="AI30" s="63"/>
      <c r="AJ30" s="47"/>
      <c r="AK30" s="47"/>
      <c r="AL30" s="47"/>
      <c r="AM30" s="47"/>
      <c r="AN30" s="47"/>
      <c r="AO30" s="47"/>
      <c r="AP30" s="47"/>
      <c r="AQ30" s="47"/>
      <c r="AR30" s="47"/>
    </row>
    <row r="31" spans="1:45" x14ac:dyDescent="0.25">
      <c r="A31" s="66"/>
      <c r="B31" s="66"/>
      <c r="C31" s="67"/>
      <c r="D31" s="35"/>
      <c r="J31" s="47"/>
      <c r="K31" s="19"/>
      <c r="L31" s="116"/>
      <c r="M31" s="105"/>
      <c r="N31" s="47"/>
      <c r="O31" s="63"/>
      <c r="P31" s="63"/>
      <c r="Q31" s="47"/>
      <c r="R31" s="47"/>
      <c r="S31" s="47"/>
      <c r="T31" s="47"/>
      <c r="U31" s="75"/>
      <c r="V31" s="75"/>
      <c r="W31" s="47"/>
      <c r="X31" s="47"/>
      <c r="Y31" s="47"/>
      <c r="Z31" s="47"/>
      <c r="AA31" s="47"/>
      <c r="AB31" s="47"/>
      <c r="AC31" s="63"/>
      <c r="AD31" s="63"/>
      <c r="AE31" s="63"/>
      <c r="AF31" s="63"/>
      <c r="AG31" s="63"/>
      <c r="AH31" s="63"/>
      <c r="AI31" s="63"/>
      <c r="AJ31" s="47"/>
      <c r="AK31" s="47"/>
      <c r="AL31" s="47"/>
      <c r="AM31" s="47"/>
      <c r="AN31" s="47"/>
      <c r="AO31" s="47"/>
      <c r="AP31" s="47"/>
      <c r="AQ31" s="47"/>
      <c r="AR31" s="47"/>
    </row>
    <row r="32" spans="1:45" x14ac:dyDescent="0.25">
      <c r="A32" s="66"/>
      <c r="B32" s="66"/>
      <c r="C32" s="67"/>
      <c r="D32" s="35"/>
      <c r="J32" s="47"/>
      <c r="K32" s="19"/>
      <c r="L32" s="116"/>
      <c r="M32" s="105"/>
      <c r="N32" s="47"/>
      <c r="O32" s="63"/>
      <c r="P32" s="63"/>
      <c r="Q32" s="47"/>
      <c r="R32" s="47"/>
      <c r="S32" s="47"/>
      <c r="T32" s="47"/>
      <c r="U32" s="75"/>
      <c r="V32" s="75"/>
      <c r="W32" s="47"/>
      <c r="X32" s="47"/>
      <c r="Y32" s="47"/>
      <c r="Z32" s="47"/>
      <c r="AA32" s="47"/>
      <c r="AB32" s="47"/>
      <c r="AC32" s="63"/>
      <c r="AD32" s="63"/>
      <c r="AE32" s="63"/>
      <c r="AF32" s="63"/>
      <c r="AG32" s="63"/>
      <c r="AH32" s="63"/>
      <c r="AI32" s="63"/>
      <c r="AJ32" s="47"/>
      <c r="AK32" s="47"/>
      <c r="AL32" s="47"/>
      <c r="AM32" s="47"/>
      <c r="AN32" s="47"/>
      <c r="AO32" s="47"/>
      <c r="AP32" s="47"/>
      <c r="AQ32" s="47"/>
      <c r="AR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9">AF40+3.8</f>
        <v>55.599999999999994</v>
      </c>
      <c r="AG41" s="33">
        <f t="shared" ref="AG41:AG43" si="10">AG40+200</f>
        <v>2300</v>
      </c>
      <c r="AH41" s="33">
        <f t="shared" ref="AH41:AH44" si="11">AH40+0.8</f>
        <v>9.6000000000000014</v>
      </c>
    </row>
    <row r="42" spans="1:42" x14ac:dyDescent="0.25">
      <c r="L42" s="49"/>
      <c r="AE42" s="33">
        <v>18</v>
      </c>
      <c r="AF42" s="33">
        <f t="shared" si="9"/>
        <v>59.399999999999991</v>
      </c>
      <c r="AG42" s="33">
        <f t="shared" si="10"/>
        <v>2500</v>
      </c>
      <c r="AH42" s="33">
        <f t="shared" si="11"/>
        <v>10.400000000000002</v>
      </c>
    </row>
    <row r="43" spans="1:42" x14ac:dyDescent="0.25">
      <c r="L43" s="49"/>
      <c r="AE43" s="33">
        <v>19</v>
      </c>
      <c r="AF43" s="33">
        <f t="shared" si="9"/>
        <v>63.199999999999989</v>
      </c>
      <c r="AG43" s="33">
        <f t="shared" si="10"/>
        <v>2700</v>
      </c>
      <c r="AH43" s="33">
        <f t="shared" si="11"/>
        <v>11.200000000000003</v>
      </c>
    </row>
    <row r="44" spans="1:42" x14ac:dyDescent="0.25">
      <c r="L44" s="49"/>
      <c r="AE44" s="33">
        <v>20</v>
      </c>
      <c r="AF44" s="33">
        <f t="shared" si="9"/>
        <v>66.999999999999986</v>
      </c>
      <c r="AG44" s="33">
        <f>AG43+200</f>
        <v>2900</v>
      </c>
      <c r="AH44" s="33">
        <f t="shared" si="11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2">AF45+2.8</f>
        <v>72.59999999999998</v>
      </c>
      <c r="AG46" s="33">
        <f t="shared" ref="AG46:AG48" si="13">AG45+380</f>
        <v>3660</v>
      </c>
      <c r="AH46" s="33">
        <f t="shared" ref="AH46:AH49" si="14">AH45+1.6</f>
        <v>15.200000000000003</v>
      </c>
    </row>
    <row r="47" spans="1:42" x14ac:dyDescent="0.25">
      <c r="L47" s="49"/>
      <c r="AE47" s="33">
        <v>23</v>
      </c>
      <c r="AF47" s="33">
        <f t="shared" si="12"/>
        <v>75.399999999999977</v>
      </c>
      <c r="AG47" s="33">
        <f t="shared" si="13"/>
        <v>4040</v>
      </c>
      <c r="AH47" s="33">
        <f t="shared" si="14"/>
        <v>16.800000000000004</v>
      </c>
    </row>
    <row r="48" spans="1:42" x14ac:dyDescent="0.25">
      <c r="L48" s="49"/>
      <c r="AE48" s="33">
        <v>24</v>
      </c>
      <c r="AF48" s="33">
        <f t="shared" si="12"/>
        <v>78.199999999999974</v>
      </c>
      <c r="AG48" s="33">
        <f t="shared" si="13"/>
        <v>4420</v>
      </c>
      <c r="AH48" s="33">
        <f t="shared" si="14"/>
        <v>18.400000000000006</v>
      </c>
    </row>
    <row r="49" spans="12:34" x14ac:dyDescent="0.25">
      <c r="L49" s="49"/>
      <c r="AE49" s="33">
        <v>25</v>
      </c>
      <c r="AF49" s="33">
        <f t="shared" si="12"/>
        <v>80.999999999999972</v>
      </c>
      <c r="AG49" s="33">
        <v>4800</v>
      </c>
      <c r="AH49" s="33">
        <f t="shared" si="14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5">AF50+3</f>
        <v>86.999999999999972</v>
      </c>
      <c r="AG51" s="33">
        <f t="shared" ref="AG51:AG54" si="16">AG50+960</f>
        <v>6720</v>
      </c>
      <c r="AH51" s="33">
        <f t="shared" ref="AH51:AH54" si="17">AH50+4</f>
        <v>28.000000000000007</v>
      </c>
    </row>
    <row r="52" spans="12:34" x14ac:dyDescent="0.25">
      <c r="L52" s="49"/>
      <c r="AE52" s="33">
        <v>28</v>
      </c>
      <c r="AF52" s="33">
        <f t="shared" si="15"/>
        <v>89.999999999999972</v>
      </c>
      <c r="AG52" s="33">
        <f t="shared" si="16"/>
        <v>7680</v>
      </c>
      <c r="AH52" s="33">
        <f t="shared" si="17"/>
        <v>32.000000000000007</v>
      </c>
    </row>
    <row r="53" spans="12:34" x14ac:dyDescent="0.25">
      <c r="L53" s="49"/>
      <c r="AE53" s="33">
        <v>29</v>
      </c>
      <c r="AF53" s="33">
        <f t="shared" si="15"/>
        <v>92.999999999999972</v>
      </c>
      <c r="AG53" s="33">
        <f t="shared" si="16"/>
        <v>8640</v>
      </c>
      <c r="AH53" s="33">
        <f t="shared" si="17"/>
        <v>36.000000000000007</v>
      </c>
    </row>
    <row r="54" spans="12:34" x14ac:dyDescent="0.25">
      <c r="L54" s="49"/>
      <c r="AE54" s="33">
        <v>30</v>
      </c>
      <c r="AF54" s="33">
        <f t="shared" si="15"/>
        <v>95.999999999999972</v>
      </c>
      <c r="AG54" s="33">
        <f t="shared" si="16"/>
        <v>9600</v>
      </c>
      <c r="AH54" s="33">
        <f t="shared" si="17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8">AF55+3.8</f>
        <v>103.59999999999997</v>
      </c>
      <c r="AG56" s="33">
        <f t="shared" ref="AG56:AG59" si="19">AG55+480</f>
        <v>10560</v>
      </c>
      <c r="AH56" s="33">
        <f t="shared" ref="AH56:AH59" si="20">AH55+2</f>
        <v>44.000000000000007</v>
      </c>
    </row>
    <row r="57" spans="12:34" x14ac:dyDescent="0.25">
      <c r="L57" s="49"/>
      <c r="AE57" s="33">
        <v>33</v>
      </c>
      <c r="AF57" s="33">
        <f t="shared" si="18"/>
        <v>107.39999999999996</v>
      </c>
      <c r="AG57" s="33">
        <f t="shared" si="19"/>
        <v>11040</v>
      </c>
      <c r="AH57" s="33">
        <f t="shared" si="20"/>
        <v>46.000000000000007</v>
      </c>
    </row>
    <row r="58" spans="12:34" x14ac:dyDescent="0.25">
      <c r="L58" s="49"/>
      <c r="AE58" s="33">
        <v>34</v>
      </c>
      <c r="AF58" s="33">
        <f t="shared" si="18"/>
        <v>111.19999999999996</v>
      </c>
      <c r="AG58" s="33">
        <f t="shared" si="19"/>
        <v>11520</v>
      </c>
      <c r="AH58" s="33">
        <f t="shared" si="20"/>
        <v>48.000000000000007</v>
      </c>
    </row>
    <row r="59" spans="12:34" x14ac:dyDescent="0.25">
      <c r="L59" s="49"/>
      <c r="AE59" s="33">
        <v>35</v>
      </c>
      <c r="AF59" s="33">
        <f t="shared" si="18"/>
        <v>114.99999999999996</v>
      </c>
      <c r="AG59" s="33">
        <f t="shared" si="19"/>
        <v>12000</v>
      </c>
      <c r="AH59" s="33">
        <f t="shared" si="20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T18 R18 Y18:Z18 AM19:AP21 Q18:Q21 AJ18 AB18 N18:N21 AM18:AR18 AM33:AP36 Q33:Q36 N33:N36">
    <cfRule type="expression" dxfId="2941" priority="22">
      <formula>$L18="API sand"</formula>
    </cfRule>
  </conditionalFormatting>
  <conditionalFormatting sqref="R19:S20 S18 S21 AD21 AB19:AB21 AJ19:AL21 Z19:Z21 AK18:AL18 N18:N21 R33:S36 AB33:AB35 AJ33:AL36 Z33:Z36 N33:N36">
    <cfRule type="expression" dxfId="2940" priority="21">
      <formula>$M18="API sand"</formula>
    </cfRule>
  </conditionalFormatting>
  <conditionalFormatting sqref="R19:T20 S18 S21:T21 AD21 Z19:AB21 AK18:AL21 N18:N21 R33:T36 Z33:AB35 AK33:AL36 N33:N36">
    <cfRule type="expression" dxfId="2939" priority="20">
      <formula>$M18="API clay"</formula>
    </cfRule>
  </conditionalFormatting>
  <conditionalFormatting sqref="AE18:AI18 U18:W21 N19:N21 P19:P21 AA18 AM18:AP21 U33:W36 AM33:AP36 N33:P36">
    <cfRule type="expression" dxfId="2938" priority="17">
      <formula>$L18="Stiff clay w/o free water"</formula>
    </cfRule>
    <cfRule type="expression" dxfId="2937" priority="19">
      <formula>$L18="API clay"</formula>
    </cfRule>
  </conditionalFormatting>
  <conditionalFormatting sqref="AE18:AI18 U18:X18 U19:Y21 N19:N21 P19:P21 AA18 AM18:AP21 U33:Y36 AM33:AP36 N33:P36">
    <cfRule type="expression" dxfId="2936" priority="18">
      <formula>$L18="Kirsch soft clay"</formula>
    </cfRule>
  </conditionalFormatting>
  <conditionalFormatting sqref="AE18:AI18 U18:X18 U19:Y21 N19:N21 P19:P21 AA18 AM18:AP21 U33:Y36 AM33:AP36 N33:P36">
    <cfRule type="expression" dxfId="2935" priority="16">
      <formula>$L18="Kirsch stiff clay"</formula>
    </cfRule>
  </conditionalFormatting>
  <conditionalFormatting sqref="T18 R18 Y18:Z18 AM19:AP21 Q18:Q21 X19:Y21 AJ18 AB18 N18:N21 AM18:AR18 AM33:AP36 Q33:Q36 X33:Y36 N33:N36">
    <cfRule type="expression" dxfId="2934" priority="15">
      <formula>$L18="Kirsch sand"</formula>
    </cfRule>
  </conditionalFormatting>
  <conditionalFormatting sqref="AC18:AD21 AI19:AI21 AM18:AP21 N18:N21 AC33:AD36 AI33:AI36 AM33:AP36 N33:N36">
    <cfRule type="expression" dxfId="2933" priority="14">
      <formula>$L18="Modified Weak rock"</formula>
    </cfRule>
  </conditionalFormatting>
  <conditionalFormatting sqref="AE18:AI18 N19:N21 P19:P21 AA18 AM18:AP21 U18:V21 AM33:AP36 U33:V36 N33:P36">
    <cfRule type="expression" dxfId="2932" priority="13">
      <formula>$L18="Reese stiff clay"</formula>
    </cfRule>
  </conditionalFormatting>
  <conditionalFormatting sqref="AB36">
    <cfRule type="expression" dxfId="2931" priority="12">
      <formula>$M36="API sand"</formula>
    </cfRule>
  </conditionalFormatting>
  <conditionalFormatting sqref="Z36:AB36">
    <cfRule type="expression" dxfId="2930" priority="11">
      <formula>$M36="API clay"</formula>
    </cfRule>
  </conditionalFormatting>
  <conditionalFormatting sqref="N18:P18">
    <cfRule type="expression" dxfId="2929" priority="8">
      <formula>$L18="Stiff clay w/o free water"</formula>
    </cfRule>
    <cfRule type="expression" dxfId="2928" priority="10">
      <formula>$L18="API clay"</formula>
    </cfRule>
  </conditionalFormatting>
  <conditionalFormatting sqref="N18:P18">
    <cfRule type="expression" dxfId="2927" priority="9">
      <formula>$L18="Kirsch soft clay"</formula>
    </cfRule>
  </conditionalFormatting>
  <conditionalFormatting sqref="N18:P18">
    <cfRule type="expression" dxfId="2926" priority="7">
      <formula>$L18="Kirsch stiff clay"</formula>
    </cfRule>
  </conditionalFormatting>
  <conditionalFormatting sqref="X18">
    <cfRule type="expression" dxfId="2925" priority="6">
      <formula>$L18="Kirsch sand"</formula>
    </cfRule>
  </conditionalFormatting>
  <conditionalFormatting sqref="N18:P18">
    <cfRule type="expression" dxfId="2924" priority="5">
      <formula>$L18="Reese stiff clay"</formula>
    </cfRule>
  </conditionalFormatting>
  <conditionalFormatting sqref="AE18:AI18 V18 AA18 AM18:AP18">
    <cfRule type="expression" dxfId="2923" priority="4">
      <formula>$L18="PISA clay"</formula>
    </cfRule>
  </conditionalFormatting>
  <conditionalFormatting sqref="AM18:AP18">
    <cfRule type="expression" dxfId="2922" priority="3">
      <formula>$L18="PISA sand"</formula>
    </cfRule>
  </conditionalFormatting>
  <conditionalFormatting sqref="O19:O21">
    <cfRule type="expression" dxfId="2921" priority="2">
      <formula>$L19="API sand"</formula>
    </cfRule>
  </conditionalFormatting>
  <conditionalFormatting sqref="O19:O21">
    <cfRule type="expression" dxfId="2920" priority="1">
      <formula>$L19="Kirsch sand"</formula>
    </cfRule>
  </conditionalFormatting>
  <conditionalFormatting sqref="AE37:AH37">
    <cfRule type="expression" dxfId="2919" priority="23">
      <formula>$L19="Modified Weak rock"</formula>
    </cfRule>
  </conditionalFormatting>
  <dataValidations count="3">
    <dataValidation type="list" showInputMessage="1" showErrorMessage="1" sqref="M26:M36 M9:M21" xr:uid="{16D16AD7-E2D4-4B22-881F-AE9AD1612599}">
      <formula1>"',API sand,API clay"</formula1>
    </dataValidation>
    <dataValidation type="list" showInputMessage="1" showErrorMessage="1" sqref="L19:L21 L26:L255 L6:L17" xr:uid="{CB237FF6-A4AE-45D1-B487-F20D20976011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26:M32 M6:M17" xr:uid="{ADD06CDB-C76F-4268-A50D-5B84915F7475}">
      <formula1>"Zero soil,API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B7AF7-E865-4AFC-AAA3-FEC0B13CA169}">
  <sheetPr>
    <tabColor rgb="FF00B0F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Ak_Pisa_WTG61_ULSF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51"/>
      <c r="R3" s="155"/>
      <c r="S3" s="155"/>
      <c r="T3" s="151"/>
      <c r="U3" s="155"/>
      <c r="V3" s="155"/>
      <c r="W3" s="151"/>
      <c r="X3" s="69"/>
      <c r="Y3" s="151"/>
      <c r="Z3" s="151"/>
      <c r="AA3" s="151"/>
      <c r="AB3" s="151"/>
      <c r="AC3" s="69"/>
      <c r="AD3" s="39"/>
      <c r="AE3" s="39"/>
      <c r="AF3" s="39"/>
      <c r="AG3" s="39"/>
      <c r="AH3" s="39"/>
      <c r="AI3" s="39"/>
      <c r="AJ3" s="151"/>
      <c r="AK3" s="151"/>
      <c r="AL3" s="151"/>
      <c r="AM3" s="151"/>
      <c r="AN3" s="151"/>
      <c r="AO3" s="151"/>
      <c r="AP3" s="151"/>
    </row>
    <row r="4" spans="1:45" x14ac:dyDescent="0.25">
      <c r="A4" s="40" t="s">
        <v>60</v>
      </c>
      <c r="B4" s="33">
        <f>COUNTIF(J:J,"&gt;0")</f>
        <v>15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2" t="s">
        <v>38</v>
      </c>
      <c r="K5" s="152" t="s">
        <v>30</v>
      </c>
      <c r="L5" s="152" t="s">
        <v>31</v>
      </c>
      <c r="M5" s="152" t="s">
        <v>31</v>
      </c>
      <c r="N5" s="152" t="s">
        <v>32</v>
      </c>
      <c r="O5" s="152" t="s">
        <v>33</v>
      </c>
      <c r="P5" s="152" t="s">
        <v>35</v>
      </c>
      <c r="Q5" s="152" t="s">
        <v>36</v>
      </c>
      <c r="R5" s="152" t="s">
        <v>36</v>
      </c>
      <c r="S5" s="152" t="s">
        <v>34</v>
      </c>
      <c r="T5" s="152" t="s">
        <v>33</v>
      </c>
      <c r="U5" s="152" t="s">
        <v>34</v>
      </c>
      <c r="V5" s="152" t="s">
        <v>62</v>
      </c>
      <c r="W5" s="152" t="s">
        <v>34</v>
      </c>
      <c r="X5" s="152" t="s">
        <v>33</v>
      </c>
      <c r="Y5" s="152" t="s">
        <v>35</v>
      </c>
      <c r="Z5" s="152" t="s">
        <v>33</v>
      </c>
      <c r="AA5" s="152" t="s">
        <v>34</v>
      </c>
      <c r="AB5" s="152" t="s">
        <v>33</v>
      </c>
      <c r="AC5" s="152" t="s">
        <v>33</v>
      </c>
      <c r="AD5" s="152" t="s">
        <v>35</v>
      </c>
      <c r="AE5" s="152" t="s">
        <v>34</v>
      </c>
      <c r="AF5" s="152" t="s">
        <v>33</v>
      </c>
      <c r="AG5" s="152" t="s">
        <v>35</v>
      </c>
      <c r="AH5" s="152" t="s">
        <v>34</v>
      </c>
      <c r="AI5" s="152" t="s">
        <v>34</v>
      </c>
      <c r="AJ5" s="152" t="s">
        <v>34</v>
      </c>
      <c r="AK5" s="152" t="s">
        <v>34</v>
      </c>
      <c r="AL5" s="152" t="s">
        <v>34</v>
      </c>
      <c r="AM5" s="152" t="s">
        <v>34</v>
      </c>
      <c r="AN5" s="152" t="s">
        <v>34</v>
      </c>
      <c r="AO5" s="152" t="s">
        <v>34</v>
      </c>
      <c r="AP5" s="152" t="s">
        <v>34</v>
      </c>
      <c r="AQ5" s="152" t="s">
        <v>103</v>
      </c>
      <c r="AR5" s="152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 t="shared" ref="L6:L12" si="0">"EW_sand_Ruled"&amp;"_"&amp;AR6</f>
        <v>EW_sand_Ruled_92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38</v>
      </c>
      <c r="R6" s="47">
        <f t="shared" ref="R6:R20" si="1">IF(Q6&lt;&gt;0,Q6-5,NA())</f>
        <v>33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13900</v>
      </c>
      <c r="Y6" s="47">
        <v>0</v>
      </c>
      <c r="Z6" s="47">
        <f t="shared" ref="Z6:Z20" si="2">VLOOKUP(R6,$AE$39:$AF$59,2)</f>
        <v>107.39999999999996</v>
      </c>
      <c r="AA6" s="47">
        <v>1</v>
      </c>
      <c r="AB6" s="47">
        <f t="shared" ref="AB6:AB20" si="3">VLOOKUP(R6,$AE$39:$AG$59,3)</f>
        <v>11040</v>
      </c>
      <c r="AC6" s="63">
        <v>11000</v>
      </c>
      <c r="AD6" s="63">
        <v>21000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20" si="4">VLOOKUP(R6,$AE$39:$AH$59,4)</f>
        <v>46.000000000000007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92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-1</v>
      </c>
      <c r="L7" s="33" t="str">
        <f t="shared" si="0"/>
        <v>EW_sand_Ruled_100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42</v>
      </c>
      <c r="R7" s="47">
        <f t="shared" si="1"/>
        <v>37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45000</v>
      </c>
      <c r="Y7" s="47">
        <v>0</v>
      </c>
      <c r="Z7" s="47">
        <f t="shared" si="2"/>
        <v>114.99999999999996</v>
      </c>
      <c r="AA7" s="47">
        <v>1</v>
      </c>
      <c r="AB7" s="47">
        <f t="shared" si="3"/>
        <v>12000</v>
      </c>
      <c r="AC7" s="63">
        <v>43000</v>
      </c>
      <c r="AD7" s="63">
        <v>8000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4"/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21321.1224</v>
      </c>
      <c r="H8" s="45" t="s">
        <v>53</v>
      </c>
      <c r="I8" s="33" t="s">
        <v>279</v>
      </c>
      <c r="J8" s="47">
        <v>3</v>
      </c>
      <c r="K8" s="33">
        <v>-2</v>
      </c>
      <c r="L8" s="33" t="str">
        <f t="shared" si="0"/>
        <v>EW_sand_Ruled_89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40</v>
      </c>
      <c r="R8" s="47">
        <f t="shared" si="1"/>
        <v>35</v>
      </c>
      <c r="S8" s="47">
        <v>0.5</v>
      </c>
      <c r="T8" s="47">
        <v>0</v>
      </c>
      <c r="U8" s="75">
        <v>0</v>
      </c>
      <c r="V8" s="75">
        <v>0</v>
      </c>
      <c r="W8" s="47">
        <v>0</v>
      </c>
      <c r="X8" s="47">
        <v>45400</v>
      </c>
      <c r="Y8" s="47">
        <v>0</v>
      </c>
      <c r="Z8" s="47">
        <f t="shared" si="2"/>
        <v>114.99999999999996</v>
      </c>
      <c r="AA8" s="47">
        <v>1</v>
      </c>
      <c r="AB8" s="47">
        <f t="shared" si="3"/>
        <v>12000</v>
      </c>
      <c r="AC8" s="63">
        <v>56000</v>
      </c>
      <c r="AD8" s="63">
        <v>5500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4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89</v>
      </c>
      <c r="AS8" s="33">
        <v>0.4</v>
      </c>
    </row>
    <row r="9" spans="1:45" x14ac:dyDescent="0.25">
      <c r="A9" s="33" t="s">
        <v>68</v>
      </c>
      <c r="B9" s="57">
        <v>35</v>
      </c>
      <c r="C9" s="45" t="s">
        <v>28</v>
      </c>
      <c r="D9" s="57">
        <v>28</v>
      </c>
      <c r="F9" s="33" t="s">
        <v>96</v>
      </c>
      <c r="G9" s="76">
        <v>-920596.00223076902</v>
      </c>
      <c r="H9" s="45" t="s">
        <v>54</v>
      </c>
      <c r="I9" s="56" t="s">
        <v>295</v>
      </c>
      <c r="J9" s="47">
        <v>4</v>
      </c>
      <c r="K9" s="19">
        <v>-4</v>
      </c>
      <c r="L9" s="33" t="str">
        <f t="shared" si="0"/>
        <v>EW_sand_Ruled_69</v>
      </c>
      <c r="M9" s="105" t="s">
        <v>64</v>
      </c>
      <c r="N9" s="47">
        <v>9.4</v>
      </c>
      <c r="O9" s="63">
        <v>0</v>
      </c>
      <c r="P9" s="63">
        <v>0</v>
      </c>
      <c r="Q9" s="47">
        <v>40</v>
      </c>
      <c r="R9" s="47">
        <f t="shared" si="1"/>
        <v>35</v>
      </c>
      <c r="S9" s="47">
        <v>1.5</v>
      </c>
      <c r="T9" s="47">
        <v>0</v>
      </c>
      <c r="U9" s="75">
        <v>0</v>
      </c>
      <c r="V9" s="75">
        <v>0</v>
      </c>
      <c r="W9" s="47">
        <v>0</v>
      </c>
      <c r="X9" s="47">
        <v>51200</v>
      </c>
      <c r="Y9" s="47">
        <v>0</v>
      </c>
      <c r="Z9" s="47">
        <f t="shared" si="2"/>
        <v>114.99999999999996</v>
      </c>
      <c r="AA9" s="47">
        <v>1</v>
      </c>
      <c r="AB9" s="47">
        <f t="shared" si="3"/>
        <v>12000</v>
      </c>
      <c r="AC9" s="63">
        <v>62000</v>
      </c>
      <c r="AD9" s="63">
        <v>12666.67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4"/>
        <v>50.000000000000007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69</v>
      </c>
      <c r="AS9" s="33">
        <v>0.4</v>
      </c>
    </row>
    <row r="10" spans="1:45" s="56" customFormat="1" x14ac:dyDescent="0.25">
      <c r="A10" s="56" t="s">
        <v>69</v>
      </c>
      <c r="B10" s="58">
        <v>35</v>
      </c>
      <c r="C10" s="45" t="s">
        <v>28</v>
      </c>
      <c r="D10" s="58">
        <v>28</v>
      </c>
      <c r="F10" s="33" t="s">
        <v>51</v>
      </c>
      <c r="G10" s="71">
        <v>36752.107153846162</v>
      </c>
      <c r="H10" s="45" t="s">
        <v>53</v>
      </c>
      <c r="I10" s="56" t="s">
        <v>259</v>
      </c>
      <c r="J10" s="47">
        <v>5</v>
      </c>
      <c r="K10" s="19">
        <v>-5.5</v>
      </c>
      <c r="L10" s="33" t="str">
        <f t="shared" si="0"/>
        <v>EW_sand_Ruled_70</v>
      </c>
      <c r="M10" s="105" t="s">
        <v>64</v>
      </c>
      <c r="N10" s="47">
        <v>10</v>
      </c>
      <c r="O10" s="63">
        <v>0</v>
      </c>
      <c r="P10" s="63">
        <v>0</v>
      </c>
      <c r="Q10" s="47">
        <v>39</v>
      </c>
      <c r="R10" s="47">
        <f t="shared" si="1"/>
        <v>34</v>
      </c>
      <c r="S10" s="47">
        <v>1.2</v>
      </c>
      <c r="T10" s="47">
        <v>0</v>
      </c>
      <c r="U10" s="75">
        <v>0</v>
      </c>
      <c r="V10" s="75">
        <v>0</v>
      </c>
      <c r="W10" s="47">
        <v>0</v>
      </c>
      <c r="X10" s="47">
        <v>52400</v>
      </c>
      <c r="Y10" s="47">
        <v>0</v>
      </c>
      <c r="Z10" s="47">
        <f t="shared" si="2"/>
        <v>111.19999999999996</v>
      </c>
      <c r="AA10" s="47">
        <v>1</v>
      </c>
      <c r="AB10" s="47">
        <f t="shared" si="3"/>
        <v>11520</v>
      </c>
      <c r="AC10" s="63">
        <v>84000</v>
      </c>
      <c r="AD10" s="63">
        <v>625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4"/>
        <v>48.000000000000007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70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261</v>
      </c>
      <c r="J11" s="47">
        <v>6</v>
      </c>
      <c r="K11" s="19">
        <v>-8.6999999999999993</v>
      </c>
      <c r="L11" s="33" t="str">
        <f t="shared" si="0"/>
        <v>EW_sand_Ruled_89</v>
      </c>
      <c r="M11" s="105" t="s">
        <v>64</v>
      </c>
      <c r="N11" s="47">
        <v>9.9</v>
      </c>
      <c r="O11" s="63">
        <v>0</v>
      </c>
      <c r="P11" s="63">
        <v>0</v>
      </c>
      <c r="Q11" s="47">
        <v>41</v>
      </c>
      <c r="R11" s="47">
        <f t="shared" si="1"/>
        <v>36</v>
      </c>
      <c r="S11" s="47">
        <v>1.4</v>
      </c>
      <c r="T11" s="47">
        <v>0</v>
      </c>
      <c r="U11" s="75">
        <v>0</v>
      </c>
      <c r="V11" s="75">
        <v>0</v>
      </c>
      <c r="W11" s="47">
        <v>0</v>
      </c>
      <c r="X11" s="47">
        <v>116000</v>
      </c>
      <c r="Y11" s="47">
        <v>0</v>
      </c>
      <c r="Z11" s="47">
        <f t="shared" si="2"/>
        <v>114.99999999999996</v>
      </c>
      <c r="AA11" s="47">
        <v>1</v>
      </c>
      <c r="AB11" s="47">
        <f t="shared" si="3"/>
        <v>12000</v>
      </c>
      <c r="AC11" s="63">
        <v>100000</v>
      </c>
      <c r="AD11" s="63">
        <v>15454.54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4"/>
        <v>50.000000000000007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89</v>
      </c>
      <c r="AS11" s="33">
        <v>0.4</v>
      </c>
    </row>
    <row r="12" spans="1:45" x14ac:dyDescent="0.25">
      <c r="A12" s="33" t="s">
        <v>74</v>
      </c>
      <c r="B12" s="57">
        <v>9.6</v>
      </c>
      <c r="C12" s="45" t="s">
        <v>28</v>
      </c>
      <c r="E12" s="59"/>
      <c r="F12" s="56" t="s">
        <v>97</v>
      </c>
      <c r="G12" s="71">
        <v>3962.0113407692315</v>
      </c>
      <c r="H12" s="45" t="s">
        <v>53</v>
      </c>
      <c r="I12" s="33" t="s">
        <v>261</v>
      </c>
      <c r="J12" s="47">
        <v>7</v>
      </c>
      <c r="K12" s="33">
        <v>-12</v>
      </c>
      <c r="L12" s="33" t="str">
        <f t="shared" si="0"/>
        <v>EW_sand_Ruled_90</v>
      </c>
      <c r="M12" s="105" t="s">
        <v>64</v>
      </c>
      <c r="N12" s="47">
        <v>9.9</v>
      </c>
      <c r="O12" s="63">
        <v>0</v>
      </c>
      <c r="P12" s="63">
        <v>0</v>
      </c>
      <c r="Q12" s="47">
        <v>41</v>
      </c>
      <c r="R12" s="47">
        <f t="shared" si="1"/>
        <v>36</v>
      </c>
      <c r="S12" s="47">
        <v>1.2</v>
      </c>
      <c r="T12" s="47">
        <v>0</v>
      </c>
      <c r="U12" s="75">
        <v>0</v>
      </c>
      <c r="V12" s="75">
        <v>0</v>
      </c>
      <c r="W12" s="47">
        <v>0</v>
      </c>
      <c r="X12" s="47">
        <v>133700</v>
      </c>
      <c r="Y12" s="47">
        <v>0</v>
      </c>
      <c r="Z12" s="47">
        <f t="shared" si="2"/>
        <v>114.99999999999996</v>
      </c>
      <c r="AA12" s="47">
        <v>1</v>
      </c>
      <c r="AB12" s="47">
        <f t="shared" si="3"/>
        <v>12000</v>
      </c>
      <c r="AC12" s="63">
        <v>147000</v>
      </c>
      <c r="AD12" s="63">
        <v>-3809.52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4"/>
        <v>50.000000000000007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90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301</v>
      </c>
      <c r="J13" s="47">
        <v>8</v>
      </c>
      <c r="K13" s="19">
        <v>-16.2</v>
      </c>
      <c r="L13" s="116" t="s">
        <v>275</v>
      </c>
      <c r="M13" s="105" t="s">
        <v>65</v>
      </c>
      <c r="N13" s="47">
        <v>8.6999999999999993</v>
      </c>
      <c r="O13" s="63">
        <v>145</v>
      </c>
      <c r="P13" s="63">
        <v>1.1200000000000001</v>
      </c>
      <c r="Q13" s="47">
        <v>0</v>
      </c>
      <c r="R13" s="47" t="e">
        <f t="shared" si="1"/>
        <v>#N/A</v>
      </c>
      <c r="S13" s="47">
        <v>3</v>
      </c>
      <c r="T13" s="47">
        <v>0</v>
      </c>
      <c r="U13" s="75">
        <v>1.7999999999999999E-2</v>
      </c>
      <c r="V13" s="75">
        <v>0</v>
      </c>
      <c r="W13" s="47">
        <v>0.5</v>
      </c>
      <c r="X13" s="47">
        <v>15300</v>
      </c>
      <c r="Y13" s="47">
        <v>0</v>
      </c>
      <c r="Z13" s="47" t="e">
        <f t="shared" si="2"/>
        <v>#N/A</v>
      </c>
      <c r="AA13" s="47">
        <v>1</v>
      </c>
      <c r="AB13" s="47" t="e">
        <f t="shared" si="3"/>
        <v>#N/A</v>
      </c>
      <c r="AC13" s="63">
        <v>172000</v>
      </c>
      <c r="AD13" s="63">
        <v>2307.69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4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291</v>
      </c>
      <c r="J14" s="47">
        <v>9</v>
      </c>
      <c r="K14" s="19">
        <v>-30.5</v>
      </c>
      <c r="L14" s="33" t="str">
        <f>"EW_sand_Ruled"&amp;"_"&amp;AR14</f>
        <v>EW_sand_Ruled_72</v>
      </c>
      <c r="M14" s="105" t="s">
        <v>64</v>
      </c>
      <c r="N14" s="47">
        <v>8.5</v>
      </c>
      <c r="O14" s="63">
        <v>0</v>
      </c>
      <c r="P14" s="63">
        <v>0</v>
      </c>
      <c r="Q14" s="47">
        <v>27</v>
      </c>
      <c r="R14" s="47">
        <f t="shared" si="1"/>
        <v>22</v>
      </c>
      <c r="S14" s="47">
        <v>0.9</v>
      </c>
      <c r="T14" s="47">
        <v>0</v>
      </c>
      <c r="U14" s="75">
        <v>0</v>
      </c>
      <c r="V14" s="75">
        <v>0</v>
      </c>
      <c r="W14" s="47">
        <v>0</v>
      </c>
      <c r="X14" s="47">
        <v>32600</v>
      </c>
      <c r="Y14" s="47">
        <v>0</v>
      </c>
      <c r="Z14" s="47">
        <f t="shared" si="2"/>
        <v>72.59999999999998</v>
      </c>
      <c r="AA14" s="47">
        <v>1</v>
      </c>
      <c r="AB14" s="47">
        <f t="shared" si="3"/>
        <v>3660</v>
      </c>
      <c r="AC14" s="63">
        <v>175000</v>
      </c>
      <c r="AD14" s="63">
        <v>-6727.27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4"/>
        <v>15.200000000000003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72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291</v>
      </c>
      <c r="J15" s="47">
        <v>10</v>
      </c>
      <c r="K15" s="33">
        <v>-36</v>
      </c>
      <c r="L15" s="33" t="str">
        <f>"EW_sand_Ruled"&amp;"_"&amp;AR15</f>
        <v>EW_sand_Ruled_79</v>
      </c>
      <c r="M15" s="105" t="s">
        <v>64</v>
      </c>
      <c r="N15" s="47">
        <v>8.5</v>
      </c>
      <c r="O15" s="63">
        <v>0</v>
      </c>
      <c r="P15" s="63">
        <v>0</v>
      </c>
      <c r="Q15" s="47">
        <v>28</v>
      </c>
      <c r="R15" s="47">
        <f t="shared" si="1"/>
        <v>23</v>
      </c>
      <c r="S15" s="47">
        <v>0.9</v>
      </c>
      <c r="T15" s="47">
        <v>0</v>
      </c>
      <c r="U15" s="75">
        <v>0</v>
      </c>
      <c r="V15" s="75">
        <v>0</v>
      </c>
      <c r="W15" s="47">
        <v>0</v>
      </c>
      <c r="X15" s="47">
        <v>35000</v>
      </c>
      <c r="Y15" s="47">
        <v>0</v>
      </c>
      <c r="Z15" s="47">
        <f t="shared" si="2"/>
        <v>75.399999999999977</v>
      </c>
      <c r="AA15" s="47">
        <v>1</v>
      </c>
      <c r="AB15" s="47">
        <f t="shared" si="3"/>
        <v>4040</v>
      </c>
      <c r="AC15" s="63">
        <v>181000</v>
      </c>
      <c r="AD15" s="63">
        <v>1938.32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4"/>
        <v>16.800000000000004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79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271</v>
      </c>
      <c r="J16" s="47">
        <v>11</v>
      </c>
      <c r="K16" s="19">
        <v>-58.7</v>
      </c>
      <c r="L16" s="33" t="str">
        <f>"EW_sand_Ruled"&amp;"_"&amp;AR16</f>
        <v>EW_sand_Ruled_60</v>
      </c>
      <c r="M16" s="105" t="s">
        <v>64</v>
      </c>
      <c r="N16" s="47">
        <v>9.8000000000000007</v>
      </c>
      <c r="O16" s="63">
        <v>0</v>
      </c>
      <c r="P16" s="63">
        <v>0</v>
      </c>
      <c r="Q16" s="47">
        <v>27</v>
      </c>
      <c r="R16" s="47">
        <f t="shared" si="1"/>
        <v>22</v>
      </c>
      <c r="S16" s="47">
        <v>0.7</v>
      </c>
      <c r="T16" s="47">
        <v>0</v>
      </c>
      <c r="U16" s="75">
        <v>0</v>
      </c>
      <c r="V16" s="75">
        <v>0</v>
      </c>
      <c r="W16" s="47">
        <v>0</v>
      </c>
      <c r="X16" s="47">
        <v>40000</v>
      </c>
      <c r="Y16" s="47">
        <v>0</v>
      </c>
      <c r="Z16" s="47">
        <f t="shared" si="2"/>
        <v>72.59999999999998</v>
      </c>
      <c r="AA16" s="47">
        <v>1</v>
      </c>
      <c r="AB16" s="47">
        <f t="shared" si="3"/>
        <v>3660</v>
      </c>
      <c r="AC16" s="63">
        <v>208000</v>
      </c>
      <c r="AD16" s="63">
        <v>5000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>
        <f t="shared" si="4"/>
        <v>15.200000000000003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60</v>
      </c>
      <c r="AS16" s="33">
        <v>0.2</v>
      </c>
    </row>
    <row r="17" spans="1:45" s="56" customFormat="1" x14ac:dyDescent="0.25">
      <c r="A17" s="33" t="s">
        <v>98</v>
      </c>
      <c r="B17" s="57">
        <v>0.53</v>
      </c>
      <c r="C17" s="45"/>
      <c r="D17" s="152"/>
      <c r="E17" s="152"/>
      <c r="I17" s="33" t="s">
        <v>300</v>
      </c>
      <c r="J17" s="47">
        <v>12</v>
      </c>
      <c r="K17" s="19">
        <v>-62.7</v>
      </c>
      <c r="L17" s="33" t="str">
        <f>"EW_sand_Ruled"&amp;"_"&amp;AR17</f>
        <v>EW_sand_Ruled_76</v>
      </c>
      <c r="M17" s="105" t="s">
        <v>64</v>
      </c>
      <c r="N17" s="47">
        <v>10</v>
      </c>
      <c r="O17" s="63">
        <v>0</v>
      </c>
      <c r="P17" s="63">
        <v>0</v>
      </c>
      <c r="Q17" s="47">
        <v>28</v>
      </c>
      <c r="R17" s="47">
        <f t="shared" si="1"/>
        <v>23</v>
      </c>
      <c r="S17" s="47">
        <v>0.8</v>
      </c>
      <c r="T17" s="47">
        <v>0</v>
      </c>
      <c r="U17" s="75">
        <v>0</v>
      </c>
      <c r="V17" s="75">
        <v>0</v>
      </c>
      <c r="W17" s="47">
        <v>0</v>
      </c>
      <c r="X17" s="47">
        <v>40000</v>
      </c>
      <c r="Y17" s="47">
        <v>0</v>
      </c>
      <c r="Z17" s="47">
        <f t="shared" si="2"/>
        <v>75.399999999999977</v>
      </c>
      <c r="AA17" s="47">
        <v>1</v>
      </c>
      <c r="AB17" s="47">
        <f t="shared" si="3"/>
        <v>4040</v>
      </c>
      <c r="AC17" s="63">
        <v>221000</v>
      </c>
      <c r="AD17" s="63">
        <v>11162.79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>
        <f t="shared" si="4"/>
        <v>16.800000000000004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76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302</v>
      </c>
      <c r="J18" s="47">
        <v>13</v>
      </c>
      <c r="K18" s="19">
        <v>-67</v>
      </c>
      <c r="L18" s="33" t="str">
        <f>"EW_sand_Ruled"&amp;"_"&amp;AR18</f>
        <v>EW_sand_Ruled_80</v>
      </c>
      <c r="M18" s="105" t="s">
        <v>64</v>
      </c>
      <c r="N18" s="47">
        <v>9.3000000000000007</v>
      </c>
      <c r="O18" s="63">
        <v>0</v>
      </c>
      <c r="P18" s="63">
        <v>0</v>
      </c>
      <c r="Q18" s="47">
        <v>29</v>
      </c>
      <c r="R18" s="47">
        <f t="shared" si="1"/>
        <v>24</v>
      </c>
      <c r="S18" s="47">
        <v>0.9</v>
      </c>
      <c r="T18" s="47">
        <v>0</v>
      </c>
      <c r="U18" s="75">
        <v>0</v>
      </c>
      <c r="V18" s="75">
        <v>0</v>
      </c>
      <c r="W18" s="47">
        <v>0</v>
      </c>
      <c r="X18" s="47">
        <v>65000</v>
      </c>
      <c r="Y18" s="47">
        <v>0</v>
      </c>
      <c r="Z18" s="47">
        <f t="shared" si="2"/>
        <v>78.199999999999974</v>
      </c>
      <c r="AA18" s="47">
        <v>1</v>
      </c>
      <c r="AB18" s="47">
        <f t="shared" si="3"/>
        <v>4420</v>
      </c>
      <c r="AC18" s="63">
        <v>276000</v>
      </c>
      <c r="AD18" s="63">
        <v>-5428.57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>
        <f t="shared" si="4"/>
        <v>18.400000000000006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80</v>
      </c>
      <c r="AS18" s="33">
        <v>0.4</v>
      </c>
    </row>
    <row r="19" spans="1:45" x14ac:dyDescent="0.25">
      <c r="A19" s="152" t="s">
        <v>38</v>
      </c>
      <c r="B19" s="152" t="s">
        <v>30</v>
      </c>
      <c r="C19" s="152" t="s">
        <v>59</v>
      </c>
      <c r="D19" s="43"/>
      <c r="E19" s="35"/>
      <c r="I19" s="33" t="s">
        <v>273</v>
      </c>
      <c r="J19" s="47">
        <v>14</v>
      </c>
      <c r="K19" s="19">
        <v>-74</v>
      </c>
      <c r="L19" s="116" t="s">
        <v>275</v>
      </c>
      <c r="M19" s="105" t="s">
        <v>65</v>
      </c>
      <c r="N19" s="47">
        <v>8.9</v>
      </c>
      <c r="O19" s="63">
        <v>444</v>
      </c>
      <c r="P19" s="63">
        <v>-9.5</v>
      </c>
      <c r="Q19" s="47">
        <v>0</v>
      </c>
      <c r="R19" s="47" t="e">
        <f t="shared" si="1"/>
        <v>#N/A</v>
      </c>
      <c r="S19" s="47">
        <v>1.7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37300</v>
      </c>
      <c r="Y19" s="47">
        <v>0</v>
      </c>
      <c r="Z19" s="47" t="e">
        <f t="shared" si="2"/>
        <v>#N/A</v>
      </c>
      <c r="AA19" s="47">
        <v>1</v>
      </c>
      <c r="AB19" s="47" t="e">
        <f t="shared" si="3"/>
        <v>#N/A</v>
      </c>
      <c r="AC19" s="63">
        <v>704000</v>
      </c>
      <c r="AD19" s="63">
        <v>-13333.33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4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273</v>
      </c>
      <c r="J20" s="47">
        <v>15</v>
      </c>
      <c r="K20" s="33">
        <v>-80</v>
      </c>
      <c r="L20" s="116" t="s">
        <v>275</v>
      </c>
      <c r="M20" s="105" t="s">
        <v>65</v>
      </c>
      <c r="N20" s="47">
        <v>8.9</v>
      </c>
      <c r="O20" s="63">
        <v>387</v>
      </c>
      <c r="P20" s="63">
        <v>0</v>
      </c>
      <c r="Q20" s="47">
        <v>0</v>
      </c>
      <c r="R20" s="47" t="e">
        <f t="shared" si="1"/>
        <v>#N/A</v>
      </c>
      <c r="S20" s="47">
        <v>1.7</v>
      </c>
      <c r="T20" s="47">
        <v>0</v>
      </c>
      <c r="U20" s="75">
        <v>1.7999999999999999E-2</v>
      </c>
      <c r="V20" s="75">
        <v>0</v>
      </c>
      <c r="W20" s="47">
        <v>0.25</v>
      </c>
      <c r="X20" s="47">
        <v>37300</v>
      </c>
      <c r="Y20" s="47">
        <v>0</v>
      </c>
      <c r="Z20" s="47" t="e">
        <f t="shared" si="2"/>
        <v>#N/A</v>
      </c>
      <c r="AA20" s="47">
        <v>1</v>
      </c>
      <c r="AB20" s="47" t="e">
        <f t="shared" si="3"/>
        <v>#N/A</v>
      </c>
      <c r="AC20" s="63">
        <v>624000</v>
      </c>
      <c r="AD20" s="63">
        <v>0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 t="e">
        <f t="shared" si="4"/>
        <v>#N/A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0</v>
      </c>
      <c r="AS20" s="33">
        <v>0.4</v>
      </c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5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5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</row>
    <row r="42" spans="1:42" x14ac:dyDescent="0.25">
      <c r="L42" s="49"/>
      <c r="AE42" s="33">
        <v>18</v>
      </c>
      <c r="AF42" s="33">
        <f t="shared" si="5"/>
        <v>59.399999999999991</v>
      </c>
      <c r="AG42" s="33">
        <f t="shared" si="6"/>
        <v>2500</v>
      </c>
      <c r="AH42" s="33">
        <f t="shared" si="7"/>
        <v>10.400000000000002</v>
      </c>
    </row>
    <row r="43" spans="1:42" x14ac:dyDescent="0.25">
      <c r="L43" s="49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</row>
    <row r="44" spans="1:42" x14ac:dyDescent="0.25">
      <c r="L44" s="49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2" x14ac:dyDescent="0.25">
      <c r="L47" s="49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2" x14ac:dyDescent="0.25">
      <c r="L48" s="49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9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9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9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9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9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9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9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1:AP36">
    <cfRule type="expression" dxfId="2918" priority="24">
      <formula>$L21="API sand"</formula>
    </cfRule>
  </conditionalFormatting>
  <conditionalFormatting sqref="R29:S36 S21:S28 AD21:AD28 AB21:AB35">
    <cfRule type="expression" dxfId="2917" priority="23">
      <formula>$M21="API sand"</formula>
    </cfRule>
  </conditionalFormatting>
  <conditionalFormatting sqref="R29:T36 S21:T28 AD21:AD28 AB21:AB35">
    <cfRule type="expression" dxfId="2916" priority="22">
      <formula>$M21="API clay"</formula>
    </cfRule>
  </conditionalFormatting>
  <conditionalFormatting sqref="U21:W36 AM21:AP36">
    <cfRule type="expression" dxfId="2915" priority="19">
      <formula>$L21="Stiff clay w/o free water"</formula>
    </cfRule>
    <cfRule type="expression" dxfId="2914" priority="21">
      <formula>$L21="API clay"</formula>
    </cfRule>
  </conditionalFormatting>
  <conditionalFormatting sqref="U21:Y36 AM21:AP36">
    <cfRule type="expression" dxfId="2913" priority="20">
      <formula>$L21="Kirsch soft clay"</formula>
    </cfRule>
  </conditionalFormatting>
  <conditionalFormatting sqref="U21:Y36 AM21:AP36">
    <cfRule type="expression" dxfId="2912" priority="18">
      <formula>$L21="Kirsch stiff clay"</formula>
    </cfRule>
  </conditionalFormatting>
  <conditionalFormatting sqref="AM21:AP36">
    <cfRule type="expression" dxfId="2911" priority="17">
      <formula>$L21="Kirsch sand"</formula>
    </cfRule>
  </conditionalFormatting>
  <conditionalFormatting sqref="AM21:AP36">
    <cfRule type="expression" dxfId="2910" priority="16">
      <formula>$L21="Modified Weak rock"</formula>
    </cfRule>
  </conditionalFormatting>
  <conditionalFormatting sqref="U21:V36 AM21:AP36">
    <cfRule type="expression" dxfId="2909" priority="15">
      <formula>$L21="Reese stiff clay"</formula>
    </cfRule>
  </conditionalFormatting>
  <conditionalFormatting sqref="N21:N36 Q21:Q36">
    <cfRule type="expression" dxfId="2908" priority="14">
      <formula>$L21="API sand"</formula>
    </cfRule>
  </conditionalFormatting>
  <conditionalFormatting sqref="N21:N36 AB36 AJ21:AL36 Z21:Z36">
    <cfRule type="expression" dxfId="2907" priority="13">
      <formula>$M21="API sand"</formula>
    </cfRule>
  </conditionalFormatting>
  <conditionalFormatting sqref="Z36:AB36 AK21:AL36 N21:N36 Z21:AA35">
    <cfRule type="expression" dxfId="2906" priority="12">
      <formula>$M21="API clay"</formula>
    </cfRule>
  </conditionalFormatting>
  <conditionalFormatting sqref="N29:P36 N21:N28 P21:P28">
    <cfRule type="expression" dxfId="2905" priority="9">
      <formula>$L21="Stiff clay w/o free water"</formula>
    </cfRule>
    <cfRule type="expression" dxfId="2904" priority="11">
      <formula>$L21="API clay"</formula>
    </cfRule>
  </conditionalFormatting>
  <conditionalFormatting sqref="N29:P36 N21:N28 P21:P28">
    <cfRule type="expression" dxfId="2903" priority="10">
      <formula>$L21="Kirsch soft clay"</formula>
    </cfRule>
  </conditionalFormatting>
  <conditionalFormatting sqref="N29:P36 N21:N28 P21:P28">
    <cfRule type="expression" dxfId="2902" priority="8">
      <formula>$L21="Kirsch stiff clay"</formula>
    </cfRule>
  </conditionalFormatting>
  <conditionalFormatting sqref="N21:N36 Q21:Q36 X21:Y36">
    <cfRule type="expression" dxfId="2901" priority="7">
      <formula>$L21="Kirsch sand"</formula>
    </cfRule>
  </conditionalFormatting>
  <conditionalFormatting sqref="N21:N36 AC21:AD36 AI21:AI36">
    <cfRule type="expression" dxfId="2900" priority="6">
      <formula>$L21="Modified Weak rock"</formula>
    </cfRule>
  </conditionalFormatting>
  <conditionalFormatting sqref="N29:P36 N21:N28 P21:P28">
    <cfRule type="expression" dxfId="2899" priority="5">
      <formula>$L21="Reese stiff clay"</formula>
    </cfRule>
  </conditionalFormatting>
  <conditionalFormatting sqref="O21">
    <cfRule type="expression" dxfId="2898" priority="4">
      <formula>$L21="API sand"</formula>
    </cfRule>
  </conditionalFormatting>
  <conditionalFormatting sqref="O21">
    <cfRule type="expression" dxfId="2897" priority="3">
      <formula>$L21="Kirsch sand"</formula>
    </cfRule>
  </conditionalFormatting>
  <conditionalFormatting sqref="O22:O28">
    <cfRule type="expression" dxfId="2896" priority="2">
      <formula>$L22="API sand"</formula>
    </cfRule>
  </conditionalFormatting>
  <conditionalFormatting sqref="O22:O28">
    <cfRule type="expression" dxfId="2895" priority="1">
      <formula>$L22="Kirsch sand"</formula>
    </cfRule>
  </conditionalFormatting>
  <conditionalFormatting sqref="AE37:AH37">
    <cfRule type="expression" dxfId="2894" priority="25">
      <formula>$L19="Modified Weak rock"</formula>
    </cfRule>
  </conditionalFormatting>
  <dataValidations count="4">
    <dataValidation type="list" showInputMessage="1" showErrorMessage="1" sqref="M9:M36" xr:uid="{87938012-91D1-488A-B3C2-73E028EAAF4D}">
      <formula1>"',API sand,API clay"</formula1>
    </dataValidation>
    <dataValidation type="list" showInputMessage="1" showErrorMessage="1" sqref="L21:L255" xr:uid="{15C5F14F-6498-4589-A4D6-FCA1AA5C5A96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20" xr:uid="{5DB0E690-E1E5-4F4C-B445-BDC06A971696}">
      <formula1>"Zero soil,API sand,API clay"</formula1>
    </dataValidation>
    <dataValidation showInputMessage="1" showErrorMessage="1" sqref="L13 L19:L20" xr:uid="{F53FE5E3-5E39-4F4D-80E0-9C43ACD14CC7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F39B-732A-4F03-B165-18D4603FFC9B}">
  <sheetPr>
    <tabColor rgb="FF00B0F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Ak_Pisa_WTG61_RBB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51"/>
      <c r="R3" s="155"/>
      <c r="S3" s="155"/>
      <c r="T3" s="151"/>
      <c r="U3" s="155"/>
      <c r="V3" s="155"/>
      <c r="W3" s="151"/>
      <c r="X3" s="69"/>
      <c r="Y3" s="151"/>
      <c r="Z3" s="151"/>
      <c r="AA3" s="151"/>
      <c r="AB3" s="151"/>
      <c r="AC3" s="69"/>
      <c r="AD3" s="39"/>
      <c r="AE3" s="39"/>
      <c r="AF3" s="39"/>
      <c r="AG3" s="39"/>
      <c r="AH3" s="39"/>
      <c r="AI3" s="39"/>
      <c r="AJ3" s="151"/>
      <c r="AK3" s="151"/>
      <c r="AL3" s="151"/>
      <c r="AM3" s="151"/>
      <c r="AN3" s="151"/>
      <c r="AO3" s="151"/>
      <c r="AP3" s="151"/>
    </row>
    <row r="4" spans="1:45" x14ac:dyDescent="0.25">
      <c r="A4" s="40" t="s">
        <v>60</v>
      </c>
      <c r="B4" s="33">
        <f>COUNTIF(J:J,"&gt;0")</f>
        <v>15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2" t="s">
        <v>38</v>
      </c>
      <c r="K5" s="152" t="s">
        <v>30</v>
      </c>
      <c r="L5" s="152" t="s">
        <v>31</v>
      </c>
      <c r="M5" s="152" t="s">
        <v>31</v>
      </c>
      <c r="N5" s="152" t="s">
        <v>32</v>
      </c>
      <c r="O5" s="152" t="s">
        <v>33</v>
      </c>
      <c r="P5" s="152" t="s">
        <v>35</v>
      </c>
      <c r="Q5" s="152" t="s">
        <v>36</v>
      </c>
      <c r="R5" s="152" t="s">
        <v>36</v>
      </c>
      <c r="S5" s="152" t="s">
        <v>34</v>
      </c>
      <c r="T5" s="152" t="s">
        <v>33</v>
      </c>
      <c r="U5" s="152" t="s">
        <v>34</v>
      </c>
      <c r="V5" s="152" t="s">
        <v>62</v>
      </c>
      <c r="W5" s="152" t="s">
        <v>34</v>
      </c>
      <c r="X5" s="152" t="s">
        <v>33</v>
      </c>
      <c r="Y5" s="152" t="s">
        <v>35</v>
      </c>
      <c r="Z5" s="152" t="s">
        <v>33</v>
      </c>
      <c r="AA5" s="152" t="s">
        <v>34</v>
      </c>
      <c r="AB5" s="152" t="s">
        <v>33</v>
      </c>
      <c r="AC5" s="152" t="s">
        <v>33</v>
      </c>
      <c r="AD5" s="152" t="s">
        <v>35</v>
      </c>
      <c r="AE5" s="152" t="s">
        <v>34</v>
      </c>
      <c r="AF5" s="152" t="s">
        <v>33</v>
      </c>
      <c r="AG5" s="152" t="s">
        <v>35</v>
      </c>
      <c r="AH5" s="152" t="s">
        <v>34</v>
      </c>
      <c r="AI5" s="152" t="s">
        <v>34</v>
      </c>
      <c r="AJ5" s="152" t="s">
        <v>34</v>
      </c>
      <c r="AK5" s="152" t="s">
        <v>34</v>
      </c>
      <c r="AL5" s="152" t="s">
        <v>34</v>
      </c>
      <c r="AM5" s="152" t="s">
        <v>34</v>
      </c>
      <c r="AN5" s="152" t="s">
        <v>34</v>
      </c>
      <c r="AO5" s="152" t="s">
        <v>34</v>
      </c>
      <c r="AP5" s="152" t="s">
        <v>34</v>
      </c>
      <c r="AQ5" s="152" t="s">
        <v>103</v>
      </c>
      <c r="AR5" s="152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 t="shared" ref="L6:L12" si="0">"EW_sand_Ruled"&amp;"_"&amp;AR6</f>
        <v>EW_sand_Ruled_92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38</v>
      </c>
      <c r="R6" s="47">
        <f t="shared" ref="R6:R20" si="1">IF(Q6&lt;&gt;0,Q6-5,NA())</f>
        <v>33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13900</v>
      </c>
      <c r="Y6" s="47">
        <v>0</v>
      </c>
      <c r="Z6" s="47">
        <f t="shared" ref="Z6:Z20" si="2">VLOOKUP(R6,$AE$39:$AF$59,2)</f>
        <v>107.39999999999996</v>
      </c>
      <c r="AA6" s="47">
        <v>1</v>
      </c>
      <c r="AB6" s="47">
        <f t="shared" ref="AB6:AB20" si="3">VLOOKUP(R6,$AE$39:$AG$59,3)</f>
        <v>11040</v>
      </c>
      <c r="AC6" s="63">
        <v>11000</v>
      </c>
      <c r="AD6" s="63">
        <v>21000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20" si="4">VLOOKUP(R6,$AE$39:$AH$59,4)</f>
        <v>46.000000000000007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92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-1</v>
      </c>
      <c r="L7" s="33" t="str">
        <f t="shared" si="0"/>
        <v>EW_sand_Ruled_100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42</v>
      </c>
      <c r="R7" s="47">
        <f t="shared" si="1"/>
        <v>37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45000</v>
      </c>
      <c r="Y7" s="47">
        <v>0</v>
      </c>
      <c r="Z7" s="47">
        <f t="shared" si="2"/>
        <v>114.99999999999996</v>
      </c>
      <c r="AA7" s="47">
        <v>1</v>
      </c>
      <c r="AB7" s="47">
        <f t="shared" si="3"/>
        <v>12000</v>
      </c>
      <c r="AC7" s="63">
        <v>43000</v>
      </c>
      <c r="AD7" s="63">
        <v>8000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4"/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32216.600769230768</v>
      </c>
      <c r="H8" s="45" t="s">
        <v>53</v>
      </c>
      <c r="I8" s="33" t="s">
        <v>279</v>
      </c>
      <c r="J8" s="47">
        <v>3</v>
      </c>
      <c r="K8" s="33">
        <v>-2</v>
      </c>
      <c r="L8" s="33" t="str">
        <f t="shared" si="0"/>
        <v>EW_sand_Ruled_89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40</v>
      </c>
      <c r="R8" s="47">
        <f t="shared" si="1"/>
        <v>35</v>
      </c>
      <c r="S8" s="47">
        <v>0.5</v>
      </c>
      <c r="T8" s="47">
        <v>0</v>
      </c>
      <c r="U8" s="75">
        <v>0</v>
      </c>
      <c r="V8" s="75">
        <v>0</v>
      </c>
      <c r="W8" s="47">
        <v>0</v>
      </c>
      <c r="X8" s="47">
        <v>45400</v>
      </c>
      <c r="Y8" s="47">
        <v>0</v>
      </c>
      <c r="Z8" s="47">
        <f t="shared" si="2"/>
        <v>114.99999999999996</v>
      </c>
      <c r="AA8" s="47">
        <v>1</v>
      </c>
      <c r="AB8" s="47">
        <f t="shared" si="3"/>
        <v>12000</v>
      </c>
      <c r="AC8" s="63">
        <v>56000</v>
      </c>
      <c r="AD8" s="63">
        <v>5500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4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89</v>
      </c>
      <c r="AS8" s="33">
        <v>0.4</v>
      </c>
    </row>
    <row r="9" spans="1:45" x14ac:dyDescent="0.25">
      <c r="A9" s="33" t="s">
        <v>68</v>
      </c>
      <c r="B9" s="57">
        <v>35</v>
      </c>
      <c r="C9" s="45" t="s">
        <v>28</v>
      </c>
      <c r="D9" s="57">
        <v>28</v>
      </c>
      <c r="F9" s="33" t="s">
        <v>96</v>
      </c>
      <c r="G9" s="76">
        <v>-1288286.5538461499</v>
      </c>
      <c r="H9" s="45" t="s">
        <v>54</v>
      </c>
      <c r="I9" s="56" t="s">
        <v>295</v>
      </c>
      <c r="J9" s="47">
        <v>4</v>
      </c>
      <c r="K9" s="19">
        <v>-4</v>
      </c>
      <c r="L9" s="33" t="str">
        <f t="shared" si="0"/>
        <v>EW_sand_Ruled_69</v>
      </c>
      <c r="M9" s="105" t="s">
        <v>64</v>
      </c>
      <c r="N9" s="47">
        <v>9.4</v>
      </c>
      <c r="O9" s="63">
        <v>0</v>
      </c>
      <c r="P9" s="63">
        <v>0</v>
      </c>
      <c r="Q9" s="47">
        <v>40</v>
      </c>
      <c r="R9" s="47">
        <f t="shared" si="1"/>
        <v>35</v>
      </c>
      <c r="S9" s="47">
        <v>1.5</v>
      </c>
      <c r="T9" s="47">
        <v>0</v>
      </c>
      <c r="U9" s="75">
        <v>0</v>
      </c>
      <c r="V9" s="75">
        <v>0</v>
      </c>
      <c r="W9" s="47">
        <v>0</v>
      </c>
      <c r="X9" s="47">
        <v>51200</v>
      </c>
      <c r="Y9" s="47">
        <v>0</v>
      </c>
      <c r="Z9" s="47">
        <f t="shared" si="2"/>
        <v>114.99999999999996</v>
      </c>
      <c r="AA9" s="47">
        <v>1</v>
      </c>
      <c r="AB9" s="47">
        <f t="shared" si="3"/>
        <v>12000</v>
      </c>
      <c r="AC9" s="63">
        <v>62000</v>
      </c>
      <c r="AD9" s="63">
        <v>12666.67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4"/>
        <v>50.000000000000007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69</v>
      </c>
      <c r="AS9" s="33">
        <v>0.4</v>
      </c>
    </row>
    <row r="10" spans="1:45" s="56" customFormat="1" x14ac:dyDescent="0.25">
      <c r="A10" s="56" t="s">
        <v>69</v>
      </c>
      <c r="B10" s="58">
        <v>35</v>
      </c>
      <c r="C10" s="45" t="s">
        <v>28</v>
      </c>
      <c r="D10" s="58">
        <v>28</v>
      </c>
      <c r="F10" s="33" t="s">
        <v>51</v>
      </c>
      <c r="G10" s="71">
        <v>26855.180923076921</v>
      </c>
      <c r="H10" s="45" t="s">
        <v>53</v>
      </c>
      <c r="I10" s="56" t="s">
        <v>259</v>
      </c>
      <c r="J10" s="47">
        <v>5</v>
      </c>
      <c r="K10" s="19">
        <v>-5.5</v>
      </c>
      <c r="L10" s="33" t="str">
        <f t="shared" si="0"/>
        <v>EW_sand_Ruled_70</v>
      </c>
      <c r="M10" s="105" t="s">
        <v>64</v>
      </c>
      <c r="N10" s="47">
        <v>10</v>
      </c>
      <c r="O10" s="63">
        <v>0</v>
      </c>
      <c r="P10" s="63">
        <v>0</v>
      </c>
      <c r="Q10" s="47">
        <v>39</v>
      </c>
      <c r="R10" s="47">
        <f t="shared" si="1"/>
        <v>34</v>
      </c>
      <c r="S10" s="47">
        <v>1.2</v>
      </c>
      <c r="T10" s="47">
        <v>0</v>
      </c>
      <c r="U10" s="75">
        <v>0</v>
      </c>
      <c r="V10" s="75">
        <v>0</v>
      </c>
      <c r="W10" s="47">
        <v>0</v>
      </c>
      <c r="X10" s="47">
        <v>52400</v>
      </c>
      <c r="Y10" s="47">
        <v>0</v>
      </c>
      <c r="Z10" s="47">
        <f t="shared" si="2"/>
        <v>111.19999999999996</v>
      </c>
      <c r="AA10" s="47">
        <v>1</v>
      </c>
      <c r="AB10" s="47">
        <f t="shared" si="3"/>
        <v>11520</v>
      </c>
      <c r="AC10" s="63">
        <v>84000</v>
      </c>
      <c r="AD10" s="63">
        <v>625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4"/>
        <v>48.000000000000007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70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261</v>
      </c>
      <c r="J11" s="47">
        <v>6</v>
      </c>
      <c r="K11" s="19">
        <v>-8.6999999999999993</v>
      </c>
      <c r="L11" s="33" t="str">
        <f t="shared" si="0"/>
        <v>EW_sand_Ruled_89</v>
      </c>
      <c r="M11" s="105" t="s">
        <v>64</v>
      </c>
      <c r="N11" s="47">
        <v>9.9</v>
      </c>
      <c r="O11" s="63">
        <v>0</v>
      </c>
      <c r="P11" s="63">
        <v>0</v>
      </c>
      <c r="Q11" s="47">
        <v>41</v>
      </c>
      <c r="R11" s="47">
        <f t="shared" si="1"/>
        <v>36</v>
      </c>
      <c r="S11" s="47">
        <v>1.4</v>
      </c>
      <c r="T11" s="47">
        <v>0</v>
      </c>
      <c r="U11" s="75">
        <v>0</v>
      </c>
      <c r="V11" s="75">
        <v>0</v>
      </c>
      <c r="W11" s="47">
        <v>0</v>
      </c>
      <c r="X11" s="47">
        <v>116000</v>
      </c>
      <c r="Y11" s="47">
        <v>0</v>
      </c>
      <c r="Z11" s="47">
        <f t="shared" si="2"/>
        <v>114.99999999999996</v>
      </c>
      <c r="AA11" s="47">
        <v>1</v>
      </c>
      <c r="AB11" s="47">
        <f t="shared" si="3"/>
        <v>12000</v>
      </c>
      <c r="AC11" s="63">
        <v>100000</v>
      </c>
      <c r="AD11" s="63">
        <v>15454.54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4"/>
        <v>50.000000000000007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89</v>
      </c>
      <c r="AS11" s="33">
        <v>0.4</v>
      </c>
    </row>
    <row r="12" spans="1:45" x14ac:dyDescent="0.25">
      <c r="A12" s="33" t="s">
        <v>74</v>
      </c>
      <c r="B12" s="57">
        <v>9.6</v>
      </c>
      <c r="C12" s="45" t="s">
        <v>28</v>
      </c>
      <c r="E12" s="59"/>
      <c r="F12" s="56" t="s">
        <v>97</v>
      </c>
      <c r="G12" s="71">
        <v>1438.757000000001</v>
      </c>
      <c r="H12" s="45" t="s">
        <v>53</v>
      </c>
      <c r="I12" s="33" t="s">
        <v>261</v>
      </c>
      <c r="J12" s="47">
        <v>7</v>
      </c>
      <c r="K12" s="33">
        <v>-12</v>
      </c>
      <c r="L12" s="33" t="str">
        <f t="shared" si="0"/>
        <v>EW_sand_Ruled_90</v>
      </c>
      <c r="M12" s="105" t="s">
        <v>64</v>
      </c>
      <c r="N12" s="47">
        <v>9.9</v>
      </c>
      <c r="O12" s="63">
        <v>0</v>
      </c>
      <c r="P12" s="63">
        <v>0</v>
      </c>
      <c r="Q12" s="47">
        <v>41</v>
      </c>
      <c r="R12" s="47">
        <f t="shared" si="1"/>
        <v>36</v>
      </c>
      <c r="S12" s="47">
        <v>1.2</v>
      </c>
      <c r="T12" s="47">
        <v>0</v>
      </c>
      <c r="U12" s="75">
        <v>0</v>
      </c>
      <c r="V12" s="75">
        <v>0</v>
      </c>
      <c r="W12" s="47">
        <v>0</v>
      </c>
      <c r="X12" s="47">
        <v>133700</v>
      </c>
      <c r="Y12" s="47">
        <v>0</v>
      </c>
      <c r="Z12" s="47">
        <f t="shared" si="2"/>
        <v>114.99999999999996</v>
      </c>
      <c r="AA12" s="47">
        <v>1</v>
      </c>
      <c r="AB12" s="47">
        <f t="shared" si="3"/>
        <v>12000</v>
      </c>
      <c r="AC12" s="63">
        <v>147000</v>
      </c>
      <c r="AD12" s="63">
        <v>-3809.52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4"/>
        <v>50.000000000000007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90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301</v>
      </c>
      <c r="J13" s="47">
        <v>8</v>
      </c>
      <c r="K13" s="19">
        <v>-16.2</v>
      </c>
      <c r="L13" s="116" t="s">
        <v>275</v>
      </c>
      <c r="M13" s="105" t="s">
        <v>65</v>
      </c>
      <c r="N13" s="47">
        <v>8.6999999999999993</v>
      </c>
      <c r="O13" s="63">
        <v>145</v>
      </c>
      <c r="P13" s="63">
        <v>1.1200000000000001</v>
      </c>
      <c r="Q13" s="47">
        <v>0</v>
      </c>
      <c r="R13" s="47" t="e">
        <f t="shared" si="1"/>
        <v>#N/A</v>
      </c>
      <c r="S13" s="47">
        <v>3</v>
      </c>
      <c r="T13" s="47">
        <v>0</v>
      </c>
      <c r="U13" s="75">
        <v>1.7999999999999999E-2</v>
      </c>
      <c r="V13" s="75">
        <v>0</v>
      </c>
      <c r="W13" s="47">
        <v>0.5</v>
      </c>
      <c r="X13" s="47">
        <v>15300</v>
      </c>
      <c r="Y13" s="47">
        <v>0</v>
      </c>
      <c r="Z13" s="47" t="e">
        <f t="shared" si="2"/>
        <v>#N/A</v>
      </c>
      <c r="AA13" s="47">
        <v>1</v>
      </c>
      <c r="AB13" s="47" t="e">
        <f t="shared" si="3"/>
        <v>#N/A</v>
      </c>
      <c r="AC13" s="63">
        <v>172000</v>
      </c>
      <c r="AD13" s="63">
        <v>2307.69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4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291</v>
      </c>
      <c r="J14" s="47">
        <v>9</v>
      </c>
      <c r="K14" s="19">
        <v>-30.5</v>
      </c>
      <c r="L14" s="33" t="str">
        <f>"EW_sand_Ruled"&amp;"_"&amp;AR14</f>
        <v>EW_sand_Ruled_72</v>
      </c>
      <c r="M14" s="105" t="s">
        <v>64</v>
      </c>
      <c r="N14" s="47">
        <v>8.5</v>
      </c>
      <c r="O14" s="63">
        <v>0</v>
      </c>
      <c r="P14" s="63">
        <v>0</v>
      </c>
      <c r="Q14" s="47">
        <v>27</v>
      </c>
      <c r="R14" s="47">
        <f t="shared" si="1"/>
        <v>22</v>
      </c>
      <c r="S14" s="47">
        <v>0.9</v>
      </c>
      <c r="T14" s="47">
        <v>0</v>
      </c>
      <c r="U14" s="75">
        <v>0</v>
      </c>
      <c r="V14" s="75">
        <v>0</v>
      </c>
      <c r="W14" s="47">
        <v>0</v>
      </c>
      <c r="X14" s="47">
        <v>32600</v>
      </c>
      <c r="Y14" s="47">
        <v>0</v>
      </c>
      <c r="Z14" s="47">
        <f t="shared" si="2"/>
        <v>72.59999999999998</v>
      </c>
      <c r="AA14" s="47">
        <v>1</v>
      </c>
      <c r="AB14" s="47">
        <f t="shared" si="3"/>
        <v>3660</v>
      </c>
      <c r="AC14" s="63">
        <v>175000</v>
      </c>
      <c r="AD14" s="63">
        <v>-6727.27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4"/>
        <v>15.200000000000003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72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291</v>
      </c>
      <c r="J15" s="47">
        <v>10</v>
      </c>
      <c r="K15" s="33">
        <v>-36</v>
      </c>
      <c r="L15" s="33" t="str">
        <f>"EW_sand_Ruled"&amp;"_"&amp;AR15</f>
        <v>EW_sand_Ruled_79</v>
      </c>
      <c r="M15" s="105" t="s">
        <v>64</v>
      </c>
      <c r="N15" s="47">
        <v>8.5</v>
      </c>
      <c r="O15" s="63">
        <v>0</v>
      </c>
      <c r="P15" s="63">
        <v>0</v>
      </c>
      <c r="Q15" s="47">
        <v>28</v>
      </c>
      <c r="R15" s="47">
        <f t="shared" si="1"/>
        <v>23</v>
      </c>
      <c r="S15" s="47">
        <v>0.9</v>
      </c>
      <c r="T15" s="47">
        <v>0</v>
      </c>
      <c r="U15" s="75">
        <v>0</v>
      </c>
      <c r="V15" s="75">
        <v>0</v>
      </c>
      <c r="W15" s="47">
        <v>0</v>
      </c>
      <c r="X15" s="47">
        <v>35000</v>
      </c>
      <c r="Y15" s="47">
        <v>0</v>
      </c>
      <c r="Z15" s="47">
        <f t="shared" si="2"/>
        <v>75.399999999999977</v>
      </c>
      <c r="AA15" s="47">
        <v>1</v>
      </c>
      <c r="AB15" s="47">
        <f t="shared" si="3"/>
        <v>4040</v>
      </c>
      <c r="AC15" s="63">
        <v>181000</v>
      </c>
      <c r="AD15" s="63">
        <v>1938.32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4"/>
        <v>16.800000000000004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79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271</v>
      </c>
      <c r="J16" s="47">
        <v>11</v>
      </c>
      <c r="K16" s="19">
        <v>-58.7</v>
      </c>
      <c r="L16" s="33" t="str">
        <f>"EW_sand_Ruled"&amp;"_"&amp;AR16</f>
        <v>EW_sand_Ruled_60</v>
      </c>
      <c r="M16" s="105" t="s">
        <v>64</v>
      </c>
      <c r="N16" s="47">
        <v>9.8000000000000007</v>
      </c>
      <c r="O16" s="63">
        <v>0</v>
      </c>
      <c r="P16" s="63">
        <v>0</v>
      </c>
      <c r="Q16" s="47">
        <v>27</v>
      </c>
      <c r="R16" s="47">
        <f t="shared" si="1"/>
        <v>22</v>
      </c>
      <c r="S16" s="47">
        <v>0.7</v>
      </c>
      <c r="T16" s="47">
        <v>0</v>
      </c>
      <c r="U16" s="75">
        <v>0</v>
      </c>
      <c r="V16" s="75">
        <v>0</v>
      </c>
      <c r="W16" s="47">
        <v>0</v>
      </c>
      <c r="X16" s="47">
        <v>40000</v>
      </c>
      <c r="Y16" s="47">
        <v>0</v>
      </c>
      <c r="Z16" s="47">
        <f t="shared" si="2"/>
        <v>72.59999999999998</v>
      </c>
      <c r="AA16" s="47">
        <v>1</v>
      </c>
      <c r="AB16" s="47">
        <f t="shared" si="3"/>
        <v>3660</v>
      </c>
      <c r="AC16" s="63">
        <v>208000</v>
      </c>
      <c r="AD16" s="63">
        <v>5000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>
        <f t="shared" si="4"/>
        <v>15.200000000000003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60</v>
      </c>
      <c r="AS16" s="33">
        <v>0.2</v>
      </c>
    </row>
    <row r="17" spans="1:45" s="56" customFormat="1" x14ac:dyDescent="0.25">
      <c r="A17" s="33" t="s">
        <v>98</v>
      </c>
      <c r="B17" s="57">
        <v>0.53</v>
      </c>
      <c r="C17" s="45"/>
      <c r="D17" s="152"/>
      <c r="E17" s="152"/>
      <c r="I17" s="33" t="s">
        <v>300</v>
      </c>
      <c r="J17" s="47">
        <v>12</v>
      </c>
      <c r="K17" s="19">
        <v>-62.7</v>
      </c>
      <c r="L17" s="33" t="str">
        <f>"EW_sand_Ruled"&amp;"_"&amp;AR17</f>
        <v>EW_sand_Ruled_76</v>
      </c>
      <c r="M17" s="105" t="s">
        <v>64</v>
      </c>
      <c r="N17" s="47">
        <v>10</v>
      </c>
      <c r="O17" s="63">
        <v>0</v>
      </c>
      <c r="P17" s="63">
        <v>0</v>
      </c>
      <c r="Q17" s="47">
        <v>28</v>
      </c>
      <c r="R17" s="47">
        <f t="shared" si="1"/>
        <v>23</v>
      </c>
      <c r="S17" s="47">
        <v>0.8</v>
      </c>
      <c r="T17" s="47">
        <v>0</v>
      </c>
      <c r="U17" s="75">
        <v>0</v>
      </c>
      <c r="V17" s="75">
        <v>0</v>
      </c>
      <c r="W17" s="47">
        <v>0</v>
      </c>
      <c r="X17" s="47">
        <v>40000</v>
      </c>
      <c r="Y17" s="47">
        <v>0</v>
      </c>
      <c r="Z17" s="47">
        <f t="shared" si="2"/>
        <v>75.399999999999977</v>
      </c>
      <c r="AA17" s="47">
        <v>1</v>
      </c>
      <c r="AB17" s="47">
        <f t="shared" si="3"/>
        <v>4040</v>
      </c>
      <c r="AC17" s="63">
        <v>221000</v>
      </c>
      <c r="AD17" s="63">
        <v>11162.79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>
        <f t="shared" si="4"/>
        <v>16.800000000000004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76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302</v>
      </c>
      <c r="J18" s="47">
        <v>13</v>
      </c>
      <c r="K18" s="19">
        <v>-67</v>
      </c>
      <c r="L18" s="33" t="str">
        <f>"EW_sand_Ruled"&amp;"_"&amp;AR18</f>
        <v>EW_sand_Ruled_80</v>
      </c>
      <c r="M18" s="105" t="s">
        <v>64</v>
      </c>
      <c r="N18" s="47">
        <v>9.3000000000000007</v>
      </c>
      <c r="O18" s="63">
        <v>0</v>
      </c>
      <c r="P18" s="63">
        <v>0</v>
      </c>
      <c r="Q18" s="47">
        <v>29</v>
      </c>
      <c r="R18" s="47">
        <f t="shared" si="1"/>
        <v>24</v>
      </c>
      <c r="S18" s="47">
        <v>0.9</v>
      </c>
      <c r="T18" s="47">
        <v>0</v>
      </c>
      <c r="U18" s="75">
        <v>0</v>
      </c>
      <c r="V18" s="75">
        <v>0</v>
      </c>
      <c r="W18" s="47">
        <v>0</v>
      </c>
      <c r="X18" s="47">
        <v>65000</v>
      </c>
      <c r="Y18" s="47">
        <v>0</v>
      </c>
      <c r="Z18" s="47">
        <f t="shared" si="2"/>
        <v>78.199999999999974</v>
      </c>
      <c r="AA18" s="47">
        <v>1</v>
      </c>
      <c r="AB18" s="47">
        <f t="shared" si="3"/>
        <v>4420</v>
      </c>
      <c r="AC18" s="63">
        <v>276000</v>
      </c>
      <c r="AD18" s="63">
        <v>-5428.57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>
        <f t="shared" si="4"/>
        <v>18.400000000000006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80</v>
      </c>
      <c r="AS18" s="33">
        <v>0.4</v>
      </c>
    </row>
    <row r="19" spans="1:45" x14ac:dyDescent="0.25">
      <c r="A19" s="152" t="s">
        <v>38</v>
      </c>
      <c r="B19" s="152" t="s">
        <v>30</v>
      </c>
      <c r="C19" s="152" t="s">
        <v>59</v>
      </c>
      <c r="D19" s="43"/>
      <c r="E19" s="35"/>
      <c r="I19" s="33" t="s">
        <v>273</v>
      </c>
      <c r="J19" s="47">
        <v>14</v>
      </c>
      <c r="K19" s="19">
        <v>-74</v>
      </c>
      <c r="L19" s="116" t="s">
        <v>275</v>
      </c>
      <c r="M19" s="105" t="s">
        <v>65</v>
      </c>
      <c r="N19" s="47">
        <v>8.9</v>
      </c>
      <c r="O19" s="63">
        <v>444</v>
      </c>
      <c r="P19" s="63">
        <v>-9.5</v>
      </c>
      <c r="Q19" s="47">
        <v>0</v>
      </c>
      <c r="R19" s="47" t="e">
        <f t="shared" si="1"/>
        <v>#N/A</v>
      </c>
      <c r="S19" s="47">
        <v>1.7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37300</v>
      </c>
      <c r="Y19" s="47">
        <v>0</v>
      </c>
      <c r="Z19" s="47" t="e">
        <f t="shared" si="2"/>
        <v>#N/A</v>
      </c>
      <c r="AA19" s="47">
        <v>1</v>
      </c>
      <c r="AB19" s="47" t="e">
        <f t="shared" si="3"/>
        <v>#N/A</v>
      </c>
      <c r="AC19" s="63">
        <v>704000</v>
      </c>
      <c r="AD19" s="63">
        <v>-13333.33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4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273</v>
      </c>
      <c r="J20" s="47">
        <v>15</v>
      </c>
      <c r="K20" s="33">
        <v>-80</v>
      </c>
      <c r="L20" s="116" t="s">
        <v>275</v>
      </c>
      <c r="M20" s="105" t="s">
        <v>65</v>
      </c>
      <c r="N20" s="47">
        <v>8.9</v>
      </c>
      <c r="O20" s="63">
        <v>387</v>
      </c>
      <c r="P20" s="63">
        <v>0</v>
      </c>
      <c r="Q20" s="47">
        <v>0</v>
      </c>
      <c r="R20" s="47" t="e">
        <f t="shared" si="1"/>
        <v>#N/A</v>
      </c>
      <c r="S20" s="47">
        <v>1.7</v>
      </c>
      <c r="T20" s="47">
        <v>0</v>
      </c>
      <c r="U20" s="75">
        <v>1.7999999999999999E-2</v>
      </c>
      <c r="V20" s="75">
        <v>0</v>
      </c>
      <c r="W20" s="47">
        <v>0.25</v>
      </c>
      <c r="X20" s="47">
        <v>37300</v>
      </c>
      <c r="Y20" s="47">
        <v>0</v>
      </c>
      <c r="Z20" s="47" t="e">
        <f t="shared" si="2"/>
        <v>#N/A</v>
      </c>
      <c r="AA20" s="47">
        <v>1</v>
      </c>
      <c r="AB20" s="47" t="e">
        <f t="shared" si="3"/>
        <v>#N/A</v>
      </c>
      <c r="AC20" s="63">
        <v>624000</v>
      </c>
      <c r="AD20" s="63">
        <v>0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 t="e">
        <f t="shared" si="4"/>
        <v>#N/A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0</v>
      </c>
      <c r="AS20" s="33">
        <v>0.4</v>
      </c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5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5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</row>
    <row r="42" spans="1:42" x14ac:dyDescent="0.25">
      <c r="L42" s="49"/>
      <c r="AE42" s="33">
        <v>18</v>
      </c>
      <c r="AF42" s="33">
        <f t="shared" si="5"/>
        <v>59.399999999999991</v>
      </c>
      <c r="AG42" s="33">
        <f t="shared" si="6"/>
        <v>2500</v>
      </c>
      <c r="AH42" s="33">
        <f t="shared" si="7"/>
        <v>10.400000000000002</v>
      </c>
    </row>
    <row r="43" spans="1:42" x14ac:dyDescent="0.25">
      <c r="L43" s="49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</row>
    <row r="44" spans="1:42" x14ac:dyDescent="0.25">
      <c r="L44" s="49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2" x14ac:dyDescent="0.25">
      <c r="L47" s="49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2" x14ac:dyDescent="0.25">
      <c r="L48" s="49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9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9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9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9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9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9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9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1:AP36">
    <cfRule type="expression" dxfId="2893" priority="24">
      <formula>$L21="API sand"</formula>
    </cfRule>
  </conditionalFormatting>
  <conditionalFormatting sqref="R29:S36 S21:S28 AD21:AD28 AB21:AB35">
    <cfRule type="expression" dxfId="2892" priority="23">
      <formula>$M21="API sand"</formula>
    </cfRule>
  </conditionalFormatting>
  <conditionalFormatting sqref="R29:T36 S21:T28 AD21:AD28 AB21:AB35">
    <cfRule type="expression" dxfId="2891" priority="22">
      <formula>$M21="API clay"</formula>
    </cfRule>
  </conditionalFormatting>
  <conditionalFormatting sqref="U21:W36 AM21:AP36">
    <cfRule type="expression" dxfId="2890" priority="19">
      <formula>$L21="Stiff clay w/o free water"</formula>
    </cfRule>
    <cfRule type="expression" dxfId="2889" priority="21">
      <formula>$L21="API clay"</formula>
    </cfRule>
  </conditionalFormatting>
  <conditionalFormatting sqref="U21:Y36 AM21:AP36">
    <cfRule type="expression" dxfId="2888" priority="20">
      <formula>$L21="Kirsch soft clay"</formula>
    </cfRule>
  </conditionalFormatting>
  <conditionalFormatting sqref="U21:Y36 AM21:AP36">
    <cfRule type="expression" dxfId="2887" priority="18">
      <formula>$L21="Kirsch stiff clay"</formula>
    </cfRule>
  </conditionalFormatting>
  <conditionalFormatting sqref="AM21:AP36">
    <cfRule type="expression" dxfId="2886" priority="17">
      <formula>$L21="Kirsch sand"</formula>
    </cfRule>
  </conditionalFormatting>
  <conditionalFormatting sqref="AM21:AP36">
    <cfRule type="expression" dxfId="2885" priority="16">
      <formula>$L21="Modified Weak rock"</formula>
    </cfRule>
  </conditionalFormatting>
  <conditionalFormatting sqref="U21:V36 AM21:AP36">
    <cfRule type="expression" dxfId="2884" priority="15">
      <formula>$L21="Reese stiff clay"</formula>
    </cfRule>
  </conditionalFormatting>
  <conditionalFormatting sqref="N21:N36 Q21:Q36">
    <cfRule type="expression" dxfId="2883" priority="14">
      <formula>$L21="API sand"</formula>
    </cfRule>
  </conditionalFormatting>
  <conditionalFormatting sqref="N21:N36 AB36 AJ21:AL36 Z21:Z36">
    <cfRule type="expression" dxfId="2882" priority="13">
      <formula>$M21="API sand"</formula>
    </cfRule>
  </conditionalFormatting>
  <conditionalFormatting sqref="Z36:AB36 AK21:AL36 N21:N36 Z21:AA35">
    <cfRule type="expression" dxfId="2881" priority="12">
      <formula>$M21="API clay"</formula>
    </cfRule>
  </conditionalFormatting>
  <conditionalFormatting sqref="N29:P36 N21:N28 P21:P28">
    <cfRule type="expression" dxfId="2880" priority="9">
      <formula>$L21="Stiff clay w/o free water"</formula>
    </cfRule>
    <cfRule type="expression" dxfId="2879" priority="11">
      <formula>$L21="API clay"</formula>
    </cfRule>
  </conditionalFormatting>
  <conditionalFormatting sqref="N29:P36 N21:N28 P21:P28">
    <cfRule type="expression" dxfId="2878" priority="10">
      <formula>$L21="Kirsch soft clay"</formula>
    </cfRule>
  </conditionalFormatting>
  <conditionalFormatting sqref="N29:P36 N21:N28 P21:P28">
    <cfRule type="expression" dxfId="2877" priority="8">
      <formula>$L21="Kirsch stiff clay"</formula>
    </cfRule>
  </conditionalFormatting>
  <conditionalFormatting sqref="N21:N36 Q21:Q36 X21:Y36">
    <cfRule type="expression" dxfId="2876" priority="7">
      <formula>$L21="Kirsch sand"</formula>
    </cfRule>
  </conditionalFormatting>
  <conditionalFormatting sqref="N21:N36 AC21:AD36 AI21:AI36">
    <cfRule type="expression" dxfId="2875" priority="6">
      <formula>$L21="Modified Weak rock"</formula>
    </cfRule>
  </conditionalFormatting>
  <conditionalFormatting sqref="N29:P36 N21:N28 P21:P28">
    <cfRule type="expression" dxfId="2874" priority="5">
      <formula>$L21="Reese stiff clay"</formula>
    </cfRule>
  </conditionalFormatting>
  <conditionalFormatting sqref="O21">
    <cfRule type="expression" dxfId="2873" priority="4">
      <formula>$L21="API sand"</formula>
    </cfRule>
  </conditionalFormatting>
  <conditionalFormatting sqref="O21">
    <cfRule type="expression" dxfId="2872" priority="3">
      <formula>$L21="Kirsch sand"</formula>
    </cfRule>
  </conditionalFormatting>
  <conditionalFormatting sqref="O22:O28">
    <cfRule type="expression" dxfId="2871" priority="2">
      <formula>$L22="API sand"</formula>
    </cfRule>
  </conditionalFormatting>
  <conditionalFormatting sqref="O22:O28">
    <cfRule type="expression" dxfId="2870" priority="1">
      <formula>$L22="Kirsch sand"</formula>
    </cfRule>
  </conditionalFormatting>
  <conditionalFormatting sqref="AE37:AH37">
    <cfRule type="expression" dxfId="2869" priority="25">
      <formula>$L19="Modified Weak rock"</formula>
    </cfRule>
  </conditionalFormatting>
  <dataValidations count="4">
    <dataValidation showInputMessage="1" showErrorMessage="1" sqref="L13 L19:L20" xr:uid="{18873C5C-3E40-472D-9898-8109C7706A8C}"/>
    <dataValidation type="list" showInputMessage="1" showErrorMessage="1" sqref="M6:M20" xr:uid="{4DBEC381-4E8A-4C6B-98C6-01737FE8BE09}">
      <formula1>"Zero soil,API sand,API clay"</formula1>
    </dataValidation>
    <dataValidation type="list" showInputMessage="1" showErrorMessage="1" sqref="L21:L255" xr:uid="{25128BAB-C2AB-45A6-9B94-B8A6F966BFA4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9:M36" xr:uid="{BE6E7C06-944E-4158-8CD7-6E0A3E43B5E3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7D855-8EA3-4801-969C-D0B205D8229C}">
  <sheetPr>
    <tabColor rgb="FF00B0F0"/>
  </sheetPr>
  <dimension ref="A1:AS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Ak_Pisa_WTG61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4"/>
      <c r="R3" s="155"/>
      <c r="S3" s="155"/>
      <c r="T3" s="114"/>
      <c r="U3" s="155"/>
      <c r="V3" s="155"/>
      <c r="W3" s="114"/>
      <c r="X3" s="69"/>
      <c r="Y3" s="114"/>
      <c r="Z3" s="114"/>
      <c r="AA3" s="114"/>
      <c r="AB3" s="114"/>
      <c r="AC3" s="69"/>
      <c r="AD3" s="39"/>
      <c r="AE3" s="39"/>
      <c r="AF3" s="39"/>
      <c r="AG3" s="39"/>
      <c r="AH3" s="39"/>
      <c r="AI3" s="39"/>
      <c r="AJ3" s="114"/>
      <c r="AK3" s="114"/>
      <c r="AL3" s="114"/>
      <c r="AM3" s="114"/>
      <c r="AN3" s="114"/>
      <c r="AO3" s="114"/>
      <c r="AP3" s="114"/>
    </row>
    <row r="4" spans="1:45" x14ac:dyDescent="0.25">
      <c r="A4" s="40" t="s">
        <v>60</v>
      </c>
      <c r="B4" s="33">
        <f>COUNTIF(J:J,"&gt;0")</f>
        <v>15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5" t="s">
        <v>38</v>
      </c>
      <c r="K5" s="115" t="s">
        <v>30</v>
      </c>
      <c r="L5" s="115" t="s">
        <v>31</v>
      </c>
      <c r="M5" s="115" t="s">
        <v>31</v>
      </c>
      <c r="N5" s="115" t="s">
        <v>32</v>
      </c>
      <c r="O5" s="115" t="s">
        <v>33</v>
      </c>
      <c r="P5" s="115" t="s">
        <v>35</v>
      </c>
      <c r="Q5" s="115" t="s">
        <v>36</v>
      </c>
      <c r="R5" s="115" t="s">
        <v>36</v>
      </c>
      <c r="S5" s="115" t="s">
        <v>34</v>
      </c>
      <c r="T5" s="115" t="s">
        <v>33</v>
      </c>
      <c r="U5" s="115" t="s">
        <v>34</v>
      </c>
      <c r="V5" s="115" t="s">
        <v>62</v>
      </c>
      <c r="W5" s="115" t="s">
        <v>34</v>
      </c>
      <c r="X5" s="115" t="s">
        <v>33</v>
      </c>
      <c r="Y5" s="115" t="s">
        <v>35</v>
      </c>
      <c r="Z5" s="115" t="s">
        <v>33</v>
      </c>
      <c r="AA5" s="115" t="s">
        <v>34</v>
      </c>
      <c r="AB5" s="115" t="s">
        <v>33</v>
      </c>
      <c r="AC5" s="115" t="s">
        <v>33</v>
      </c>
      <c r="AD5" s="115" t="s">
        <v>35</v>
      </c>
      <c r="AE5" s="115" t="s">
        <v>34</v>
      </c>
      <c r="AF5" s="115" t="s">
        <v>33</v>
      </c>
      <c r="AG5" s="115" t="s">
        <v>35</v>
      </c>
      <c r="AH5" s="115" t="s">
        <v>34</v>
      </c>
      <c r="AI5" s="115" t="s">
        <v>34</v>
      </c>
      <c r="AJ5" s="115" t="s">
        <v>34</v>
      </c>
      <c r="AK5" s="115" t="s">
        <v>34</v>
      </c>
      <c r="AL5" s="115" t="s">
        <v>34</v>
      </c>
      <c r="AM5" s="115" t="s">
        <v>34</v>
      </c>
      <c r="AN5" s="115" t="s">
        <v>34</v>
      </c>
      <c r="AO5" s="115" t="s">
        <v>34</v>
      </c>
      <c r="AP5" s="115" t="s">
        <v>34</v>
      </c>
      <c r="AQ5" s="115" t="s">
        <v>103</v>
      </c>
      <c r="AR5" s="115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 t="shared" ref="L6:L12" si="0">"EW_sand_Ruled"&amp;"_"&amp;AR6</f>
        <v>EW_sand_Ruled_92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38</v>
      </c>
      <c r="R6" s="47">
        <f t="shared" ref="R6:R20" si="1">IF(Q6&lt;&gt;0,Q6-5,NA())</f>
        <v>33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13900</v>
      </c>
      <c r="Y6" s="47">
        <v>0</v>
      </c>
      <c r="Z6" s="47">
        <f t="shared" ref="Z6:Z8" si="2">VLOOKUP(R6,$AE$39:$AF$59,2)</f>
        <v>107.39999999999996</v>
      </c>
      <c r="AA6" s="47">
        <v>1</v>
      </c>
      <c r="AB6" s="47">
        <f t="shared" ref="AB6:AB20" si="3">VLOOKUP(R6,$AE$39:$AG$59,3)</f>
        <v>11040</v>
      </c>
      <c r="AC6" s="63">
        <v>11000</v>
      </c>
      <c r="AD6" s="63">
        <v>21000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8" si="4">VLOOKUP(R6,$AE$39:$AH$59,4)</f>
        <v>46.000000000000007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92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-1</v>
      </c>
      <c r="L7" s="33" t="str">
        <f t="shared" si="0"/>
        <v>EW_sand_Ruled_100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42</v>
      </c>
      <c r="R7" s="47">
        <f t="shared" si="1"/>
        <v>37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45000</v>
      </c>
      <c r="Y7" s="47">
        <v>0</v>
      </c>
      <c r="Z7" s="47">
        <f t="shared" si="2"/>
        <v>114.99999999999996</v>
      </c>
      <c r="AA7" s="47">
        <v>1</v>
      </c>
      <c r="AB7" s="47">
        <f t="shared" si="3"/>
        <v>12000</v>
      </c>
      <c r="AC7" s="63">
        <v>43000</v>
      </c>
      <c r="AD7" s="63">
        <v>8000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4"/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15793.423999999999</v>
      </c>
      <c r="H8" s="45" t="s">
        <v>53</v>
      </c>
      <c r="I8" s="33" t="s">
        <v>279</v>
      </c>
      <c r="J8" s="47">
        <v>3</v>
      </c>
      <c r="K8" s="33">
        <v>-2</v>
      </c>
      <c r="L8" s="33" t="str">
        <f t="shared" si="0"/>
        <v>EW_sand_Ruled_89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40</v>
      </c>
      <c r="R8" s="47">
        <f t="shared" si="1"/>
        <v>35</v>
      </c>
      <c r="S8" s="47">
        <v>0.5</v>
      </c>
      <c r="T8" s="47">
        <v>0</v>
      </c>
      <c r="U8" s="75">
        <v>0</v>
      </c>
      <c r="V8" s="75">
        <v>0</v>
      </c>
      <c r="W8" s="47">
        <v>0</v>
      </c>
      <c r="X8" s="47">
        <v>45400</v>
      </c>
      <c r="Y8" s="47">
        <v>0</v>
      </c>
      <c r="Z8" s="47">
        <f t="shared" si="2"/>
        <v>114.99999999999996</v>
      </c>
      <c r="AA8" s="47">
        <v>1</v>
      </c>
      <c r="AB8" s="47">
        <f t="shared" si="3"/>
        <v>12000</v>
      </c>
      <c r="AC8" s="63">
        <v>56000</v>
      </c>
      <c r="AD8" s="63">
        <v>5500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4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89</v>
      </c>
      <c r="AS8" s="33">
        <v>0.4</v>
      </c>
    </row>
    <row r="9" spans="1:45" x14ac:dyDescent="0.25">
      <c r="A9" s="33" t="s">
        <v>68</v>
      </c>
      <c r="B9" s="57">
        <v>35</v>
      </c>
      <c r="C9" s="45" t="s">
        <v>28</v>
      </c>
      <c r="D9" s="57">
        <v>28</v>
      </c>
      <c r="F9" s="33" t="s">
        <v>96</v>
      </c>
      <c r="G9" s="76">
        <v>-681922.96461538505</v>
      </c>
      <c r="H9" s="45" t="s">
        <v>54</v>
      </c>
      <c r="I9" s="56" t="s">
        <v>295</v>
      </c>
      <c r="J9" s="47">
        <v>4</v>
      </c>
      <c r="K9" s="19">
        <v>-4</v>
      </c>
      <c r="L9" s="33" t="str">
        <f t="shared" si="0"/>
        <v>EW_sand_Ruled_69</v>
      </c>
      <c r="M9" s="105" t="s">
        <v>64</v>
      </c>
      <c r="N9" s="47">
        <v>9.4</v>
      </c>
      <c r="O9" s="63">
        <v>0</v>
      </c>
      <c r="P9" s="63">
        <v>0</v>
      </c>
      <c r="Q9" s="47">
        <v>40</v>
      </c>
      <c r="R9" s="47">
        <f t="shared" si="1"/>
        <v>35</v>
      </c>
      <c r="S9" s="47">
        <v>1.5</v>
      </c>
      <c r="T9" s="47">
        <v>0</v>
      </c>
      <c r="U9" s="75">
        <v>0</v>
      </c>
      <c r="V9" s="75">
        <v>0</v>
      </c>
      <c r="W9" s="47">
        <v>0</v>
      </c>
      <c r="X9" s="47">
        <v>51200</v>
      </c>
      <c r="Y9" s="47">
        <v>0</v>
      </c>
      <c r="Z9" s="47">
        <f t="shared" ref="Z9:Z20" si="5">VLOOKUP(R9,$AE$39:$AF$59,2)</f>
        <v>114.99999999999996</v>
      </c>
      <c r="AA9" s="47">
        <v>1</v>
      </c>
      <c r="AB9" s="47">
        <f t="shared" si="3"/>
        <v>12000</v>
      </c>
      <c r="AC9" s="63">
        <v>62000</v>
      </c>
      <c r="AD9" s="63">
        <v>12666.67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ref="AJ9:AJ20" si="6">VLOOKUP(R9,$AE$39:$AH$59,4)</f>
        <v>50.000000000000007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69</v>
      </c>
      <c r="AS9" s="33">
        <v>0.4</v>
      </c>
    </row>
    <row r="10" spans="1:45" s="56" customFormat="1" x14ac:dyDescent="0.25">
      <c r="A10" s="56" t="s">
        <v>69</v>
      </c>
      <c r="B10" s="58">
        <v>35</v>
      </c>
      <c r="C10" s="45" t="s">
        <v>28</v>
      </c>
      <c r="D10" s="58">
        <v>28</v>
      </c>
      <c r="F10" s="33" t="s">
        <v>51</v>
      </c>
      <c r="G10" s="71">
        <v>27223.783076923079</v>
      </c>
      <c r="H10" s="45" t="s">
        <v>53</v>
      </c>
      <c r="I10" s="56" t="s">
        <v>259</v>
      </c>
      <c r="J10" s="47">
        <v>5</v>
      </c>
      <c r="K10" s="19">
        <v>-5.5</v>
      </c>
      <c r="L10" s="33" t="str">
        <f t="shared" si="0"/>
        <v>EW_sand_Ruled_70</v>
      </c>
      <c r="M10" s="105" t="s">
        <v>64</v>
      </c>
      <c r="N10" s="47">
        <v>10</v>
      </c>
      <c r="O10" s="63">
        <v>0</v>
      </c>
      <c r="P10" s="63">
        <v>0</v>
      </c>
      <c r="Q10" s="47">
        <v>39</v>
      </c>
      <c r="R10" s="47">
        <f t="shared" si="1"/>
        <v>34</v>
      </c>
      <c r="S10" s="47">
        <v>1.2</v>
      </c>
      <c r="T10" s="47">
        <v>0</v>
      </c>
      <c r="U10" s="75">
        <v>0</v>
      </c>
      <c r="V10" s="75">
        <v>0</v>
      </c>
      <c r="W10" s="47">
        <v>0</v>
      </c>
      <c r="X10" s="47">
        <v>52400</v>
      </c>
      <c r="Y10" s="47">
        <v>0</v>
      </c>
      <c r="Z10" s="47">
        <f t="shared" si="5"/>
        <v>111.19999999999996</v>
      </c>
      <c r="AA10" s="47">
        <v>1</v>
      </c>
      <c r="AB10" s="47">
        <f t="shared" si="3"/>
        <v>11520</v>
      </c>
      <c r="AC10" s="63">
        <v>84000</v>
      </c>
      <c r="AD10" s="63">
        <v>625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6"/>
        <v>48.000000000000007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70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261</v>
      </c>
      <c r="J11" s="47">
        <v>6</v>
      </c>
      <c r="K11" s="19">
        <v>-8.6999999999999993</v>
      </c>
      <c r="L11" s="33" t="str">
        <f t="shared" si="0"/>
        <v>EW_sand_Ruled_89</v>
      </c>
      <c r="M11" s="105" t="s">
        <v>64</v>
      </c>
      <c r="N11" s="47">
        <v>9.9</v>
      </c>
      <c r="O11" s="63">
        <v>0</v>
      </c>
      <c r="P11" s="63">
        <v>0</v>
      </c>
      <c r="Q11" s="47">
        <v>41</v>
      </c>
      <c r="R11" s="47">
        <f t="shared" si="1"/>
        <v>36</v>
      </c>
      <c r="S11" s="47">
        <v>1.4</v>
      </c>
      <c r="T11" s="47">
        <v>0</v>
      </c>
      <c r="U11" s="75">
        <v>0</v>
      </c>
      <c r="V11" s="75">
        <v>0</v>
      </c>
      <c r="W11" s="47">
        <v>0</v>
      </c>
      <c r="X11" s="47">
        <v>116000</v>
      </c>
      <c r="Y11" s="47">
        <v>0</v>
      </c>
      <c r="Z11" s="47">
        <f t="shared" si="5"/>
        <v>114.99999999999996</v>
      </c>
      <c r="AA11" s="47">
        <v>1</v>
      </c>
      <c r="AB11" s="47">
        <f t="shared" si="3"/>
        <v>12000</v>
      </c>
      <c r="AC11" s="63">
        <v>100000</v>
      </c>
      <c r="AD11" s="63">
        <v>15454.54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6"/>
        <v>50.000000000000007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89</v>
      </c>
      <c r="AS11" s="33">
        <v>0.4</v>
      </c>
    </row>
    <row r="12" spans="1:45" x14ac:dyDescent="0.25">
      <c r="A12" s="33" t="s">
        <v>74</v>
      </c>
      <c r="B12" s="57">
        <v>9.6</v>
      </c>
      <c r="C12" s="45" t="s">
        <v>28</v>
      </c>
      <c r="E12" s="59"/>
      <c r="F12" s="56" t="s">
        <v>97</v>
      </c>
      <c r="G12" s="71">
        <v>2934.8232153846157</v>
      </c>
      <c r="H12" s="45" t="s">
        <v>53</v>
      </c>
      <c r="I12" s="33" t="s">
        <v>261</v>
      </c>
      <c r="J12" s="47">
        <v>7</v>
      </c>
      <c r="K12" s="33">
        <v>-12</v>
      </c>
      <c r="L12" s="33" t="str">
        <f t="shared" si="0"/>
        <v>EW_sand_Ruled_90</v>
      </c>
      <c r="M12" s="105" t="s">
        <v>64</v>
      </c>
      <c r="N12" s="47">
        <v>9.9</v>
      </c>
      <c r="O12" s="63">
        <v>0</v>
      </c>
      <c r="P12" s="63">
        <v>0</v>
      </c>
      <c r="Q12" s="47">
        <v>41</v>
      </c>
      <c r="R12" s="47">
        <f t="shared" si="1"/>
        <v>36</v>
      </c>
      <c r="S12" s="47">
        <v>1.2</v>
      </c>
      <c r="T12" s="47">
        <v>0</v>
      </c>
      <c r="U12" s="75">
        <v>0</v>
      </c>
      <c r="V12" s="75">
        <v>0</v>
      </c>
      <c r="W12" s="47">
        <v>0</v>
      </c>
      <c r="X12" s="47">
        <v>133700</v>
      </c>
      <c r="Y12" s="47">
        <v>0</v>
      </c>
      <c r="Z12" s="47">
        <f t="shared" si="5"/>
        <v>114.99999999999996</v>
      </c>
      <c r="AA12" s="47">
        <v>1</v>
      </c>
      <c r="AB12" s="47">
        <f t="shared" si="3"/>
        <v>12000</v>
      </c>
      <c r="AC12" s="63">
        <v>147000</v>
      </c>
      <c r="AD12" s="63">
        <v>-3809.52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6"/>
        <v>50.000000000000007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90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301</v>
      </c>
      <c r="J13" s="47">
        <v>8</v>
      </c>
      <c r="K13" s="19">
        <v>-16.2</v>
      </c>
      <c r="L13" s="116" t="s">
        <v>275</v>
      </c>
      <c r="M13" s="105" t="s">
        <v>65</v>
      </c>
      <c r="N13" s="47">
        <v>8.6999999999999993</v>
      </c>
      <c r="O13" s="63">
        <v>145</v>
      </c>
      <c r="P13" s="63">
        <v>1.1200000000000001</v>
      </c>
      <c r="Q13" s="47">
        <v>0</v>
      </c>
      <c r="R13" s="47" t="e">
        <f t="shared" si="1"/>
        <v>#N/A</v>
      </c>
      <c r="S13" s="47">
        <v>3</v>
      </c>
      <c r="T13" s="47">
        <v>0</v>
      </c>
      <c r="U13" s="75">
        <v>1.7999999999999999E-2</v>
      </c>
      <c r="V13" s="75">
        <v>0</v>
      </c>
      <c r="W13" s="47">
        <v>0.5</v>
      </c>
      <c r="X13" s="47">
        <v>15300</v>
      </c>
      <c r="Y13" s="47">
        <v>0</v>
      </c>
      <c r="Z13" s="47" t="e">
        <f t="shared" si="5"/>
        <v>#N/A</v>
      </c>
      <c r="AA13" s="47">
        <v>1</v>
      </c>
      <c r="AB13" s="47" t="e">
        <f t="shared" si="3"/>
        <v>#N/A</v>
      </c>
      <c r="AC13" s="63">
        <v>172000</v>
      </c>
      <c r="AD13" s="63">
        <v>2307.69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6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291</v>
      </c>
      <c r="J14" s="47">
        <v>9</v>
      </c>
      <c r="K14" s="19">
        <v>-30.5</v>
      </c>
      <c r="L14" s="33" t="str">
        <f>"EW_sand_Ruled"&amp;"_"&amp;AR14</f>
        <v>EW_sand_Ruled_72</v>
      </c>
      <c r="M14" s="105" t="s">
        <v>64</v>
      </c>
      <c r="N14" s="47">
        <v>8.5</v>
      </c>
      <c r="O14" s="63">
        <v>0</v>
      </c>
      <c r="P14" s="63">
        <v>0</v>
      </c>
      <c r="Q14" s="47">
        <v>27</v>
      </c>
      <c r="R14" s="47">
        <f t="shared" si="1"/>
        <v>22</v>
      </c>
      <c r="S14" s="47">
        <v>0.9</v>
      </c>
      <c r="T14" s="47">
        <v>0</v>
      </c>
      <c r="U14" s="75">
        <v>0</v>
      </c>
      <c r="V14" s="75">
        <v>0</v>
      </c>
      <c r="W14" s="47">
        <v>0</v>
      </c>
      <c r="X14" s="47">
        <v>32600</v>
      </c>
      <c r="Y14" s="47">
        <v>0</v>
      </c>
      <c r="Z14" s="47">
        <f t="shared" si="5"/>
        <v>72.59999999999998</v>
      </c>
      <c r="AA14" s="47">
        <v>1</v>
      </c>
      <c r="AB14" s="47">
        <f t="shared" si="3"/>
        <v>3660</v>
      </c>
      <c r="AC14" s="63">
        <v>175000</v>
      </c>
      <c r="AD14" s="63">
        <v>-6727.27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6"/>
        <v>15.200000000000003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72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291</v>
      </c>
      <c r="J15" s="47">
        <v>10</v>
      </c>
      <c r="K15" s="33">
        <v>-36</v>
      </c>
      <c r="L15" s="33" t="str">
        <f>"EW_sand_Ruled"&amp;"_"&amp;AR15</f>
        <v>EW_sand_Ruled_79</v>
      </c>
      <c r="M15" s="105" t="s">
        <v>64</v>
      </c>
      <c r="N15" s="47">
        <v>8.5</v>
      </c>
      <c r="O15" s="63">
        <v>0</v>
      </c>
      <c r="P15" s="63">
        <v>0</v>
      </c>
      <c r="Q15" s="47">
        <v>28</v>
      </c>
      <c r="R15" s="47">
        <f t="shared" si="1"/>
        <v>23</v>
      </c>
      <c r="S15" s="47">
        <v>0.9</v>
      </c>
      <c r="T15" s="47">
        <v>0</v>
      </c>
      <c r="U15" s="75">
        <v>0</v>
      </c>
      <c r="V15" s="75">
        <v>0</v>
      </c>
      <c r="W15" s="47">
        <v>0</v>
      </c>
      <c r="X15" s="47">
        <v>35000</v>
      </c>
      <c r="Y15" s="47">
        <v>0</v>
      </c>
      <c r="Z15" s="47">
        <f t="shared" si="5"/>
        <v>75.399999999999977</v>
      </c>
      <c r="AA15" s="47">
        <v>1</v>
      </c>
      <c r="AB15" s="47">
        <f t="shared" si="3"/>
        <v>4040</v>
      </c>
      <c r="AC15" s="63">
        <v>181000</v>
      </c>
      <c r="AD15" s="63">
        <v>1938.32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6"/>
        <v>16.800000000000004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79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271</v>
      </c>
      <c r="J16" s="47">
        <v>11</v>
      </c>
      <c r="K16" s="19">
        <v>-58.7</v>
      </c>
      <c r="L16" s="33" t="str">
        <f>"EW_sand_Ruled"&amp;"_"&amp;AR16</f>
        <v>EW_sand_Ruled_60</v>
      </c>
      <c r="M16" s="105" t="s">
        <v>64</v>
      </c>
      <c r="N16" s="47">
        <v>9.8000000000000007</v>
      </c>
      <c r="O16" s="63">
        <v>0</v>
      </c>
      <c r="P16" s="63">
        <v>0</v>
      </c>
      <c r="Q16" s="47">
        <v>27</v>
      </c>
      <c r="R16" s="47">
        <f t="shared" si="1"/>
        <v>22</v>
      </c>
      <c r="S16" s="47">
        <v>0.7</v>
      </c>
      <c r="T16" s="47">
        <v>0</v>
      </c>
      <c r="U16" s="75">
        <v>0</v>
      </c>
      <c r="V16" s="75">
        <v>0</v>
      </c>
      <c r="W16" s="47">
        <v>0</v>
      </c>
      <c r="X16" s="47">
        <v>40000</v>
      </c>
      <c r="Y16" s="47">
        <v>0</v>
      </c>
      <c r="Z16" s="47">
        <f t="shared" si="5"/>
        <v>72.59999999999998</v>
      </c>
      <c r="AA16" s="47">
        <v>1</v>
      </c>
      <c r="AB16" s="47">
        <f t="shared" si="3"/>
        <v>3660</v>
      </c>
      <c r="AC16" s="63">
        <v>208000</v>
      </c>
      <c r="AD16" s="63">
        <v>5000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>
        <f t="shared" si="6"/>
        <v>15.200000000000003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60</v>
      </c>
      <c r="AS16" s="33">
        <v>0.2</v>
      </c>
    </row>
    <row r="17" spans="1:45" s="56" customFormat="1" x14ac:dyDescent="0.25">
      <c r="A17" s="33" t="s">
        <v>98</v>
      </c>
      <c r="B17" s="57">
        <v>0.53</v>
      </c>
      <c r="C17" s="45"/>
      <c r="D17" s="115"/>
      <c r="E17" s="115"/>
      <c r="I17" s="33" t="s">
        <v>300</v>
      </c>
      <c r="J17" s="47">
        <v>12</v>
      </c>
      <c r="K17" s="19">
        <v>-62.7</v>
      </c>
      <c r="L17" s="33" t="str">
        <f>"EW_sand_Ruled"&amp;"_"&amp;AR17</f>
        <v>EW_sand_Ruled_76</v>
      </c>
      <c r="M17" s="105" t="s">
        <v>64</v>
      </c>
      <c r="N17" s="47">
        <v>10</v>
      </c>
      <c r="O17" s="63">
        <v>0</v>
      </c>
      <c r="P17" s="63">
        <v>0</v>
      </c>
      <c r="Q17" s="47">
        <v>28</v>
      </c>
      <c r="R17" s="47">
        <f t="shared" si="1"/>
        <v>23</v>
      </c>
      <c r="S17" s="47">
        <v>0.8</v>
      </c>
      <c r="T17" s="47">
        <v>0</v>
      </c>
      <c r="U17" s="75">
        <v>0</v>
      </c>
      <c r="V17" s="75">
        <v>0</v>
      </c>
      <c r="W17" s="47">
        <v>0</v>
      </c>
      <c r="X17" s="47">
        <v>40000</v>
      </c>
      <c r="Y17" s="47">
        <v>0</v>
      </c>
      <c r="Z17" s="47">
        <f t="shared" si="5"/>
        <v>75.399999999999977</v>
      </c>
      <c r="AA17" s="47">
        <v>1</v>
      </c>
      <c r="AB17" s="47">
        <f t="shared" si="3"/>
        <v>4040</v>
      </c>
      <c r="AC17" s="63">
        <v>221000</v>
      </c>
      <c r="AD17" s="63">
        <v>11162.79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>
        <f t="shared" si="6"/>
        <v>16.800000000000004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76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302</v>
      </c>
      <c r="J18" s="47">
        <v>13</v>
      </c>
      <c r="K18" s="19">
        <v>-67</v>
      </c>
      <c r="L18" s="33" t="str">
        <f>"EW_sand_Ruled"&amp;"_"&amp;AR18</f>
        <v>EW_sand_Ruled_80</v>
      </c>
      <c r="M18" s="105" t="s">
        <v>64</v>
      </c>
      <c r="N18" s="47">
        <v>9.3000000000000007</v>
      </c>
      <c r="O18" s="63">
        <v>0</v>
      </c>
      <c r="P18" s="63">
        <v>0</v>
      </c>
      <c r="Q18" s="47">
        <v>29</v>
      </c>
      <c r="R18" s="47">
        <f t="shared" si="1"/>
        <v>24</v>
      </c>
      <c r="S18" s="47">
        <v>0.9</v>
      </c>
      <c r="T18" s="47">
        <v>0</v>
      </c>
      <c r="U18" s="75">
        <v>0</v>
      </c>
      <c r="V18" s="75">
        <v>0</v>
      </c>
      <c r="W18" s="47">
        <v>0</v>
      </c>
      <c r="X18" s="47">
        <v>65000</v>
      </c>
      <c r="Y18" s="47">
        <v>0</v>
      </c>
      <c r="Z18" s="47">
        <f t="shared" si="5"/>
        <v>78.199999999999974</v>
      </c>
      <c r="AA18" s="47">
        <v>1</v>
      </c>
      <c r="AB18" s="47">
        <f t="shared" si="3"/>
        <v>4420</v>
      </c>
      <c r="AC18" s="63">
        <v>276000</v>
      </c>
      <c r="AD18" s="63">
        <v>-5428.57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>
        <f t="shared" si="6"/>
        <v>18.400000000000006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80</v>
      </c>
      <c r="AS18" s="33">
        <v>0.4</v>
      </c>
    </row>
    <row r="19" spans="1:45" x14ac:dyDescent="0.25">
      <c r="A19" s="115" t="s">
        <v>38</v>
      </c>
      <c r="B19" s="115" t="s">
        <v>30</v>
      </c>
      <c r="C19" s="115" t="s">
        <v>59</v>
      </c>
      <c r="D19" s="43"/>
      <c r="E19" s="35"/>
      <c r="I19" s="33" t="s">
        <v>273</v>
      </c>
      <c r="J19" s="47">
        <v>14</v>
      </c>
      <c r="K19" s="19">
        <v>-74</v>
      </c>
      <c r="L19" s="116" t="s">
        <v>275</v>
      </c>
      <c r="M19" s="105" t="s">
        <v>65</v>
      </c>
      <c r="N19" s="47">
        <v>8.9</v>
      </c>
      <c r="O19" s="63">
        <v>444</v>
      </c>
      <c r="P19" s="63">
        <v>-9.5</v>
      </c>
      <c r="Q19" s="47">
        <v>0</v>
      </c>
      <c r="R19" s="47" t="e">
        <f t="shared" si="1"/>
        <v>#N/A</v>
      </c>
      <c r="S19" s="47">
        <v>1.7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37300</v>
      </c>
      <c r="Y19" s="47">
        <v>0</v>
      </c>
      <c r="Z19" s="47" t="e">
        <f t="shared" si="5"/>
        <v>#N/A</v>
      </c>
      <c r="AA19" s="47">
        <v>1</v>
      </c>
      <c r="AB19" s="47" t="e">
        <f t="shared" si="3"/>
        <v>#N/A</v>
      </c>
      <c r="AC19" s="63">
        <v>704000</v>
      </c>
      <c r="AD19" s="63">
        <v>-13333.33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6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273</v>
      </c>
      <c r="J20" s="47">
        <v>15</v>
      </c>
      <c r="K20" s="33">
        <v>-80</v>
      </c>
      <c r="L20" s="116" t="s">
        <v>275</v>
      </c>
      <c r="M20" s="105" t="s">
        <v>65</v>
      </c>
      <c r="N20" s="47">
        <v>8.9</v>
      </c>
      <c r="O20" s="63">
        <v>387</v>
      </c>
      <c r="P20" s="63">
        <v>0</v>
      </c>
      <c r="Q20" s="47">
        <v>0</v>
      </c>
      <c r="R20" s="47" t="e">
        <f t="shared" si="1"/>
        <v>#N/A</v>
      </c>
      <c r="S20" s="47">
        <v>1.7</v>
      </c>
      <c r="T20" s="47">
        <v>0</v>
      </c>
      <c r="U20" s="75">
        <v>1.7999999999999999E-2</v>
      </c>
      <c r="V20" s="75">
        <v>0</v>
      </c>
      <c r="W20" s="47">
        <v>0.25</v>
      </c>
      <c r="X20" s="47">
        <v>37300</v>
      </c>
      <c r="Y20" s="47">
        <v>0</v>
      </c>
      <c r="Z20" s="47" t="e">
        <f t="shared" si="5"/>
        <v>#N/A</v>
      </c>
      <c r="AA20" s="47">
        <v>1</v>
      </c>
      <c r="AB20" s="47" t="e">
        <f t="shared" si="3"/>
        <v>#N/A</v>
      </c>
      <c r="AC20" s="63">
        <v>624000</v>
      </c>
      <c r="AD20" s="63">
        <v>0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 t="e">
        <f t="shared" si="6"/>
        <v>#N/A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0</v>
      </c>
      <c r="AS20" s="33">
        <v>0.4</v>
      </c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5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5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7">AF40+3.8</f>
        <v>55.599999999999994</v>
      </c>
      <c r="AG41" s="33">
        <f t="shared" ref="AG41:AG43" si="8">AG40+200</f>
        <v>2300</v>
      </c>
      <c r="AH41" s="33">
        <f t="shared" ref="AH41:AH44" si="9">AH40+0.8</f>
        <v>9.6000000000000014</v>
      </c>
    </row>
    <row r="42" spans="1:42" x14ac:dyDescent="0.25">
      <c r="L42" s="49"/>
      <c r="AE42" s="33">
        <v>18</v>
      </c>
      <c r="AF42" s="33">
        <f t="shared" si="7"/>
        <v>59.399999999999991</v>
      </c>
      <c r="AG42" s="33">
        <f t="shared" si="8"/>
        <v>2500</v>
      </c>
      <c r="AH42" s="33">
        <f t="shared" si="9"/>
        <v>10.400000000000002</v>
      </c>
    </row>
    <row r="43" spans="1:42" x14ac:dyDescent="0.25">
      <c r="L43" s="49"/>
      <c r="AE43" s="33">
        <v>19</v>
      </c>
      <c r="AF43" s="33">
        <f t="shared" si="7"/>
        <v>63.199999999999989</v>
      </c>
      <c r="AG43" s="33">
        <f t="shared" si="8"/>
        <v>2700</v>
      </c>
      <c r="AH43" s="33">
        <f t="shared" si="9"/>
        <v>11.200000000000003</v>
      </c>
    </row>
    <row r="44" spans="1:42" x14ac:dyDescent="0.25">
      <c r="L44" s="49"/>
      <c r="AE44" s="33">
        <v>20</v>
      </c>
      <c r="AF44" s="33">
        <f t="shared" si="7"/>
        <v>66.999999999999986</v>
      </c>
      <c r="AG44" s="33">
        <f>AG43+200</f>
        <v>2900</v>
      </c>
      <c r="AH44" s="33">
        <f t="shared" si="9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0">AF45+2.8</f>
        <v>72.59999999999998</v>
      </c>
      <c r="AG46" s="33">
        <f t="shared" ref="AG46:AG48" si="11">AG45+380</f>
        <v>3660</v>
      </c>
      <c r="AH46" s="33">
        <f t="shared" ref="AH46:AH49" si="12">AH45+1.6</f>
        <v>15.200000000000003</v>
      </c>
    </row>
    <row r="47" spans="1:42" x14ac:dyDescent="0.25">
      <c r="L47" s="49"/>
      <c r="AE47" s="33">
        <v>23</v>
      </c>
      <c r="AF47" s="33">
        <f t="shared" si="10"/>
        <v>75.399999999999977</v>
      </c>
      <c r="AG47" s="33">
        <f t="shared" si="11"/>
        <v>4040</v>
      </c>
      <c r="AH47" s="33">
        <f t="shared" si="12"/>
        <v>16.800000000000004</v>
      </c>
    </row>
    <row r="48" spans="1:42" x14ac:dyDescent="0.25">
      <c r="L48" s="49"/>
      <c r="AE48" s="33">
        <v>24</v>
      </c>
      <c r="AF48" s="33">
        <f t="shared" si="10"/>
        <v>78.199999999999974</v>
      </c>
      <c r="AG48" s="33">
        <f t="shared" si="11"/>
        <v>4420</v>
      </c>
      <c r="AH48" s="33">
        <f t="shared" si="12"/>
        <v>18.400000000000006</v>
      </c>
    </row>
    <row r="49" spans="12:34" x14ac:dyDescent="0.25">
      <c r="L49" s="49"/>
      <c r="AE49" s="33">
        <v>25</v>
      </c>
      <c r="AF49" s="33">
        <f t="shared" si="10"/>
        <v>80.999999999999972</v>
      </c>
      <c r="AG49" s="33">
        <v>4800</v>
      </c>
      <c r="AH49" s="33">
        <f t="shared" si="12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3">AF50+3</f>
        <v>86.999999999999972</v>
      </c>
      <c r="AG51" s="33">
        <f t="shared" ref="AG51:AG54" si="14">AG50+960</f>
        <v>6720</v>
      </c>
      <c r="AH51" s="33">
        <f t="shared" ref="AH51:AH54" si="15">AH50+4</f>
        <v>28.000000000000007</v>
      </c>
    </row>
    <row r="52" spans="12:34" x14ac:dyDescent="0.25">
      <c r="L52" s="49"/>
      <c r="AE52" s="33">
        <v>28</v>
      </c>
      <c r="AF52" s="33">
        <f t="shared" si="13"/>
        <v>89.999999999999972</v>
      </c>
      <c r="AG52" s="33">
        <f t="shared" si="14"/>
        <v>7680</v>
      </c>
      <c r="AH52" s="33">
        <f t="shared" si="15"/>
        <v>32.000000000000007</v>
      </c>
    </row>
    <row r="53" spans="12:34" x14ac:dyDescent="0.25">
      <c r="L53" s="49"/>
      <c r="AE53" s="33">
        <v>29</v>
      </c>
      <c r="AF53" s="33">
        <f t="shared" si="13"/>
        <v>92.999999999999972</v>
      </c>
      <c r="AG53" s="33">
        <f t="shared" si="14"/>
        <v>8640</v>
      </c>
      <c r="AH53" s="33">
        <f t="shared" si="15"/>
        <v>36.000000000000007</v>
      </c>
    </row>
    <row r="54" spans="12:34" x14ac:dyDescent="0.25">
      <c r="L54" s="49"/>
      <c r="AE54" s="33">
        <v>30</v>
      </c>
      <c r="AF54" s="33">
        <f t="shared" si="13"/>
        <v>95.999999999999972</v>
      </c>
      <c r="AG54" s="33">
        <f t="shared" si="14"/>
        <v>9600</v>
      </c>
      <c r="AH54" s="33">
        <f t="shared" si="15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6">AF55+3.8</f>
        <v>103.59999999999997</v>
      </c>
      <c r="AG56" s="33">
        <f t="shared" ref="AG56:AG59" si="17">AG55+480</f>
        <v>10560</v>
      </c>
      <c r="AH56" s="33">
        <f t="shared" ref="AH56:AH59" si="18">AH55+2</f>
        <v>44.000000000000007</v>
      </c>
    </row>
    <row r="57" spans="12:34" x14ac:dyDescent="0.25">
      <c r="L57" s="49"/>
      <c r="AE57" s="33">
        <v>33</v>
      </c>
      <c r="AF57" s="33">
        <f t="shared" si="16"/>
        <v>107.39999999999996</v>
      </c>
      <c r="AG57" s="33">
        <f t="shared" si="17"/>
        <v>11040</v>
      </c>
      <c r="AH57" s="33">
        <f t="shared" si="18"/>
        <v>46.000000000000007</v>
      </c>
    </row>
    <row r="58" spans="12:34" x14ac:dyDescent="0.25">
      <c r="L58" s="49"/>
      <c r="AE58" s="33">
        <v>34</v>
      </c>
      <c r="AF58" s="33">
        <f t="shared" si="16"/>
        <v>111.19999999999996</v>
      </c>
      <c r="AG58" s="33">
        <f t="shared" si="17"/>
        <v>11520</v>
      </c>
      <c r="AH58" s="33">
        <f t="shared" si="18"/>
        <v>48.000000000000007</v>
      </c>
    </row>
    <row r="59" spans="12:34" x14ac:dyDescent="0.25">
      <c r="L59" s="49"/>
      <c r="AE59" s="33">
        <v>35</v>
      </c>
      <c r="AF59" s="33">
        <f t="shared" si="16"/>
        <v>114.99999999999996</v>
      </c>
      <c r="AG59" s="33">
        <f t="shared" si="17"/>
        <v>12000</v>
      </c>
      <c r="AH59" s="33">
        <f t="shared" si="18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21:AP36">
    <cfRule type="expression" dxfId="2868" priority="132">
      <formula>$L21="API sand"</formula>
    </cfRule>
  </conditionalFormatting>
  <conditionalFormatting sqref="R29:S36 S21:S28 AD21:AD28 AB21:AB35">
    <cfRule type="expression" dxfId="2867" priority="131">
      <formula>$M21="API sand"</formula>
    </cfRule>
  </conditionalFormatting>
  <conditionalFormatting sqref="R29:T36 S21:T28 AD21:AD28 AB21:AB35">
    <cfRule type="expression" dxfId="2866" priority="130">
      <formula>$M21="API clay"</formula>
    </cfRule>
  </conditionalFormatting>
  <conditionalFormatting sqref="U21:W36 AM21:AP36">
    <cfRule type="expression" dxfId="2865" priority="127">
      <formula>$L21="Stiff clay w/o free water"</formula>
    </cfRule>
    <cfRule type="expression" dxfId="2864" priority="129">
      <formula>$L21="API clay"</formula>
    </cfRule>
  </conditionalFormatting>
  <conditionalFormatting sqref="U21:Y36 AM21:AP36">
    <cfRule type="expression" dxfId="2863" priority="128">
      <formula>$L21="Kirsch soft clay"</formula>
    </cfRule>
  </conditionalFormatting>
  <conditionalFormatting sqref="U21:Y36 AM21:AP36">
    <cfRule type="expression" dxfId="2862" priority="126">
      <formula>$L21="Kirsch stiff clay"</formula>
    </cfRule>
  </conditionalFormatting>
  <conditionalFormatting sqref="AM21:AP36">
    <cfRule type="expression" dxfId="2861" priority="125">
      <formula>$L21="Kirsch sand"</formula>
    </cfRule>
  </conditionalFormatting>
  <conditionalFormatting sqref="AM21:AP36">
    <cfRule type="expression" dxfId="2860" priority="124">
      <formula>$L21="Modified Weak rock"</formula>
    </cfRule>
  </conditionalFormatting>
  <conditionalFormatting sqref="U21:V36 AM21:AP36">
    <cfRule type="expression" dxfId="2859" priority="123">
      <formula>$L21="Reese stiff clay"</formula>
    </cfRule>
  </conditionalFormatting>
  <conditionalFormatting sqref="N21:N36 Q21:Q36">
    <cfRule type="expression" dxfId="2858" priority="122">
      <formula>$L21="API sand"</formula>
    </cfRule>
  </conditionalFormatting>
  <conditionalFormatting sqref="N21:N36 AB36 AJ21:AL36 Z21:Z36">
    <cfRule type="expression" dxfId="2857" priority="121">
      <formula>$M21="API sand"</formula>
    </cfRule>
  </conditionalFormatting>
  <conditionalFormatting sqref="Z36:AB36 AK21:AL36 N21:N36 Z21:AA35">
    <cfRule type="expression" dxfId="2856" priority="120">
      <formula>$M21="API clay"</formula>
    </cfRule>
  </conditionalFormatting>
  <conditionalFormatting sqref="N29:P36 N21:N28 P21:P28">
    <cfRule type="expression" dxfId="2855" priority="117">
      <formula>$L21="Stiff clay w/o free water"</formula>
    </cfRule>
    <cfRule type="expression" dxfId="2854" priority="119">
      <formula>$L21="API clay"</formula>
    </cfRule>
  </conditionalFormatting>
  <conditionalFormatting sqref="N29:P36 N21:N28 P21:P28">
    <cfRule type="expression" dxfId="2853" priority="118">
      <formula>$L21="Kirsch soft clay"</formula>
    </cfRule>
  </conditionalFormatting>
  <conditionalFormatting sqref="N29:P36 N21:N28 P21:P28">
    <cfRule type="expression" dxfId="2852" priority="116">
      <formula>$L21="Kirsch stiff clay"</formula>
    </cfRule>
  </conditionalFormatting>
  <conditionalFormatting sqref="N21:N36 Q21:Q36 X21:Y36">
    <cfRule type="expression" dxfId="2851" priority="115">
      <formula>$L21="Kirsch sand"</formula>
    </cfRule>
  </conditionalFormatting>
  <conditionalFormatting sqref="N21:N36 AC21:AD36 AI21:AI36">
    <cfRule type="expression" dxfId="2850" priority="114">
      <formula>$L21="Modified Weak rock"</formula>
    </cfRule>
  </conditionalFormatting>
  <conditionalFormatting sqref="N29:P36 N21:N28 P21:P28">
    <cfRule type="expression" dxfId="2849" priority="113">
      <formula>$L21="Reese stiff clay"</formula>
    </cfRule>
  </conditionalFormatting>
  <conditionalFormatting sqref="O21">
    <cfRule type="expression" dxfId="2848" priority="110">
      <formula>$L21="API sand"</formula>
    </cfRule>
  </conditionalFormatting>
  <conditionalFormatting sqref="O21">
    <cfRule type="expression" dxfId="2847" priority="109">
      <formula>$L21="Kirsch sand"</formula>
    </cfRule>
  </conditionalFormatting>
  <conditionalFormatting sqref="O22:O28">
    <cfRule type="expression" dxfId="2846" priority="108">
      <formula>$L22="API sand"</formula>
    </cfRule>
  </conditionalFormatting>
  <conditionalFormatting sqref="O22:O28">
    <cfRule type="expression" dxfId="2845" priority="107">
      <formula>$L22="Kirsch sand"</formula>
    </cfRule>
  </conditionalFormatting>
  <conditionalFormatting sqref="AE37:AH37">
    <cfRule type="expression" dxfId="2844" priority="133">
      <formula>$L19="Modified Weak rock"</formula>
    </cfRule>
  </conditionalFormatting>
  <dataValidations count="4">
    <dataValidation type="list" showInputMessage="1" showErrorMessage="1" sqref="M9:M36" xr:uid="{FFF5B5CC-4870-48DB-91AD-D21756EB7FAC}">
      <formula1>"',API sand,API clay"</formula1>
    </dataValidation>
    <dataValidation type="list" showInputMessage="1" showErrorMessage="1" sqref="L21:L255" xr:uid="{62241010-665A-40AB-B84D-AB839A4720E6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20" xr:uid="{1F4FEB16-349E-45C3-A6FE-D4A02CD95A88}">
      <formula1>"Zero soil,API sand,API clay"</formula1>
    </dataValidation>
    <dataValidation showInputMessage="1" showErrorMessage="1" sqref="L13 L19:L20" xr:uid="{6AC471D1-920D-40FB-867E-A4148E9D62D7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D6964-C985-4A77-83FB-16546DF026C0}">
  <sheetPr>
    <tabColor rgb="FF00B050"/>
  </sheetPr>
  <dimension ref="A1:AS255"/>
  <sheetViews>
    <sheetView zoomScale="85" zoomScaleNormal="85" workbookViewId="0">
      <selection activeCell="I3" sqref="I3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Ak_kirsch_WTG61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12"/>
      <c r="R3" s="155"/>
      <c r="S3" s="155"/>
      <c r="T3" s="112"/>
      <c r="U3" s="155"/>
      <c r="V3" s="155"/>
      <c r="W3" s="112"/>
      <c r="X3" s="69"/>
      <c r="Y3" s="112"/>
      <c r="Z3" s="112"/>
      <c r="AA3" s="112"/>
      <c r="AB3" s="112"/>
      <c r="AC3" s="69"/>
      <c r="AD3" s="39"/>
      <c r="AE3" s="39"/>
      <c r="AF3" s="39"/>
      <c r="AG3" s="39"/>
      <c r="AH3" s="39"/>
      <c r="AI3" s="39"/>
      <c r="AJ3" s="112"/>
      <c r="AK3" s="112"/>
      <c r="AL3" s="112"/>
      <c r="AM3" s="112"/>
      <c r="AN3" s="112"/>
      <c r="AO3" s="112"/>
      <c r="AP3" s="112"/>
    </row>
    <row r="4" spans="1:45" x14ac:dyDescent="0.25">
      <c r="A4" s="40" t="s">
        <v>60</v>
      </c>
      <c r="B4" s="33">
        <f>COUNTIF(J:J,"&gt;0")</f>
        <v>15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13" t="s">
        <v>38</v>
      </c>
      <c r="K5" s="113" t="s">
        <v>30</v>
      </c>
      <c r="L5" s="113" t="s">
        <v>31</v>
      </c>
      <c r="M5" s="113" t="s">
        <v>31</v>
      </c>
      <c r="N5" s="113" t="s">
        <v>32</v>
      </c>
      <c r="O5" s="113" t="s">
        <v>33</v>
      </c>
      <c r="P5" s="113" t="s">
        <v>35</v>
      </c>
      <c r="Q5" s="113" t="s">
        <v>36</v>
      </c>
      <c r="R5" s="113" t="s">
        <v>36</v>
      </c>
      <c r="S5" s="113" t="s">
        <v>34</v>
      </c>
      <c r="T5" s="113" t="s">
        <v>33</v>
      </c>
      <c r="U5" s="113" t="s">
        <v>34</v>
      </c>
      <c r="V5" s="113" t="s">
        <v>62</v>
      </c>
      <c r="W5" s="113" t="s">
        <v>34</v>
      </c>
      <c r="X5" s="113" t="s">
        <v>33</v>
      </c>
      <c r="Y5" s="113" t="s">
        <v>35</v>
      </c>
      <c r="Z5" s="113" t="s">
        <v>33</v>
      </c>
      <c r="AA5" s="113" t="s">
        <v>34</v>
      </c>
      <c r="AB5" s="113" t="s">
        <v>33</v>
      </c>
      <c r="AC5" s="113" t="s">
        <v>33</v>
      </c>
      <c r="AD5" s="113" t="s">
        <v>35</v>
      </c>
      <c r="AE5" s="113" t="s">
        <v>34</v>
      </c>
      <c r="AF5" s="113" t="s">
        <v>33</v>
      </c>
      <c r="AG5" s="113" t="s">
        <v>35</v>
      </c>
      <c r="AH5" s="113" t="s">
        <v>34</v>
      </c>
      <c r="AI5" s="113" t="s">
        <v>34</v>
      </c>
      <c r="AJ5" s="113" t="s">
        <v>34</v>
      </c>
      <c r="AK5" s="113" t="s">
        <v>34</v>
      </c>
      <c r="AL5" s="113" t="s">
        <v>34</v>
      </c>
      <c r="AM5" s="113" t="s">
        <v>34</v>
      </c>
      <c r="AN5" s="113" t="s">
        <v>34</v>
      </c>
      <c r="AO5" s="113" t="s">
        <v>34</v>
      </c>
      <c r="AP5" s="113" t="s">
        <v>34</v>
      </c>
      <c r="AQ5" s="113" t="s">
        <v>103</v>
      </c>
      <c r="AR5" s="113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38</v>
      </c>
      <c r="R6" s="47">
        <f t="shared" ref="R6:R20" si="0">IF(Q6&lt;&gt;0,Q6-5,NA())</f>
        <v>33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13900</v>
      </c>
      <c r="Y6" s="47">
        <v>0</v>
      </c>
      <c r="Z6" s="47">
        <f t="shared" ref="Z6:Z8" si="1">VLOOKUP(R6,$AE$39:$AF$59,2)</f>
        <v>107.39999999999996</v>
      </c>
      <c r="AA6" s="47">
        <v>1</v>
      </c>
      <c r="AB6" s="47">
        <f t="shared" ref="AB6:AB8" si="2">VLOOKUP(R6,$AE$39:$AG$59,3)</f>
        <v>11040</v>
      </c>
      <c r="AC6" s="63">
        <v>11000</v>
      </c>
      <c r="AD6" s="63">
        <v>21000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8" si="3">VLOOKUP(R6,$AE$39:$AH$59,4)</f>
        <v>46.000000000000007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92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33">
        <v>-1</v>
      </c>
      <c r="L7" s="116" t="s">
        <v>106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42</v>
      </c>
      <c r="R7" s="47">
        <f t="shared" si="0"/>
        <v>37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45000</v>
      </c>
      <c r="Y7" s="47">
        <v>0</v>
      </c>
      <c r="Z7" s="47">
        <f t="shared" si="1"/>
        <v>114.99999999999996</v>
      </c>
      <c r="AA7" s="47">
        <v>1</v>
      </c>
      <c r="AB7" s="47">
        <f t="shared" si="2"/>
        <v>12000</v>
      </c>
      <c r="AC7" s="63">
        <v>43000</v>
      </c>
      <c r="AD7" s="63">
        <v>8000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3"/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100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">
        <v>279</v>
      </c>
      <c r="J8" s="47">
        <v>3</v>
      </c>
      <c r="K8" s="33">
        <v>-2</v>
      </c>
      <c r="L8" s="116" t="s">
        <v>106</v>
      </c>
      <c r="M8" s="105" t="s">
        <v>64</v>
      </c>
      <c r="N8" s="47">
        <v>9.6999999999999993</v>
      </c>
      <c r="O8" s="63">
        <v>0</v>
      </c>
      <c r="P8" s="63">
        <v>0</v>
      </c>
      <c r="Q8" s="47">
        <v>40</v>
      </c>
      <c r="R8" s="47">
        <f t="shared" si="0"/>
        <v>35</v>
      </c>
      <c r="S8" s="47">
        <v>0.5</v>
      </c>
      <c r="T8" s="47">
        <v>0</v>
      </c>
      <c r="U8" s="75">
        <v>0</v>
      </c>
      <c r="V8" s="75">
        <v>0</v>
      </c>
      <c r="W8" s="47">
        <v>0</v>
      </c>
      <c r="X8" s="47">
        <v>45400</v>
      </c>
      <c r="Y8" s="47">
        <v>0</v>
      </c>
      <c r="Z8" s="47">
        <f t="shared" si="1"/>
        <v>114.99999999999996</v>
      </c>
      <c r="AA8" s="47">
        <v>1</v>
      </c>
      <c r="AB8" s="47">
        <f t="shared" si="2"/>
        <v>12000</v>
      </c>
      <c r="AC8" s="63">
        <v>56000</v>
      </c>
      <c r="AD8" s="63">
        <v>5500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89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56" t="s">
        <v>295</v>
      </c>
      <c r="J9" s="47">
        <v>4</v>
      </c>
      <c r="K9" s="19">
        <v>-4</v>
      </c>
      <c r="L9" s="116" t="s">
        <v>106</v>
      </c>
      <c r="M9" s="105" t="s">
        <v>64</v>
      </c>
      <c r="N9" s="47">
        <v>9.4</v>
      </c>
      <c r="O9" s="63">
        <v>0</v>
      </c>
      <c r="P9" s="63">
        <v>0</v>
      </c>
      <c r="Q9" s="47">
        <v>40</v>
      </c>
      <c r="R9" s="47">
        <f t="shared" si="0"/>
        <v>35</v>
      </c>
      <c r="S9" s="47">
        <v>1.5</v>
      </c>
      <c r="T9" s="47">
        <v>0</v>
      </c>
      <c r="U9" s="75">
        <v>0</v>
      </c>
      <c r="V9" s="75">
        <v>0</v>
      </c>
      <c r="W9" s="47">
        <v>0</v>
      </c>
      <c r="X9" s="47">
        <v>51200</v>
      </c>
      <c r="Y9" s="47">
        <v>0</v>
      </c>
      <c r="Z9" s="47">
        <f t="shared" ref="Z9:Z20" si="4">VLOOKUP(R9,$AE$39:$AF$59,2)</f>
        <v>114.99999999999996</v>
      </c>
      <c r="AA9" s="47">
        <v>1</v>
      </c>
      <c r="AB9" s="47">
        <f t="shared" ref="AB9:AB20" si="5">VLOOKUP(R9,$AE$39:$AG$59,3)</f>
        <v>12000</v>
      </c>
      <c r="AC9" s="63">
        <v>62000</v>
      </c>
      <c r="AD9" s="63">
        <v>12666.67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ref="AJ9:AJ20" si="6">VLOOKUP(R9,$AE$39:$AH$59,4)</f>
        <v>50.000000000000007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69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56" t="s">
        <v>259</v>
      </c>
      <c r="J10" s="47">
        <v>5</v>
      </c>
      <c r="K10" s="19">
        <v>-5.5</v>
      </c>
      <c r="L10" s="116" t="s">
        <v>106</v>
      </c>
      <c r="M10" s="105" t="s">
        <v>64</v>
      </c>
      <c r="N10" s="47">
        <v>10</v>
      </c>
      <c r="O10" s="63">
        <v>0</v>
      </c>
      <c r="P10" s="63">
        <v>0</v>
      </c>
      <c r="Q10" s="47">
        <v>39</v>
      </c>
      <c r="R10" s="47">
        <f t="shared" si="0"/>
        <v>34</v>
      </c>
      <c r="S10" s="47">
        <v>1.2</v>
      </c>
      <c r="T10" s="47">
        <v>0</v>
      </c>
      <c r="U10" s="75">
        <v>0</v>
      </c>
      <c r="V10" s="75">
        <v>0</v>
      </c>
      <c r="W10" s="47">
        <v>0</v>
      </c>
      <c r="X10" s="47">
        <v>52400</v>
      </c>
      <c r="Y10" s="47">
        <v>0</v>
      </c>
      <c r="Z10" s="47">
        <f t="shared" si="4"/>
        <v>111.19999999999996</v>
      </c>
      <c r="AA10" s="47">
        <v>1</v>
      </c>
      <c r="AB10" s="47">
        <f t="shared" si="5"/>
        <v>11520</v>
      </c>
      <c r="AC10" s="63">
        <v>84000</v>
      </c>
      <c r="AD10" s="63">
        <v>625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6"/>
        <v>48.000000000000007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70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261</v>
      </c>
      <c r="J11" s="47">
        <v>6</v>
      </c>
      <c r="K11" s="19">
        <v>-8.6999999999999993</v>
      </c>
      <c r="L11" s="116" t="s">
        <v>106</v>
      </c>
      <c r="M11" s="105" t="s">
        <v>64</v>
      </c>
      <c r="N11" s="47">
        <v>9.9</v>
      </c>
      <c r="O11" s="63">
        <v>0</v>
      </c>
      <c r="P11" s="63">
        <v>0</v>
      </c>
      <c r="Q11" s="47">
        <v>41</v>
      </c>
      <c r="R11" s="47">
        <f t="shared" si="0"/>
        <v>36</v>
      </c>
      <c r="S11" s="47">
        <v>1.4</v>
      </c>
      <c r="T11" s="47">
        <v>0</v>
      </c>
      <c r="U11" s="75">
        <v>0</v>
      </c>
      <c r="V11" s="75">
        <v>0</v>
      </c>
      <c r="W11" s="47">
        <v>0</v>
      </c>
      <c r="X11" s="47">
        <v>116000</v>
      </c>
      <c r="Y11" s="47">
        <v>0</v>
      </c>
      <c r="Z11" s="47">
        <f t="shared" si="4"/>
        <v>114.99999999999996</v>
      </c>
      <c r="AA11" s="47">
        <v>1</v>
      </c>
      <c r="AB11" s="47">
        <f t="shared" si="5"/>
        <v>12000</v>
      </c>
      <c r="AC11" s="63">
        <v>100000</v>
      </c>
      <c r="AD11" s="63">
        <v>15454.54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6"/>
        <v>50.000000000000007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89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261</v>
      </c>
      <c r="J12" s="47">
        <v>7</v>
      </c>
      <c r="K12" s="33">
        <v>-12</v>
      </c>
      <c r="L12" s="116" t="s">
        <v>106</v>
      </c>
      <c r="M12" s="105" t="s">
        <v>64</v>
      </c>
      <c r="N12" s="47">
        <v>9.9</v>
      </c>
      <c r="O12" s="63">
        <v>0</v>
      </c>
      <c r="P12" s="63">
        <v>0</v>
      </c>
      <c r="Q12" s="47">
        <v>41</v>
      </c>
      <c r="R12" s="47">
        <f t="shared" si="0"/>
        <v>36</v>
      </c>
      <c r="S12" s="47">
        <v>1.2</v>
      </c>
      <c r="T12" s="47">
        <v>0</v>
      </c>
      <c r="U12" s="75">
        <v>0</v>
      </c>
      <c r="V12" s="75">
        <v>0</v>
      </c>
      <c r="W12" s="47">
        <v>0</v>
      </c>
      <c r="X12" s="47">
        <v>133700</v>
      </c>
      <c r="Y12" s="47">
        <v>0</v>
      </c>
      <c r="Z12" s="47">
        <f t="shared" si="4"/>
        <v>114.99999999999996</v>
      </c>
      <c r="AA12" s="47">
        <v>1</v>
      </c>
      <c r="AB12" s="47">
        <f t="shared" si="5"/>
        <v>12000</v>
      </c>
      <c r="AC12" s="63">
        <v>147000</v>
      </c>
      <c r="AD12" s="63">
        <v>-3809.52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>
        <f t="shared" si="6"/>
        <v>50.000000000000007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90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301</v>
      </c>
      <c r="J13" s="47">
        <v>8</v>
      </c>
      <c r="K13" s="19">
        <v>-16.2</v>
      </c>
      <c r="L13" s="116" t="s">
        <v>107</v>
      </c>
      <c r="M13" s="105" t="s">
        <v>65</v>
      </c>
      <c r="N13" s="47">
        <v>8.6999999999999993</v>
      </c>
      <c r="O13" s="63">
        <v>145</v>
      </c>
      <c r="P13" s="63">
        <v>1.1200000000000001</v>
      </c>
      <c r="Q13" s="47">
        <v>0</v>
      </c>
      <c r="R13" s="47" t="e">
        <f t="shared" si="0"/>
        <v>#N/A</v>
      </c>
      <c r="S13" s="47">
        <v>3</v>
      </c>
      <c r="T13" s="47">
        <v>0</v>
      </c>
      <c r="U13" s="75">
        <v>1.7999999999999999E-2</v>
      </c>
      <c r="V13" s="75">
        <v>0</v>
      </c>
      <c r="W13" s="47">
        <v>0.5</v>
      </c>
      <c r="X13" s="47">
        <v>15300</v>
      </c>
      <c r="Y13" s="47">
        <v>0</v>
      </c>
      <c r="Z13" s="47" t="e">
        <f t="shared" si="4"/>
        <v>#N/A</v>
      </c>
      <c r="AA13" s="47">
        <v>1</v>
      </c>
      <c r="AB13" s="47" t="e">
        <f t="shared" si="5"/>
        <v>#N/A</v>
      </c>
      <c r="AC13" s="63">
        <v>172000</v>
      </c>
      <c r="AD13" s="63">
        <v>2307.69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6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291</v>
      </c>
      <c r="J14" s="47">
        <v>9</v>
      </c>
      <c r="K14" s="19">
        <v>-30.5</v>
      </c>
      <c r="L14" s="116" t="s">
        <v>106</v>
      </c>
      <c r="M14" s="105" t="s">
        <v>64</v>
      </c>
      <c r="N14" s="47">
        <v>8.5</v>
      </c>
      <c r="O14" s="63">
        <v>0</v>
      </c>
      <c r="P14" s="63">
        <v>0</v>
      </c>
      <c r="Q14" s="47">
        <v>27</v>
      </c>
      <c r="R14" s="47">
        <f t="shared" si="0"/>
        <v>22</v>
      </c>
      <c r="S14" s="47">
        <v>0.9</v>
      </c>
      <c r="T14" s="47">
        <v>0</v>
      </c>
      <c r="U14" s="75">
        <v>0</v>
      </c>
      <c r="V14" s="75">
        <v>0</v>
      </c>
      <c r="W14" s="47">
        <v>0</v>
      </c>
      <c r="X14" s="47">
        <v>32600</v>
      </c>
      <c r="Y14" s="47">
        <v>0</v>
      </c>
      <c r="Z14" s="47">
        <f t="shared" si="4"/>
        <v>72.59999999999998</v>
      </c>
      <c r="AA14" s="47">
        <v>1</v>
      </c>
      <c r="AB14" s="47">
        <f t="shared" si="5"/>
        <v>3660</v>
      </c>
      <c r="AC14" s="63">
        <v>175000</v>
      </c>
      <c r="AD14" s="63">
        <v>-6727.27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>
        <f t="shared" si="6"/>
        <v>15.200000000000003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72</v>
      </c>
      <c r="AS14" s="33">
        <v>0.2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291</v>
      </c>
      <c r="J15" s="47">
        <v>10</v>
      </c>
      <c r="K15" s="33">
        <v>-36</v>
      </c>
      <c r="L15" s="116" t="s">
        <v>106</v>
      </c>
      <c r="M15" s="105" t="s">
        <v>64</v>
      </c>
      <c r="N15" s="47">
        <v>8.5</v>
      </c>
      <c r="O15" s="63">
        <v>0</v>
      </c>
      <c r="P15" s="63">
        <v>0</v>
      </c>
      <c r="Q15" s="47">
        <v>28</v>
      </c>
      <c r="R15" s="47">
        <f t="shared" si="0"/>
        <v>23</v>
      </c>
      <c r="S15" s="47">
        <v>0.9</v>
      </c>
      <c r="T15" s="47">
        <v>0</v>
      </c>
      <c r="U15" s="75">
        <v>0</v>
      </c>
      <c r="V15" s="75">
        <v>0</v>
      </c>
      <c r="W15" s="47">
        <v>0</v>
      </c>
      <c r="X15" s="47">
        <v>35000</v>
      </c>
      <c r="Y15" s="47">
        <v>0</v>
      </c>
      <c r="Z15" s="47">
        <f t="shared" si="4"/>
        <v>75.399999999999977</v>
      </c>
      <c r="AA15" s="47">
        <v>1</v>
      </c>
      <c r="AB15" s="47">
        <f t="shared" si="5"/>
        <v>4040</v>
      </c>
      <c r="AC15" s="63">
        <v>181000</v>
      </c>
      <c r="AD15" s="63">
        <v>1938.32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6"/>
        <v>16.800000000000004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79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271</v>
      </c>
      <c r="J16" s="47">
        <v>11</v>
      </c>
      <c r="K16" s="19">
        <v>-58.7</v>
      </c>
      <c r="L16" s="116" t="s">
        <v>106</v>
      </c>
      <c r="M16" s="105" t="s">
        <v>64</v>
      </c>
      <c r="N16" s="47">
        <v>9.8000000000000007</v>
      </c>
      <c r="O16" s="63">
        <v>0</v>
      </c>
      <c r="P16" s="63">
        <v>0</v>
      </c>
      <c r="Q16" s="47">
        <v>27</v>
      </c>
      <c r="R16" s="47">
        <f t="shared" si="0"/>
        <v>22</v>
      </c>
      <c r="S16" s="47">
        <v>0.7</v>
      </c>
      <c r="T16" s="47">
        <v>0</v>
      </c>
      <c r="U16" s="75">
        <v>0</v>
      </c>
      <c r="V16" s="75">
        <v>0</v>
      </c>
      <c r="W16" s="47">
        <v>0</v>
      </c>
      <c r="X16" s="47">
        <v>40000</v>
      </c>
      <c r="Y16" s="47">
        <v>0</v>
      </c>
      <c r="Z16" s="47">
        <f t="shared" si="4"/>
        <v>72.59999999999998</v>
      </c>
      <c r="AA16" s="47">
        <v>1</v>
      </c>
      <c r="AB16" s="47">
        <f t="shared" si="5"/>
        <v>3660</v>
      </c>
      <c r="AC16" s="63">
        <v>208000</v>
      </c>
      <c r="AD16" s="63">
        <v>5000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>
        <f t="shared" si="6"/>
        <v>15.200000000000003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60</v>
      </c>
      <c r="AS16" s="33">
        <v>0.2</v>
      </c>
    </row>
    <row r="17" spans="1:45" s="56" customFormat="1" x14ac:dyDescent="0.25">
      <c r="A17" s="33" t="s">
        <v>98</v>
      </c>
      <c r="B17" s="57">
        <v>0.53</v>
      </c>
      <c r="C17" s="45"/>
      <c r="D17" s="113"/>
      <c r="E17" s="113"/>
      <c r="I17" s="33" t="s">
        <v>300</v>
      </c>
      <c r="J17" s="47">
        <v>12</v>
      </c>
      <c r="K17" s="19">
        <v>-62.7</v>
      </c>
      <c r="L17" s="116" t="s">
        <v>106</v>
      </c>
      <c r="M17" s="105" t="s">
        <v>64</v>
      </c>
      <c r="N17" s="47">
        <v>10</v>
      </c>
      <c r="O17" s="63">
        <v>0</v>
      </c>
      <c r="P17" s="63">
        <v>0</v>
      </c>
      <c r="Q17" s="47">
        <v>28</v>
      </c>
      <c r="R17" s="47">
        <f t="shared" si="0"/>
        <v>23</v>
      </c>
      <c r="S17" s="47">
        <v>0.8</v>
      </c>
      <c r="T17" s="47">
        <v>0</v>
      </c>
      <c r="U17" s="75">
        <v>0</v>
      </c>
      <c r="V17" s="75">
        <v>0</v>
      </c>
      <c r="W17" s="47">
        <v>0</v>
      </c>
      <c r="X17" s="47">
        <v>40000</v>
      </c>
      <c r="Y17" s="47">
        <v>0</v>
      </c>
      <c r="Z17" s="47">
        <f t="shared" si="4"/>
        <v>75.399999999999977</v>
      </c>
      <c r="AA17" s="47">
        <v>1</v>
      </c>
      <c r="AB17" s="47">
        <f t="shared" si="5"/>
        <v>4040</v>
      </c>
      <c r="AC17" s="63">
        <v>221000</v>
      </c>
      <c r="AD17" s="63">
        <v>11162.79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>
        <f t="shared" si="6"/>
        <v>16.800000000000004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76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302</v>
      </c>
      <c r="J18" s="47">
        <v>13</v>
      </c>
      <c r="K18" s="19">
        <v>-67</v>
      </c>
      <c r="L18" s="116" t="s">
        <v>106</v>
      </c>
      <c r="M18" s="105" t="s">
        <v>64</v>
      </c>
      <c r="N18" s="47">
        <v>9.3000000000000007</v>
      </c>
      <c r="O18" s="63">
        <v>0</v>
      </c>
      <c r="P18" s="63">
        <v>0</v>
      </c>
      <c r="Q18" s="47">
        <v>29</v>
      </c>
      <c r="R18" s="47">
        <f t="shared" si="0"/>
        <v>24</v>
      </c>
      <c r="S18" s="47">
        <v>0.9</v>
      </c>
      <c r="T18" s="47">
        <v>0</v>
      </c>
      <c r="U18" s="75">
        <v>0</v>
      </c>
      <c r="V18" s="75">
        <v>0</v>
      </c>
      <c r="W18" s="47">
        <v>0</v>
      </c>
      <c r="X18" s="47">
        <v>65000</v>
      </c>
      <c r="Y18" s="47">
        <v>0</v>
      </c>
      <c r="Z18" s="47">
        <f t="shared" si="4"/>
        <v>78.199999999999974</v>
      </c>
      <c r="AA18" s="47">
        <v>1</v>
      </c>
      <c r="AB18" s="47">
        <f t="shared" si="5"/>
        <v>4420</v>
      </c>
      <c r="AC18" s="63">
        <v>276000</v>
      </c>
      <c r="AD18" s="63">
        <v>-5428.57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>
        <f t="shared" si="6"/>
        <v>18.400000000000006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80</v>
      </c>
      <c r="AS18" s="33">
        <v>0.4</v>
      </c>
    </row>
    <row r="19" spans="1:45" x14ac:dyDescent="0.25">
      <c r="A19" s="113" t="s">
        <v>38</v>
      </c>
      <c r="B19" s="113" t="s">
        <v>30</v>
      </c>
      <c r="C19" s="113" t="s">
        <v>59</v>
      </c>
      <c r="D19" s="43"/>
      <c r="E19" s="35"/>
      <c r="I19" s="33" t="s">
        <v>273</v>
      </c>
      <c r="J19" s="47">
        <v>14</v>
      </c>
      <c r="K19" s="19">
        <v>-74</v>
      </c>
      <c r="L19" s="116" t="s">
        <v>288</v>
      </c>
      <c r="M19" s="105" t="s">
        <v>65</v>
      </c>
      <c r="N19" s="47">
        <v>8.9</v>
      </c>
      <c r="O19" s="63">
        <v>444</v>
      </c>
      <c r="P19" s="63">
        <v>-9.5</v>
      </c>
      <c r="Q19" s="47">
        <v>0</v>
      </c>
      <c r="R19" s="47" t="e">
        <f t="shared" si="0"/>
        <v>#N/A</v>
      </c>
      <c r="S19" s="47">
        <v>1.7</v>
      </c>
      <c r="T19" s="47">
        <v>0</v>
      </c>
      <c r="U19" s="75">
        <v>1.7999999999999999E-2</v>
      </c>
      <c r="V19" s="75">
        <v>0</v>
      </c>
      <c r="W19" s="47">
        <v>0.25</v>
      </c>
      <c r="X19" s="47">
        <v>37300</v>
      </c>
      <c r="Y19" s="47">
        <v>0</v>
      </c>
      <c r="Z19" s="47" t="e">
        <f t="shared" si="4"/>
        <v>#N/A</v>
      </c>
      <c r="AA19" s="47">
        <v>1</v>
      </c>
      <c r="AB19" s="47" t="e">
        <f t="shared" si="5"/>
        <v>#N/A</v>
      </c>
      <c r="AC19" s="63">
        <v>704000</v>
      </c>
      <c r="AD19" s="63">
        <v>-13333.33</v>
      </c>
      <c r="AE19" s="63">
        <v>0.3</v>
      </c>
      <c r="AF19" s="63">
        <v>0</v>
      </c>
      <c r="AG19" s="63">
        <v>0</v>
      </c>
      <c r="AH19" s="63">
        <v>0</v>
      </c>
      <c r="AI19" s="63">
        <v>0</v>
      </c>
      <c r="AJ19" s="47" t="e">
        <f t="shared" si="6"/>
        <v>#N/A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0.4</v>
      </c>
    </row>
    <row r="20" spans="1:45" x14ac:dyDescent="0.25">
      <c r="A20" s="66">
        <v>1</v>
      </c>
      <c r="B20" s="66">
        <v>0</v>
      </c>
      <c r="C20" s="67">
        <v>0.09</v>
      </c>
      <c r="D20" s="43"/>
      <c r="I20" s="33" t="s">
        <v>273</v>
      </c>
      <c r="J20" s="47">
        <v>15</v>
      </c>
      <c r="K20" s="33">
        <v>-80</v>
      </c>
      <c r="L20" s="116" t="s">
        <v>288</v>
      </c>
      <c r="M20" s="105" t="s">
        <v>65</v>
      </c>
      <c r="N20" s="47">
        <v>8.9</v>
      </c>
      <c r="O20" s="63">
        <v>387</v>
      </c>
      <c r="P20" s="63">
        <v>0</v>
      </c>
      <c r="Q20" s="47">
        <v>0</v>
      </c>
      <c r="R20" s="47" t="e">
        <f t="shared" si="0"/>
        <v>#N/A</v>
      </c>
      <c r="S20" s="47">
        <v>1.7</v>
      </c>
      <c r="T20" s="47">
        <v>0</v>
      </c>
      <c r="U20" s="75">
        <v>1.7999999999999999E-2</v>
      </c>
      <c r="V20" s="75">
        <v>0</v>
      </c>
      <c r="W20" s="47">
        <v>0.25</v>
      </c>
      <c r="X20" s="47">
        <v>37300</v>
      </c>
      <c r="Y20" s="47">
        <v>0</v>
      </c>
      <c r="Z20" s="47" t="e">
        <f t="shared" si="4"/>
        <v>#N/A</v>
      </c>
      <c r="AA20" s="47">
        <v>1</v>
      </c>
      <c r="AB20" s="47" t="e">
        <f t="shared" si="5"/>
        <v>#N/A</v>
      </c>
      <c r="AC20" s="63">
        <v>624000</v>
      </c>
      <c r="AD20" s="63">
        <v>0</v>
      </c>
      <c r="AE20" s="63">
        <v>0.3</v>
      </c>
      <c r="AF20" s="63">
        <v>0</v>
      </c>
      <c r="AG20" s="63">
        <v>0</v>
      </c>
      <c r="AH20" s="63">
        <v>0</v>
      </c>
      <c r="AI20" s="63">
        <v>0</v>
      </c>
      <c r="AJ20" s="47" t="e">
        <f t="shared" si="6"/>
        <v>#N/A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0</v>
      </c>
      <c r="AS20" s="33">
        <v>0.4</v>
      </c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5" x14ac:dyDescent="0.25">
      <c r="A23" s="66"/>
      <c r="B23" s="66"/>
      <c r="C23" s="67"/>
      <c r="D23" s="35"/>
    </row>
    <row r="24" spans="1:45" x14ac:dyDescent="0.25">
      <c r="A24" s="66"/>
      <c r="B24" s="66"/>
      <c r="C24" s="67"/>
      <c r="D24" s="35"/>
    </row>
    <row r="25" spans="1:45" x14ac:dyDescent="0.25">
      <c r="A25" s="66"/>
      <c r="B25" s="66"/>
      <c r="C25" s="67"/>
      <c r="D25" s="35"/>
    </row>
    <row r="26" spans="1:45" x14ac:dyDescent="0.25">
      <c r="A26" s="66"/>
      <c r="B26" s="66"/>
      <c r="C26" s="67"/>
      <c r="D26" s="35"/>
    </row>
    <row r="27" spans="1:45" x14ac:dyDescent="0.25">
      <c r="A27" s="66"/>
      <c r="B27" s="66"/>
      <c r="C27" s="67"/>
      <c r="D27" s="35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</row>
    <row r="30" spans="1:45" x14ac:dyDescent="0.25">
      <c r="A30" s="66"/>
      <c r="B30" s="66"/>
      <c r="C30" s="67"/>
      <c r="D30" s="35"/>
    </row>
    <row r="31" spans="1:45" x14ac:dyDescent="0.25">
      <c r="A31" s="66"/>
      <c r="B31" s="66"/>
      <c r="C31" s="67"/>
      <c r="D31" s="35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7">AF40+3.8</f>
        <v>55.599999999999994</v>
      </c>
      <c r="AG41" s="33">
        <f t="shared" ref="AG41:AG43" si="8">AG40+200</f>
        <v>2300</v>
      </c>
      <c r="AH41" s="33">
        <f t="shared" ref="AH41:AH44" si="9">AH40+0.8</f>
        <v>9.6000000000000014</v>
      </c>
    </row>
    <row r="42" spans="1:42" x14ac:dyDescent="0.25">
      <c r="L42" s="49"/>
      <c r="AE42" s="33">
        <v>18</v>
      </c>
      <c r="AF42" s="33">
        <f t="shared" si="7"/>
        <v>59.399999999999991</v>
      </c>
      <c r="AG42" s="33">
        <f t="shared" si="8"/>
        <v>2500</v>
      </c>
      <c r="AH42" s="33">
        <f t="shared" si="9"/>
        <v>10.400000000000002</v>
      </c>
    </row>
    <row r="43" spans="1:42" x14ac:dyDescent="0.25">
      <c r="L43" s="49"/>
      <c r="AE43" s="33">
        <v>19</v>
      </c>
      <c r="AF43" s="33">
        <f t="shared" si="7"/>
        <v>63.199999999999989</v>
      </c>
      <c r="AG43" s="33">
        <f t="shared" si="8"/>
        <v>2700</v>
      </c>
      <c r="AH43" s="33">
        <f t="shared" si="9"/>
        <v>11.200000000000003</v>
      </c>
    </row>
    <row r="44" spans="1:42" x14ac:dyDescent="0.25">
      <c r="L44" s="49"/>
      <c r="AE44" s="33">
        <v>20</v>
      </c>
      <c r="AF44" s="33">
        <f t="shared" si="7"/>
        <v>66.999999999999986</v>
      </c>
      <c r="AG44" s="33">
        <f>AG43+200</f>
        <v>2900</v>
      </c>
      <c r="AH44" s="33">
        <f t="shared" si="9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0">AF45+2.8</f>
        <v>72.59999999999998</v>
      </c>
      <c r="AG46" s="33">
        <f t="shared" ref="AG46:AG48" si="11">AG45+380</f>
        <v>3660</v>
      </c>
      <c r="AH46" s="33">
        <f t="shared" ref="AH46:AH49" si="12">AH45+1.6</f>
        <v>15.200000000000003</v>
      </c>
    </row>
    <row r="47" spans="1:42" x14ac:dyDescent="0.25">
      <c r="L47" s="49"/>
      <c r="AE47" s="33">
        <v>23</v>
      </c>
      <c r="AF47" s="33">
        <f t="shared" si="10"/>
        <v>75.399999999999977</v>
      </c>
      <c r="AG47" s="33">
        <f t="shared" si="11"/>
        <v>4040</v>
      </c>
      <c r="AH47" s="33">
        <f t="shared" si="12"/>
        <v>16.800000000000004</v>
      </c>
    </row>
    <row r="48" spans="1:42" x14ac:dyDescent="0.25">
      <c r="L48" s="49"/>
      <c r="AE48" s="33">
        <v>24</v>
      </c>
      <c r="AF48" s="33">
        <f t="shared" si="10"/>
        <v>78.199999999999974</v>
      </c>
      <c r="AG48" s="33">
        <f t="shared" si="11"/>
        <v>4420</v>
      </c>
      <c r="AH48" s="33">
        <f t="shared" si="12"/>
        <v>18.400000000000006</v>
      </c>
    </row>
    <row r="49" spans="12:34" x14ac:dyDescent="0.25">
      <c r="L49" s="49"/>
      <c r="AE49" s="33">
        <v>25</v>
      </c>
      <c r="AF49" s="33">
        <f t="shared" si="10"/>
        <v>80.999999999999972</v>
      </c>
      <c r="AG49" s="33">
        <v>4800</v>
      </c>
      <c r="AH49" s="33">
        <f t="shared" si="12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3">AF50+3</f>
        <v>86.999999999999972</v>
      </c>
      <c r="AG51" s="33">
        <f t="shared" ref="AG51:AG54" si="14">AG50+960</f>
        <v>6720</v>
      </c>
      <c r="AH51" s="33">
        <f t="shared" ref="AH51:AH54" si="15">AH50+4</f>
        <v>28.000000000000007</v>
      </c>
    </row>
    <row r="52" spans="12:34" x14ac:dyDescent="0.25">
      <c r="L52" s="49"/>
      <c r="AE52" s="33">
        <v>28</v>
      </c>
      <c r="AF52" s="33">
        <f t="shared" si="13"/>
        <v>89.999999999999972</v>
      </c>
      <c r="AG52" s="33">
        <f t="shared" si="14"/>
        <v>7680</v>
      </c>
      <c r="AH52" s="33">
        <f t="shared" si="15"/>
        <v>32.000000000000007</v>
      </c>
    </row>
    <row r="53" spans="12:34" x14ac:dyDescent="0.25">
      <c r="L53" s="49"/>
      <c r="AE53" s="33">
        <v>29</v>
      </c>
      <c r="AF53" s="33">
        <f t="shared" si="13"/>
        <v>92.999999999999972</v>
      </c>
      <c r="AG53" s="33">
        <f t="shared" si="14"/>
        <v>8640</v>
      </c>
      <c r="AH53" s="33">
        <f t="shared" si="15"/>
        <v>36.000000000000007</v>
      </c>
    </row>
    <row r="54" spans="12:34" x14ac:dyDescent="0.25">
      <c r="L54" s="49"/>
      <c r="AE54" s="33">
        <v>30</v>
      </c>
      <c r="AF54" s="33">
        <f t="shared" si="13"/>
        <v>95.999999999999972</v>
      </c>
      <c r="AG54" s="33">
        <f t="shared" si="14"/>
        <v>9600</v>
      </c>
      <c r="AH54" s="33">
        <f t="shared" si="15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6">AF55+3.8</f>
        <v>103.59999999999997</v>
      </c>
      <c r="AG56" s="33">
        <f t="shared" ref="AG56:AG59" si="17">AG55+480</f>
        <v>10560</v>
      </c>
      <c r="AH56" s="33">
        <f t="shared" ref="AH56:AH59" si="18">AH55+2</f>
        <v>44.000000000000007</v>
      </c>
    </row>
    <row r="57" spans="12:34" x14ac:dyDescent="0.25">
      <c r="L57" s="49"/>
      <c r="AE57" s="33">
        <v>33</v>
      </c>
      <c r="AF57" s="33">
        <f t="shared" si="16"/>
        <v>107.39999999999996</v>
      </c>
      <c r="AG57" s="33">
        <f t="shared" si="17"/>
        <v>11040</v>
      </c>
      <c r="AH57" s="33">
        <f t="shared" si="18"/>
        <v>46.000000000000007</v>
      </c>
    </row>
    <row r="58" spans="12:34" x14ac:dyDescent="0.25">
      <c r="L58" s="49"/>
      <c r="AE58" s="33">
        <v>34</v>
      </c>
      <c r="AF58" s="33">
        <f t="shared" si="16"/>
        <v>111.19999999999996</v>
      </c>
      <c r="AG58" s="33">
        <f t="shared" si="17"/>
        <v>11520</v>
      </c>
      <c r="AH58" s="33">
        <f t="shared" si="18"/>
        <v>48.000000000000007</v>
      </c>
    </row>
    <row r="59" spans="12:34" x14ac:dyDescent="0.25">
      <c r="L59" s="49"/>
      <c r="AE59" s="33">
        <v>35</v>
      </c>
      <c r="AF59" s="33">
        <f t="shared" si="16"/>
        <v>114.99999999999996</v>
      </c>
      <c r="AG59" s="33">
        <f t="shared" si="17"/>
        <v>12000</v>
      </c>
      <c r="AH59" s="33">
        <f t="shared" si="18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AM21:AP22 Q21:Q22 N32:N36 N21:O22">
    <cfRule type="expression" dxfId="2843" priority="114">
      <formula>$L21="API sand"</formula>
    </cfRule>
  </conditionalFormatting>
  <conditionalFormatting sqref="R32:S36 S21:S22 AD21:AD22 AB32:AB35 AJ32:AL36 Z32:Z36 AB21:AB22 AJ21:AL22 Z21:Z22 N32:N36 N21:N22">
    <cfRule type="expression" dxfId="2842" priority="113">
      <formula>$M21="API sand"</formula>
    </cfRule>
  </conditionalFormatting>
  <conditionalFormatting sqref="R32:T36 S21:T22 AD21:AD22 Z32:AB35 Z21:AB22 AK32:AL36 N32:N36 N21:N22 AK21:AL22">
    <cfRule type="expression" dxfId="2841" priority="112">
      <formula>$M21="API clay"</formula>
    </cfRule>
  </conditionalFormatting>
  <conditionalFormatting sqref="U32:W36 N21:N22 P21:P22 U21:W22 AM32:AP36 N32:P36 AM21:AP22">
    <cfRule type="expression" dxfId="2840" priority="109">
      <formula>$L21="Stiff clay w/o free water"</formula>
    </cfRule>
    <cfRule type="expression" dxfId="2839" priority="111">
      <formula>$L21="API clay"</formula>
    </cfRule>
  </conditionalFormatting>
  <conditionalFormatting sqref="U32:Y36 U21:Y22 N21:N22 P21:P22 AM32:AP36 N32:P36 AM21:AP22">
    <cfRule type="expression" dxfId="2838" priority="110">
      <formula>$L21="Kirsch soft clay"</formula>
    </cfRule>
  </conditionalFormatting>
  <conditionalFormatting sqref="U32:Y36 U21:Y22 N21:N22 P21:P22 AM32:AP36 N32:P36 AM21:AP22">
    <cfRule type="expression" dxfId="2837" priority="108">
      <formula>$L21="Kirsch stiff clay"</formula>
    </cfRule>
  </conditionalFormatting>
  <conditionalFormatting sqref="AM32:AP36 Q32:Q36 X32:Y36 AM21:AP22 X21:Y22 Q21:Q22 N32:N36 N21:O22">
    <cfRule type="expression" dxfId="2836" priority="107">
      <formula>$L21="Kirsch sand"</formula>
    </cfRule>
  </conditionalFormatting>
  <conditionalFormatting sqref="AC32:AD36 AI32:AI36 AI21:AI22 AC21:AD22 AM32:AP36 N32:N36 N21:N22 AM21:AP22">
    <cfRule type="expression" dxfId="2835" priority="106">
      <formula>$L21="Modified Weak rock"</formula>
    </cfRule>
  </conditionalFormatting>
  <conditionalFormatting sqref="N21:N22 P21:P22 AM32:AP36 N32:P36 U32:V36 U21:V22 AM21:AP22">
    <cfRule type="expression" dxfId="2834" priority="105">
      <formula>$L21="Reese stiff clay"</formula>
    </cfRule>
  </conditionalFormatting>
  <conditionalFormatting sqref="AB36">
    <cfRule type="expression" dxfId="2833" priority="103">
      <formula>$M36="API sand"</formula>
    </cfRule>
  </conditionalFormatting>
  <conditionalFormatting sqref="Z36:AB36">
    <cfRule type="expression" dxfId="2832" priority="102">
      <formula>$M36="API clay"</formula>
    </cfRule>
  </conditionalFormatting>
  <conditionalFormatting sqref="AE37:AH37">
    <cfRule type="expression" dxfId="2831" priority="1073">
      <formula>#REF!="Modified Weak rock"</formula>
    </cfRule>
  </conditionalFormatting>
  <dataValidations count="3">
    <dataValidation type="list" showInputMessage="1" showErrorMessage="1" sqref="L32:L255 L6:L22" xr:uid="{109AAE83-8700-4D1B-BE6D-9D62D33F5AD5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20" xr:uid="{C2F7C291-C611-4B7B-9CE2-753C3BDB5911}">
      <formula1>"Zero soil,API sand,API clay"</formula1>
    </dataValidation>
    <dataValidation type="list" showInputMessage="1" showErrorMessage="1" sqref="M32:M36 M9:M22" xr:uid="{2A584BE0-D35A-4A0F-A036-577C727B35ED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F9E13-DC95-415A-9A45-F9469C03E800}">
  <sheetPr>
    <tabColor rgb="FF00B0F0"/>
  </sheetPr>
  <dimension ref="A1:AS255"/>
  <sheetViews>
    <sheetView zoomScale="85" zoomScaleNormal="85" workbookViewId="0">
      <selection activeCell="K17" sqref="K17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Ak_Pisa_WTG66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26"/>
      <c r="R3" s="155"/>
      <c r="S3" s="155"/>
      <c r="T3" s="126"/>
      <c r="U3" s="155"/>
      <c r="V3" s="155"/>
      <c r="W3" s="126"/>
      <c r="X3" s="69"/>
      <c r="Y3" s="126"/>
      <c r="Z3" s="126"/>
      <c r="AA3" s="126"/>
      <c r="AB3" s="126"/>
      <c r="AC3" s="69"/>
      <c r="AD3" s="39"/>
      <c r="AE3" s="39"/>
      <c r="AF3" s="39"/>
      <c r="AG3" s="39"/>
      <c r="AH3" s="39"/>
      <c r="AI3" s="39"/>
      <c r="AJ3" s="126"/>
      <c r="AK3" s="126"/>
      <c r="AL3" s="126"/>
      <c r="AM3" s="126"/>
      <c r="AN3" s="126"/>
      <c r="AO3" s="126"/>
      <c r="AP3" s="126"/>
    </row>
    <row r="4" spans="1:45" x14ac:dyDescent="0.25">
      <c r="A4" s="40" t="s">
        <v>60</v>
      </c>
      <c r="B4" s="33">
        <f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27" t="s">
        <v>38</v>
      </c>
      <c r="K5" s="127" t="s">
        <v>30</v>
      </c>
      <c r="L5" s="127" t="s">
        <v>31</v>
      </c>
      <c r="M5" s="127" t="s">
        <v>31</v>
      </c>
      <c r="N5" s="127" t="s">
        <v>32</v>
      </c>
      <c r="O5" s="127" t="s">
        <v>33</v>
      </c>
      <c r="P5" s="127" t="s">
        <v>35</v>
      </c>
      <c r="Q5" s="127" t="s">
        <v>36</v>
      </c>
      <c r="R5" s="127" t="s">
        <v>36</v>
      </c>
      <c r="S5" s="127" t="s">
        <v>34</v>
      </c>
      <c r="T5" s="127" t="s">
        <v>33</v>
      </c>
      <c r="U5" s="127" t="s">
        <v>34</v>
      </c>
      <c r="V5" s="127" t="s">
        <v>62</v>
      </c>
      <c r="W5" s="127" t="s">
        <v>34</v>
      </c>
      <c r="X5" s="127" t="s">
        <v>33</v>
      </c>
      <c r="Y5" s="127" t="s">
        <v>35</v>
      </c>
      <c r="Z5" s="127" t="s">
        <v>33</v>
      </c>
      <c r="AA5" s="127" t="s">
        <v>34</v>
      </c>
      <c r="AB5" s="127" t="s">
        <v>33</v>
      </c>
      <c r="AC5" s="127" t="s">
        <v>33</v>
      </c>
      <c r="AD5" s="127" t="s">
        <v>35</v>
      </c>
      <c r="AE5" s="127" t="s">
        <v>34</v>
      </c>
      <c r="AF5" s="127" t="s">
        <v>33</v>
      </c>
      <c r="AG5" s="127" t="s">
        <v>35</v>
      </c>
      <c r="AH5" s="127" t="s">
        <v>34</v>
      </c>
      <c r="AI5" s="127" t="s">
        <v>34</v>
      </c>
      <c r="AJ5" s="127" t="s">
        <v>34</v>
      </c>
      <c r="AK5" s="127" t="s">
        <v>34</v>
      </c>
      <c r="AL5" s="127" t="s">
        <v>34</v>
      </c>
      <c r="AM5" s="127" t="s">
        <v>34</v>
      </c>
      <c r="AN5" s="127" t="s">
        <v>34</v>
      </c>
      <c r="AO5" s="127" t="s">
        <v>34</v>
      </c>
      <c r="AP5" s="127" t="s">
        <v>34</v>
      </c>
      <c r="AQ5" s="127" t="s">
        <v>103</v>
      </c>
      <c r="AR5" s="127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33" t="str">
        <f t="shared" ref="L6:L11" si="0">"EW_sand_Ruled"&amp;"_"&amp;AR6</f>
        <v>EW_sand_Ruled_69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32</v>
      </c>
      <c r="R6" s="47">
        <f t="shared" ref="R6:R7" si="1">IF(Q6&lt;&gt;0,Q6-5,NA())</f>
        <v>27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2500</v>
      </c>
      <c r="Y6" s="47">
        <v>0</v>
      </c>
      <c r="Z6" s="47">
        <f t="shared" ref="Z6:Z7" si="2">VLOOKUP(R6,$AE$39:$AF$59,2)</f>
        <v>86.999999999999972</v>
      </c>
      <c r="AA6" s="47">
        <v>1</v>
      </c>
      <c r="AB6" s="47">
        <f t="shared" ref="AB6:AB7" si="3">VLOOKUP(R6,$AE$39:$AG$59,3)</f>
        <v>6720</v>
      </c>
      <c r="AC6" s="63">
        <v>5000</v>
      </c>
      <c r="AD6" s="63">
        <v>22000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:AJ7" si="4">VLOOKUP(R6,$AE$39:$AH$59,4)</f>
        <v>28.000000000000007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69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19">
        <v>-0.5</v>
      </c>
      <c r="L7" s="33" t="str">
        <f t="shared" si="0"/>
        <v>EW_sand_Ruled_60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37</v>
      </c>
      <c r="R7" s="47">
        <f t="shared" si="1"/>
        <v>32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12400</v>
      </c>
      <c r="Y7" s="47">
        <v>0</v>
      </c>
      <c r="Z7" s="47">
        <f t="shared" si="2"/>
        <v>103.59999999999997</v>
      </c>
      <c r="AA7" s="47">
        <v>1</v>
      </c>
      <c r="AB7" s="47">
        <f t="shared" si="3"/>
        <v>10560</v>
      </c>
      <c r="AC7" s="63">
        <v>19000</v>
      </c>
      <c r="AD7" s="63">
        <v>21250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si="4"/>
        <v>44.000000000000007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60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259</v>
      </c>
      <c r="J8" s="47">
        <v>3</v>
      </c>
      <c r="K8" s="19">
        <v>-1.3</v>
      </c>
      <c r="L8" s="33" t="str">
        <f t="shared" si="0"/>
        <v>EW_sand_Ruled_53</v>
      </c>
      <c r="M8" s="105" t="s">
        <v>64</v>
      </c>
      <c r="N8" s="47">
        <v>10</v>
      </c>
      <c r="O8" s="63">
        <v>0</v>
      </c>
      <c r="P8" s="63">
        <v>0</v>
      </c>
      <c r="Q8" s="47">
        <v>37</v>
      </c>
      <c r="R8" s="47">
        <f t="shared" ref="R8:R17" si="5">IF(Q8&lt;&gt;0,Q8-5,NA())</f>
        <v>32</v>
      </c>
      <c r="S8" s="47">
        <v>1.9</v>
      </c>
      <c r="T8" s="47">
        <v>0</v>
      </c>
      <c r="U8" s="75">
        <v>0</v>
      </c>
      <c r="V8" s="75">
        <v>0</v>
      </c>
      <c r="W8" s="47">
        <v>0</v>
      </c>
      <c r="X8" s="47">
        <v>18600</v>
      </c>
      <c r="Y8" s="47">
        <v>0</v>
      </c>
      <c r="Z8" s="47">
        <f t="shared" ref="Z8:Z17" si="6">VLOOKUP(R8,$AE$39:$AF$59,2)</f>
        <v>103.59999999999997</v>
      </c>
      <c r="AA8" s="47">
        <v>1</v>
      </c>
      <c r="AB8" s="47">
        <f t="shared" ref="AB8:AB17" si="7">VLOOKUP(R8,$AE$39:$AG$59,3)</f>
        <v>10560</v>
      </c>
      <c r="AC8" s="63">
        <v>30000</v>
      </c>
      <c r="AD8" s="63">
        <v>22857.14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ref="AJ8:AJ17" si="8">VLOOKUP(R8,$AE$39:$AH$59,4)</f>
        <v>44.000000000000007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53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56" t="s">
        <v>261</v>
      </c>
      <c r="J9" s="47">
        <v>4</v>
      </c>
      <c r="K9" s="19">
        <v>-2</v>
      </c>
      <c r="L9" s="33" t="str">
        <f t="shared" si="0"/>
        <v>EW_sand_Ruled_59</v>
      </c>
      <c r="M9" s="105" t="s">
        <v>64</v>
      </c>
      <c r="N9" s="47">
        <v>9.9</v>
      </c>
      <c r="O9" s="63">
        <v>0</v>
      </c>
      <c r="P9" s="63">
        <v>0</v>
      </c>
      <c r="Q9" s="47">
        <v>38</v>
      </c>
      <c r="R9" s="47">
        <f t="shared" si="5"/>
        <v>33</v>
      </c>
      <c r="S9" s="47">
        <v>1.6</v>
      </c>
      <c r="T9" s="47">
        <v>0</v>
      </c>
      <c r="U9" s="75">
        <v>0</v>
      </c>
      <c r="V9" s="75">
        <v>0</v>
      </c>
      <c r="W9" s="47">
        <v>0</v>
      </c>
      <c r="X9" s="47">
        <v>33000</v>
      </c>
      <c r="Y9" s="47">
        <v>0</v>
      </c>
      <c r="Z9" s="47">
        <f t="shared" si="6"/>
        <v>107.39999999999996</v>
      </c>
      <c r="AA9" s="47">
        <v>1</v>
      </c>
      <c r="AB9" s="47">
        <f t="shared" si="7"/>
        <v>11040</v>
      </c>
      <c r="AC9" s="63">
        <v>53000</v>
      </c>
      <c r="AD9" s="63">
        <v>3600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8"/>
        <v>46.000000000000007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59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56" t="s">
        <v>261</v>
      </c>
      <c r="J10" s="47">
        <v>5</v>
      </c>
      <c r="K10" s="19">
        <v>-4</v>
      </c>
      <c r="L10" s="33" t="str">
        <f t="shared" si="0"/>
        <v>EW_sand_Ruled_71</v>
      </c>
      <c r="M10" s="105" t="s">
        <v>64</v>
      </c>
      <c r="N10" s="47">
        <v>9.9</v>
      </c>
      <c r="O10" s="63">
        <v>0</v>
      </c>
      <c r="P10" s="63">
        <v>0</v>
      </c>
      <c r="Q10" s="47">
        <v>40</v>
      </c>
      <c r="R10" s="47">
        <f t="shared" si="5"/>
        <v>35</v>
      </c>
      <c r="S10" s="47">
        <v>1.4</v>
      </c>
      <c r="T10" s="47">
        <v>0</v>
      </c>
      <c r="U10" s="75">
        <v>0</v>
      </c>
      <c r="V10" s="75">
        <v>0</v>
      </c>
      <c r="W10" s="47">
        <v>0</v>
      </c>
      <c r="X10" s="47">
        <v>60200</v>
      </c>
      <c r="Y10" s="47">
        <v>0</v>
      </c>
      <c r="Z10" s="47">
        <f t="shared" si="6"/>
        <v>114.99999999999996</v>
      </c>
      <c r="AA10" s="47">
        <v>1</v>
      </c>
      <c r="AB10" s="47">
        <f t="shared" si="7"/>
        <v>12000</v>
      </c>
      <c r="AC10" s="63">
        <v>81000</v>
      </c>
      <c r="AD10" s="63">
        <v>2857.14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8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71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56" t="s">
        <v>264</v>
      </c>
      <c r="J11" s="47">
        <v>6</v>
      </c>
      <c r="K11" s="19">
        <v>-8</v>
      </c>
      <c r="L11" s="33" t="str">
        <f t="shared" si="0"/>
        <v>EW_sand_Ruled_72</v>
      </c>
      <c r="M11" s="105" t="s">
        <v>64</v>
      </c>
      <c r="N11" s="47">
        <v>8.5</v>
      </c>
      <c r="O11" s="63">
        <v>0</v>
      </c>
      <c r="P11" s="63">
        <v>0</v>
      </c>
      <c r="Q11" s="47">
        <v>28</v>
      </c>
      <c r="R11" s="47">
        <f t="shared" si="5"/>
        <v>23</v>
      </c>
      <c r="S11" s="47">
        <v>1.6</v>
      </c>
      <c r="T11" s="47">
        <v>0</v>
      </c>
      <c r="U11" s="75">
        <v>0</v>
      </c>
      <c r="V11" s="75">
        <v>0</v>
      </c>
      <c r="W11" s="47">
        <v>0</v>
      </c>
      <c r="X11" s="47">
        <v>18700</v>
      </c>
      <c r="Y11" s="47">
        <v>0</v>
      </c>
      <c r="Z11" s="47">
        <f t="shared" si="6"/>
        <v>75.399999999999977</v>
      </c>
      <c r="AA11" s="47">
        <v>1</v>
      </c>
      <c r="AB11" s="47">
        <f t="shared" si="7"/>
        <v>4040</v>
      </c>
      <c r="AC11" s="63">
        <v>91000</v>
      </c>
      <c r="AD11" s="63">
        <v>1034.48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8"/>
        <v>16.800000000000004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72</v>
      </c>
      <c r="AS11" s="33">
        <v>0.2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266</v>
      </c>
      <c r="J12" s="47">
        <v>7</v>
      </c>
      <c r="K12" s="19">
        <v>-10.9</v>
      </c>
      <c r="L12" s="116" t="s">
        <v>275</v>
      </c>
      <c r="M12" s="105" t="s">
        <v>65</v>
      </c>
      <c r="N12" s="47">
        <v>8.5</v>
      </c>
      <c r="O12" s="63">
        <v>306</v>
      </c>
      <c r="P12" s="63">
        <v>1.35</v>
      </c>
      <c r="Q12" s="47">
        <v>0</v>
      </c>
      <c r="R12" s="47" t="e">
        <f t="shared" si="5"/>
        <v>#N/A</v>
      </c>
      <c r="S12" s="47">
        <v>3</v>
      </c>
      <c r="T12" s="47">
        <v>0</v>
      </c>
      <c r="U12" s="75">
        <v>1.7999999999999999E-2</v>
      </c>
      <c r="V12" s="75">
        <v>0</v>
      </c>
      <c r="W12" s="47">
        <v>0.25</v>
      </c>
      <c r="X12" s="47">
        <v>27500</v>
      </c>
      <c r="Y12" s="47">
        <v>0</v>
      </c>
      <c r="Z12" s="47" t="e">
        <f t="shared" si="6"/>
        <v>#N/A</v>
      </c>
      <c r="AA12" s="47">
        <v>1</v>
      </c>
      <c r="AB12" s="47" t="e">
        <f t="shared" si="7"/>
        <v>#N/A</v>
      </c>
      <c r="AC12" s="63">
        <v>363000</v>
      </c>
      <c r="AD12" s="63">
        <v>2828.68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8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266</v>
      </c>
      <c r="J13" s="47">
        <v>8</v>
      </c>
      <c r="K13" s="19">
        <v>-36</v>
      </c>
      <c r="L13" s="116" t="s">
        <v>275</v>
      </c>
      <c r="M13" s="105" t="s">
        <v>65</v>
      </c>
      <c r="N13" s="47">
        <v>8.5</v>
      </c>
      <c r="O13" s="63">
        <v>245</v>
      </c>
      <c r="P13" s="63">
        <v>-14.8</v>
      </c>
      <c r="Q13" s="47">
        <v>0</v>
      </c>
      <c r="R13" s="47" t="e">
        <f t="shared" si="5"/>
        <v>#N/A</v>
      </c>
      <c r="S13" s="47">
        <v>2.1</v>
      </c>
      <c r="T13" s="47">
        <v>0</v>
      </c>
      <c r="U13" s="75">
        <v>1.7999999999999999E-2</v>
      </c>
      <c r="V13" s="75">
        <v>0</v>
      </c>
      <c r="W13" s="47">
        <v>0.5</v>
      </c>
      <c r="X13" s="47">
        <v>19300</v>
      </c>
      <c r="Y13" s="47">
        <v>0</v>
      </c>
      <c r="Z13" s="47" t="e">
        <f t="shared" si="6"/>
        <v>#N/A</v>
      </c>
      <c r="AA13" s="47">
        <v>1</v>
      </c>
      <c r="AB13" s="47" t="e">
        <f t="shared" si="7"/>
        <v>#N/A</v>
      </c>
      <c r="AC13" s="63">
        <v>321000</v>
      </c>
      <c r="AD13" s="63">
        <v>-16400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8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305</v>
      </c>
      <c r="J14" s="47">
        <v>9</v>
      </c>
      <c r="K14" s="19">
        <v>-41</v>
      </c>
      <c r="L14" s="116" t="s">
        <v>275</v>
      </c>
      <c r="M14" s="105" t="s">
        <v>65</v>
      </c>
      <c r="N14" s="47">
        <v>9.3000000000000007</v>
      </c>
      <c r="O14" s="63">
        <v>1129</v>
      </c>
      <c r="P14" s="63">
        <v>19.440000000000001</v>
      </c>
      <c r="Q14" s="47">
        <v>0</v>
      </c>
      <c r="R14" s="47" t="e">
        <f t="shared" si="5"/>
        <v>#N/A</v>
      </c>
      <c r="S14" s="47">
        <v>3</v>
      </c>
      <c r="T14" s="47">
        <v>0</v>
      </c>
      <c r="U14" s="75">
        <v>1.7999999999999999E-2</v>
      </c>
      <c r="V14" s="75">
        <v>0</v>
      </c>
      <c r="W14" s="47">
        <v>0.25</v>
      </c>
      <c r="X14" s="47">
        <v>103500</v>
      </c>
      <c r="Y14" s="47">
        <v>0</v>
      </c>
      <c r="Z14" s="47" t="e">
        <f t="shared" si="6"/>
        <v>#N/A</v>
      </c>
      <c r="AA14" s="47">
        <v>1</v>
      </c>
      <c r="AB14" s="47" t="e">
        <f t="shared" si="7"/>
        <v>#N/A</v>
      </c>
      <c r="AC14" s="63">
        <v>2141000</v>
      </c>
      <c r="AD14" s="63">
        <v>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 t="e">
        <f t="shared" si="8"/>
        <v>#N/A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271</v>
      </c>
      <c r="J15" s="47">
        <v>10</v>
      </c>
      <c r="K15" s="19">
        <v>-66.2</v>
      </c>
      <c r="L15" s="33" t="str">
        <f t="shared" ref="L15" si="9">"EW_sand_Ruled"&amp;"_"&amp;AR15</f>
        <v>EW_sand_Ruled_79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29</v>
      </c>
      <c r="R15" s="47">
        <f t="shared" si="5"/>
        <v>24</v>
      </c>
      <c r="S15" s="47">
        <v>0.9</v>
      </c>
      <c r="T15" s="47">
        <v>0</v>
      </c>
      <c r="U15" s="75">
        <v>0</v>
      </c>
      <c r="V15" s="75">
        <v>0</v>
      </c>
      <c r="W15" s="47">
        <v>0</v>
      </c>
      <c r="X15" s="47">
        <v>64200</v>
      </c>
      <c r="Y15" s="47">
        <v>0</v>
      </c>
      <c r="Z15" s="47">
        <f t="shared" si="6"/>
        <v>78.199999999999974</v>
      </c>
      <c r="AA15" s="47">
        <v>1</v>
      </c>
      <c r="AB15" s="47">
        <f t="shared" si="7"/>
        <v>4420</v>
      </c>
      <c r="AC15" s="63">
        <v>263000</v>
      </c>
      <c r="AD15" s="63">
        <v>1692.3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8"/>
        <v>18.400000000000006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79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273</v>
      </c>
      <c r="J16" s="47">
        <v>11</v>
      </c>
      <c r="K16" s="19">
        <v>-72.7</v>
      </c>
      <c r="L16" s="116" t="s">
        <v>275</v>
      </c>
      <c r="M16" s="105" t="s">
        <v>65</v>
      </c>
      <c r="N16" s="47">
        <v>8.9</v>
      </c>
      <c r="O16" s="63">
        <v>531</v>
      </c>
      <c r="P16" s="63">
        <v>5.0599999999999996</v>
      </c>
      <c r="Q16" s="47">
        <v>0</v>
      </c>
      <c r="R16" s="47" t="e">
        <f t="shared" si="5"/>
        <v>#N/A</v>
      </c>
      <c r="S16" s="47">
        <v>2.1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48300</v>
      </c>
      <c r="Y16" s="47">
        <v>0</v>
      </c>
      <c r="Z16" s="47" t="e">
        <f t="shared" si="6"/>
        <v>#N/A</v>
      </c>
      <c r="AA16" s="47">
        <v>1</v>
      </c>
      <c r="AB16" s="47" t="e">
        <f t="shared" si="7"/>
        <v>#N/A</v>
      </c>
      <c r="AC16" s="63">
        <v>842000</v>
      </c>
      <c r="AD16" s="63">
        <v>9589.0400000000009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8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27"/>
      <c r="E17" s="127"/>
      <c r="I17" s="33" t="s">
        <v>273</v>
      </c>
      <c r="J17" s="47">
        <v>12</v>
      </c>
      <c r="K17" s="19">
        <v>-80</v>
      </c>
      <c r="L17" s="116" t="s">
        <v>275</v>
      </c>
      <c r="M17" s="105" t="s">
        <v>65</v>
      </c>
      <c r="N17" s="47">
        <v>8.9</v>
      </c>
      <c r="O17" s="63">
        <v>568</v>
      </c>
      <c r="P17" s="63">
        <v>0</v>
      </c>
      <c r="Q17" s="47">
        <v>0</v>
      </c>
      <c r="R17" s="47" t="e">
        <f t="shared" si="5"/>
        <v>#N/A</v>
      </c>
      <c r="S17" s="47">
        <v>2.1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48300</v>
      </c>
      <c r="Y17" s="47">
        <v>0</v>
      </c>
      <c r="Z17" s="47" t="e">
        <f t="shared" si="6"/>
        <v>#N/A</v>
      </c>
      <c r="AA17" s="47">
        <v>1</v>
      </c>
      <c r="AB17" s="47" t="e">
        <f t="shared" si="7"/>
        <v>#N/A</v>
      </c>
      <c r="AC17" s="63">
        <v>912000</v>
      </c>
      <c r="AD17" s="63">
        <v>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8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 s="116"/>
      <c r="M18" s="105"/>
      <c r="N18" s="47"/>
      <c r="O18" s="63"/>
      <c r="P18" s="63"/>
      <c r="Q18" s="47"/>
      <c r="R18" s="47"/>
      <c r="S18" s="47"/>
      <c r="T18" s="47"/>
      <c r="U18" s="75"/>
      <c r="V18" s="75"/>
      <c r="W18" s="47"/>
      <c r="X18" s="47"/>
      <c r="Y18" s="47"/>
      <c r="Z18" s="47"/>
      <c r="AA18" s="47"/>
      <c r="AB18" s="47"/>
      <c r="AC18" s="63"/>
      <c r="AD18" s="63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5" x14ac:dyDescent="0.25">
      <c r="A19" s="127" t="s">
        <v>38</v>
      </c>
      <c r="B19" s="127" t="s">
        <v>30</v>
      </c>
      <c r="C19" s="127" t="s">
        <v>59</v>
      </c>
      <c r="D19" s="43"/>
      <c r="E19" s="35"/>
    </row>
    <row r="20" spans="1:45" x14ac:dyDescent="0.25">
      <c r="A20" s="66">
        <v>1</v>
      </c>
      <c r="B20" s="66">
        <v>0</v>
      </c>
      <c r="C20" s="67">
        <v>0.09</v>
      </c>
      <c r="D20" s="43"/>
      <c r="J20" s="47"/>
      <c r="L20" s="116"/>
      <c r="M20" s="105"/>
      <c r="N20" s="47"/>
      <c r="O20" s="63"/>
      <c r="P20" s="63"/>
      <c r="Q20" s="47"/>
      <c r="R20" s="47"/>
      <c r="S20" s="47"/>
      <c r="T20" s="47"/>
      <c r="U20" s="75"/>
      <c r="V20" s="75"/>
      <c r="W20" s="47"/>
      <c r="X20" s="47"/>
      <c r="Y20" s="47"/>
      <c r="Z20" s="47"/>
      <c r="AA20" s="47"/>
      <c r="AB20" s="47"/>
      <c r="AC20" s="63"/>
      <c r="AD20" s="63"/>
      <c r="AE20" s="63"/>
      <c r="AF20" s="63"/>
      <c r="AG20" s="63"/>
      <c r="AH20" s="63"/>
      <c r="AI20" s="63"/>
      <c r="AJ20" s="47"/>
      <c r="AK20" s="47"/>
      <c r="AL20" s="47"/>
      <c r="AM20" s="47"/>
      <c r="AN20" s="47"/>
      <c r="AO20" s="47"/>
      <c r="AP20" s="47"/>
      <c r="AQ20" s="47"/>
      <c r="AR20" s="47"/>
    </row>
    <row r="21" spans="1:45" x14ac:dyDescent="0.25">
      <c r="A21" s="66"/>
      <c r="B21" s="66"/>
      <c r="C21" s="67"/>
      <c r="D21" s="43"/>
      <c r="J21" s="47"/>
      <c r="L21" s="116"/>
      <c r="M21" s="105"/>
      <c r="N21" s="47"/>
      <c r="O21" s="63"/>
      <c r="P21" s="63"/>
      <c r="Q21" s="47"/>
      <c r="R21" s="47"/>
      <c r="S21" s="47"/>
      <c r="T21" s="47"/>
      <c r="U21" s="75"/>
      <c r="V21" s="75"/>
      <c r="W21" s="47"/>
      <c r="X21" s="47"/>
      <c r="Y21" s="47"/>
      <c r="Z21" s="47"/>
      <c r="AA21" s="47"/>
      <c r="AB21" s="47"/>
      <c r="AC21" s="63"/>
      <c r="AD21" s="63"/>
      <c r="AE21" s="63"/>
      <c r="AF21" s="63"/>
      <c r="AG21" s="63"/>
      <c r="AH21" s="63"/>
      <c r="AI21" s="63"/>
      <c r="AJ21" s="47"/>
      <c r="AK21" s="47"/>
      <c r="AL21" s="47"/>
      <c r="AM21" s="47"/>
      <c r="AN21" s="47"/>
      <c r="AO21" s="47"/>
      <c r="AP21" s="47"/>
      <c r="AQ21" s="47"/>
      <c r="AR21" s="47"/>
    </row>
    <row r="22" spans="1:45" x14ac:dyDescent="0.25">
      <c r="A22" s="66"/>
      <c r="B22" s="66"/>
      <c r="C22" s="67"/>
      <c r="D22" s="35"/>
      <c r="I22" s="56"/>
      <c r="J22" s="47"/>
      <c r="K22" s="19"/>
      <c r="L22" s="116"/>
      <c r="M22" s="105"/>
      <c r="N22" s="47"/>
      <c r="O22" s="63"/>
      <c r="P22" s="63"/>
      <c r="Q22" s="47"/>
      <c r="R22" s="47"/>
      <c r="S22" s="47"/>
      <c r="T22" s="47"/>
      <c r="U22" s="75"/>
      <c r="V22" s="75"/>
      <c r="W22" s="47"/>
      <c r="X22" s="47"/>
      <c r="Y22" s="47"/>
      <c r="Z22" s="47"/>
      <c r="AA22" s="47"/>
      <c r="AB22" s="47"/>
      <c r="AC22" s="63"/>
      <c r="AD22" s="63"/>
      <c r="AE22" s="63"/>
      <c r="AF22" s="63"/>
      <c r="AG22" s="63"/>
      <c r="AH22" s="63"/>
      <c r="AI22" s="63"/>
      <c r="AJ22" s="47"/>
      <c r="AK22" s="47"/>
      <c r="AL22" s="47"/>
      <c r="AM22" s="47"/>
      <c r="AN22" s="47"/>
      <c r="AO22" s="47"/>
      <c r="AP22" s="47"/>
      <c r="AQ22" s="47"/>
      <c r="AR22" s="47"/>
    </row>
    <row r="23" spans="1:45" x14ac:dyDescent="0.25">
      <c r="A23" s="66"/>
      <c r="B23" s="66"/>
      <c r="C23" s="67"/>
      <c r="D23" s="35"/>
      <c r="I23" s="56"/>
      <c r="J23" s="47"/>
      <c r="K23" s="19"/>
      <c r="L23" s="116"/>
      <c r="M23" s="105"/>
      <c r="N23" s="47"/>
      <c r="O23" s="63"/>
      <c r="P23" s="63"/>
      <c r="Q23" s="47"/>
      <c r="R23" s="47"/>
      <c r="S23" s="47"/>
      <c r="T23" s="47"/>
      <c r="U23" s="75"/>
      <c r="V23" s="75"/>
      <c r="W23" s="47"/>
      <c r="X23" s="47"/>
      <c r="Y23" s="47"/>
      <c r="Z23" s="47"/>
      <c r="AA23" s="47"/>
      <c r="AB23" s="47"/>
      <c r="AC23" s="63"/>
      <c r="AD23" s="63"/>
      <c r="AE23" s="63"/>
      <c r="AF23" s="63"/>
      <c r="AG23" s="63"/>
      <c r="AH23" s="63"/>
      <c r="AI23" s="63"/>
      <c r="AJ23" s="47"/>
      <c r="AK23" s="47"/>
      <c r="AL23" s="47"/>
      <c r="AM23" s="47"/>
      <c r="AN23" s="47"/>
      <c r="AO23" s="47"/>
      <c r="AP23" s="47"/>
      <c r="AQ23" s="47"/>
      <c r="AR23" s="47"/>
    </row>
    <row r="24" spans="1:45" x14ac:dyDescent="0.25">
      <c r="A24" s="66"/>
      <c r="B24" s="66"/>
      <c r="C24" s="67"/>
      <c r="D24" s="35"/>
      <c r="J24" s="47"/>
      <c r="K24" s="19"/>
      <c r="L24" s="116"/>
      <c r="M24" s="105"/>
      <c r="N24" s="47"/>
      <c r="O24" s="63"/>
      <c r="P24" s="63"/>
      <c r="Q24" s="47"/>
      <c r="R24" s="47"/>
      <c r="S24" s="47"/>
      <c r="T24" s="47"/>
      <c r="U24" s="75"/>
      <c r="V24" s="75"/>
      <c r="W24" s="47"/>
      <c r="X24" s="47"/>
      <c r="Y24" s="47"/>
      <c r="Z24" s="47"/>
      <c r="AA24" s="47"/>
      <c r="AB24" s="47"/>
      <c r="AC24" s="63"/>
      <c r="AD24" s="63"/>
      <c r="AE24" s="63"/>
      <c r="AF24" s="63"/>
      <c r="AG24" s="63"/>
      <c r="AH24" s="63"/>
      <c r="AI24" s="63"/>
      <c r="AJ24" s="47"/>
      <c r="AK24" s="47"/>
      <c r="AL24" s="47"/>
      <c r="AM24" s="47"/>
      <c r="AN24" s="47"/>
      <c r="AO24" s="47"/>
      <c r="AP24" s="47"/>
      <c r="AQ24" s="47"/>
      <c r="AR24" s="47"/>
    </row>
    <row r="25" spans="1:45" x14ac:dyDescent="0.25">
      <c r="A25" s="66"/>
      <c r="B25" s="66"/>
      <c r="C25" s="67"/>
      <c r="D25" s="35"/>
      <c r="J25" s="47"/>
      <c r="L25" s="116"/>
      <c r="M25" s="105"/>
      <c r="N25" s="47"/>
      <c r="O25" s="63"/>
      <c r="P25" s="63"/>
      <c r="Q25" s="47"/>
      <c r="R25" s="47"/>
      <c r="S25" s="47"/>
      <c r="T25" s="47"/>
      <c r="U25" s="75"/>
      <c r="V25" s="75"/>
      <c r="W25" s="47"/>
      <c r="X25" s="47"/>
      <c r="Y25" s="47"/>
      <c r="Z25" s="47"/>
      <c r="AA25" s="47"/>
      <c r="AB25" s="47"/>
      <c r="AC25" s="63"/>
      <c r="AD25" s="63"/>
      <c r="AE25" s="63"/>
      <c r="AF25" s="63"/>
      <c r="AG25" s="63"/>
      <c r="AH25" s="63"/>
      <c r="AI25" s="63"/>
      <c r="AJ25" s="47"/>
      <c r="AK25" s="47"/>
      <c r="AL25" s="47"/>
      <c r="AM25" s="47"/>
      <c r="AN25" s="47"/>
      <c r="AO25" s="47"/>
      <c r="AP25" s="47"/>
      <c r="AQ25" s="47"/>
      <c r="AR25" s="47"/>
    </row>
    <row r="26" spans="1:45" x14ac:dyDescent="0.25">
      <c r="A26" s="66"/>
      <c r="B26" s="66"/>
      <c r="C26" s="67"/>
      <c r="D26" s="35"/>
      <c r="J26" s="47"/>
      <c r="K26" s="19"/>
      <c r="L26" s="116"/>
      <c r="M26" s="105"/>
      <c r="N26" s="47"/>
      <c r="O26" s="63"/>
      <c r="P26" s="63"/>
      <c r="Q26" s="47"/>
      <c r="R26" s="47"/>
      <c r="S26" s="47"/>
      <c r="T26" s="47"/>
      <c r="U26" s="75"/>
      <c r="V26" s="75"/>
      <c r="W26" s="47"/>
      <c r="X26" s="47"/>
      <c r="Y26" s="47"/>
      <c r="Z26" s="47"/>
      <c r="AA26" s="47"/>
      <c r="AB26" s="47"/>
      <c r="AC26" s="63"/>
      <c r="AD26" s="63"/>
      <c r="AE26" s="63"/>
      <c r="AF26" s="63"/>
      <c r="AG26" s="63"/>
      <c r="AH26" s="63"/>
      <c r="AI26" s="63"/>
      <c r="AJ26" s="47"/>
      <c r="AK26" s="47"/>
      <c r="AL26" s="47"/>
      <c r="AM26" s="47"/>
      <c r="AN26" s="47"/>
      <c r="AO26" s="47"/>
      <c r="AP26" s="47"/>
      <c r="AQ26" s="47"/>
      <c r="AR26" s="47"/>
    </row>
    <row r="27" spans="1:45" x14ac:dyDescent="0.25">
      <c r="A27" s="66"/>
      <c r="B27" s="66"/>
      <c r="C27" s="67"/>
      <c r="D27" s="35"/>
      <c r="J27" s="47"/>
      <c r="K27" s="19"/>
      <c r="L27" s="116"/>
      <c r="M27" s="105"/>
      <c r="N27" s="47"/>
      <c r="O27" s="63"/>
      <c r="P27" s="63"/>
      <c r="Q27" s="47"/>
      <c r="R27" s="47"/>
      <c r="S27" s="47"/>
      <c r="T27" s="47"/>
      <c r="U27" s="75"/>
      <c r="V27" s="75"/>
      <c r="W27" s="47"/>
      <c r="X27" s="47"/>
      <c r="Y27" s="47"/>
      <c r="Z27" s="47"/>
      <c r="AA27" s="47"/>
      <c r="AB27" s="47"/>
      <c r="AC27" s="63"/>
      <c r="AD27" s="63"/>
      <c r="AE27" s="63"/>
      <c r="AF27" s="63"/>
      <c r="AG27" s="63"/>
      <c r="AH27" s="63"/>
      <c r="AI27" s="63"/>
      <c r="AJ27" s="47"/>
      <c r="AK27" s="47"/>
      <c r="AL27" s="47"/>
      <c r="AM27" s="47"/>
      <c r="AN27" s="47"/>
      <c r="AO27" s="47"/>
      <c r="AP27" s="47"/>
      <c r="AQ27" s="47"/>
      <c r="AR27" s="47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</row>
    <row r="30" spans="1:45" x14ac:dyDescent="0.25">
      <c r="A30" s="66"/>
      <c r="B30" s="66"/>
      <c r="C30" s="67"/>
      <c r="D30" s="35"/>
    </row>
    <row r="31" spans="1:45" x14ac:dyDescent="0.25">
      <c r="A31" s="66"/>
      <c r="B31" s="66"/>
      <c r="C31" s="67"/>
      <c r="D31" s="35"/>
    </row>
    <row r="32" spans="1:45" x14ac:dyDescent="0.25">
      <c r="A32" s="66"/>
      <c r="B32" s="66"/>
      <c r="C32" s="67"/>
      <c r="D32" s="35"/>
    </row>
    <row r="33" spans="1:42" x14ac:dyDescent="0.25">
      <c r="A33" s="66"/>
      <c r="B33" s="66"/>
      <c r="C33" s="67"/>
      <c r="D33" s="35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10">AF40+3.8</f>
        <v>55.599999999999994</v>
      </c>
      <c r="AG41" s="33">
        <f t="shared" ref="AG41:AG43" si="11">AG40+200</f>
        <v>2300</v>
      </c>
      <c r="AH41" s="33">
        <f t="shared" ref="AH41:AH44" si="12">AH40+0.8</f>
        <v>9.6000000000000014</v>
      </c>
    </row>
    <row r="42" spans="1:42" x14ac:dyDescent="0.25">
      <c r="L42" s="49"/>
      <c r="AE42" s="33">
        <v>18</v>
      </c>
      <c r="AF42" s="33">
        <f t="shared" si="10"/>
        <v>59.399999999999991</v>
      </c>
      <c r="AG42" s="33">
        <f t="shared" si="11"/>
        <v>2500</v>
      </c>
      <c r="AH42" s="33">
        <f t="shared" si="12"/>
        <v>10.400000000000002</v>
      </c>
    </row>
    <row r="43" spans="1:42" x14ac:dyDescent="0.25">
      <c r="L43" s="49"/>
      <c r="AE43" s="33">
        <v>19</v>
      </c>
      <c r="AF43" s="33">
        <f t="shared" si="10"/>
        <v>63.199999999999989</v>
      </c>
      <c r="AG43" s="33">
        <f t="shared" si="11"/>
        <v>2700</v>
      </c>
      <c r="AH43" s="33">
        <f t="shared" si="12"/>
        <v>11.200000000000003</v>
      </c>
    </row>
    <row r="44" spans="1:42" x14ac:dyDescent="0.25">
      <c r="L44" s="49"/>
      <c r="AE44" s="33">
        <v>20</v>
      </c>
      <c r="AF44" s="33">
        <f t="shared" si="10"/>
        <v>66.999999999999986</v>
      </c>
      <c r="AG44" s="33">
        <f>AG43+200</f>
        <v>2900</v>
      </c>
      <c r="AH44" s="33">
        <f t="shared" si="12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3">AF45+2.8</f>
        <v>72.59999999999998</v>
      </c>
      <c r="AG46" s="33">
        <f t="shared" ref="AG46:AG48" si="14">AG45+380</f>
        <v>3660</v>
      </c>
      <c r="AH46" s="33">
        <f t="shared" ref="AH46:AH49" si="15">AH45+1.6</f>
        <v>15.200000000000003</v>
      </c>
    </row>
    <row r="47" spans="1:42" x14ac:dyDescent="0.25">
      <c r="L47" s="49"/>
      <c r="AE47" s="33">
        <v>23</v>
      </c>
      <c r="AF47" s="33">
        <f t="shared" si="13"/>
        <v>75.399999999999977</v>
      </c>
      <c r="AG47" s="33">
        <f t="shared" si="14"/>
        <v>4040</v>
      </c>
      <c r="AH47" s="33">
        <f t="shared" si="15"/>
        <v>16.800000000000004</v>
      </c>
    </row>
    <row r="48" spans="1:42" x14ac:dyDescent="0.25">
      <c r="L48" s="49"/>
      <c r="AE48" s="33">
        <v>24</v>
      </c>
      <c r="AF48" s="33">
        <f t="shared" si="13"/>
        <v>78.199999999999974</v>
      </c>
      <c r="AG48" s="33">
        <f t="shared" si="14"/>
        <v>4420</v>
      </c>
      <c r="AH48" s="33">
        <f t="shared" si="15"/>
        <v>18.400000000000006</v>
      </c>
    </row>
    <row r="49" spans="12:34" x14ac:dyDescent="0.25">
      <c r="L49" s="49"/>
      <c r="AE49" s="33">
        <v>25</v>
      </c>
      <c r="AF49" s="33">
        <f t="shared" si="13"/>
        <v>80.999999999999972</v>
      </c>
      <c r="AG49" s="33">
        <v>4800</v>
      </c>
      <c r="AH49" s="33">
        <f t="shared" si="15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6">AF50+3</f>
        <v>86.999999999999972</v>
      </c>
      <c r="AG51" s="33">
        <f t="shared" ref="AG51:AG54" si="17">AG50+960</f>
        <v>6720</v>
      </c>
      <c r="AH51" s="33">
        <f t="shared" ref="AH51:AH54" si="18">AH50+4</f>
        <v>28.000000000000007</v>
      </c>
    </row>
    <row r="52" spans="12:34" x14ac:dyDescent="0.25">
      <c r="L52" s="49"/>
      <c r="AE52" s="33">
        <v>28</v>
      </c>
      <c r="AF52" s="33">
        <f t="shared" si="16"/>
        <v>89.999999999999972</v>
      </c>
      <c r="AG52" s="33">
        <f t="shared" si="17"/>
        <v>7680</v>
      </c>
      <c r="AH52" s="33">
        <f t="shared" si="18"/>
        <v>32.000000000000007</v>
      </c>
    </row>
    <row r="53" spans="12:34" x14ac:dyDescent="0.25">
      <c r="L53" s="49"/>
      <c r="AE53" s="33">
        <v>29</v>
      </c>
      <c r="AF53" s="33">
        <f t="shared" si="16"/>
        <v>92.999999999999972</v>
      </c>
      <c r="AG53" s="33">
        <f t="shared" si="17"/>
        <v>8640</v>
      </c>
      <c r="AH53" s="33">
        <f t="shared" si="18"/>
        <v>36.000000000000007</v>
      </c>
    </row>
    <row r="54" spans="12:34" x14ac:dyDescent="0.25">
      <c r="L54" s="49"/>
      <c r="AE54" s="33">
        <v>30</v>
      </c>
      <c r="AF54" s="33">
        <f t="shared" si="16"/>
        <v>95.999999999999972</v>
      </c>
      <c r="AG54" s="33">
        <f t="shared" si="17"/>
        <v>9600</v>
      </c>
      <c r="AH54" s="33">
        <f t="shared" si="18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9">AF55+3.8</f>
        <v>103.59999999999997</v>
      </c>
      <c r="AG56" s="33">
        <f t="shared" ref="AG56:AG59" si="20">AG55+480</f>
        <v>10560</v>
      </c>
      <c r="AH56" s="33">
        <f t="shared" ref="AH56:AH59" si="21">AH55+2</f>
        <v>44.000000000000007</v>
      </c>
    </row>
    <row r="57" spans="12:34" x14ac:dyDescent="0.25">
      <c r="L57" s="49"/>
      <c r="AE57" s="33">
        <v>33</v>
      </c>
      <c r="AF57" s="33">
        <f t="shared" si="19"/>
        <v>107.39999999999996</v>
      </c>
      <c r="AG57" s="33">
        <f t="shared" si="20"/>
        <v>11040</v>
      </c>
      <c r="AH57" s="33">
        <f t="shared" si="21"/>
        <v>46.000000000000007</v>
      </c>
    </row>
    <row r="58" spans="12:34" x14ac:dyDescent="0.25">
      <c r="L58" s="49"/>
      <c r="AE58" s="33">
        <v>34</v>
      </c>
      <c r="AF58" s="33">
        <f t="shared" si="19"/>
        <v>111.19999999999996</v>
      </c>
      <c r="AG58" s="33">
        <f t="shared" si="20"/>
        <v>11520</v>
      </c>
      <c r="AH58" s="33">
        <f t="shared" si="21"/>
        <v>48.000000000000007</v>
      </c>
    </row>
    <row r="59" spans="12:34" x14ac:dyDescent="0.25">
      <c r="L59" s="49"/>
      <c r="AE59" s="33">
        <v>35</v>
      </c>
      <c r="AF59" s="33">
        <f t="shared" si="19"/>
        <v>114.99999999999996</v>
      </c>
      <c r="AG59" s="33">
        <f t="shared" si="20"/>
        <v>12000</v>
      </c>
      <c r="AH59" s="33">
        <f t="shared" si="21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6:AP36 Q36 N36">
    <cfRule type="expression" dxfId="2830" priority="12">
      <formula>$L36="API sand"</formula>
    </cfRule>
  </conditionalFormatting>
  <conditionalFormatting sqref="R36:S36 AJ36:AL36 Z36 N36">
    <cfRule type="expression" dxfId="2829" priority="11">
      <formula>$M36="API sand"</formula>
    </cfRule>
  </conditionalFormatting>
  <conditionalFormatting sqref="R36:T36 AK36:AL36 N36">
    <cfRule type="expression" dxfId="2828" priority="10">
      <formula>$M36="API clay"</formula>
    </cfRule>
  </conditionalFormatting>
  <conditionalFormatting sqref="U36:W36 AM36:AP36 N36:P36">
    <cfRule type="expression" dxfId="2827" priority="7">
      <formula>$L36="Stiff clay w/o free water"</formula>
    </cfRule>
    <cfRule type="expression" dxfId="2826" priority="9">
      <formula>$L36="API clay"</formula>
    </cfRule>
  </conditionalFormatting>
  <conditionalFormatting sqref="U36:Y36 AM36:AP36 N36:P36">
    <cfRule type="expression" dxfId="2825" priority="8">
      <formula>$L36="Kirsch soft clay"</formula>
    </cfRule>
  </conditionalFormatting>
  <conditionalFormatting sqref="U36:Y36 AM36:AP36 N36:P36">
    <cfRule type="expression" dxfId="2824" priority="6">
      <formula>$L36="Kirsch stiff clay"</formula>
    </cfRule>
  </conditionalFormatting>
  <conditionalFormatting sqref="AM36:AP36 Q36 X36:Y36 N36">
    <cfRule type="expression" dxfId="2823" priority="5">
      <formula>$L36="Kirsch sand"</formula>
    </cfRule>
  </conditionalFormatting>
  <conditionalFormatting sqref="AC36:AD36 AI36 AM36:AP36 N36">
    <cfRule type="expression" dxfId="2822" priority="4">
      <formula>$L36="Modified Weak rock"</formula>
    </cfRule>
  </conditionalFormatting>
  <conditionalFormatting sqref="AM36:AP36 N36:P36 U36:V36">
    <cfRule type="expression" dxfId="2821" priority="3">
      <formula>$L36="Reese stiff clay"</formula>
    </cfRule>
  </conditionalFormatting>
  <conditionalFormatting sqref="AB36">
    <cfRule type="expression" dxfId="2820" priority="2">
      <formula>$M36="API sand"</formula>
    </cfRule>
  </conditionalFormatting>
  <conditionalFormatting sqref="Z36:AB36">
    <cfRule type="expression" dxfId="2819" priority="1">
      <formula>$M36="API clay"</formula>
    </cfRule>
  </conditionalFormatting>
  <conditionalFormatting sqref="AE37:AH37">
    <cfRule type="expression" dxfId="2818" priority="13">
      <formula>#REF!="Modified Weak rock"</formula>
    </cfRule>
  </conditionalFormatting>
  <dataValidations count="4">
    <dataValidation type="list" showInputMessage="1" showErrorMessage="1" sqref="M20:M27 M6:M18" xr:uid="{E9AD3B7F-4AEA-4F87-882C-C72ECBBAF322}">
      <formula1>"Zero soil,API sand,API clay"</formula1>
    </dataValidation>
    <dataValidation type="list" showInputMessage="1" showErrorMessage="1" sqref="L36:L255 L20:L27 L18" xr:uid="{8E431028-7E7A-4B4D-A3AC-24AA31DB1322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6 M22:M27 M8:M18" xr:uid="{1A98EC64-E78F-430E-AB00-CBF224C9EC17}">
      <formula1>"',API sand,API clay"</formula1>
    </dataValidation>
    <dataValidation showInputMessage="1" showErrorMessage="1" sqref="L12:L14 L16:L17" xr:uid="{3A1595E1-E268-4268-80D2-9545C25F5D28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590D3-A0E3-4F7C-BBB7-3FECB5594FB9}">
  <sheetPr>
    <tabColor rgb="FF00B050"/>
  </sheetPr>
  <dimension ref="A1:AS255"/>
  <sheetViews>
    <sheetView zoomScale="85" zoomScaleNormal="85" workbookViewId="0">
      <selection activeCell="I3" sqref="I3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45" x14ac:dyDescent="0.25">
      <c r="A1" s="34" t="str">
        <f ca="1">TRIM(MID(CELL("filename",A1),FIND("]",CELL("filename",A1),1)+1,255))</f>
        <v>Ak_kirsch_WTG66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26"/>
      <c r="R3" s="155"/>
      <c r="S3" s="155"/>
      <c r="T3" s="126"/>
      <c r="U3" s="155"/>
      <c r="V3" s="155"/>
      <c r="W3" s="126"/>
      <c r="X3" s="69"/>
      <c r="Y3" s="126"/>
      <c r="Z3" s="126"/>
      <c r="AA3" s="126"/>
      <c r="AB3" s="126"/>
      <c r="AC3" s="69"/>
      <c r="AD3" s="39"/>
      <c r="AE3" s="39"/>
      <c r="AF3" s="39"/>
      <c r="AG3" s="39"/>
      <c r="AH3" s="39"/>
      <c r="AI3" s="39"/>
      <c r="AJ3" s="126"/>
      <c r="AK3" s="126"/>
      <c r="AL3" s="126"/>
      <c r="AM3" s="126"/>
      <c r="AN3" s="126"/>
      <c r="AO3" s="126"/>
      <c r="AP3" s="126"/>
    </row>
    <row r="4" spans="1:45" x14ac:dyDescent="0.25">
      <c r="A4" s="40" t="s">
        <v>60</v>
      </c>
      <c r="B4" s="33">
        <f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27" t="s">
        <v>38</v>
      </c>
      <c r="K5" s="127" t="s">
        <v>30</v>
      </c>
      <c r="L5" s="127" t="s">
        <v>31</v>
      </c>
      <c r="M5" s="127" t="s">
        <v>31</v>
      </c>
      <c r="N5" s="127" t="s">
        <v>32</v>
      </c>
      <c r="O5" s="127" t="s">
        <v>33</v>
      </c>
      <c r="P5" s="127" t="s">
        <v>35</v>
      </c>
      <c r="Q5" s="127" t="s">
        <v>36</v>
      </c>
      <c r="R5" s="127" t="s">
        <v>36</v>
      </c>
      <c r="S5" s="127" t="s">
        <v>34</v>
      </c>
      <c r="T5" s="127" t="s">
        <v>33</v>
      </c>
      <c r="U5" s="127" t="s">
        <v>34</v>
      </c>
      <c r="V5" s="127" t="s">
        <v>62</v>
      </c>
      <c r="W5" s="127" t="s">
        <v>34</v>
      </c>
      <c r="X5" s="127" t="s">
        <v>33</v>
      </c>
      <c r="Y5" s="127" t="s">
        <v>35</v>
      </c>
      <c r="Z5" s="127" t="s">
        <v>33</v>
      </c>
      <c r="AA5" s="127" t="s">
        <v>34</v>
      </c>
      <c r="AB5" s="127" t="s">
        <v>33</v>
      </c>
      <c r="AC5" s="127" t="s">
        <v>33</v>
      </c>
      <c r="AD5" s="127" t="s">
        <v>35</v>
      </c>
      <c r="AE5" s="127" t="s">
        <v>34</v>
      </c>
      <c r="AF5" s="127" t="s">
        <v>33</v>
      </c>
      <c r="AG5" s="127" t="s">
        <v>35</v>
      </c>
      <c r="AH5" s="127" t="s">
        <v>34</v>
      </c>
      <c r="AI5" s="127" t="s">
        <v>34</v>
      </c>
      <c r="AJ5" s="127" t="s">
        <v>34</v>
      </c>
      <c r="AK5" s="127" t="s">
        <v>34</v>
      </c>
      <c r="AL5" s="127" t="s">
        <v>34</v>
      </c>
      <c r="AM5" s="127" t="s">
        <v>34</v>
      </c>
      <c r="AN5" s="127" t="s">
        <v>34</v>
      </c>
      <c r="AO5" s="127" t="s">
        <v>34</v>
      </c>
      <c r="AP5" s="127" t="s">
        <v>34</v>
      </c>
      <c r="AQ5" s="127" t="s">
        <v>103</v>
      </c>
      <c r="AR5" s="127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s="116" t="s">
        <v>106</v>
      </c>
      <c r="M6" s="105" t="s">
        <v>64</v>
      </c>
      <c r="N6" s="47">
        <v>9.6999999999999993</v>
      </c>
      <c r="O6" s="63">
        <v>0</v>
      </c>
      <c r="P6" s="63">
        <v>0</v>
      </c>
      <c r="Q6" s="47">
        <v>32</v>
      </c>
      <c r="R6" s="47">
        <f t="shared" ref="R6" si="0">IF(Q6&lt;&gt;0,Q6-5,NA())</f>
        <v>27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2500</v>
      </c>
      <c r="Y6" s="47">
        <v>0</v>
      </c>
      <c r="Z6" s="47">
        <f t="shared" ref="Z6" si="1">VLOOKUP(R6,$AE$39:$AF$59,2)</f>
        <v>86.999999999999972</v>
      </c>
      <c r="AA6" s="47">
        <v>1</v>
      </c>
      <c r="AB6" s="47">
        <f t="shared" ref="AB6" si="2">VLOOKUP(R6,$AE$39:$AG$59,3)</f>
        <v>6720</v>
      </c>
      <c r="AC6" s="63">
        <v>5000</v>
      </c>
      <c r="AD6" s="63">
        <v>22000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 t="shared" ref="AJ6" si="3">VLOOKUP(R6,$AE$39:$AH$59,4)</f>
        <v>28.000000000000007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69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33" t="s">
        <v>279</v>
      </c>
      <c r="J7" s="47">
        <v>2</v>
      </c>
      <c r="K7" s="19">
        <v>-0.5</v>
      </c>
      <c r="L7" s="116" t="s">
        <v>106</v>
      </c>
      <c r="M7" s="105" t="s">
        <v>64</v>
      </c>
      <c r="N7" s="47">
        <v>9.6999999999999993</v>
      </c>
      <c r="O7" s="63">
        <v>0</v>
      </c>
      <c r="P7" s="63">
        <v>0</v>
      </c>
      <c r="Q7" s="47">
        <v>37</v>
      </c>
      <c r="R7" s="47">
        <f t="shared" ref="R7" si="4">IF(Q7&lt;&gt;0,Q7-5,NA())</f>
        <v>32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12400</v>
      </c>
      <c r="Y7" s="47">
        <v>0</v>
      </c>
      <c r="Z7" s="47">
        <f t="shared" ref="Z7" si="5">VLOOKUP(R7,$AE$39:$AF$59,2)</f>
        <v>103.59999999999997</v>
      </c>
      <c r="AA7" s="47">
        <v>1</v>
      </c>
      <c r="AB7" s="47">
        <f t="shared" ref="AB7" si="6">VLOOKUP(R7,$AE$39:$AG$59,3)</f>
        <v>10560</v>
      </c>
      <c r="AC7" s="63">
        <v>19000</v>
      </c>
      <c r="AD7" s="63">
        <v>21250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ref="AJ7" si="7">VLOOKUP(R7,$AE$39:$AH$59,4)</f>
        <v>44.000000000000007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60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259</v>
      </c>
      <c r="J8" s="47">
        <v>3</v>
      </c>
      <c r="K8" s="19">
        <v>-1.3</v>
      </c>
      <c r="L8" s="116" t="s">
        <v>106</v>
      </c>
      <c r="M8" s="105" t="s">
        <v>64</v>
      </c>
      <c r="N8" s="47">
        <v>10</v>
      </c>
      <c r="O8" s="63">
        <v>0</v>
      </c>
      <c r="P8" s="63">
        <v>0</v>
      </c>
      <c r="Q8" s="47">
        <v>37</v>
      </c>
      <c r="R8" s="47">
        <f t="shared" ref="R8:R17" si="8">IF(Q8&lt;&gt;0,Q8-5,NA())</f>
        <v>32</v>
      </c>
      <c r="S8" s="47">
        <v>1.9</v>
      </c>
      <c r="T8" s="47">
        <v>0</v>
      </c>
      <c r="U8" s="75">
        <v>0</v>
      </c>
      <c r="V8" s="75">
        <v>0</v>
      </c>
      <c r="W8" s="47">
        <v>0</v>
      </c>
      <c r="X8" s="47">
        <v>18600</v>
      </c>
      <c r="Y8" s="47">
        <v>0</v>
      </c>
      <c r="Z8" s="47">
        <f t="shared" ref="Z8:Z17" si="9">VLOOKUP(R8,$AE$39:$AF$59,2)</f>
        <v>103.59999999999997</v>
      </c>
      <c r="AA8" s="47">
        <v>1</v>
      </c>
      <c r="AB8" s="47">
        <f t="shared" ref="AB8:AB17" si="10">VLOOKUP(R8,$AE$39:$AG$59,3)</f>
        <v>10560</v>
      </c>
      <c r="AC8" s="63">
        <v>30000</v>
      </c>
      <c r="AD8" s="63">
        <v>22857.14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ref="AJ8:AJ17" si="11">VLOOKUP(R8,$AE$39:$AH$59,4)</f>
        <v>44.000000000000007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53</v>
      </c>
      <c r="AS8" s="33">
        <v>0.4</v>
      </c>
    </row>
    <row r="9" spans="1:45" x14ac:dyDescent="0.25">
      <c r="A9" s="33" t="s">
        <v>68</v>
      </c>
      <c r="B9" s="57">
        <v>50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56" t="s">
        <v>261</v>
      </c>
      <c r="J9" s="47">
        <v>4</v>
      </c>
      <c r="K9" s="19">
        <v>-2</v>
      </c>
      <c r="L9" s="116" t="s">
        <v>106</v>
      </c>
      <c r="M9" s="105" t="s">
        <v>64</v>
      </c>
      <c r="N9" s="47">
        <v>9.9</v>
      </c>
      <c r="O9" s="63">
        <v>0</v>
      </c>
      <c r="P9" s="63">
        <v>0</v>
      </c>
      <c r="Q9" s="47">
        <v>38</v>
      </c>
      <c r="R9" s="47">
        <f t="shared" si="8"/>
        <v>33</v>
      </c>
      <c r="S9" s="47">
        <v>1.6</v>
      </c>
      <c r="T9" s="47">
        <v>0</v>
      </c>
      <c r="U9" s="75">
        <v>0</v>
      </c>
      <c r="V9" s="75">
        <v>0</v>
      </c>
      <c r="W9" s="47">
        <v>0</v>
      </c>
      <c r="X9" s="47">
        <v>33000</v>
      </c>
      <c r="Y9" s="47">
        <v>0</v>
      </c>
      <c r="Z9" s="47">
        <f t="shared" si="9"/>
        <v>107.39999999999996</v>
      </c>
      <c r="AA9" s="47">
        <v>1</v>
      </c>
      <c r="AB9" s="47">
        <f t="shared" si="10"/>
        <v>11040</v>
      </c>
      <c r="AC9" s="63">
        <v>53000</v>
      </c>
      <c r="AD9" s="63">
        <v>3600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11"/>
        <v>46.000000000000007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59</v>
      </c>
      <c r="AS9" s="33">
        <v>0.4</v>
      </c>
    </row>
    <row r="10" spans="1:45" s="56" customFormat="1" x14ac:dyDescent="0.25">
      <c r="A10" s="56" t="s">
        <v>69</v>
      </c>
      <c r="B10" s="58">
        <v>50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56" t="s">
        <v>261</v>
      </c>
      <c r="J10" s="47">
        <v>5</v>
      </c>
      <c r="K10" s="19">
        <v>-4</v>
      </c>
      <c r="L10" s="116" t="s">
        <v>106</v>
      </c>
      <c r="M10" s="105" t="s">
        <v>64</v>
      </c>
      <c r="N10" s="47">
        <v>9.9</v>
      </c>
      <c r="O10" s="63">
        <v>0</v>
      </c>
      <c r="P10" s="63">
        <v>0</v>
      </c>
      <c r="Q10" s="47">
        <v>40</v>
      </c>
      <c r="R10" s="47">
        <f t="shared" si="8"/>
        <v>35</v>
      </c>
      <c r="S10" s="47">
        <v>1.4</v>
      </c>
      <c r="T10" s="47">
        <v>0</v>
      </c>
      <c r="U10" s="75">
        <v>0</v>
      </c>
      <c r="V10" s="75">
        <v>0</v>
      </c>
      <c r="W10" s="47">
        <v>0</v>
      </c>
      <c r="X10" s="47">
        <v>60200</v>
      </c>
      <c r="Y10" s="47">
        <v>0</v>
      </c>
      <c r="Z10" s="47">
        <f t="shared" si="9"/>
        <v>114.99999999999996</v>
      </c>
      <c r="AA10" s="47">
        <v>1</v>
      </c>
      <c r="AB10" s="47">
        <f t="shared" si="10"/>
        <v>12000</v>
      </c>
      <c r="AC10" s="63">
        <v>81000</v>
      </c>
      <c r="AD10" s="63">
        <v>2857.14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11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71</v>
      </c>
      <c r="AS10" s="33">
        <v>0.4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56" t="s">
        <v>264</v>
      </c>
      <c r="J11" s="47">
        <v>6</v>
      </c>
      <c r="K11" s="19">
        <v>-8</v>
      </c>
      <c r="L11" s="116" t="s">
        <v>106</v>
      </c>
      <c r="M11" s="105" t="s">
        <v>64</v>
      </c>
      <c r="N11" s="47">
        <v>8.5</v>
      </c>
      <c r="O11" s="63">
        <v>0</v>
      </c>
      <c r="P11" s="63">
        <v>0</v>
      </c>
      <c r="Q11" s="47">
        <v>28</v>
      </c>
      <c r="R11" s="47">
        <f t="shared" si="8"/>
        <v>23</v>
      </c>
      <c r="S11" s="47">
        <v>1.6</v>
      </c>
      <c r="T11" s="47">
        <v>0</v>
      </c>
      <c r="U11" s="75">
        <v>0</v>
      </c>
      <c r="V11" s="75">
        <v>0</v>
      </c>
      <c r="W11" s="47">
        <v>0</v>
      </c>
      <c r="X11" s="47">
        <v>18700</v>
      </c>
      <c r="Y11" s="47">
        <v>0</v>
      </c>
      <c r="Z11" s="47">
        <f t="shared" si="9"/>
        <v>75.399999999999977</v>
      </c>
      <c r="AA11" s="47">
        <v>1</v>
      </c>
      <c r="AB11" s="47">
        <f t="shared" si="10"/>
        <v>4040</v>
      </c>
      <c r="AC11" s="63">
        <v>91000</v>
      </c>
      <c r="AD11" s="63">
        <v>1034.48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 t="shared" si="11"/>
        <v>16.800000000000004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72</v>
      </c>
      <c r="AS11" s="33">
        <v>0.2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">
        <v>266</v>
      </c>
      <c r="J12" s="47">
        <v>7</v>
      </c>
      <c r="K12" s="19">
        <v>-10.9</v>
      </c>
      <c r="L12" s="116" t="s">
        <v>288</v>
      </c>
      <c r="M12" s="105" t="s">
        <v>65</v>
      </c>
      <c r="N12" s="47">
        <v>8.5</v>
      </c>
      <c r="O12" s="63">
        <v>306</v>
      </c>
      <c r="P12" s="63">
        <v>1.35</v>
      </c>
      <c r="Q12" s="47">
        <v>0</v>
      </c>
      <c r="R12" s="47" t="e">
        <f t="shared" si="8"/>
        <v>#N/A</v>
      </c>
      <c r="S12" s="47">
        <v>3</v>
      </c>
      <c r="T12" s="47">
        <v>0</v>
      </c>
      <c r="U12" s="75">
        <v>1.7999999999999999E-2</v>
      </c>
      <c r="V12" s="75">
        <v>0</v>
      </c>
      <c r="W12" s="47">
        <v>0.25</v>
      </c>
      <c r="X12" s="47">
        <v>27500</v>
      </c>
      <c r="Y12" s="47">
        <v>0</v>
      </c>
      <c r="Z12" s="47" t="e">
        <f t="shared" si="9"/>
        <v>#N/A</v>
      </c>
      <c r="AA12" s="47">
        <v>1</v>
      </c>
      <c r="AB12" s="47" t="e">
        <f t="shared" si="10"/>
        <v>#N/A</v>
      </c>
      <c r="AC12" s="63">
        <v>363000</v>
      </c>
      <c r="AD12" s="63">
        <v>2828.68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11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266</v>
      </c>
      <c r="J13" s="47">
        <v>8</v>
      </c>
      <c r="K13" s="19">
        <v>-36</v>
      </c>
      <c r="L13" s="116" t="s">
        <v>107</v>
      </c>
      <c r="M13" s="105" t="s">
        <v>65</v>
      </c>
      <c r="N13" s="47">
        <v>8.5</v>
      </c>
      <c r="O13" s="63">
        <v>245</v>
      </c>
      <c r="P13" s="63">
        <v>-14.8</v>
      </c>
      <c r="Q13" s="47">
        <v>0</v>
      </c>
      <c r="R13" s="47" t="e">
        <f t="shared" si="8"/>
        <v>#N/A</v>
      </c>
      <c r="S13" s="47">
        <v>2.1</v>
      </c>
      <c r="T13" s="47">
        <v>0</v>
      </c>
      <c r="U13" s="75">
        <v>1.7999999999999999E-2</v>
      </c>
      <c r="V13" s="75">
        <v>0</v>
      </c>
      <c r="W13" s="47">
        <v>0.5</v>
      </c>
      <c r="X13" s="47">
        <v>19300</v>
      </c>
      <c r="Y13" s="47">
        <v>0</v>
      </c>
      <c r="Z13" s="47" t="e">
        <f t="shared" si="9"/>
        <v>#N/A</v>
      </c>
      <c r="AA13" s="47">
        <v>1</v>
      </c>
      <c r="AB13" s="47" t="e">
        <f t="shared" si="10"/>
        <v>#N/A</v>
      </c>
      <c r="AC13" s="63">
        <v>321000</v>
      </c>
      <c r="AD13" s="63">
        <v>-16400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11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305</v>
      </c>
      <c r="J14" s="47">
        <v>9</v>
      </c>
      <c r="K14" s="19">
        <v>-41</v>
      </c>
      <c r="L14" s="116" t="s">
        <v>288</v>
      </c>
      <c r="M14" s="105" t="s">
        <v>65</v>
      </c>
      <c r="N14" s="47">
        <v>9.3000000000000007</v>
      </c>
      <c r="O14" s="63">
        <v>1129</v>
      </c>
      <c r="P14" s="63">
        <v>19.440000000000001</v>
      </c>
      <c r="Q14" s="47">
        <v>0</v>
      </c>
      <c r="R14" s="47" t="e">
        <f t="shared" si="8"/>
        <v>#N/A</v>
      </c>
      <c r="S14" s="47">
        <v>3</v>
      </c>
      <c r="T14" s="47">
        <v>0</v>
      </c>
      <c r="U14" s="75">
        <v>1.7999999999999999E-2</v>
      </c>
      <c r="V14" s="75">
        <v>0</v>
      </c>
      <c r="W14" s="47">
        <v>0.25</v>
      </c>
      <c r="X14" s="47">
        <v>103500</v>
      </c>
      <c r="Y14" s="47">
        <v>0</v>
      </c>
      <c r="Z14" s="47" t="e">
        <f t="shared" si="9"/>
        <v>#N/A</v>
      </c>
      <c r="AA14" s="47">
        <v>1</v>
      </c>
      <c r="AB14" s="47" t="e">
        <f t="shared" si="10"/>
        <v>#N/A</v>
      </c>
      <c r="AC14" s="63">
        <v>2141000</v>
      </c>
      <c r="AD14" s="63">
        <v>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 t="e">
        <f t="shared" si="11"/>
        <v>#N/A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56" t="s">
        <v>271</v>
      </c>
      <c r="J15" s="47">
        <v>10</v>
      </c>
      <c r="K15" s="19">
        <v>-66.2</v>
      </c>
      <c r="L15" s="116" t="s">
        <v>106</v>
      </c>
      <c r="M15" s="105" t="s">
        <v>64</v>
      </c>
      <c r="N15" s="47">
        <v>9.8000000000000007</v>
      </c>
      <c r="O15" s="63">
        <v>0</v>
      </c>
      <c r="P15" s="63">
        <v>0</v>
      </c>
      <c r="Q15" s="47">
        <v>29</v>
      </c>
      <c r="R15" s="47">
        <f t="shared" si="8"/>
        <v>24</v>
      </c>
      <c r="S15" s="47">
        <v>0.9</v>
      </c>
      <c r="T15" s="47">
        <v>0</v>
      </c>
      <c r="U15" s="75">
        <v>0</v>
      </c>
      <c r="V15" s="75">
        <v>0</v>
      </c>
      <c r="W15" s="47">
        <v>0</v>
      </c>
      <c r="X15" s="47">
        <v>64200</v>
      </c>
      <c r="Y15" s="47">
        <v>0</v>
      </c>
      <c r="Z15" s="47">
        <f t="shared" si="9"/>
        <v>78.199999999999974</v>
      </c>
      <c r="AA15" s="47">
        <v>1</v>
      </c>
      <c r="AB15" s="47">
        <f t="shared" si="10"/>
        <v>4420</v>
      </c>
      <c r="AC15" s="63">
        <v>263000</v>
      </c>
      <c r="AD15" s="63">
        <v>1692.3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>
        <f t="shared" si="11"/>
        <v>18.400000000000006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79</v>
      </c>
      <c r="AS15" s="33">
        <v>0.2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">
        <v>273</v>
      </c>
      <c r="J16" s="47">
        <v>11</v>
      </c>
      <c r="K16" s="19">
        <v>-72.7</v>
      </c>
      <c r="L16" s="116" t="s">
        <v>288</v>
      </c>
      <c r="M16" s="105" t="s">
        <v>65</v>
      </c>
      <c r="N16" s="47">
        <v>8.9</v>
      </c>
      <c r="O16" s="63">
        <v>531</v>
      </c>
      <c r="P16" s="63">
        <v>5.0599999999999996</v>
      </c>
      <c r="Q16" s="47">
        <v>0</v>
      </c>
      <c r="R16" s="47" t="e">
        <f t="shared" si="8"/>
        <v>#N/A</v>
      </c>
      <c r="S16" s="47">
        <v>2.1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48300</v>
      </c>
      <c r="Y16" s="47">
        <v>0</v>
      </c>
      <c r="Z16" s="47" t="e">
        <f t="shared" si="9"/>
        <v>#N/A</v>
      </c>
      <c r="AA16" s="47">
        <v>1</v>
      </c>
      <c r="AB16" s="47" t="e">
        <f t="shared" si="10"/>
        <v>#N/A</v>
      </c>
      <c r="AC16" s="63">
        <v>842000</v>
      </c>
      <c r="AD16" s="63">
        <v>9589.0400000000009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11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127"/>
      <c r="E17" s="127"/>
      <c r="I17" s="33" t="s">
        <v>273</v>
      </c>
      <c r="J17" s="47">
        <v>12</v>
      </c>
      <c r="K17" s="19">
        <v>-80</v>
      </c>
      <c r="L17" s="116" t="s">
        <v>288</v>
      </c>
      <c r="M17" s="105" t="s">
        <v>65</v>
      </c>
      <c r="N17" s="47">
        <v>8.9</v>
      </c>
      <c r="O17" s="63">
        <v>568</v>
      </c>
      <c r="P17" s="63">
        <v>0</v>
      </c>
      <c r="Q17" s="47">
        <v>0</v>
      </c>
      <c r="R17" s="47" t="e">
        <f t="shared" si="8"/>
        <v>#N/A</v>
      </c>
      <c r="S17" s="47">
        <v>2.1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48300</v>
      </c>
      <c r="Y17" s="47">
        <v>0</v>
      </c>
      <c r="Z17" s="47" t="e">
        <f t="shared" si="9"/>
        <v>#N/A</v>
      </c>
      <c r="AA17" s="47">
        <v>1</v>
      </c>
      <c r="AB17" s="47" t="e">
        <f t="shared" si="10"/>
        <v>#N/A</v>
      </c>
      <c r="AC17" s="63">
        <v>912000</v>
      </c>
      <c r="AD17" s="63">
        <v>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11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 s="116"/>
      <c r="M18" s="105"/>
      <c r="N18" s="47"/>
      <c r="O18" s="63"/>
      <c r="P18" s="63"/>
      <c r="Q18" s="47"/>
      <c r="R18" s="47"/>
      <c r="S18" s="47"/>
      <c r="T18" s="47"/>
      <c r="U18" s="75"/>
      <c r="V18" s="75"/>
      <c r="W18" s="47"/>
      <c r="X18" s="47"/>
      <c r="Y18" s="47"/>
      <c r="Z18" s="47"/>
      <c r="AA18" s="47"/>
      <c r="AB18" s="47"/>
      <c r="AC18" s="63"/>
      <c r="AD18" s="63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5" x14ac:dyDescent="0.25">
      <c r="A19" s="127" t="s">
        <v>38</v>
      </c>
      <c r="B19" s="127" t="s">
        <v>30</v>
      </c>
      <c r="C19" s="127" t="s">
        <v>59</v>
      </c>
      <c r="D19" s="43"/>
      <c r="E19" s="35"/>
    </row>
    <row r="20" spans="1:45" x14ac:dyDescent="0.25">
      <c r="A20" s="66">
        <v>1</v>
      </c>
      <c r="B20" s="66">
        <v>0</v>
      </c>
      <c r="C20" s="67">
        <v>0.09</v>
      </c>
      <c r="D20" s="43"/>
      <c r="J20" s="47"/>
      <c r="L20" s="116"/>
      <c r="M20" s="105"/>
      <c r="N20" s="47"/>
      <c r="O20" s="63"/>
      <c r="P20" s="63"/>
      <c r="Q20" s="47"/>
      <c r="R20" s="47"/>
      <c r="S20" s="47"/>
      <c r="T20" s="47"/>
      <c r="U20" s="75"/>
      <c r="V20" s="75"/>
      <c r="W20" s="47"/>
      <c r="X20" s="47"/>
      <c r="Y20" s="47"/>
      <c r="Z20" s="47"/>
      <c r="AA20" s="47"/>
      <c r="AB20" s="47"/>
      <c r="AC20" s="63"/>
      <c r="AD20" s="63"/>
      <c r="AE20" s="63"/>
      <c r="AF20" s="63"/>
      <c r="AG20" s="63"/>
      <c r="AH20" s="63"/>
      <c r="AI20" s="63"/>
      <c r="AJ20" s="47"/>
      <c r="AK20" s="47"/>
      <c r="AL20" s="47"/>
      <c r="AM20" s="47"/>
      <c r="AN20" s="47"/>
      <c r="AO20" s="47"/>
      <c r="AP20" s="47"/>
      <c r="AQ20" s="47"/>
      <c r="AR20" s="47"/>
    </row>
    <row r="21" spans="1:45" x14ac:dyDescent="0.25">
      <c r="A21" s="66"/>
      <c r="B21" s="66"/>
      <c r="C21" s="67"/>
      <c r="D21" s="43"/>
      <c r="J21" s="47"/>
      <c r="L21" s="116"/>
      <c r="M21" s="105"/>
      <c r="N21" s="47"/>
      <c r="O21" s="63"/>
      <c r="P21" s="63"/>
      <c r="Q21" s="47"/>
      <c r="R21" s="47"/>
      <c r="S21" s="47"/>
      <c r="T21" s="47"/>
      <c r="U21" s="75"/>
      <c r="V21" s="75"/>
      <c r="W21" s="47"/>
      <c r="X21" s="47"/>
      <c r="Y21" s="47"/>
      <c r="Z21" s="47"/>
      <c r="AA21" s="47"/>
      <c r="AB21" s="47"/>
      <c r="AC21" s="63"/>
      <c r="AD21" s="63"/>
      <c r="AE21" s="63"/>
      <c r="AF21" s="63"/>
      <c r="AG21" s="63"/>
      <c r="AH21" s="63"/>
      <c r="AI21" s="63"/>
      <c r="AJ21" s="47"/>
      <c r="AK21" s="47"/>
      <c r="AL21" s="47"/>
      <c r="AM21" s="47"/>
      <c r="AN21" s="47"/>
      <c r="AO21" s="47"/>
      <c r="AP21" s="47"/>
      <c r="AQ21" s="47"/>
      <c r="AR21" s="47"/>
    </row>
    <row r="22" spans="1:45" x14ac:dyDescent="0.25">
      <c r="A22" s="66"/>
      <c r="B22" s="66"/>
      <c r="C22" s="67"/>
      <c r="D22" s="35"/>
      <c r="I22" s="56"/>
      <c r="J22" s="47"/>
      <c r="K22" s="19"/>
      <c r="L22" s="116"/>
      <c r="M22" s="105"/>
      <c r="N22" s="47"/>
      <c r="O22" s="63"/>
      <c r="P22" s="63"/>
      <c r="Q22" s="47"/>
      <c r="R22" s="47"/>
      <c r="S22" s="47"/>
      <c r="T22" s="47"/>
      <c r="U22" s="75"/>
      <c r="V22" s="75"/>
      <c r="W22" s="47"/>
      <c r="X22" s="47"/>
      <c r="Y22" s="47"/>
      <c r="Z22" s="47"/>
      <c r="AA22" s="47"/>
      <c r="AB22" s="47"/>
      <c r="AC22" s="63"/>
      <c r="AD22" s="63"/>
      <c r="AE22" s="63"/>
      <c r="AF22" s="63"/>
      <c r="AG22" s="63"/>
      <c r="AH22" s="63"/>
      <c r="AI22" s="63"/>
      <c r="AJ22" s="47"/>
      <c r="AK22" s="47"/>
      <c r="AL22" s="47"/>
      <c r="AM22" s="47"/>
      <c r="AN22" s="47"/>
      <c r="AO22" s="47"/>
      <c r="AP22" s="47"/>
      <c r="AQ22" s="47"/>
      <c r="AR22" s="47"/>
    </row>
    <row r="23" spans="1:45" x14ac:dyDescent="0.25">
      <c r="A23" s="66"/>
      <c r="B23" s="66"/>
      <c r="C23" s="67"/>
      <c r="D23" s="35"/>
      <c r="I23" s="56"/>
      <c r="J23" s="47"/>
      <c r="K23" s="19"/>
      <c r="L23" s="116"/>
      <c r="M23" s="105"/>
      <c r="N23" s="47"/>
      <c r="O23" s="63"/>
      <c r="P23" s="63"/>
      <c r="Q23" s="47"/>
      <c r="R23" s="47"/>
      <c r="S23" s="47"/>
      <c r="T23" s="47"/>
      <c r="U23" s="75"/>
      <c r="V23" s="75"/>
      <c r="W23" s="47"/>
      <c r="X23" s="47"/>
      <c r="Y23" s="47"/>
      <c r="Z23" s="47"/>
      <c r="AA23" s="47"/>
      <c r="AB23" s="47"/>
      <c r="AC23" s="63"/>
      <c r="AD23" s="63"/>
      <c r="AE23" s="63"/>
      <c r="AF23" s="63"/>
      <c r="AG23" s="63"/>
      <c r="AH23" s="63"/>
      <c r="AI23" s="63"/>
      <c r="AJ23" s="47"/>
      <c r="AK23" s="47"/>
      <c r="AL23" s="47"/>
      <c r="AM23" s="47"/>
      <c r="AN23" s="47"/>
      <c r="AO23" s="47"/>
      <c r="AP23" s="47"/>
      <c r="AQ23" s="47"/>
      <c r="AR23" s="47"/>
    </row>
    <row r="24" spans="1:45" x14ac:dyDescent="0.25">
      <c r="A24" s="66"/>
      <c r="B24" s="66"/>
      <c r="C24" s="67"/>
      <c r="D24" s="35"/>
      <c r="J24" s="47"/>
      <c r="K24" s="19"/>
      <c r="L24" s="116"/>
      <c r="M24" s="105"/>
      <c r="N24" s="47"/>
      <c r="O24" s="63"/>
      <c r="P24" s="63"/>
      <c r="Q24" s="47"/>
      <c r="R24" s="47"/>
      <c r="S24" s="47"/>
      <c r="T24" s="47"/>
      <c r="U24" s="75"/>
      <c r="V24" s="75"/>
      <c r="W24" s="47"/>
      <c r="X24" s="47"/>
      <c r="Y24" s="47"/>
      <c r="Z24" s="47"/>
      <c r="AA24" s="47"/>
      <c r="AB24" s="47"/>
      <c r="AC24" s="63"/>
      <c r="AD24" s="63"/>
      <c r="AE24" s="63"/>
      <c r="AF24" s="63"/>
      <c r="AG24" s="63"/>
      <c r="AH24" s="63"/>
      <c r="AI24" s="63"/>
      <c r="AJ24" s="47"/>
      <c r="AK24" s="47"/>
      <c r="AL24" s="47"/>
      <c r="AM24" s="47"/>
      <c r="AN24" s="47"/>
      <c r="AO24" s="47"/>
      <c r="AP24" s="47"/>
      <c r="AQ24" s="47"/>
      <c r="AR24" s="47"/>
    </row>
    <row r="25" spans="1:45" x14ac:dyDescent="0.25">
      <c r="A25" s="66"/>
      <c r="B25" s="66"/>
      <c r="C25" s="67"/>
      <c r="D25" s="35"/>
      <c r="J25" s="47"/>
      <c r="L25" s="116"/>
      <c r="M25" s="105"/>
      <c r="N25" s="47"/>
      <c r="O25" s="63"/>
      <c r="P25" s="63"/>
      <c r="Q25" s="47"/>
      <c r="R25" s="47"/>
      <c r="S25" s="47"/>
      <c r="T25" s="47"/>
      <c r="U25" s="75"/>
      <c r="V25" s="75"/>
      <c r="W25" s="47"/>
      <c r="X25" s="47"/>
      <c r="Y25" s="47"/>
      <c r="Z25" s="47"/>
      <c r="AA25" s="47"/>
      <c r="AB25" s="47"/>
      <c r="AC25" s="63"/>
      <c r="AD25" s="63"/>
      <c r="AE25" s="63"/>
      <c r="AF25" s="63"/>
      <c r="AG25" s="63"/>
      <c r="AH25" s="63"/>
      <c r="AI25" s="63"/>
      <c r="AJ25" s="47"/>
      <c r="AK25" s="47"/>
      <c r="AL25" s="47"/>
      <c r="AM25" s="47"/>
      <c r="AN25" s="47"/>
      <c r="AO25" s="47"/>
      <c r="AP25" s="47"/>
      <c r="AQ25" s="47"/>
      <c r="AR25" s="47"/>
    </row>
    <row r="26" spans="1:45" x14ac:dyDescent="0.25">
      <c r="A26" s="66"/>
      <c r="B26" s="66"/>
      <c r="C26" s="67"/>
      <c r="D26" s="35"/>
      <c r="J26" s="47"/>
      <c r="K26" s="19"/>
      <c r="L26" s="116"/>
      <c r="M26" s="105"/>
      <c r="N26" s="47"/>
      <c r="O26" s="63"/>
      <c r="P26" s="63"/>
      <c r="Q26" s="47"/>
      <c r="R26" s="47"/>
      <c r="S26" s="47"/>
      <c r="T26" s="47"/>
      <c r="U26" s="75"/>
      <c r="V26" s="75"/>
      <c r="W26" s="47"/>
      <c r="X26" s="47"/>
      <c r="Y26" s="47"/>
      <c r="Z26" s="47"/>
      <c r="AA26" s="47"/>
      <c r="AB26" s="47"/>
      <c r="AC26" s="63"/>
      <c r="AD26" s="63"/>
      <c r="AE26" s="63"/>
      <c r="AF26" s="63"/>
      <c r="AG26" s="63"/>
      <c r="AH26" s="63"/>
      <c r="AI26" s="63"/>
      <c r="AJ26" s="47"/>
      <c r="AK26" s="47"/>
      <c r="AL26" s="47"/>
      <c r="AM26" s="47"/>
      <c r="AN26" s="47"/>
      <c r="AO26" s="47"/>
      <c r="AP26" s="47"/>
      <c r="AQ26" s="47"/>
      <c r="AR26" s="47"/>
    </row>
    <row r="27" spans="1:45" x14ac:dyDescent="0.25">
      <c r="A27" s="66"/>
      <c r="B27" s="66"/>
      <c r="C27" s="67"/>
      <c r="D27" s="35"/>
      <c r="J27" s="47"/>
      <c r="K27" s="19"/>
      <c r="L27" s="116"/>
      <c r="M27" s="105"/>
      <c r="N27" s="47"/>
      <c r="O27" s="63"/>
      <c r="P27" s="63"/>
      <c r="Q27" s="47"/>
      <c r="R27" s="47"/>
      <c r="S27" s="47"/>
      <c r="T27" s="47"/>
      <c r="U27" s="75"/>
      <c r="V27" s="75"/>
      <c r="W27" s="47"/>
      <c r="X27" s="47"/>
      <c r="Y27" s="47"/>
      <c r="Z27" s="47"/>
      <c r="AA27" s="47"/>
      <c r="AB27" s="47"/>
      <c r="AC27" s="63"/>
      <c r="AD27" s="63"/>
      <c r="AE27" s="63"/>
      <c r="AF27" s="63"/>
      <c r="AG27" s="63"/>
      <c r="AH27" s="63"/>
      <c r="AI27" s="63"/>
      <c r="AJ27" s="47"/>
      <c r="AK27" s="47"/>
      <c r="AL27" s="47"/>
      <c r="AM27" s="47"/>
      <c r="AN27" s="47"/>
      <c r="AO27" s="47"/>
      <c r="AP27" s="47"/>
      <c r="AQ27" s="47"/>
      <c r="AR27" s="47"/>
    </row>
    <row r="28" spans="1:45" x14ac:dyDescent="0.25">
      <c r="A28" s="66"/>
      <c r="B28" s="66"/>
      <c r="C28" s="67"/>
      <c r="D28" s="35"/>
    </row>
    <row r="29" spans="1:45" x14ac:dyDescent="0.25">
      <c r="A29" s="66"/>
      <c r="B29" s="66"/>
      <c r="C29" s="67"/>
      <c r="D29" s="35"/>
    </row>
    <row r="30" spans="1:45" x14ac:dyDescent="0.25">
      <c r="A30" s="66"/>
      <c r="B30" s="66"/>
      <c r="C30" s="67"/>
      <c r="D30" s="35"/>
    </row>
    <row r="31" spans="1:45" x14ac:dyDescent="0.25">
      <c r="A31" s="66"/>
      <c r="B31" s="66"/>
      <c r="C31" s="67"/>
      <c r="D31" s="35"/>
    </row>
    <row r="32" spans="1:45" x14ac:dyDescent="0.25">
      <c r="A32" s="66"/>
      <c r="B32" s="66"/>
      <c r="C32" s="67"/>
      <c r="D32" s="35"/>
    </row>
    <row r="33" spans="1:42" x14ac:dyDescent="0.25">
      <c r="A33" s="66"/>
      <c r="B33" s="66"/>
      <c r="C33" s="67"/>
      <c r="D33" s="35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12">AF40+3.8</f>
        <v>55.599999999999994</v>
      </c>
      <c r="AG41" s="33">
        <f t="shared" ref="AG41:AG43" si="13">AG40+200</f>
        <v>2300</v>
      </c>
      <c r="AH41" s="33">
        <f t="shared" ref="AH41:AH44" si="14">AH40+0.8</f>
        <v>9.6000000000000014</v>
      </c>
    </row>
    <row r="42" spans="1:42" x14ac:dyDescent="0.25">
      <c r="L42" s="49"/>
      <c r="AE42" s="33">
        <v>18</v>
      </c>
      <c r="AF42" s="33">
        <f t="shared" si="12"/>
        <v>59.399999999999991</v>
      </c>
      <c r="AG42" s="33">
        <f t="shared" si="13"/>
        <v>2500</v>
      </c>
      <c r="AH42" s="33">
        <f t="shared" si="14"/>
        <v>10.400000000000002</v>
      </c>
    </row>
    <row r="43" spans="1:42" x14ac:dyDescent="0.25">
      <c r="L43" s="49"/>
      <c r="AE43" s="33">
        <v>19</v>
      </c>
      <c r="AF43" s="33">
        <f t="shared" si="12"/>
        <v>63.199999999999989</v>
      </c>
      <c r="AG43" s="33">
        <f t="shared" si="13"/>
        <v>2700</v>
      </c>
      <c r="AH43" s="33">
        <f t="shared" si="14"/>
        <v>11.200000000000003</v>
      </c>
    </row>
    <row r="44" spans="1:42" x14ac:dyDescent="0.25">
      <c r="L44" s="49"/>
      <c r="AE44" s="33">
        <v>20</v>
      </c>
      <c r="AF44" s="33">
        <f t="shared" si="12"/>
        <v>66.999999999999986</v>
      </c>
      <c r="AG44" s="33">
        <f>AG43+200</f>
        <v>2900</v>
      </c>
      <c r="AH44" s="33">
        <f t="shared" si="14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15">AF45+2.8</f>
        <v>72.59999999999998</v>
      </c>
      <c r="AG46" s="33">
        <f t="shared" ref="AG46:AG48" si="16">AG45+380</f>
        <v>3660</v>
      </c>
      <c r="AH46" s="33">
        <f t="shared" ref="AH46:AH49" si="17">AH45+1.6</f>
        <v>15.200000000000003</v>
      </c>
    </row>
    <row r="47" spans="1:42" x14ac:dyDescent="0.25">
      <c r="L47" s="49"/>
      <c r="AE47" s="33">
        <v>23</v>
      </c>
      <c r="AF47" s="33">
        <f t="shared" si="15"/>
        <v>75.399999999999977</v>
      </c>
      <c r="AG47" s="33">
        <f t="shared" si="16"/>
        <v>4040</v>
      </c>
      <c r="AH47" s="33">
        <f t="shared" si="17"/>
        <v>16.800000000000004</v>
      </c>
    </row>
    <row r="48" spans="1:42" x14ac:dyDescent="0.25">
      <c r="L48" s="49"/>
      <c r="AE48" s="33">
        <v>24</v>
      </c>
      <c r="AF48" s="33">
        <f t="shared" si="15"/>
        <v>78.199999999999974</v>
      </c>
      <c r="AG48" s="33">
        <f t="shared" si="16"/>
        <v>4420</v>
      </c>
      <c r="AH48" s="33">
        <f t="shared" si="17"/>
        <v>18.400000000000006</v>
      </c>
    </row>
    <row r="49" spans="12:34" x14ac:dyDescent="0.25">
      <c r="L49" s="49"/>
      <c r="AE49" s="33">
        <v>25</v>
      </c>
      <c r="AF49" s="33">
        <f t="shared" si="15"/>
        <v>80.999999999999972</v>
      </c>
      <c r="AG49" s="33">
        <v>4800</v>
      </c>
      <c r="AH49" s="33">
        <f t="shared" si="17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8">AF50+3</f>
        <v>86.999999999999972</v>
      </c>
      <c r="AG51" s="33">
        <f t="shared" ref="AG51:AG54" si="19">AG50+960</f>
        <v>6720</v>
      </c>
      <c r="AH51" s="33">
        <f t="shared" ref="AH51:AH54" si="20">AH50+4</f>
        <v>28.000000000000007</v>
      </c>
    </row>
    <row r="52" spans="12:34" x14ac:dyDescent="0.25">
      <c r="L52" s="49"/>
      <c r="AE52" s="33">
        <v>28</v>
      </c>
      <c r="AF52" s="33">
        <f t="shared" si="18"/>
        <v>89.999999999999972</v>
      </c>
      <c r="AG52" s="33">
        <f t="shared" si="19"/>
        <v>7680</v>
      </c>
      <c r="AH52" s="33">
        <f t="shared" si="20"/>
        <v>32.000000000000007</v>
      </c>
    </row>
    <row r="53" spans="12:34" x14ac:dyDescent="0.25">
      <c r="L53" s="49"/>
      <c r="AE53" s="33">
        <v>29</v>
      </c>
      <c r="AF53" s="33">
        <f t="shared" si="18"/>
        <v>92.999999999999972</v>
      </c>
      <c r="AG53" s="33">
        <f t="shared" si="19"/>
        <v>8640</v>
      </c>
      <c r="AH53" s="33">
        <f t="shared" si="20"/>
        <v>36.000000000000007</v>
      </c>
    </row>
    <row r="54" spans="12:34" x14ac:dyDescent="0.25">
      <c r="L54" s="49"/>
      <c r="AE54" s="33">
        <v>30</v>
      </c>
      <c r="AF54" s="33">
        <f t="shared" si="18"/>
        <v>95.999999999999972</v>
      </c>
      <c r="AG54" s="33">
        <f t="shared" si="19"/>
        <v>9600</v>
      </c>
      <c r="AH54" s="33">
        <f t="shared" si="20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21">AF55+3.8</f>
        <v>103.59999999999997</v>
      </c>
      <c r="AG56" s="33">
        <f t="shared" ref="AG56:AG59" si="22">AG55+480</f>
        <v>10560</v>
      </c>
      <c r="AH56" s="33">
        <f t="shared" ref="AH56:AH59" si="23">AH55+2</f>
        <v>44.000000000000007</v>
      </c>
    </row>
    <row r="57" spans="12:34" x14ac:dyDescent="0.25">
      <c r="L57" s="49"/>
      <c r="AE57" s="33">
        <v>33</v>
      </c>
      <c r="AF57" s="33">
        <f t="shared" si="21"/>
        <v>107.39999999999996</v>
      </c>
      <c r="AG57" s="33">
        <f t="shared" si="22"/>
        <v>11040</v>
      </c>
      <c r="AH57" s="33">
        <f t="shared" si="23"/>
        <v>46.000000000000007</v>
      </c>
    </row>
    <row r="58" spans="12:34" x14ac:dyDescent="0.25">
      <c r="L58" s="49"/>
      <c r="AE58" s="33">
        <v>34</v>
      </c>
      <c r="AF58" s="33">
        <f t="shared" si="21"/>
        <v>111.19999999999996</v>
      </c>
      <c r="AG58" s="33">
        <f t="shared" si="22"/>
        <v>11520</v>
      </c>
      <c r="AH58" s="33">
        <f t="shared" si="23"/>
        <v>48.000000000000007</v>
      </c>
    </row>
    <row r="59" spans="12:34" x14ac:dyDescent="0.25">
      <c r="L59" s="49"/>
      <c r="AE59" s="33">
        <v>35</v>
      </c>
      <c r="AF59" s="33">
        <f t="shared" si="21"/>
        <v>114.99999999999996</v>
      </c>
      <c r="AG59" s="33">
        <f t="shared" si="22"/>
        <v>12000</v>
      </c>
      <c r="AH59" s="33">
        <f t="shared" si="23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6:AP36 Q36 N36">
    <cfRule type="expression" dxfId="2817" priority="12">
      <formula>$L36="API sand"</formula>
    </cfRule>
  </conditionalFormatting>
  <conditionalFormatting sqref="R36:S36 AJ36:AL36 Z36 N36">
    <cfRule type="expression" dxfId="2816" priority="11">
      <formula>$M36="API sand"</formula>
    </cfRule>
  </conditionalFormatting>
  <conditionalFormatting sqref="R36:T36 AK36:AL36 N36">
    <cfRule type="expression" dxfId="2815" priority="10">
      <formula>$M36="API clay"</formula>
    </cfRule>
  </conditionalFormatting>
  <conditionalFormatting sqref="U36:W36 AM36:AP36 N36:P36">
    <cfRule type="expression" dxfId="2814" priority="7">
      <formula>$L36="Stiff clay w/o free water"</formula>
    </cfRule>
    <cfRule type="expression" dxfId="2813" priority="9">
      <formula>$L36="API clay"</formula>
    </cfRule>
  </conditionalFormatting>
  <conditionalFormatting sqref="U36:Y36 AM36:AP36 N36:P36">
    <cfRule type="expression" dxfId="2812" priority="8">
      <formula>$L36="Kirsch soft clay"</formula>
    </cfRule>
  </conditionalFormatting>
  <conditionalFormatting sqref="U36:Y36 AM36:AP36 N36:P36">
    <cfRule type="expression" dxfId="2811" priority="6">
      <formula>$L36="Kirsch stiff clay"</formula>
    </cfRule>
  </conditionalFormatting>
  <conditionalFormatting sqref="AM36:AP36 Q36 X36:Y36 N36">
    <cfRule type="expression" dxfId="2810" priority="5">
      <formula>$L36="Kirsch sand"</formula>
    </cfRule>
  </conditionalFormatting>
  <conditionalFormatting sqref="AC36:AD36 AI36 AM36:AP36 N36">
    <cfRule type="expression" dxfId="2809" priority="4">
      <formula>$L36="Modified Weak rock"</formula>
    </cfRule>
  </conditionalFormatting>
  <conditionalFormatting sqref="AM36:AP36 N36:P36 U36:V36">
    <cfRule type="expression" dxfId="2808" priority="3">
      <formula>$L36="Reese stiff clay"</formula>
    </cfRule>
  </conditionalFormatting>
  <conditionalFormatting sqref="AB36">
    <cfRule type="expression" dxfId="2807" priority="2">
      <formula>$M36="API sand"</formula>
    </cfRule>
  </conditionalFormatting>
  <conditionalFormatting sqref="Z36:AB36">
    <cfRule type="expression" dxfId="2806" priority="1">
      <formula>$M36="API clay"</formula>
    </cfRule>
  </conditionalFormatting>
  <conditionalFormatting sqref="AE37:AH37">
    <cfRule type="expression" dxfId="2805" priority="13">
      <formula>#REF!="Modified Weak rock"</formula>
    </cfRule>
  </conditionalFormatting>
  <dataValidations count="3">
    <dataValidation type="list" showInputMessage="1" showErrorMessage="1" sqref="M36 M22:M27 M8:M18" xr:uid="{7A3D1BE2-E08C-4D60-8B81-11E450B7C6E7}">
      <formula1>"',API sand,API clay"</formula1>
    </dataValidation>
    <dataValidation type="list" showInputMessage="1" showErrorMessage="1" sqref="L36:L255 L20:L27 L6:L18" xr:uid="{8342E876-5374-4D9B-9DC6-990DD155A010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20:M27 M6:M18" xr:uid="{94874746-3B7E-42A4-9997-A1B62427DC83}">
      <formula1>"Zero soil,API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05B85-2AB9-42FD-AE5B-815F0EB2932E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Ak_Pisa_WTG1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13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EW_sand_Ruled_90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39</v>
      </c>
      <c r="R6" s="47">
        <f t="shared" ref="R6:R26" ca="1" si="7">IF(I6="","",IF(Q6&lt;&gt;0,Q6-5,NA()))</f>
        <v>34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18100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111.19999999999996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11520</v>
      </c>
      <c r="AC6" s="63">
        <f t="shared" ref="AC6:AC26" ca="1" si="18">IF(I6="","",IF(OFFSET($BV$6,(ROW()-6)*2,0)=0,0,OFFSET($BV$6,(ROW()-6)*2,0)*1000))</f>
        <v>11000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23333.333333333336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90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1.6</v>
      </c>
      <c r="BF6" s="2">
        <v>2.1</v>
      </c>
      <c r="BG6" s="2">
        <v>2.5</v>
      </c>
      <c r="BH6" s="2">
        <v>3.6</v>
      </c>
      <c r="BI6" s="2"/>
      <c r="BJ6" s="2"/>
      <c r="BK6" s="2"/>
      <c r="BL6" s="2"/>
      <c r="BM6" s="2"/>
      <c r="BN6" s="2">
        <v>90</v>
      </c>
      <c r="BO6" s="2">
        <v>32</v>
      </c>
      <c r="BP6" s="2">
        <v>39</v>
      </c>
      <c r="BQ6" s="2">
        <v>43</v>
      </c>
      <c r="BR6" s="2">
        <v>46</v>
      </c>
      <c r="BS6" s="2">
        <v>52</v>
      </c>
      <c r="BT6" s="2">
        <v>0</v>
      </c>
      <c r="BU6" s="2">
        <v>4</v>
      </c>
      <c r="BV6" s="2">
        <v>11</v>
      </c>
      <c r="BW6" s="2">
        <v>17</v>
      </c>
      <c r="BX6" s="2">
        <v>32</v>
      </c>
      <c r="BY6" s="2">
        <v>18.100000000000001</v>
      </c>
      <c r="BZ6" s="2">
        <v>1</v>
      </c>
      <c r="CA6" s="2">
        <v>0.5</v>
      </c>
      <c r="CB6" s="2">
        <v>2.4188175078246999E-4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21a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-1.2</v>
      </c>
      <c r="L7" s="116" t="str">
        <f t="shared" ca="1" si="1"/>
        <v>EW_sand_Ruled_30</v>
      </c>
      <c r="M7" s="105" t="str">
        <f t="shared" ca="1" si="2"/>
        <v>API sand</v>
      </c>
      <c r="N7" s="47">
        <f t="shared" ca="1" si="3"/>
        <v>9.8000000000000007</v>
      </c>
      <c r="O7" s="63">
        <f t="shared" ca="1" si="4"/>
        <v>0</v>
      </c>
      <c r="P7" s="63">
        <f t="shared" ca="1" si="5"/>
        <v>0</v>
      </c>
      <c r="Q7" s="47">
        <f t="shared" ca="1" si="6"/>
        <v>26</v>
      </c>
      <c r="R7" s="47">
        <f t="shared" ca="1" si="7"/>
        <v>21</v>
      </c>
      <c r="S7" s="47">
        <f t="shared" ca="1" si="8"/>
        <v>2.2999999999999998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3500</v>
      </c>
      <c r="Y7" s="47">
        <f t="shared" ca="1" si="14"/>
        <v>0</v>
      </c>
      <c r="Z7" s="47">
        <f t="shared" ca="1" si="15"/>
        <v>69.799999999999983</v>
      </c>
      <c r="AA7" s="47">
        <f t="shared" ca="1" si="16"/>
        <v>1</v>
      </c>
      <c r="AB7" s="47">
        <f t="shared" ca="1" si="17"/>
        <v>3280</v>
      </c>
      <c r="AC7" s="63">
        <f t="shared" ca="1" si="18"/>
        <v>30000</v>
      </c>
      <c r="AD7" s="63">
        <f t="shared" ca="1" si="19"/>
        <v>3333.333333333333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13.600000000000003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30</v>
      </c>
      <c r="AS7" s="33">
        <f t="shared" ca="1" si="34"/>
        <v>0.2</v>
      </c>
      <c r="AW7" s="2">
        <v>1.2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5.5</v>
      </c>
      <c r="BE7" s="2">
        <v>7.1</v>
      </c>
      <c r="BF7" s="2">
        <v>7.6</v>
      </c>
      <c r="BG7" s="2">
        <v>8</v>
      </c>
      <c r="BH7" s="2">
        <v>9</v>
      </c>
      <c r="BI7" s="2"/>
      <c r="BJ7" s="2"/>
      <c r="BK7" s="2"/>
      <c r="BL7" s="2"/>
      <c r="BM7" s="2"/>
      <c r="BN7" s="2">
        <v>90</v>
      </c>
      <c r="BO7" s="2">
        <v>32</v>
      </c>
      <c r="BP7" s="2">
        <v>39</v>
      </c>
      <c r="BQ7" s="2">
        <v>43</v>
      </c>
      <c r="BR7" s="2">
        <v>46</v>
      </c>
      <c r="BS7" s="2">
        <v>52</v>
      </c>
      <c r="BT7" s="2">
        <v>17</v>
      </c>
      <c r="BU7" s="2">
        <v>33</v>
      </c>
      <c r="BV7" s="2">
        <v>39</v>
      </c>
      <c r="BW7" s="2">
        <v>46</v>
      </c>
      <c r="BX7" s="2">
        <v>61</v>
      </c>
      <c r="BY7" s="2">
        <v>18.100000000000001</v>
      </c>
      <c r="BZ7" s="2">
        <v>1</v>
      </c>
      <c r="CA7" s="2">
        <v>0.5</v>
      </c>
      <c r="CB7" s="2">
        <v>2.4188175078246999E-4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23m</v>
      </c>
      <c r="J8" s="47">
        <f t="shared" ca="1" si="35"/>
        <v>3</v>
      </c>
      <c r="K8" s="19">
        <f t="shared" ca="1" si="36"/>
        <v>-1.5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8.5</v>
      </c>
      <c r="O8" s="63">
        <f t="shared" ca="1" si="4"/>
        <v>69</v>
      </c>
      <c r="P8" s="63">
        <f t="shared" ca="1" si="5"/>
        <v>14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8000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69000</v>
      </c>
      <c r="AD8" s="63">
        <f t="shared" ca="1" si="19"/>
        <v>15000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1.2</v>
      </c>
      <c r="AX8" s="2" t="s">
        <v>271</v>
      </c>
      <c r="AY8" s="130">
        <v>24.7</v>
      </c>
      <c r="AZ8" s="2">
        <v>19.8</v>
      </c>
      <c r="BA8" s="2"/>
      <c r="BB8" s="2">
        <v>11</v>
      </c>
      <c r="BC8" s="2"/>
      <c r="BD8" s="2">
        <v>0.2</v>
      </c>
      <c r="BE8" s="2">
        <v>2.1</v>
      </c>
      <c r="BF8" s="2">
        <v>2.5</v>
      </c>
      <c r="BG8" s="2">
        <v>2.9</v>
      </c>
      <c r="BH8" s="2">
        <v>5</v>
      </c>
      <c r="BI8" s="2"/>
      <c r="BJ8" s="2"/>
      <c r="BK8" s="2"/>
      <c r="BL8" s="2"/>
      <c r="BM8" s="2"/>
      <c r="BN8" s="2">
        <v>30</v>
      </c>
      <c r="BO8" s="2">
        <v>26</v>
      </c>
      <c r="BP8" s="2">
        <v>26</v>
      </c>
      <c r="BQ8" s="2">
        <v>28</v>
      </c>
      <c r="BR8" s="2">
        <v>31</v>
      </c>
      <c r="BS8" s="2">
        <v>35</v>
      </c>
      <c r="BT8" s="2">
        <v>4</v>
      </c>
      <c r="BU8" s="2">
        <v>22</v>
      </c>
      <c r="BV8" s="2">
        <v>30</v>
      </c>
      <c r="BW8" s="2">
        <v>37</v>
      </c>
      <c r="BX8" s="2">
        <v>56</v>
      </c>
      <c r="BY8" s="2">
        <v>3.5</v>
      </c>
      <c r="BZ8" s="2">
        <v>12.4</v>
      </c>
      <c r="CA8" s="2">
        <v>2.2999999999999998</v>
      </c>
      <c r="CB8" s="2">
        <v>5.9490731070547002E-8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23n</v>
      </c>
      <c r="J9" s="47">
        <f t="shared" ca="1" si="35"/>
        <v>4</v>
      </c>
      <c r="K9" s="19">
        <f t="shared" ca="1" si="36"/>
        <v>-3.5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8.1000000000000014</v>
      </c>
      <c r="O9" s="63">
        <f t="shared" ca="1" si="4"/>
        <v>148</v>
      </c>
      <c r="P9" s="63">
        <f t="shared" ca="1" si="5"/>
        <v>9.454545454545455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18000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193000</v>
      </c>
      <c r="AD9" s="63">
        <f t="shared" ca="1" si="19"/>
        <v>8545.4545454545441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1.5</v>
      </c>
      <c r="AX9" s="2" t="s">
        <v>271</v>
      </c>
      <c r="AY9" s="130">
        <v>24.7</v>
      </c>
      <c r="AZ9" s="2">
        <v>19.8</v>
      </c>
      <c r="BA9" s="2"/>
      <c r="BB9" s="2">
        <v>11</v>
      </c>
      <c r="BC9" s="2"/>
      <c r="BD9" s="2">
        <v>0.2</v>
      </c>
      <c r="BE9" s="2">
        <v>2.2000000000000002</v>
      </c>
      <c r="BF9" s="2">
        <v>2.5</v>
      </c>
      <c r="BG9" s="2">
        <v>2.9</v>
      </c>
      <c r="BH9" s="2">
        <v>5</v>
      </c>
      <c r="BI9" s="2"/>
      <c r="BJ9" s="2"/>
      <c r="BK9" s="2"/>
      <c r="BL9" s="2"/>
      <c r="BM9" s="2"/>
      <c r="BN9" s="2">
        <v>30</v>
      </c>
      <c r="BO9" s="2">
        <v>26</v>
      </c>
      <c r="BP9" s="2">
        <v>26</v>
      </c>
      <c r="BQ9" s="2">
        <v>28</v>
      </c>
      <c r="BR9" s="2">
        <v>31</v>
      </c>
      <c r="BS9" s="2">
        <v>35</v>
      </c>
      <c r="BT9" s="2">
        <v>5</v>
      </c>
      <c r="BU9" s="2">
        <v>23</v>
      </c>
      <c r="BV9" s="2">
        <v>31</v>
      </c>
      <c r="BW9" s="2">
        <v>38</v>
      </c>
      <c r="BX9" s="2">
        <v>56</v>
      </c>
      <c r="BY9" s="2">
        <v>3.5</v>
      </c>
      <c r="BZ9" s="2">
        <v>12.4</v>
      </c>
      <c r="CA9" s="2">
        <v>2.2999999999999998</v>
      </c>
      <c r="CB9" s="2">
        <v>5.9490731070547002E-8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23o</v>
      </c>
      <c r="J10" s="47">
        <f t="shared" ca="1" si="35"/>
        <v>5</v>
      </c>
      <c r="K10" s="19">
        <f t="shared" ca="1" si="36"/>
        <v>-9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8.6999999999999993</v>
      </c>
      <c r="O10" s="63">
        <f t="shared" ca="1" si="4"/>
        <v>253</v>
      </c>
      <c r="P10" s="63">
        <f t="shared" ca="1" si="5"/>
        <v>-6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0.25</v>
      </c>
      <c r="X10" s="47">
        <f t="shared" ca="1" si="13"/>
        <v>22400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326000</v>
      </c>
      <c r="AD10" s="63">
        <f t="shared" ca="1" si="19"/>
        <v>-6727.2727272727279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1.5</v>
      </c>
      <c r="AX10" s="2" t="s">
        <v>221</v>
      </c>
      <c r="AY10" s="130">
        <v>36.1</v>
      </c>
      <c r="AZ10" s="2">
        <v>18.5</v>
      </c>
      <c r="BA10" s="2">
        <v>21</v>
      </c>
      <c r="BB10" s="2">
        <v>72</v>
      </c>
      <c r="BC10" s="2">
        <v>3</v>
      </c>
      <c r="BD10" s="2">
        <v>1</v>
      </c>
      <c r="BE10" s="2">
        <v>1.6</v>
      </c>
      <c r="BF10" s="2">
        <v>1.8</v>
      </c>
      <c r="BG10" s="2">
        <v>2.2000000000000002</v>
      </c>
      <c r="BH10" s="2">
        <v>3.8</v>
      </c>
      <c r="BI10" s="2">
        <v>23</v>
      </c>
      <c r="BJ10" s="2">
        <v>69</v>
      </c>
      <c r="BK10" s="2">
        <v>88</v>
      </c>
      <c r="BL10" s="2">
        <v>114</v>
      </c>
      <c r="BM10" s="2">
        <v>202</v>
      </c>
      <c r="BN10" s="2"/>
      <c r="BO10" s="2"/>
      <c r="BP10" s="2"/>
      <c r="BQ10" s="2"/>
      <c r="BR10" s="2"/>
      <c r="BS10" s="2"/>
      <c r="BT10" s="2">
        <v>1</v>
      </c>
      <c r="BU10" s="2">
        <v>39</v>
      </c>
      <c r="BV10" s="2">
        <v>69</v>
      </c>
      <c r="BW10" s="2">
        <v>105</v>
      </c>
      <c r="BX10" s="2">
        <v>210</v>
      </c>
      <c r="BY10" s="2">
        <v>8</v>
      </c>
      <c r="BZ10" s="2">
        <v>26.1</v>
      </c>
      <c r="CA10" s="2">
        <v>3</v>
      </c>
      <c r="CB10" s="2">
        <v>1.15574329026384E-8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23o</v>
      </c>
      <c r="J11" s="47">
        <f t="shared" ca="1" si="35"/>
        <v>6</v>
      </c>
      <c r="K11" s="19">
        <f t="shared" ca="1" si="36"/>
        <v>-14.5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8.6999999999999993</v>
      </c>
      <c r="O11" s="63">
        <f t="shared" ca="1" si="4"/>
        <v>372</v>
      </c>
      <c r="P11" s="63">
        <f t="shared" ca="1" si="5"/>
        <v>-100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0.25</v>
      </c>
      <c r="X11" s="47">
        <f t="shared" ca="1" si="13"/>
        <v>29100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504000</v>
      </c>
      <c r="AD11" s="63">
        <f t="shared" ca="1" si="19"/>
        <v>-142000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3.5</v>
      </c>
      <c r="AX11" s="2" t="s">
        <v>221</v>
      </c>
      <c r="AY11" s="130">
        <v>36.1</v>
      </c>
      <c r="AZ11" s="2">
        <v>18.5</v>
      </c>
      <c r="BA11" s="2">
        <v>21</v>
      </c>
      <c r="BB11" s="2">
        <v>72</v>
      </c>
      <c r="BC11" s="2">
        <v>3</v>
      </c>
      <c r="BD11" s="2">
        <v>1.6</v>
      </c>
      <c r="BE11" s="2">
        <v>2.2000000000000002</v>
      </c>
      <c r="BF11" s="2">
        <v>2.4</v>
      </c>
      <c r="BG11" s="2">
        <v>2.8</v>
      </c>
      <c r="BH11" s="2">
        <v>4.4000000000000004</v>
      </c>
      <c r="BI11" s="2">
        <v>51</v>
      </c>
      <c r="BJ11" s="2">
        <v>97</v>
      </c>
      <c r="BK11" s="2">
        <v>116</v>
      </c>
      <c r="BL11" s="2">
        <v>142</v>
      </c>
      <c r="BM11" s="2">
        <v>230</v>
      </c>
      <c r="BN11" s="2"/>
      <c r="BO11" s="2"/>
      <c r="BP11" s="2"/>
      <c r="BQ11" s="2"/>
      <c r="BR11" s="2"/>
      <c r="BS11" s="2"/>
      <c r="BT11" s="2">
        <v>31</v>
      </c>
      <c r="BU11" s="2">
        <v>69</v>
      </c>
      <c r="BV11" s="2">
        <v>99</v>
      </c>
      <c r="BW11" s="2">
        <v>135</v>
      </c>
      <c r="BX11" s="2">
        <v>240</v>
      </c>
      <c r="BY11" s="2">
        <v>8</v>
      </c>
      <c r="BZ11" s="2">
        <v>26.1</v>
      </c>
      <c r="CA11" s="2">
        <v>3</v>
      </c>
      <c r="CB11" s="2">
        <v>1.15574329026384E-8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23o</v>
      </c>
      <c r="J12" s="47">
        <f t="shared" ca="1" si="35"/>
        <v>7</v>
      </c>
      <c r="K12" s="19">
        <f t="shared" ca="1" si="36"/>
        <v>-15.5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8.6999999999999993</v>
      </c>
      <c r="O12" s="63">
        <f t="shared" ca="1" si="4"/>
        <v>166</v>
      </c>
      <c r="P12" s="63">
        <f t="shared" ca="1" si="5"/>
        <v>56.8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0.5</v>
      </c>
      <c r="X12" s="47">
        <f t="shared" ca="1" si="13"/>
        <v>22500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221000</v>
      </c>
      <c r="AD12" s="63">
        <f t="shared" ca="1" si="19"/>
        <v>77200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3.5</v>
      </c>
      <c r="AX12" s="2" t="s">
        <v>306</v>
      </c>
      <c r="AY12" s="130">
        <v>38.4</v>
      </c>
      <c r="AZ12" s="2">
        <v>18.100000000000001</v>
      </c>
      <c r="BA12" s="2">
        <v>34</v>
      </c>
      <c r="BB12" s="2">
        <v>77</v>
      </c>
      <c r="BC12" s="2">
        <v>3</v>
      </c>
      <c r="BD12" s="2">
        <v>0.9</v>
      </c>
      <c r="BE12" s="2">
        <v>3.5</v>
      </c>
      <c r="BF12" s="2">
        <v>3.8</v>
      </c>
      <c r="BG12" s="2">
        <v>4.4000000000000004</v>
      </c>
      <c r="BH12" s="2">
        <v>9.1999999999999993</v>
      </c>
      <c r="BI12" s="2">
        <v>7</v>
      </c>
      <c r="BJ12" s="2">
        <v>148</v>
      </c>
      <c r="BK12" s="2">
        <v>188</v>
      </c>
      <c r="BL12" s="2">
        <v>235</v>
      </c>
      <c r="BM12" s="2">
        <v>476</v>
      </c>
      <c r="BN12" s="2"/>
      <c r="BO12" s="2"/>
      <c r="BP12" s="2"/>
      <c r="BQ12" s="2"/>
      <c r="BR12" s="2"/>
      <c r="BS12" s="2"/>
      <c r="BT12" s="2">
        <v>3</v>
      </c>
      <c r="BU12" s="2">
        <v>115</v>
      </c>
      <c r="BV12" s="2">
        <v>193</v>
      </c>
      <c r="BW12" s="2">
        <v>276</v>
      </c>
      <c r="BX12" s="2">
        <v>604</v>
      </c>
      <c r="BY12" s="2">
        <v>18</v>
      </c>
      <c r="BZ12" s="2">
        <v>21.9</v>
      </c>
      <c r="CA12" s="2">
        <v>3</v>
      </c>
      <c r="CB12" s="2">
        <v>1.3760865991899E-8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23o</v>
      </c>
      <c r="J13" s="47">
        <f t="shared" ca="1" si="35"/>
        <v>8</v>
      </c>
      <c r="K13" s="19">
        <f t="shared" ca="1" si="36"/>
        <v>-18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8.6999999999999993</v>
      </c>
      <c r="O13" s="63">
        <f t="shared" ca="1" si="4"/>
        <v>668</v>
      </c>
      <c r="P13" s="63">
        <f t="shared" ca="1" si="5"/>
        <v>106.5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65600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969000</v>
      </c>
      <c r="AD13" s="63">
        <f t="shared" ca="1" si="19"/>
        <v>191000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9</v>
      </c>
      <c r="AX13" s="2" t="s">
        <v>306</v>
      </c>
      <c r="AY13" s="130">
        <v>38.4</v>
      </c>
      <c r="AZ13" s="2">
        <v>18.100000000000001</v>
      </c>
      <c r="BA13" s="2">
        <v>34</v>
      </c>
      <c r="BB13" s="2">
        <v>77</v>
      </c>
      <c r="BC13" s="2">
        <v>3</v>
      </c>
      <c r="BD13" s="2">
        <v>2.1</v>
      </c>
      <c r="BE13" s="2">
        <v>4.5999999999999996</v>
      </c>
      <c r="BF13" s="2">
        <v>5</v>
      </c>
      <c r="BG13" s="2">
        <v>5.6</v>
      </c>
      <c r="BH13" s="2">
        <v>10.3</v>
      </c>
      <c r="BI13" s="2">
        <v>59</v>
      </c>
      <c r="BJ13" s="2">
        <v>200</v>
      </c>
      <c r="BK13" s="2">
        <v>240</v>
      </c>
      <c r="BL13" s="2">
        <v>287</v>
      </c>
      <c r="BM13" s="2">
        <v>528</v>
      </c>
      <c r="BN13" s="2"/>
      <c r="BO13" s="2"/>
      <c r="BP13" s="2"/>
      <c r="BQ13" s="2"/>
      <c r="BR13" s="2"/>
      <c r="BS13" s="2"/>
      <c r="BT13" s="2">
        <v>51</v>
      </c>
      <c r="BU13" s="2">
        <v>163</v>
      </c>
      <c r="BV13" s="2">
        <v>240</v>
      </c>
      <c r="BW13" s="2">
        <v>324</v>
      </c>
      <c r="BX13" s="2">
        <v>652</v>
      </c>
      <c r="BY13" s="2">
        <v>18</v>
      </c>
      <c r="BZ13" s="2">
        <v>21.9</v>
      </c>
      <c r="CA13" s="2">
        <v>3</v>
      </c>
      <c r="CB13" s="2">
        <v>1.3760865991899E-8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23o</v>
      </c>
      <c r="J14" s="47">
        <f t="shared" ca="1" si="35"/>
        <v>9</v>
      </c>
      <c r="K14" s="19">
        <f t="shared" ca="1" si="36"/>
        <v>-20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8.6999999999999993</v>
      </c>
      <c r="O14" s="63">
        <f t="shared" ca="1" si="4"/>
        <v>797</v>
      </c>
      <c r="P14" s="63">
        <f t="shared" ca="1" si="5"/>
        <v>-854.99999999999795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50900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1194000</v>
      </c>
      <c r="AD14" s="63">
        <f t="shared" ca="1" si="19"/>
        <v>-1321666.6666666635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9</v>
      </c>
      <c r="AX14" s="2" t="s">
        <v>310</v>
      </c>
      <c r="AY14" s="130">
        <v>34.1</v>
      </c>
      <c r="AZ14" s="2">
        <v>18.7</v>
      </c>
      <c r="BA14" s="2">
        <v>53</v>
      </c>
      <c r="BB14" s="2">
        <v>52</v>
      </c>
      <c r="BC14" s="2">
        <v>3</v>
      </c>
      <c r="BD14" s="2">
        <v>4.5999999999999996</v>
      </c>
      <c r="BE14" s="2">
        <v>5.9</v>
      </c>
      <c r="BF14" s="2">
        <v>6.1</v>
      </c>
      <c r="BG14" s="2">
        <v>6.4</v>
      </c>
      <c r="BH14" s="2">
        <v>8.6</v>
      </c>
      <c r="BI14" s="2">
        <v>149</v>
      </c>
      <c r="BJ14" s="2">
        <v>253</v>
      </c>
      <c r="BK14" s="2">
        <v>297</v>
      </c>
      <c r="BL14" s="2">
        <v>343</v>
      </c>
      <c r="BM14" s="2">
        <v>475</v>
      </c>
      <c r="BN14" s="2"/>
      <c r="BO14" s="2"/>
      <c r="BP14" s="2"/>
      <c r="BQ14" s="2"/>
      <c r="BR14" s="2"/>
      <c r="BS14" s="2"/>
      <c r="BT14" s="2">
        <v>51</v>
      </c>
      <c r="BU14" s="2">
        <v>239</v>
      </c>
      <c r="BV14" s="2">
        <v>326</v>
      </c>
      <c r="BW14" s="2">
        <v>415</v>
      </c>
      <c r="BX14" s="2">
        <v>636</v>
      </c>
      <c r="BY14" s="2">
        <v>22.4</v>
      </c>
      <c r="BZ14" s="2">
        <v>16.399999999999999</v>
      </c>
      <c r="CA14" s="2">
        <v>3</v>
      </c>
      <c r="CB14" s="2">
        <v>2.67423905593819E-9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23o</v>
      </c>
      <c r="J15" s="47">
        <f t="shared" ca="1" si="35"/>
        <v>10</v>
      </c>
      <c r="K15" s="19">
        <f t="shared" ca="1" si="36"/>
        <v>-20.6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8.6999999999999993</v>
      </c>
      <c r="O15" s="63">
        <f t="shared" ca="1" si="4"/>
        <v>322</v>
      </c>
      <c r="P15" s="63">
        <f t="shared" ca="1" si="5"/>
        <v>2.8571428571428577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29900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438000</v>
      </c>
      <c r="AD15" s="63">
        <f t="shared" ca="1" si="19"/>
        <v>4761.9047619047624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14.5</v>
      </c>
      <c r="AX15" s="2" t="s">
        <v>310</v>
      </c>
      <c r="AY15" s="130">
        <v>34.1</v>
      </c>
      <c r="AZ15" s="2">
        <v>18.7</v>
      </c>
      <c r="BA15" s="2">
        <v>53</v>
      </c>
      <c r="BB15" s="2">
        <v>52</v>
      </c>
      <c r="BC15" s="2">
        <v>3</v>
      </c>
      <c r="BD15" s="2">
        <v>4.0999999999999996</v>
      </c>
      <c r="BE15" s="2">
        <v>5.4</v>
      </c>
      <c r="BF15" s="2">
        <v>5.5</v>
      </c>
      <c r="BG15" s="2">
        <v>5.8</v>
      </c>
      <c r="BH15" s="2">
        <v>8</v>
      </c>
      <c r="BI15" s="2">
        <v>116</v>
      </c>
      <c r="BJ15" s="2">
        <v>220</v>
      </c>
      <c r="BK15" s="2">
        <v>264</v>
      </c>
      <c r="BL15" s="2">
        <v>310</v>
      </c>
      <c r="BM15" s="2">
        <v>442</v>
      </c>
      <c r="BN15" s="2"/>
      <c r="BO15" s="2"/>
      <c r="BP15" s="2"/>
      <c r="BQ15" s="2"/>
      <c r="BR15" s="2"/>
      <c r="BS15" s="2"/>
      <c r="BT15" s="2">
        <v>14</v>
      </c>
      <c r="BU15" s="2">
        <v>201</v>
      </c>
      <c r="BV15" s="2">
        <v>289</v>
      </c>
      <c r="BW15" s="2">
        <v>378</v>
      </c>
      <c r="BX15" s="2">
        <v>599</v>
      </c>
      <c r="BY15" s="2">
        <v>22.4</v>
      </c>
      <c r="BZ15" s="2">
        <v>16.399999999999999</v>
      </c>
      <c r="CA15" s="2">
        <v>3</v>
      </c>
      <c r="CB15" s="2">
        <v>2.67423905593819E-9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23q</v>
      </c>
      <c r="J16" s="47">
        <f t="shared" ca="1" si="35"/>
        <v>11</v>
      </c>
      <c r="K16" s="19">
        <f t="shared" ca="1" si="36"/>
        <v>-24.8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9.6999999999999993</v>
      </c>
      <c r="O16" s="63">
        <f t="shared" ca="1" si="4"/>
        <v>640</v>
      </c>
      <c r="P16" s="63">
        <f t="shared" ca="1" si="5"/>
        <v>7.042253521126761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3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58800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986000</v>
      </c>
      <c r="AD16" s="63">
        <f t="shared" ca="1" si="19"/>
        <v>14154.929577464789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14.5</v>
      </c>
      <c r="AX16" s="2" t="s">
        <v>310</v>
      </c>
      <c r="AY16" s="130">
        <v>34.1</v>
      </c>
      <c r="AZ16" s="2">
        <v>18.7</v>
      </c>
      <c r="BA16" s="2">
        <v>53</v>
      </c>
      <c r="BB16" s="2">
        <v>52</v>
      </c>
      <c r="BC16" s="2">
        <v>3</v>
      </c>
      <c r="BD16" s="2">
        <v>7.5</v>
      </c>
      <c r="BE16" s="2">
        <v>8.3000000000000007</v>
      </c>
      <c r="BF16" s="2">
        <v>8.6</v>
      </c>
      <c r="BG16" s="2">
        <v>9.1</v>
      </c>
      <c r="BH16" s="2">
        <v>10.3</v>
      </c>
      <c r="BI16" s="2">
        <v>277</v>
      </c>
      <c r="BJ16" s="2">
        <v>372</v>
      </c>
      <c r="BK16" s="2">
        <v>418</v>
      </c>
      <c r="BL16" s="2">
        <v>467</v>
      </c>
      <c r="BM16" s="2">
        <v>572</v>
      </c>
      <c r="BN16" s="2"/>
      <c r="BO16" s="2"/>
      <c r="BP16" s="2"/>
      <c r="BQ16" s="2"/>
      <c r="BR16" s="2"/>
      <c r="BS16" s="2"/>
      <c r="BT16" s="2">
        <v>229</v>
      </c>
      <c r="BU16" s="2">
        <v>413</v>
      </c>
      <c r="BV16" s="2">
        <v>504</v>
      </c>
      <c r="BW16" s="2">
        <v>597</v>
      </c>
      <c r="BX16" s="2">
        <v>791</v>
      </c>
      <c r="BY16" s="2">
        <v>29.1</v>
      </c>
      <c r="BZ16" s="2">
        <v>17.2</v>
      </c>
      <c r="CA16" s="2">
        <v>3</v>
      </c>
      <c r="CB16" s="2">
        <v>1.4436551730858901E-9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23r</v>
      </c>
      <c r="J17" s="47">
        <f t="shared" ca="1" si="35"/>
        <v>12</v>
      </c>
      <c r="K17" s="19">
        <f t="shared" ca="1" si="36"/>
        <v>-39</v>
      </c>
      <c r="L17" s="116" t="str">
        <f t="shared" ca="1" si="1"/>
        <v>EW_sand_Ruled_59</v>
      </c>
      <c r="M17" s="105" t="str">
        <f t="shared" ca="1" si="2"/>
        <v>API sand</v>
      </c>
      <c r="N17" s="47">
        <f t="shared" ca="1" si="3"/>
        <v>8.6999999999999993</v>
      </c>
      <c r="O17" s="63">
        <f t="shared" ca="1" si="4"/>
        <v>0</v>
      </c>
      <c r="P17" s="63">
        <f t="shared" ca="1" si="5"/>
        <v>0</v>
      </c>
      <c r="Q17" s="47">
        <f t="shared" ca="1" si="6"/>
        <v>27</v>
      </c>
      <c r="R17" s="47">
        <f t="shared" ca="1" si="7"/>
        <v>22</v>
      </c>
      <c r="S17" s="47">
        <f t="shared" ca="1" si="8"/>
        <v>0.8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28900</v>
      </c>
      <c r="Y17" s="47">
        <f t="shared" ca="1" si="14"/>
        <v>0</v>
      </c>
      <c r="Z17" s="47">
        <f t="shared" ca="1" si="15"/>
        <v>72.59999999999998</v>
      </c>
      <c r="AA17" s="47">
        <f t="shared" ca="1" si="16"/>
        <v>1</v>
      </c>
      <c r="AB17" s="47">
        <f t="shared" ca="1" si="17"/>
        <v>3660</v>
      </c>
      <c r="AC17" s="63">
        <f t="shared" ca="1" si="18"/>
        <v>171000</v>
      </c>
      <c r="AD17" s="63">
        <f t="shared" ca="1" si="19"/>
        <v>2312.5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15.200000000000003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59</v>
      </c>
      <c r="AS17" s="33">
        <f t="shared" ca="1" si="34"/>
        <v>0.4</v>
      </c>
      <c r="AW17" s="2">
        <v>15.5</v>
      </c>
      <c r="AX17" s="2" t="s">
        <v>310</v>
      </c>
      <c r="AY17" s="130">
        <v>34.1</v>
      </c>
      <c r="AZ17" s="2">
        <v>18.7</v>
      </c>
      <c r="BA17" s="2">
        <v>53</v>
      </c>
      <c r="BB17" s="2">
        <v>52</v>
      </c>
      <c r="BC17" s="2">
        <v>3</v>
      </c>
      <c r="BD17" s="2">
        <v>5.5</v>
      </c>
      <c r="BE17" s="2">
        <v>6.3</v>
      </c>
      <c r="BF17" s="2">
        <v>6.6</v>
      </c>
      <c r="BG17" s="2">
        <v>7.1</v>
      </c>
      <c r="BH17" s="2">
        <v>8.3000000000000007</v>
      </c>
      <c r="BI17" s="2">
        <v>177</v>
      </c>
      <c r="BJ17" s="2">
        <v>272</v>
      </c>
      <c r="BK17" s="2">
        <v>318</v>
      </c>
      <c r="BL17" s="2">
        <v>367</v>
      </c>
      <c r="BM17" s="2">
        <v>472</v>
      </c>
      <c r="BN17" s="2"/>
      <c r="BO17" s="2"/>
      <c r="BP17" s="2"/>
      <c r="BQ17" s="2"/>
      <c r="BR17" s="2"/>
      <c r="BS17" s="2"/>
      <c r="BT17" s="2">
        <v>88</v>
      </c>
      <c r="BU17" s="2">
        <v>272</v>
      </c>
      <c r="BV17" s="2">
        <v>362</v>
      </c>
      <c r="BW17" s="2">
        <v>456</v>
      </c>
      <c r="BX17" s="2">
        <v>649</v>
      </c>
      <c r="BY17" s="2">
        <v>29.1</v>
      </c>
      <c r="BZ17" s="2">
        <v>17.2</v>
      </c>
      <c r="CA17" s="2">
        <v>3</v>
      </c>
      <c r="CB17" s="2">
        <v>1.4436551730858901E-9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23s</v>
      </c>
      <c r="J18" s="47">
        <f t="shared" ca="1" si="35"/>
        <v>13</v>
      </c>
      <c r="K18" s="19">
        <f t="shared" ca="1" si="36"/>
        <v>-55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9</v>
      </c>
      <c r="O18" s="63">
        <f t="shared" ca="1" si="4"/>
        <v>801</v>
      </c>
      <c r="P18" s="63">
        <f t="shared" ca="1" si="5"/>
        <v>12.68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3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0.25</v>
      </c>
      <c r="X18" s="47">
        <f t="shared" ca="1" si="13"/>
        <v>80400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1277000</v>
      </c>
      <c r="AD18" s="63">
        <f t="shared" ca="1" si="19"/>
        <v>25440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15.5</v>
      </c>
      <c r="AX18" s="2" t="s">
        <v>310</v>
      </c>
      <c r="AY18" s="130">
        <v>34.1</v>
      </c>
      <c r="AZ18" s="2">
        <v>18.7</v>
      </c>
      <c r="BA18" s="2">
        <v>53</v>
      </c>
      <c r="BB18" s="2">
        <v>52</v>
      </c>
      <c r="BC18" s="2">
        <v>3</v>
      </c>
      <c r="BD18" s="2">
        <v>3.3</v>
      </c>
      <c r="BE18" s="2">
        <v>4.3</v>
      </c>
      <c r="BF18" s="2">
        <v>4.5</v>
      </c>
      <c r="BG18" s="2">
        <v>4.8</v>
      </c>
      <c r="BH18" s="2">
        <v>6.2</v>
      </c>
      <c r="BI18" s="2">
        <v>69</v>
      </c>
      <c r="BJ18" s="2">
        <v>166</v>
      </c>
      <c r="BK18" s="2">
        <v>210</v>
      </c>
      <c r="BL18" s="2">
        <v>256</v>
      </c>
      <c r="BM18" s="2">
        <v>364</v>
      </c>
      <c r="BN18" s="2"/>
      <c r="BO18" s="2"/>
      <c r="BP18" s="2"/>
      <c r="BQ18" s="2"/>
      <c r="BR18" s="2"/>
      <c r="BS18" s="2"/>
      <c r="BT18" s="2">
        <v>15</v>
      </c>
      <c r="BU18" s="2">
        <v>133</v>
      </c>
      <c r="BV18" s="2">
        <v>221</v>
      </c>
      <c r="BW18" s="2">
        <v>311</v>
      </c>
      <c r="BX18" s="2">
        <v>506</v>
      </c>
      <c r="BY18" s="2">
        <v>22.5</v>
      </c>
      <c r="BZ18" s="2">
        <v>11.8</v>
      </c>
      <c r="CA18" s="2">
        <v>3</v>
      </c>
      <c r="CB18" s="2">
        <v>7.4447679226852904E-10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18</v>
      </c>
      <c r="AX19" s="2" t="s">
        <v>310</v>
      </c>
      <c r="AY19" s="130">
        <v>34.1</v>
      </c>
      <c r="AZ19" s="2">
        <v>18.7</v>
      </c>
      <c r="BA19" s="2">
        <v>53</v>
      </c>
      <c r="BB19" s="2">
        <v>52</v>
      </c>
      <c r="BC19" s="2">
        <v>3</v>
      </c>
      <c r="BD19" s="2">
        <v>6.2</v>
      </c>
      <c r="BE19" s="2">
        <v>7.2</v>
      </c>
      <c r="BF19" s="2">
        <v>7.4</v>
      </c>
      <c r="BG19" s="2">
        <v>7.7</v>
      </c>
      <c r="BH19" s="2">
        <v>9.1</v>
      </c>
      <c r="BI19" s="2">
        <v>212</v>
      </c>
      <c r="BJ19" s="2">
        <v>308</v>
      </c>
      <c r="BK19" s="2">
        <v>352</v>
      </c>
      <c r="BL19" s="2">
        <v>399</v>
      </c>
      <c r="BM19" s="2">
        <v>507</v>
      </c>
      <c r="BN19" s="2"/>
      <c r="BO19" s="2"/>
      <c r="BP19" s="2"/>
      <c r="BQ19" s="2"/>
      <c r="BR19" s="2"/>
      <c r="BS19" s="2"/>
      <c r="BT19" s="2">
        <v>207</v>
      </c>
      <c r="BU19" s="2">
        <v>325</v>
      </c>
      <c r="BV19" s="2">
        <v>414</v>
      </c>
      <c r="BW19" s="2">
        <v>503</v>
      </c>
      <c r="BX19" s="2">
        <v>698</v>
      </c>
      <c r="BY19" s="2">
        <v>22.5</v>
      </c>
      <c r="BZ19" s="2">
        <v>11.8</v>
      </c>
      <c r="CA19" s="2">
        <v>3</v>
      </c>
      <c r="CB19" s="2">
        <v>7.4447679226852904E-10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18</v>
      </c>
      <c r="AX20" s="2" t="s">
        <v>310</v>
      </c>
      <c r="AY20" s="130">
        <v>34.1</v>
      </c>
      <c r="AZ20" s="2">
        <v>18.7</v>
      </c>
      <c r="BA20" s="2">
        <v>53</v>
      </c>
      <c r="BB20" s="2">
        <v>52</v>
      </c>
      <c r="BC20" s="2">
        <v>3</v>
      </c>
      <c r="BD20" s="2">
        <v>12.5</v>
      </c>
      <c r="BE20" s="2">
        <v>14.2</v>
      </c>
      <c r="BF20" s="2">
        <v>14.6</v>
      </c>
      <c r="BG20" s="2">
        <v>15.2</v>
      </c>
      <c r="BH20" s="2">
        <v>17.7</v>
      </c>
      <c r="BI20" s="2">
        <v>548</v>
      </c>
      <c r="BJ20" s="2">
        <v>668</v>
      </c>
      <c r="BK20" s="2">
        <v>715</v>
      </c>
      <c r="BL20" s="2">
        <v>767</v>
      </c>
      <c r="BM20" s="2">
        <v>914</v>
      </c>
      <c r="BN20" s="2"/>
      <c r="BO20" s="2"/>
      <c r="BP20" s="2"/>
      <c r="BQ20" s="2"/>
      <c r="BR20" s="2"/>
      <c r="BS20" s="2"/>
      <c r="BT20" s="2">
        <v>653</v>
      </c>
      <c r="BU20" s="2">
        <v>876</v>
      </c>
      <c r="BV20" s="2">
        <v>969</v>
      </c>
      <c r="BW20" s="2">
        <v>1069</v>
      </c>
      <c r="BX20" s="2">
        <v>1343</v>
      </c>
      <c r="BY20" s="2">
        <v>65.599999999999994</v>
      </c>
      <c r="BZ20" s="2">
        <v>30</v>
      </c>
      <c r="CA20" s="2">
        <v>3</v>
      </c>
      <c r="CB20" s="2">
        <v>3.8133490570552803E-9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20</v>
      </c>
      <c r="AX21" s="2" t="s">
        <v>310</v>
      </c>
      <c r="AY21" s="130">
        <v>34.1</v>
      </c>
      <c r="AZ21" s="2">
        <v>18.7</v>
      </c>
      <c r="BA21" s="2">
        <v>53</v>
      </c>
      <c r="BB21" s="2">
        <v>52</v>
      </c>
      <c r="BC21" s="2">
        <v>3</v>
      </c>
      <c r="BD21" s="2">
        <v>16.8</v>
      </c>
      <c r="BE21" s="2">
        <v>18.5</v>
      </c>
      <c r="BF21" s="2">
        <v>18.899999999999999</v>
      </c>
      <c r="BG21" s="2">
        <v>19.5</v>
      </c>
      <c r="BH21" s="2">
        <v>22</v>
      </c>
      <c r="BI21" s="2">
        <v>762</v>
      </c>
      <c r="BJ21" s="2">
        <v>881</v>
      </c>
      <c r="BK21" s="2">
        <v>929</v>
      </c>
      <c r="BL21" s="2">
        <v>981</v>
      </c>
      <c r="BM21" s="2">
        <v>1128</v>
      </c>
      <c r="BN21" s="2"/>
      <c r="BO21" s="2"/>
      <c r="BP21" s="2"/>
      <c r="BQ21" s="2"/>
      <c r="BR21" s="2"/>
      <c r="BS21" s="2"/>
      <c r="BT21" s="2">
        <v>1035</v>
      </c>
      <c r="BU21" s="2">
        <v>1258</v>
      </c>
      <c r="BV21" s="2">
        <v>1351</v>
      </c>
      <c r="BW21" s="2">
        <v>1451</v>
      </c>
      <c r="BX21" s="2">
        <v>1725</v>
      </c>
      <c r="BY21" s="2">
        <v>65.599999999999994</v>
      </c>
      <c r="BZ21" s="2">
        <v>30</v>
      </c>
      <c r="CA21" s="2">
        <v>3</v>
      </c>
      <c r="CB21" s="2">
        <v>3.8133490570552803E-9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20</v>
      </c>
      <c r="AX22" s="2" t="s">
        <v>310</v>
      </c>
      <c r="AY22" s="130">
        <v>34.1</v>
      </c>
      <c r="AZ22" s="2">
        <v>18.7</v>
      </c>
      <c r="BA22" s="2">
        <v>53</v>
      </c>
      <c r="BB22" s="2">
        <v>52</v>
      </c>
      <c r="BC22" s="2">
        <v>3</v>
      </c>
      <c r="BD22" s="2">
        <v>15</v>
      </c>
      <c r="BE22" s="2">
        <v>16.600000000000001</v>
      </c>
      <c r="BF22" s="2">
        <v>17.399999999999999</v>
      </c>
      <c r="BG22" s="2">
        <v>18</v>
      </c>
      <c r="BH22" s="2">
        <v>19.600000000000001</v>
      </c>
      <c r="BI22" s="2">
        <v>682</v>
      </c>
      <c r="BJ22" s="2">
        <v>797</v>
      </c>
      <c r="BK22" s="2">
        <v>849</v>
      </c>
      <c r="BL22" s="2">
        <v>901</v>
      </c>
      <c r="BM22" s="2">
        <v>1012</v>
      </c>
      <c r="BN22" s="2"/>
      <c r="BO22" s="2"/>
      <c r="BP22" s="2"/>
      <c r="BQ22" s="2"/>
      <c r="BR22" s="2"/>
      <c r="BS22" s="2"/>
      <c r="BT22" s="2">
        <v>886</v>
      </c>
      <c r="BU22" s="2">
        <v>1096</v>
      </c>
      <c r="BV22" s="2">
        <v>1194</v>
      </c>
      <c r="BW22" s="2">
        <v>1287</v>
      </c>
      <c r="BX22" s="2">
        <v>1485</v>
      </c>
      <c r="BY22" s="2">
        <v>50.9</v>
      </c>
      <c r="BZ22" s="2">
        <v>21.9</v>
      </c>
      <c r="CA22" s="2">
        <v>3</v>
      </c>
      <c r="CB22" s="2">
        <v>1.11800824211039E-9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20.6</v>
      </c>
      <c r="AX23" s="2" t="s">
        <v>310</v>
      </c>
      <c r="AY23" s="130">
        <v>34.1</v>
      </c>
      <c r="AZ23" s="2">
        <v>18.7</v>
      </c>
      <c r="BA23" s="2">
        <v>53</v>
      </c>
      <c r="BB23" s="2">
        <v>52</v>
      </c>
      <c r="BC23" s="2">
        <v>3</v>
      </c>
      <c r="BD23" s="2">
        <v>4.7</v>
      </c>
      <c r="BE23" s="2">
        <v>6.4</v>
      </c>
      <c r="BF23" s="2">
        <v>7.1</v>
      </c>
      <c r="BG23" s="2">
        <v>7.8</v>
      </c>
      <c r="BH23" s="2">
        <v>9.3000000000000007</v>
      </c>
      <c r="BI23" s="2">
        <v>169</v>
      </c>
      <c r="BJ23" s="2">
        <v>284</v>
      </c>
      <c r="BK23" s="2">
        <v>337</v>
      </c>
      <c r="BL23" s="2">
        <v>389</v>
      </c>
      <c r="BM23" s="2">
        <v>499</v>
      </c>
      <c r="BN23" s="2"/>
      <c r="BO23" s="2"/>
      <c r="BP23" s="2"/>
      <c r="BQ23" s="2"/>
      <c r="BR23" s="2"/>
      <c r="BS23" s="2"/>
      <c r="BT23" s="2">
        <v>93</v>
      </c>
      <c r="BU23" s="2">
        <v>303</v>
      </c>
      <c r="BV23" s="2">
        <v>401</v>
      </c>
      <c r="BW23" s="2">
        <v>495</v>
      </c>
      <c r="BX23" s="2">
        <v>692</v>
      </c>
      <c r="BY23" s="2">
        <v>50.9</v>
      </c>
      <c r="BZ23" s="2">
        <v>21.9</v>
      </c>
      <c r="CA23" s="2">
        <v>3</v>
      </c>
      <c r="CB23" s="2">
        <v>1.11800824211039E-9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20.6</v>
      </c>
      <c r="AX24" s="2" t="s">
        <v>310</v>
      </c>
      <c r="AY24" s="130">
        <v>34.1</v>
      </c>
      <c r="AZ24" s="2">
        <v>18.7</v>
      </c>
      <c r="BA24" s="2">
        <v>53</v>
      </c>
      <c r="BB24" s="2">
        <v>52</v>
      </c>
      <c r="BC24" s="2">
        <v>3</v>
      </c>
      <c r="BD24" s="2">
        <v>0.7</v>
      </c>
      <c r="BE24" s="2">
        <v>5.0999999999999996</v>
      </c>
      <c r="BF24" s="2">
        <v>7.7</v>
      </c>
      <c r="BG24" s="2">
        <v>17.600000000000001</v>
      </c>
      <c r="BH24" s="2">
        <v>47.9</v>
      </c>
      <c r="BI24" s="2">
        <v>236</v>
      </c>
      <c r="BJ24" s="2">
        <v>322</v>
      </c>
      <c r="BK24" s="2">
        <v>365</v>
      </c>
      <c r="BL24" s="2">
        <v>409</v>
      </c>
      <c r="BM24" s="2">
        <v>495</v>
      </c>
      <c r="BN24" s="2"/>
      <c r="BO24" s="2"/>
      <c r="BP24" s="2"/>
      <c r="BQ24" s="2"/>
      <c r="BR24" s="2"/>
      <c r="BS24" s="2"/>
      <c r="BT24" s="2">
        <v>179</v>
      </c>
      <c r="BU24" s="2">
        <v>351</v>
      </c>
      <c r="BV24" s="2">
        <v>438</v>
      </c>
      <c r="BW24" s="2">
        <v>524</v>
      </c>
      <c r="BX24" s="2">
        <v>696</v>
      </c>
      <c r="BY24" s="2">
        <v>29.9</v>
      </c>
      <c r="BZ24" s="2">
        <v>11.5</v>
      </c>
      <c r="CA24" s="2">
        <v>3</v>
      </c>
      <c r="CB24" s="2">
        <v>2.81123760068256E-12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24.8</v>
      </c>
      <c r="AX25" s="2" t="s">
        <v>310</v>
      </c>
      <c r="AY25" s="130">
        <v>34.1</v>
      </c>
      <c r="AZ25" s="2">
        <v>18.7</v>
      </c>
      <c r="BA25" s="2">
        <v>53</v>
      </c>
      <c r="BB25" s="2">
        <v>52</v>
      </c>
      <c r="BC25" s="2">
        <v>3</v>
      </c>
      <c r="BD25" s="2">
        <v>1</v>
      </c>
      <c r="BE25" s="2">
        <v>5.4</v>
      </c>
      <c r="BF25" s="2">
        <v>8</v>
      </c>
      <c r="BG25" s="2">
        <v>17.8</v>
      </c>
      <c r="BH25" s="2">
        <v>48.2</v>
      </c>
      <c r="BI25" s="2">
        <v>248</v>
      </c>
      <c r="BJ25" s="2">
        <v>334</v>
      </c>
      <c r="BK25" s="2">
        <v>377</v>
      </c>
      <c r="BL25" s="2">
        <v>421</v>
      </c>
      <c r="BM25" s="2">
        <v>507</v>
      </c>
      <c r="BN25" s="2"/>
      <c r="BO25" s="2"/>
      <c r="BP25" s="2"/>
      <c r="BQ25" s="2"/>
      <c r="BR25" s="2"/>
      <c r="BS25" s="2"/>
      <c r="BT25" s="2">
        <v>199</v>
      </c>
      <c r="BU25" s="2">
        <v>371</v>
      </c>
      <c r="BV25" s="2">
        <v>458</v>
      </c>
      <c r="BW25" s="2">
        <v>544</v>
      </c>
      <c r="BX25" s="2">
        <v>716</v>
      </c>
      <c r="BY25" s="2">
        <v>29.9</v>
      </c>
      <c r="BZ25" s="2">
        <v>11.5</v>
      </c>
      <c r="CA25" s="2">
        <v>3</v>
      </c>
      <c r="CB25" s="2">
        <v>2.81123760068256E-12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24.8</v>
      </c>
      <c r="AX26" s="2" t="s">
        <v>318</v>
      </c>
      <c r="AY26" s="130">
        <v>28.8</v>
      </c>
      <c r="AZ26" s="2">
        <v>19.7</v>
      </c>
      <c r="BA26" s="2">
        <v>47</v>
      </c>
      <c r="BB26" s="2">
        <v>53</v>
      </c>
      <c r="BC26" s="2">
        <v>3</v>
      </c>
      <c r="BD26" s="2">
        <v>0.9</v>
      </c>
      <c r="BE26" s="2">
        <v>9.5</v>
      </c>
      <c r="BF26" s="2">
        <v>14.2</v>
      </c>
      <c r="BG26" s="2">
        <v>32</v>
      </c>
      <c r="BH26" s="2">
        <v>87.4</v>
      </c>
      <c r="BI26" s="2">
        <v>554</v>
      </c>
      <c r="BJ26" s="2">
        <v>640</v>
      </c>
      <c r="BK26" s="2">
        <v>683</v>
      </c>
      <c r="BL26" s="2">
        <v>728</v>
      </c>
      <c r="BM26" s="2">
        <v>813</v>
      </c>
      <c r="BN26" s="2"/>
      <c r="BO26" s="2"/>
      <c r="BP26" s="2"/>
      <c r="BQ26" s="2"/>
      <c r="BR26" s="2"/>
      <c r="BS26" s="2"/>
      <c r="BT26" s="2">
        <v>728</v>
      </c>
      <c r="BU26" s="2">
        <v>899</v>
      </c>
      <c r="BV26" s="2">
        <v>986</v>
      </c>
      <c r="BW26" s="2">
        <v>1073</v>
      </c>
      <c r="BX26" s="2">
        <v>1245</v>
      </c>
      <c r="BY26" s="2">
        <v>58.8</v>
      </c>
      <c r="BZ26" s="2">
        <v>15.5</v>
      </c>
      <c r="CA26" s="2">
        <v>3</v>
      </c>
      <c r="CB26" s="2">
        <v>6.3837651230530798E-12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39</v>
      </c>
      <c r="AX27" s="2" t="s">
        <v>318</v>
      </c>
      <c r="AY27" s="130">
        <v>28.8</v>
      </c>
      <c r="AZ27" s="2">
        <v>19.7</v>
      </c>
      <c r="BA27" s="2">
        <v>47</v>
      </c>
      <c r="BB27" s="2">
        <v>53</v>
      </c>
      <c r="BC27" s="2">
        <v>3</v>
      </c>
      <c r="BD27" s="2">
        <v>3.1</v>
      </c>
      <c r="BE27" s="2">
        <v>11.8</v>
      </c>
      <c r="BF27" s="2">
        <v>16.399999999999999</v>
      </c>
      <c r="BG27" s="2">
        <v>34.299999999999997</v>
      </c>
      <c r="BH27" s="2">
        <v>89.6</v>
      </c>
      <c r="BI27" s="2">
        <v>654</v>
      </c>
      <c r="BJ27" s="2">
        <v>740</v>
      </c>
      <c r="BK27" s="2">
        <v>783</v>
      </c>
      <c r="BL27" s="2">
        <v>827</v>
      </c>
      <c r="BM27" s="2">
        <v>913</v>
      </c>
      <c r="BN27" s="2"/>
      <c r="BO27" s="2"/>
      <c r="BP27" s="2"/>
      <c r="BQ27" s="2"/>
      <c r="BR27" s="2"/>
      <c r="BS27" s="2"/>
      <c r="BT27" s="2">
        <v>928</v>
      </c>
      <c r="BU27" s="2">
        <v>1100</v>
      </c>
      <c r="BV27" s="2">
        <v>1187</v>
      </c>
      <c r="BW27" s="2">
        <v>1273</v>
      </c>
      <c r="BX27" s="2">
        <v>1445</v>
      </c>
      <c r="BY27" s="2">
        <v>58.8</v>
      </c>
      <c r="BZ27" s="2">
        <v>15.5</v>
      </c>
      <c r="CA27" s="2">
        <v>3</v>
      </c>
      <c r="CB27" s="2">
        <v>6.3837651230530798E-12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39</v>
      </c>
      <c r="AX28" s="2" t="s">
        <v>319</v>
      </c>
      <c r="AY28" s="130">
        <v>25.6</v>
      </c>
      <c r="AZ28" s="2">
        <v>18.7</v>
      </c>
      <c r="BA28" s="2"/>
      <c r="BB28" s="2">
        <v>11</v>
      </c>
      <c r="BC28" s="2"/>
      <c r="BD28" s="2">
        <v>1.4</v>
      </c>
      <c r="BE28" s="2">
        <v>13.5</v>
      </c>
      <c r="BF28" s="2">
        <v>16.899999999999999</v>
      </c>
      <c r="BG28" s="2">
        <v>37.9</v>
      </c>
      <c r="BH28" s="2">
        <v>103.1</v>
      </c>
      <c r="BI28" s="2"/>
      <c r="BJ28" s="2"/>
      <c r="BK28" s="2"/>
      <c r="BL28" s="2"/>
      <c r="BM28" s="2"/>
      <c r="BN28" s="2">
        <v>59</v>
      </c>
      <c r="BO28" s="2">
        <v>26</v>
      </c>
      <c r="BP28" s="2">
        <v>27</v>
      </c>
      <c r="BQ28" s="2">
        <v>30</v>
      </c>
      <c r="BR28" s="2">
        <v>32</v>
      </c>
      <c r="BS28" s="2">
        <v>36</v>
      </c>
      <c r="BT28" s="2">
        <v>39</v>
      </c>
      <c r="BU28" s="2">
        <v>127</v>
      </c>
      <c r="BV28" s="2">
        <v>171</v>
      </c>
      <c r="BW28" s="2">
        <v>215</v>
      </c>
      <c r="BX28" s="2">
        <v>324</v>
      </c>
      <c r="BY28" s="2">
        <v>28.9</v>
      </c>
      <c r="BZ28" s="2">
        <v>2</v>
      </c>
      <c r="CA28" s="2">
        <v>0.8</v>
      </c>
      <c r="CB28" s="2">
        <v>6.9976297976523502E-12</v>
      </c>
      <c r="CC28" s="2"/>
    </row>
    <row r="29" spans="1:81" x14ac:dyDescent="0.25">
      <c r="A29" s="66"/>
      <c r="B29" s="66"/>
      <c r="C29" s="67"/>
      <c r="D29" s="35"/>
      <c r="AW29" s="2">
        <v>55</v>
      </c>
      <c r="AX29" s="2" t="s">
        <v>319</v>
      </c>
      <c r="AY29" s="130">
        <v>25.6</v>
      </c>
      <c r="AZ29" s="2">
        <v>18.7</v>
      </c>
      <c r="BA29" s="2"/>
      <c r="BB29" s="2">
        <v>11</v>
      </c>
      <c r="BC29" s="2"/>
      <c r="BD29" s="2">
        <v>7.9</v>
      </c>
      <c r="BE29" s="2">
        <v>20</v>
      </c>
      <c r="BF29" s="2">
        <v>23.4</v>
      </c>
      <c r="BG29" s="2">
        <v>44.4</v>
      </c>
      <c r="BH29" s="2">
        <v>109.6</v>
      </c>
      <c r="BI29" s="2"/>
      <c r="BJ29" s="2"/>
      <c r="BK29" s="2"/>
      <c r="BL29" s="2"/>
      <c r="BM29" s="2"/>
      <c r="BN29" s="2">
        <v>59</v>
      </c>
      <c r="BO29" s="2">
        <v>26</v>
      </c>
      <c r="BP29" s="2">
        <v>27</v>
      </c>
      <c r="BQ29" s="2">
        <v>30</v>
      </c>
      <c r="BR29" s="2">
        <v>32</v>
      </c>
      <c r="BS29" s="2">
        <v>36</v>
      </c>
      <c r="BT29" s="2">
        <v>75</v>
      </c>
      <c r="BU29" s="2">
        <v>164</v>
      </c>
      <c r="BV29" s="2">
        <v>208</v>
      </c>
      <c r="BW29" s="2">
        <v>252</v>
      </c>
      <c r="BX29" s="2">
        <v>361</v>
      </c>
      <c r="BY29" s="2">
        <v>28.9</v>
      </c>
      <c r="BZ29" s="2">
        <v>2</v>
      </c>
      <c r="CA29" s="2">
        <v>0.8</v>
      </c>
      <c r="CB29" s="2">
        <v>6.9976297976523502E-12</v>
      </c>
      <c r="CC29" s="2"/>
    </row>
    <row r="30" spans="1:81" x14ac:dyDescent="0.25">
      <c r="A30" s="66"/>
      <c r="B30" s="66"/>
      <c r="C30" s="67"/>
      <c r="D30" s="35"/>
      <c r="AW30" s="2">
        <v>55</v>
      </c>
      <c r="AX30" s="2" t="s">
        <v>320</v>
      </c>
      <c r="AY30" s="130">
        <v>34.4</v>
      </c>
      <c r="AZ30" s="2">
        <v>19</v>
      </c>
      <c r="BA30" s="2">
        <v>24</v>
      </c>
      <c r="BB30" s="2">
        <v>55</v>
      </c>
      <c r="BC30" s="2">
        <v>3</v>
      </c>
      <c r="BD30" s="2">
        <v>2</v>
      </c>
      <c r="BE30" s="2">
        <v>15.4</v>
      </c>
      <c r="BF30" s="2">
        <v>17.899999999999999</v>
      </c>
      <c r="BG30" s="2">
        <v>43.7</v>
      </c>
      <c r="BH30" s="2">
        <v>123.5</v>
      </c>
      <c r="BI30" s="2">
        <v>715</v>
      </c>
      <c r="BJ30" s="2">
        <v>801</v>
      </c>
      <c r="BK30" s="2">
        <v>844</v>
      </c>
      <c r="BL30" s="2">
        <v>888</v>
      </c>
      <c r="BM30" s="2">
        <v>974</v>
      </c>
      <c r="BN30" s="2"/>
      <c r="BO30" s="2"/>
      <c r="BP30" s="2"/>
      <c r="BQ30" s="2"/>
      <c r="BR30" s="2"/>
      <c r="BS30" s="2"/>
      <c r="BT30" s="2">
        <v>1018</v>
      </c>
      <c r="BU30" s="2">
        <v>1190</v>
      </c>
      <c r="BV30" s="2">
        <v>1277</v>
      </c>
      <c r="BW30" s="2">
        <v>1364</v>
      </c>
      <c r="BX30" s="2">
        <v>1536</v>
      </c>
      <c r="BY30" s="2">
        <v>80.400000000000006</v>
      </c>
      <c r="BZ30" s="2">
        <v>10</v>
      </c>
      <c r="CA30" s="2">
        <v>3</v>
      </c>
      <c r="CB30" s="2">
        <v>4.2345109488111501E-12</v>
      </c>
      <c r="CC30" s="2">
        <v>1.8</v>
      </c>
    </row>
    <row r="31" spans="1:81" x14ac:dyDescent="0.25">
      <c r="A31" s="66"/>
      <c r="B31" s="66"/>
      <c r="C31" s="67"/>
      <c r="D31" s="35"/>
      <c r="AW31" s="2">
        <v>80</v>
      </c>
      <c r="AX31" s="2" t="s">
        <v>320</v>
      </c>
      <c r="AY31" s="130">
        <v>34.4</v>
      </c>
      <c r="AZ31" s="2">
        <v>19</v>
      </c>
      <c r="BA31" s="2">
        <v>24</v>
      </c>
      <c r="BB31" s="2">
        <v>55</v>
      </c>
      <c r="BC31" s="2">
        <v>3</v>
      </c>
      <c r="BD31" s="2">
        <v>8.8000000000000007</v>
      </c>
      <c r="BE31" s="2">
        <v>22.2</v>
      </c>
      <c r="BF31" s="2">
        <v>24.7</v>
      </c>
      <c r="BG31" s="2">
        <v>50.5</v>
      </c>
      <c r="BH31" s="2">
        <v>130.30000000000001</v>
      </c>
      <c r="BI31" s="2">
        <v>1032</v>
      </c>
      <c r="BJ31" s="2">
        <v>1118</v>
      </c>
      <c r="BK31" s="2">
        <v>1161</v>
      </c>
      <c r="BL31" s="2">
        <v>1205</v>
      </c>
      <c r="BM31" s="2">
        <v>1291</v>
      </c>
      <c r="BN31" s="2"/>
      <c r="BO31" s="2"/>
      <c r="BP31" s="2"/>
      <c r="BQ31" s="2"/>
      <c r="BR31" s="2"/>
      <c r="BS31" s="2"/>
      <c r="BT31" s="2">
        <v>1654</v>
      </c>
      <c r="BU31" s="2">
        <v>1826</v>
      </c>
      <c r="BV31" s="2">
        <v>1913</v>
      </c>
      <c r="BW31" s="2">
        <v>2000</v>
      </c>
      <c r="BX31" s="2">
        <v>2172</v>
      </c>
      <c r="BY31" s="2">
        <v>80.400000000000006</v>
      </c>
      <c r="BZ31" s="2">
        <v>10</v>
      </c>
      <c r="CA31" s="2">
        <v>3</v>
      </c>
      <c r="CB31" s="2">
        <v>4.2345109488111501E-12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804" priority="12">
      <formula>$L32="API sand"</formula>
    </cfRule>
  </conditionalFormatting>
  <conditionalFormatting sqref="R32:S36 AB32:AB35 AJ32:AL36 Z32:Z36 N32:N36">
    <cfRule type="expression" dxfId="2803" priority="11">
      <formula>$M32="API sand"</formula>
    </cfRule>
  </conditionalFormatting>
  <conditionalFormatting sqref="R32:T36 Z32:AB35 AK32:AL36 N32:N36">
    <cfRule type="expression" dxfId="2802" priority="10">
      <formula>$M32="API clay"</formula>
    </cfRule>
  </conditionalFormatting>
  <conditionalFormatting sqref="U32:W36 AM32:AP36 N32:P36">
    <cfRule type="expression" dxfId="2801" priority="7">
      <formula>$L32="Stiff clay w/o free water"</formula>
    </cfRule>
    <cfRule type="expression" dxfId="2800" priority="9">
      <formula>$L32="API clay"</formula>
    </cfRule>
  </conditionalFormatting>
  <conditionalFormatting sqref="U32:Y36 AM32:AP36 N32:P36">
    <cfRule type="expression" dxfId="2799" priority="8">
      <formula>$L32="Kirsch soft clay"</formula>
    </cfRule>
  </conditionalFormatting>
  <conditionalFormatting sqref="U32:Y36 AM32:AP36 N32:P36">
    <cfRule type="expression" dxfId="2798" priority="6">
      <formula>$L32="Kirsch stiff clay"</formula>
    </cfRule>
  </conditionalFormatting>
  <conditionalFormatting sqref="AM32:AP36 Q32:Q36 X32:Y36 N32:N36">
    <cfRule type="expression" dxfId="2797" priority="5">
      <formula>$L32="Kirsch sand"</formula>
    </cfRule>
  </conditionalFormatting>
  <conditionalFormatting sqref="AC32:AD36 AI32:AI36 AM32:AP36 N32:N36">
    <cfRule type="expression" dxfId="2796" priority="4">
      <formula>$L32="Modified Weak rock"</formula>
    </cfRule>
  </conditionalFormatting>
  <conditionalFormatting sqref="AM32:AP36 N32:P36 U32:V36">
    <cfRule type="expression" dxfId="2795" priority="3">
      <formula>$L32="Reese stiff clay"</formula>
    </cfRule>
  </conditionalFormatting>
  <conditionalFormatting sqref="AB36">
    <cfRule type="expression" dxfId="2794" priority="2">
      <formula>$M36="API sand"</formula>
    </cfRule>
  </conditionalFormatting>
  <conditionalFormatting sqref="Z36:AB36">
    <cfRule type="expression" dxfId="2793" priority="1">
      <formula>$M36="API clay"</formula>
    </cfRule>
  </conditionalFormatting>
  <conditionalFormatting sqref="AE37:AH37">
    <cfRule type="expression" dxfId="2792" priority="13">
      <formula>#REF!="Modified Weak rock"</formula>
    </cfRule>
  </conditionalFormatting>
  <dataValidations count="4">
    <dataValidation type="textLength" showInputMessage="1" showErrorMessage="1" sqref="M27:M31" xr:uid="{D1DF583B-6408-4393-9D4B-41E49993FE4D}">
      <formula1>0</formula1>
      <formula2>100</formula2>
    </dataValidation>
    <dataValidation showInputMessage="1" showErrorMessage="1" sqref="L6:M26" xr:uid="{44FE6740-E0AB-4DC2-B6C4-AB14A9B847AA}"/>
    <dataValidation type="list" showInputMessage="1" showErrorMessage="1" sqref="L32:L255" xr:uid="{34B76FF5-5C1A-4C2B-A58D-736FA20EAED6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EFFFD68B-AFEC-43A6-9B17-927A5D4D1CA0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C16E9-73CB-4923-BE01-F77D733259A1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Ak_Pisa_WTG2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17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EW_sand_Ruled_97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39</v>
      </c>
      <c r="R6" s="47">
        <f t="shared" ref="R6:R26" ca="1" si="7">IF(I6="","",IF(Q6&lt;&gt;0,Q6-5,NA()))</f>
        <v>34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16900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111.19999999999996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11520</v>
      </c>
      <c r="AC6" s="63">
        <f t="shared" ref="AC6:AC26" ca="1" si="18">IF(I6="","",IF(OFFSET($BV$6,(ROW()-6)*2,0)=0,0,OFFSET($BV$6,(ROW()-6)*2,0)*1000))</f>
        <v>12000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21000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97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1.3</v>
      </c>
      <c r="BF6" s="2">
        <v>2.2999999999999998</v>
      </c>
      <c r="BG6" s="2">
        <v>3.2</v>
      </c>
      <c r="BH6" s="2">
        <v>5.4</v>
      </c>
      <c r="BI6" s="2"/>
      <c r="BJ6" s="2"/>
      <c r="BK6" s="2"/>
      <c r="BL6" s="2"/>
      <c r="BM6" s="2"/>
      <c r="BN6" s="2">
        <v>97</v>
      </c>
      <c r="BO6" s="2">
        <v>29</v>
      </c>
      <c r="BP6" s="2">
        <v>39</v>
      </c>
      <c r="BQ6" s="2">
        <v>43</v>
      </c>
      <c r="BR6" s="2">
        <v>46</v>
      </c>
      <c r="BS6" s="2">
        <v>54</v>
      </c>
      <c r="BT6" s="2">
        <v>0</v>
      </c>
      <c r="BU6" s="2">
        <v>6</v>
      </c>
      <c r="BV6" s="2">
        <v>12</v>
      </c>
      <c r="BW6" s="2">
        <v>17</v>
      </c>
      <c r="BX6" s="2">
        <v>30</v>
      </c>
      <c r="BY6" s="2">
        <v>16.899999999999999</v>
      </c>
      <c r="BZ6" s="2">
        <v>1</v>
      </c>
      <c r="CA6" s="2">
        <v>0.5</v>
      </c>
      <c r="CB6" s="2">
        <v>4.1767849595061602E-5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-1</v>
      </c>
      <c r="L7" s="116" t="str">
        <f t="shared" ca="1" si="1"/>
        <v>EW_sand_Ruled_83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40</v>
      </c>
      <c r="R7" s="47">
        <f t="shared" ca="1" si="7"/>
        <v>35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29300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44000</v>
      </c>
      <c r="AD7" s="63">
        <f t="shared" ca="1" si="19"/>
        <v>-8571.4285714285706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83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2.9</v>
      </c>
      <c r="BE7" s="2">
        <v>5.7</v>
      </c>
      <c r="BF7" s="2">
        <v>6.7</v>
      </c>
      <c r="BG7" s="2">
        <v>7.5</v>
      </c>
      <c r="BH7" s="2">
        <v>9.6999999999999993</v>
      </c>
      <c r="BI7" s="2"/>
      <c r="BJ7" s="2"/>
      <c r="BK7" s="2"/>
      <c r="BL7" s="2"/>
      <c r="BM7" s="2"/>
      <c r="BN7" s="2">
        <v>97</v>
      </c>
      <c r="BO7" s="2">
        <v>29</v>
      </c>
      <c r="BP7" s="2">
        <v>39</v>
      </c>
      <c r="BQ7" s="2">
        <v>43</v>
      </c>
      <c r="BR7" s="2">
        <v>46</v>
      </c>
      <c r="BS7" s="2">
        <v>54</v>
      </c>
      <c r="BT7" s="2">
        <v>14</v>
      </c>
      <c r="BU7" s="2">
        <v>27</v>
      </c>
      <c r="BV7" s="2">
        <v>33</v>
      </c>
      <c r="BW7" s="2">
        <v>39</v>
      </c>
      <c r="BX7" s="2">
        <v>52</v>
      </c>
      <c r="BY7" s="2">
        <v>16.899999999999999</v>
      </c>
      <c r="BZ7" s="2">
        <v>1</v>
      </c>
      <c r="CA7" s="2">
        <v>0.5</v>
      </c>
      <c r="CB7" s="2">
        <v>4.1767849595061602E-5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02b</v>
      </c>
      <c r="J8" s="47">
        <f t="shared" ca="1" si="35"/>
        <v>3</v>
      </c>
      <c r="K8" s="19">
        <f t="shared" ca="1" si="36"/>
        <v>-1.7</v>
      </c>
      <c r="L8" s="116" t="str">
        <f t="shared" ca="1" si="1"/>
        <v>EW_sand_Ruled_43</v>
      </c>
      <c r="M8" s="105" t="str">
        <f t="shared" ca="1" si="2"/>
        <v>API sand</v>
      </c>
      <c r="N8" s="47">
        <f t="shared" ca="1" si="3"/>
        <v>9.3999999999999986</v>
      </c>
      <c r="O8" s="63">
        <f t="shared" ca="1" si="4"/>
        <v>0</v>
      </c>
      <c r="P8" s="63">
        <f t="shared" ca="1" si="5"/>
        <v>0</v>
      </c>
      <c r="Q8" s="47">
        <f t="shared" ca="1" si="6"/>
        <v>33</v>
      </c>
      <c r="R8" s="47">
        <f t="shared" ca="1" si="7"/>
        <v>28</v>
      </c>
      <c r="S8" s="47">
        <f t="shared" ca="1" si="8"/>
        <v>1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9300</v>
      </c>
      <c r="Y8" s="47">
        <f t="shared" ca="1" si="14"/>
        <v>0</v>
      </c>
      <c r="Z8" s="47">
        <f t="shared" ca="1" si="15"/>
        <v>89.999999999999972</v>
      </c>
      <c r="AA8" s="47">
        <f t="shared" ca="1" si="16"/>
        <v>1</v>
      </c>
      <c r="AB8" s="47">
        <f t="shared" ca="1" si="17"/>
        <v>7680</v>
      </c>
      <c r="AC8" s="63">
        <f t="shared" ca="1" si="18"/>
        <v>35000</v>
      </c>
      <c r="AD8" s="63">
        <f t="shared" ca="1" si="19"/>
        <v>2000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32.000000000000007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43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6.5</v>
      </c>
      <c r="BE8" s="2">
        <v>8.6999999999999993</v>
      </c>
      <c r="BF8" s="2">
        <v>11.5</v>
      </c>
      <c r="BG8" s="2">
        <v>13.3</v>
      </c>
      <c r="BH8" s="2">
        <v>18.3</v>
      </c>
      <c r="BI8" s="2"/>
      <c r="BJ8" s="2"/>
      <c r="BK8" s="2"/>
      <c r="BL8" s="2"/>
      <c r="BM8" s="2"/>
      <c r="BN8" s="2">
        <v>83</v>
      </c>
      <c r="BO8" s="2">
        <v>34</v>
      </c>
      <c r="BP8" s="2">
        <v>40</v>
      </c>
      <c r="BQ8" s="2">
        <v>43</v>
      </c>
      <c r="BR8" s="2">
        <v>46</v>
      </c>
      <c r="BS8" s="2">
        <v>52</v>
      </c>
      <c r="BT8" s="2">
        <v>7</v>
      </c>
      <c r="BU8" s="2">
        <v>33</v>
      </c>
      <c r="BV8" s="2">
        <v>44</v>
      </c>
      <c r="BW8" s="2">
        <v>54</v>
      </c>
      <c r="BX8" s="2">
        <v>79</v>
      </c>
      <c r="BY8" s="2">
        <v>29.3</v>
      </c>
      <c r="BZ8" s="2">
        <v>1</v>
      </c>
      <c r="CA8" s="2">
        <v>0.5</v>
      </c>
      <c r="CB8" s="2">
        <v>2.9569844886037201E-5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02c</v>
      </c>
      <c r="J9" s="47">
        <f t="shared" ca="1" si="35"/>
        <v>4</v>
      </c>
      <c r="K9" s="19">
        <f t="shared" ca="1" si="36"/>
        <v>-3.7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8.5</v>
      </c>
      <c r="O9" s="63">
        <f t="shared" ca="1" si="4"/>
        <v>34</v>
      </c>
      <c r="P9" s="63">
        <f t="shared" ca="1" si="5"/>
        <v>-12.22222222222223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6200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26000</v>
      </c>
      <c r="AD9" s="63">
        <f t="shared" ca="1" si="19"/>
        <v>-7777.7777777777819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1.7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0.5</v>
      </c>
      <c r="BE9" s="2">
        <v>2.2000000000000002</v>
      </c>
      <c r="BF9" s="2">
        <v>5</v>
      </c>
      <c r="BG9" s="2">
        <v>6.8</v>
      </c>
      <c r="BH9" s="2">
        <v>11.8</v>
      </c>
      <c r="BI9" s="2"/>
      <c r="BJ9" s="2"/>
      <c r="BK9" s="2"/>
      <c r="BL9" s="2"/>
      <c r="BM9" s="2"/>
      <c r="BN9" s="2">
        <v>83</v>
      </c>
      <c r="BO9" s="2">
        <v>34</v>
      </c>
      <c r="BP9" s="2">
        <v>40</v>
      </c>
      <c r="BQ9" s="2">
        <v>43</v>
      </c>
      <c r="BR9" s="2">
        <v>46</v>
      </c>
      <c r="BS9" s="2">
        <v>52</v>
      </c>
      <c r="BT9" s="2">
        <v>1</v>
      </c>
      <c r="BU9" s="2">
        <v>27</v>
      </c>
      <c r="BV9" s="2">
        <v>38</v>
      </c>
      <c r="BW9" s="2">
        <v>48</v>
      </c>
      <c r="BX9" s="2">
        <v>74</v>
      </c>
      <c r="BY9" s="2">
        <v>29.3</v>
      </c>
      <c r="BZ9" s="2">
        <v>1</v>
      </c>
      <c r="CA9" s="2">
        <v>0.5</v>
      </c>
      <c r="CB9" s="2">
        <v>2.9569844886037201E-5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21a</v>
      </c>
      <c r="J10" s="47">
        <f t="shared" ca="1" si="35"/>
        <v>5</v>
      </c>
      <c r="K10" s="19">
        <f t="shared" ca="1" si="36"/>
        <v>-4.5999999999999996</v>
      </c>
      <c r="L10" s="116" t="str">
        <f t="shared" ca="1" si="1"/>
        <v>EW_sand_Ruled_67</v>
      </c>
      <c r="M10" s="105" t="str">
        <f t="shared" ca="1" si="2"/>
        <v>API sand</v>
      </c>
      <c r="N10" s="47">
        <f t="shared" ca="1" si="3"/>
        <v>9.8000000000000007</v>
      </c>
      <c r="O10" s="63">
        <f t="shared" ca="1" si="4"/>
        <v>0</v>
      </c>
      <c r="P10" s="63">
        <f t="shared" ca="1" si="5"/>
        <v>0</v>
      </c>
      <c r="Q10" s="47">
        <f t="shared" ca="1" si="6"/>
        <v>29</v>
      </c>
      <c r="R10" s="47">
        <f t="shared" ca="1" si="7"/>
        <v>24</v>
      </c>
      <c r="S10" s="47">
        <f t="shared" ca="1" si="8"/>
        <v>2.1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22000</v>
      </c>
      <c r="Y10" s="47">
        <f t="shared" ca="1" si="14"/>
        <v>0</v>
      </c>
      <c r="Z10" s="47">
        <f t="shared" ca="1" si="15"/>
        <v>78.199999999999974</v>
      </c>
      <c r="AA10" s="47">
        <f t="shared" ca="1" si="16"/>
        <v>1</v>
      </c>
      <c r="AB10" s="47">
        <f t="shared" ca="1" si="17"/>
        <v>4420</v>
      </c>
      <c r="AC10" s="63">
        <f t="shared" ca="1" si="18"/>
        <v>78000</v>
      </c>
      <c r="AD10" s="63">
        <f t="shared" ca="1" si="19"/>
        <v>3469.3877551020405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18.400000000000006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67</v>
      </c>
      <c r="AS10" s="33">
        <f t="shared" ca="1" si="34"/>
        <v>0.2</v>
      </c>
      <c r="AW10" s="2">
        <v>1.7</v>
      </c>
      <c r="AX10" s="2" t="s">
        <v>257</v>
      </c>
      <c r="AY10" s="130">
        <v>29.7</v>
      </c>
      <c r="AZ10" s="2">
        <v>19.399999999999999</v>
      </c>
      <c r="BA10" s="2"/>
      <c r="BB10" s="2">
        <v>24</v>
      </c>
      <c r="BC10" s="2"/>
      <c r="BD10" s="2">
        <v>1.8</v>
      </c>
      <c r="BE10" s="2">
        <v>2.4</v>
      </c>
      <c r="BF10" s="2">
        <v>2.6</v>
      </c>
      <c r="BG10" s="2">
        <v>2.9</v>
      </c>
      <c r="BH10" s="2">
        <v>3.9</v>
      </c>
      <c r="BI10" s="2"/>
      <c r="BJ10" s="2"/>
      <c r="BK10" s="2"/>
      <c r="BL10" s="2"/>
      <c r="BM10" s="2"/>
      <c r="BN10" s="2">
        <v>43</v>
      </c>
      <c r="BO10" s="2">
        <v>28</v>
      </c>
      <c r="BP10" s="2">
        <v>33</v>
      </c>
      <c r="BQ10" s="2">
        <v>36</v>
      </c>
      <c r="BR10" s="2">
        <v>39</v>
      </c>
      <c r="BS10" s="2">
        <v>44</v>
      </c>
      <c r="BT10" s="2">
        <v>4</v>
      </c>
      <c r="BU10" s="2">
        <v>26</v>
      </c>
      <c r="BV10" s="2">
        <v>35</v>
      </c>
      <c r="BW10" s="2">
        <v>44</v>
      </c>
      <c r="BX10" s="2">
        <v>67</v>
      </c>
      <c r="BY10" s="2">
        <v>9.3000000000000007</v>
      </c>
      <c r="BZ10" s="2">
        <v>3.1</v>
      </c>
      <c r="CA10" s="2">
        <v>1</v>
      </c>
      <c r="CB10" s="2">
        <v>1.2019833114973401E-6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23l</v>
      </c>
      <c r="J11" s="47">
        <f t="shared" ca="1" si="35"/>
        <v>6</v>
      </c>
      <c r="K11" s="19">
        <f t="shared" ca="1" si="36"/>
        <v>-9.5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8.8000000000000007</v>
      </c>
      <c r="O11" s="63">
        <f t="shared" ca="1" si="4"/>
        <v>254</v>
      </c>
      <c r="P11" s="63">
        <f t="shared" ca="1" si="5"/>
        <v>-360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0.25</v>
      </c>
      <c r="X11" s="47">
        <f t="shared" ca="1" si="13"/>
        <v>16500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338000</v>
      </c>
      <c r="AD11" s="63">
        <f t="shared" ca="1" si="19"/>
        <v>-448000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3.7</v>
      </c>
      <c r="AX11" s="2" t="s">
        <v>257</v>
      </c>
      <c r="AY11" s="130">
        <v>29.7</v>
      </c>
      <c r="AZ11" s="2">
        <v>19.399999999999999</v>
      </c>
      <c r="BA11" s="2"/>
      <c r="BB11" s="2">
        <v>24</v>
      </c>
      <c r="BC11" s="2"/>
      <c r="BD11" s="2">
        <v>0.9</v>
      </c>
      <c r="BE11" s="2">
        <v>1.6</v>
      </c>
      <c r="BF11" s="2">
        <v>1.8</v>
      </c>
      <c r="BG11" s="2">
        <v>2</v>
      </c>
      <c r="BH11" s="2">
        <v>3.1</v>
      </c>
      <c r="BI11" s="2"/>
      <c r="BJ11" s="2"/>
      <c r="BK11" s="2"/>
      <c r="BL11" s="2"/>
      <c r="BM11" s="2"/>
      <c r="BN11" s="2">
        <v>43</v>
      </c>
      <c r="BO11" s="2">
        <v>28</v>
      </c>
      <c r="BP11" s="2">
        <v>33</v>
      </c>
      <c r="BQ11" s="2">
        <v>36</v>
      </c>
      <c r="BR11" s="2">
        <v>39</v>
      </c>
      <c r="BS11" s="2">
        <v>44</v>
      </c>
      <c r="BT11" s="2">
        <v>8</v>
      </c>
      <c r="BU11" s="2">
        <v>30</v>
      </c>
      <c r="BV11" s="2">
        <v>39</v>
      </c>
      <c r="BW11" s="2">
        <v>49</v>
      </c>
      <c r="BX11" s="2">
        <v>71</v>
      </c>
      <c r="BY11" s="2">
        <v>9.3000000000000007</v>
      </c>
      <c r="BZ11" s="2">
        <v>3.1</v>
      </c>
      <c r="CA11" s="2">
        <v>1</v>
      </c>
      <c r="CB11" s="2">
        <v>1.2019833114973401E-6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23m</v>
      </c>
      <c r="J12" s="47">
        <f t="shared" ca="1" si="35"/>
        <v>7</v>
      </c>
      <c r="K12" s="19">
        <f t="shared" ca="1" si="36"/>
        <v>-10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8.5</v>
      </c>
      <c r="O12" s="63">
        <f t="shared" ca="1" si="4"/>
        <v>253</v>
      </c>
      <c r="P12" s="63">
        <f t="shared" ca="1" si="5"/>
        <v>38.799999999999997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0.25</v>
      </c>
      <c r="X12" s="47">
        <f t="shared" ca="1" si="13"/>
        <v>31600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351000</v>
      </c>
      <c r="AD12" s="63">
        <f t="shared" ca="1" si="19"/>
        <v>62400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3.7</v>
      </c>
      <c r="AX12" s="2" t="s">
        <v>298</v>
      </c>
      <c r="AY12" s="130">
        <v>37.1</v>
      </c>
      <c r="AZ12" s="2">
        <v>18.5</v>
      </c>
      <c r="BA12" s="2">
        <v>30</v>
      </c>
      <c r="BB12" s="2">
        <v>88</v>
      </c>
      <c r="BC12" s="2">
        <v>3</v>
      </c>
      <c r="BD12" s="2">
        <v>0.6</v>
      </c>
      <c r="BE12" s="2">
        <v>0.7</v>
      </c>
      <c r="BF12" s="2">
        <v>0.8</v>
      </c>
      <c r="BG12" s="2">
        <v>0.9</v>
      </c>
      <c r="BH12" s="2">
        <v>1</v>
      </c>
      <c r="BI12" s="2">
        <v>17</v>
      </c>
      <c r="BJ12" s="2">
        <v>34</v>
      </c>
      <c r="BK12" s="2">
        <v>41</v>
      </c>
      <c r="BL12" s="2">
        <v>50</v>
      </c>
      <c r="BM12" s="2">
        <v>67</v>
      </c>
      <c r="BN12" s="2"/>
      <c r="BO12" s="2"/>
      <c r="BP12" s="2"/>
      <c r="BQ12" s="2"/>
      <c r="BR12" s="2"/>
      <c r="BS12" s="2"/>
      <c r="BT12" s="2">
        <v>11</v>
      </c>
      <c r="BU12" s="2">
        <v>18</v>
      </c>
      <c r="BV12" s="2">
        <v>26</v>
      </c>
      <c r="BW12" s="2">
        <v>35</v>
      </c>
      <c r="BX12" s="2">
        <v>51</v>
      </c>
      <c r="BY12" s="2">
        <v>6.2</v>
      </c>
      <c r="BZ12" s="2">
        <v>3.6</v>
      </c>
      <c r="CA12" s="2">
        <v>3</v>
      </c>
      <c r="CB12" s="2">
        <v>1.20907139109147E-17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23m</v>
      </c>
      <c r="J13" s="47">
        <f t="shared" ca="1" si="35"/>
        <v>8</v>
      </c>
      <c r="K13" s="19">
        <f t="shared" ca="1" si="36"/>
        <v>-15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8.5</v>
      </c>
      <c r="O13" s="63">
        <f t="shared" ca="1" si="4"/>
        <v>478</v>
      </c>
      <c r="P13" s="63">
        <f t="shared" ca="1" si="5"/>
        <v>-42.307692307692307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32600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699000</v>
      </c>
      <c r="AD13" s="63">
        <f t="shared" ca="1" si="19"/>
        <v>-69384.61538461539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4.5999999999999996</v>
      </c>
      <c r="AX13" s="2" t="s">
        <v>298</v>
      </c>
      <c r="AY13" s="130">
        <v>37.1</v>
      </c>
      <c r="AZ13" s="2">
        <v>18.5</v>
      </c>
      <c r="BA13" s="2">
        <v>30</v>
      </c>
      <c r="BB13" s="2">
        <v>88</v>
      </c>
      <c r="BC13" s="2">
        <v>3</v>
      </c>
      <c r="BD13" s="2">
        <v>0.5</v>
      </c>
      <c r="BE13" s="2">
        <v>0.6</v>
      </c>
      <c r="BF13" s="2">
        <v>0.6</v>
      </c>
      <c r="BG13" s="2">
        <v>0.7</v>
      </c>
      <c r="BH13" s="2">
        <v>0.8</v>
      </c>
      <c r="BI13" s="2">
        <v>6</v>
      </c>
      <c r="BJ13" s="2">
        <v>23</v>
      </c>
      <c r="BK13" s="2">
        <v>30</v>
      </c>
      <c r="BL13" s="2">
        <v>39</v>
      </c>
      <c r="BM13" s="2">
        <v>57</v>
      </c>
      <c r="BN13" s="2"/>
      <c r="BO13" s="2"/>
      <c r="BP13" s="2"/>
      <c r="BQ13" s="2"/>
      <c r="BR13" s="2"/>
      <c r="BS13" s="2"/>
      <c r="BT13" s="2">
        <v>4</v>
      </c>
      <c r="BU13" s="2">
        <v>11</v>
      </c>
      <c r="BV13" s="2">
        <v>19</v>
      </c>
      <c r="BW13" s="2">
        <v>28</v>
      </c>
      <c r="BX13" s="2">
        <v>44</v>
      </c>
      <c r="BY13" s="2">
        <v>6.2</v>
      </c>
      <c r="BZ13" s="2">
        <v>3.6</v>
      </c>
      <c r="CA13" s="2">
        <v>3</v>
      </c>
      <c r="CB13" s="2">
        <v>1.20907139109147E-17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23n</v>
      </c>
      <c r="J14" s="47">
        <f t="shared" ca="1" si="35"/>
        <v>9</v>
      </c>
      <c r="K14" s="19">
        <f t="shared" ca="1" si="36"/>
        <v>-21.5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8.1000000000000014</v>
      </c>
      <c r="O14" s="63">
        <f t="shared" ca="1" si="4"/>
        <v>796</v>
      </c>
      <c r="P14" s="63">
        <f t="shared" ca="1" si="5"/>
        <v>-95.183486238532126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58100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966000</v>
      </c>
      <c r="AD14" s="63">
        <f t="shared" ca="1" si="19"/>
        <v>0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4.5999999999999996</v>
      </c>
      <c r="AX14" s="2" t="s">
        <v>271</v>
      </c>
      <c r="AY14" s="130">
        <v>24.7</v>
      </c>
      <c r="AZ14" s="2">
        <v>19.8</v>
      </c>
      <c r="BA14" s="2"/>
      <c r="BB14" s="2">
        <v>11</v>
      </c>
      <c r="BC14" s="2"/>
      <c r="BD14" s="2">
        <f>13.8-5</f>
        <v>8.8000000000000007</v>
      </c>
      <c r="BE14" s="2">
        <v>15.6</v>
      </c>
      <c r="BF14" s="2">
        <v>15.9</v>
      </c>
      <c r="BG14" s="2">
        <v>16.3</v>
      </c>
      <c r="BH14" s="2">
        <f>19.3+5</f>
        <v>24.3</v>
      </c>
      <c r="BI14" s="2"/>
      <c r="BJ14" s="2"/>
      <c r="BK14" s="2"/>
      <c r="BL14" s="2"/>
      <c r="BM14" s="2"/>
      <c r="BN14" s="2">
        <v>67</v>
      </c>
      <c r="BO14" s="2">
        <v>26</v>
      </c>
      <c r="BP14" s="2">
        <v>29</v>
      </c>
      <c r="BQ14" s="2">
        <v>31</v>
      </c>
      <c r="BR14" s="2">
        <v>34</v>
      </c>
      <c r="BS14" s="2">
        <v>38</v>
      </c>
      <c r="BT14" s="2">
        <v>8</v>
      </c>
      <c r="BU14" s="2">
        <v>58</v>
      </c>
      <c r="BV14" s="2">
        <v>78</v>
      </c>
      <c r="BW14" s="2">
        <v>99</v>
      </c>
      <c r="BX14" s="2">
        <v>149</v>
      </c>
      <c r="BY14" s="2">
        <v>22</v>
      </c>
      <c r="BZ14" s="2">
        <v>11.1</v>
      </c>
      <c r="CA14" s="2">
        <v>2.1</v>
      </c>
      <c r="CB14" s="2">
        <v>5.0957537518558201E-6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23o</v>
      </c>
      <c r="J15" s="47">
        <f t="shared" ca="1" si="35"/>
        <v>10</v>
      </c>
      <c r="K15" s="19">
        <f t="shared" ca="1" si="36"/>
        <v>-25.86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8.6999999999999993</v>
      </c>
      <c r="O15" s="63">
        <f t="shared" ca="1" si="4"/>
        <v>743</v>
      </c>
      <c r="P15" s="63">
        <f t="shared" ca="1" si="5"/>
        <v>71.052631578947327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0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73500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1203000</v>
      </c>
      <c r="AD15" s="63">
        <f t="shared" ca="1" si="19"/>
        <v>125438.59649122802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9.5</v>
      </c>
      <c r="AX15" s="2" t="s">
        <v>271</v>
      </c>
      <c r="AY15" s="130">
        <v>24.7</v>
      </c>
      <c r="AZ15" s="2">
        <v>19.8</v>
      </c>
      <c r="BA15" s="2"/>
      <c r="BB15" s="2">
        <v>11</v>
      </c>
      <c r="BC15" s="2"/>
      <c r="BD15" s="2">
        <f>10.9-5</f>
        <v>5.9</v>
      </c>
      <c r="BE15" s="2">
        <v>12.8</v>
      </c>
      <c r="BF15" s="2">
        <v>13</v>
      </c>
      <c r="BG15" s="2">
        <v>13.5</v>
      </c>
      <c r="BH15" s="2">
        <f>16.4+5</f>
        <v>21.4</v>
      </c>
      <c r="BI15" s="2"/>
      <c r="BJ15" s="2"/>
      <c r="BK15" s="2"/>
      <c r="BL15" s="2"/>
      <c r="BM15" s="2"/>
      <c r="BN15" s="2">
        <v>67</v>
      </c>
      <c r="BO15" s="2">
        <v>26</v>
      </c>
      <c r="BP15" s="2">
        <v>29</v>
      </c>
      <c r="BQ15" s="2">
        <v>31</v>
      </c>
      <c r="BR15" s="2">
        <v>34</v>
      </c>
      <c r="BS15" s="2">
        <v>38</v>
      </c>
      <c r="BT15" s="2">
        <v>24</v>
      </c>
      <c r="BU15" s="2">
        <v>74</v>
      </c>
      <c r="BV15" s="2">
        <v>95</v>
      </c>
      <c r="BW15" s="2">
        <v>115</v>
      </c>
      <c r="BX15" s="2">
        <v>166</v>
      </c>
      <c r="BY15" s="2">
        <v>22</v>
      </c>
      <c r="BZ15" s="2">
        <v>11.1</v>
      </c>
      <c r="CA15" s="2">
        <v>2.1</v>
      </c>
      <c r="CB15" s="2">
        <v>5.0957537518558201E-6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23o</v>
      </c>
      <c r="J16" s="47">
        <f t="shared" ca="1" si="35"/>
        <v>11</v>
      </c>
      <c r="K16" s="19">
        <f t="shared" ca="1" si="36"/>
        <v>-27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8.6999999999999993</v>
      </c>
      <c r="O16" s="63">
        <f t="shared" ca="1" si="4"/>
        <v>498</v>
      </c>
      <c r="P16" s="63">
        <f t="shared" ca="1" si="5"/>
        <v>-62.5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3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37000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712000</v>
      </c>
      <c r="AD16" s="63">
        <f t="shared" ca="1" si="19"/>
        <v>-90250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9.5</v>
      </c>
      <c r="AX16" s="2" t="s">
        <v>220</v>
      </c>
      <c r="AY16" s="130">
        <v>29.5</v>
      </c>
      <c r="AZ16" s="2">
        <v>18.8</v>
      </c>
      <c r="BA16" s="2">
        <v>48</v>
      </c>
      <c r="BB16" s="2">
        <v>77</v>
      </c>
      <c r="BC16" s="2">
        <v>3</v>
      </c>
      <c r="BD16" s="2">
        <v>4.0999999999999996</v>
      </c>
      <c r="BE16" s="2">
        <v>5.6</v>
      </c>
      <c r="BF16" s="2">
        <v>6.3</v>
      </c>
      <c r="BG16" s="2">
        <v>7.2</v>
      </c>
      <c r="BH16" s="2">
        <f>15+9</f>
        <v>24</v>
      </c>
      <c r="BI16" s="2">
        <v>193</v>
      </c>
      <c r="BJ16" s="2">
        <v>254</v>
      </c>
      <c r="BK16" s="2">
        <v>304</v>
      </c>
      <c r="BL16" s="2">
        <v>361</v>
      </c>
      <c r="BM16" s="2">
        <v>480</v>
      </c>
      <c r="BN16" s="2"/>
      <c r="BO16" s="2"/>
      <c r="BP16" s="2"/>
      <c r="BQ16" s="2"/>
      <c r="BR16" s="2"/>
      <c r="BS16" s="2"/>
      <c r="BT16" s="2">
        <v>233</v>
      </c>
      <c r="BU16" s="2">
        <v>247</v>
      </c>
      <c r="BV16" s="2">
        <v>338</v>
      </c>
      <c r="BW16" s="2">
        <v>430</v>
      </c>
      <c r="BX16" s="2">
        <v>618</v>
      </c>
      <c r="BY16" s="2">
        <v>16.5</v>
      </c>
      <c r="BZ16" s="2">
        <v>13</v>
      </c>
      <c r="CA16" s="2">
        <v>3</v>
      </c>
      <c r="CB16" s="2">
        <v>1.6612936581221499E-10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23o</v>
      </c>
      <c r="J17" s="47">
        <f t="shared" ca="1" si="35"/>
        <v>12</v>
      </c>
      <c r="K17" s="19">
        <f t="shared" ca="1" si="36"/>
        <v>-31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8.6999999999999993</v>
      </c>
      <c r="O17" s="63">
        <f t="shared" ca="1" si="4"/>
        <v>286</v>
      </c>
      <c r="P17" s="63">
        <f t="shared" ca="1" si="5"/>
        <v>-6.8461538461538458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2.2999999999999998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22700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402000</v>
      </c>
      <c r="AD17" s="63">
        <f t="shared" ca="1" si="19"/>
        <v>-8307.6923076923085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10</v>
      </c>
      <c r="AX17" s="2" t="s">
        <v>220</v>
      </c>
      <c r="AY17" s="130">
        <v>29.5</v>
      </c>
      <c r="AZ17" s="2">
        <v>18.8</v>
      </c>
      <c r="BA17" s="2">
        <v>48</v>
      </c>
      <c r="BB17" s="2">
        <v>77</v>
      </c>
      <c r="BC17" s="2">
        <v>3</v>
      </c>
      <c r="BD17" s="2">
        <v>0.5</v>
      </c>
      <c r="BE17" s="2">
        <v>2</v>
      </c>
      <c r="BF17" s="2">
        <v>2.7</v>
      </c>
      <c r="BG17" s="2">
        <v>3.6</v>
      </c>
      <c r="BH17" s="2">
        <f>15+5.4</f>
        <v>20.399999999999999</v>
      </c>
      <c r="BI17" s="2">
        <v>14</v>
      </c>
      <c r="BJ17" s="2">
        <v>74</v>
      </c>
      <c r="BK17" s="2">
        <v>124</v>
      </c>
      <c r="BL17" s="2">
        <v>181</v>
      </c>
      <c r="BM17" s="2">
        <v>300</v>
      </c>
      <c r="BN17" s="2"/>
      <c r="BO17" s="2"/>
      <c r="BP17" s="2"/>
      <c r="BQ17" s="2"/>
      <c r="BR17" s="2"/>
      <c r="BS17" s="2"/>
      <c r="BT17" s="2">
        <v>10</v>
      </c>
      <c r="BU17" s="2">
        <v>23</v>
      </c>
      <c r="BV17" s="2">
        <v>114</v>
      </c>
      <c r="BW17" s="2">
        <v>206</v>
      </c>
      <c r="BX17" s="2">
        <v>394</v>
      </c>
      <c r="BY17" s="2">
        <v>16.5</v>
      </c>
      <c r="BZ17" s="2">
        <v>13</v>
      </c>
      <c r="CA17" s="2">
        <v>3</v>
      </c>
      <c r="CB17" s="2">
        <v>1.6612936581221499E-10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23q</v>
      </c>
      <c r="J18" s="47">
        <f t="shared" ca="1" si="35"/>
        <v>13</v>
      </c>
      <c r="K18" s="19">
        <f t="shared" ca="1" si="36"/>
        <v>-44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9.6999999999999993</v>
      </c>
      <c r="O18" s="63">
        <f t="shared" ca="1" si="4"/>
        <v>510</v>
      </c>
      <c r="P18" s="63">
        <f t="shared" ca="1" si="5"/>
        <v>-30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2.6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0.25</v>
      </c>
      <c r="X18" s="47">
        <f t="shared" ca="1" si="13"/>
        <v>38800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804000</v>
      </c>
      <c r="AD18" s="63">
        <f t="shared" ca="1" si="19"/>
        <v>-47800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10</v>
      </c>
      <c r="AX18" s="2" t="s">
        <v>221</v>
      </c>
      <c r="AY18" s="130">
        <v>36.1</v>
      </c>
      <c r="AZ18" s="2">
        <v>18.5</v>
      </c>
      <c r="BA18" s="2">
        <v>21</v>
      </c>
      <c r="BB18" s="2">
        <v>72</v>
      </c>
      <c r="BC18" s="2">
        <v>3</v>
      </c>
      <c r="BD18" s="2">
        <v>0.8</v>
      </c>
      <c r="BE18" s="2">
        <v>5.7</v>
      </c>
      <c r="BF18" s="2">
        <v>6.4</v>
      </c>
      <c r="BG18" s="2">
        <v>7.4</v>
      </c>
      <c r="BH18" s="2">
        <v>15.4</v>
      </c>
      <c r="BI18" s="2">
        <v>14</v>
      </c>
      <c r="BJ18" s="2">
        <v>253</v>
      </c>
      <c r="BK18" s="2">
        <v>307</v>
      </c>
      <c r="BL18" s="2">
        <v>375</v>
      </c>
      <c r="BM18" s="2">
        <v>778</v>
      </c>
      <c r="BN18" s="2"/>
      <c r="BO18" s="2"/>
      <c r="BP18" s="2"/>
      <c r="BQ18" s="2"/>
      <c r="BR18" s="2"/>
      <c r="BS18" s="2"/>
      <c r="BT18" s="2">
        <v>10</v>
      </c>
      <c r="BU18" s="2">
        <v>245</v>
      </c>
      <c r="BV18" s="2">
        <v>351</v>
      </c>
      <c r="BW18" s="2">
        <v>471</v>
      </c>
      <c r="BX18" s="2">
        <v>1070</v>
      </c>
      <c r="BY18" s="2">
        <v>31.6</v>
      </c>
      <c r="BZ18" s="2">
        <v>20.6</v>
      </c>
      <c r="CA18" s="2">
        <v>3</v>
      </c>
      <c r="CB18" s="2">
        <v>1.04719337023162E-8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23q</v>
      </c>
      <c r="J19" s="47">
        <f t="shared" ca="1" si="35"/>
        <v>14</v>
      </c>
      <c r="K19" s="19">
        <f t="shared" ca="1" si="36"/>
        <v>-49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9.6999999999999993</v>
      </c>
      <c r="O19" s="63">
        <f t="shared" ca="1" si="4"/>
        <v>201</v>
      </c>
      <c r="P19" s="63">
        <f t="shared" ca="1" si="5"/>
        <v>21.964285714285708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1.7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0.5</v>
      </c>
      <c r="X19" s="47">
        <f t="shared" ca="1" si="13"/>
        <v>29800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316000</v>
      </c>
      <c r="AD19" s="63">
        <f t="shared" ca="1" si="19"/>
        <v>35178.571428571413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15</v>
      </c>
      <c r="AX19" s="2" t="s">
        <v>221</v>
      </c>
      <c r="AY19" s="130">
        <v>36.1</v>
      </c>
      <c r="AZ19" s="2">
        <v>18.5</v>
      </c>
      <c r="BA19" s="2">
        <v>21</v>
      </c>
      <c r="BB19" s="2">
        <v>72</v>
      </c>
      <c r="BC19" s="2">
        <v>3</v>
      </c>
      <c r="BD19" s="2">
        <v>4.7</v>
      </c>
      <c r="BE19" s="2">
        <v>9.6</v>
      </c>
      <c r="BF19" s="2">
        <v>10.3</v>
      </c>
      <c r="BG19" s="2">
        <v>11.3</v>
      </c>
      <c r="BH19" s="2">
        <v>19.399999999999999</v>
      </c>
      <c r="BI19" s="2">
        <v>207</v>
      </c>
      <c r="BJ19" s="2">
        <v>447</v>
      </c>
      <c r="BK19" s="2">
        <v>500</v>
      </c>
      <c r="BL19" s="2">
        <v>568</v>
      </c>
      <c r="BM19" s="2">
        <v>971</v>
      </c>
      <c r="BN19" s="2"/>
      <c r="BO19" s="2"/>
      <c r="BP19" s="2"/>
      <c r="BQ19" s="2"/>
      <c r="BR19" s="2"/>
      <c r="BS19" s="2"/>
      <c r="BT19" s="2">
        <v>321</v>
      </c>
      <c r="BU19" s="2">
        <v>557</v>
      </c>
      <c r="BV19" s="2">
        <v>663</v>
      </c>
      <c r="BW19" s="2">
        <v>783</v>
      </c>
      <c r="BX19" s="2">
        <v>1382</v>
      </c>
      <c r="BY19" s="2">
        <v>31.6</v>
      </c>
      <c r="BZ19" s="2">
        <v>20.6</v>
      </c>
      <c r="CA19" s="2">
        <v>3</v>
      </c>
      <c r="CB19" s="2">
        <v>1.04719337023162E-8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23r</v>
      </c>
      <c r="J20" s="47">
        <f t="shared" ca="1" si="35"/>
        <v>15</v>
      </c>
      <c r="K20" s="19">
        <f t="shared" ca="1" si="36"/>
        <v>-60.2</v>
      </c>
      <c r="L20" s="116" t="str">
        <f t="shared" ca="1" si="1"/>
        <v>EW_sand_Ruled_86</v>
      </c>
      <c r="M20" s="105" t="str">
        <f t="shared" ca="1" si="2"/>
        <v>API sand</v>
      </c>
      <c r="N20" s="47">
        <f t="shared" ca="1" si="3"/>
        <v>8.6999999999999993</v>
      </c>
      <c r="O20" s="63">
        <f t="shared" ca="1" si="4"/>
        <v>0</v>
      </c>
      <c r="P20" s="63">
        <f t="shared" ca="1" si="5"/>
        <v>0</v>
      </c>
      <c r="Q20" s="47">
        <f t="shared" ca="1" si="6"/>
        <v>29</v>
      </c>
      <c r="R20" s="47">
        <f t="shared" ca="1" si="7"/>
        <v>24</v>
      </c>
      <c r="S20" s="47">
        <f t="shared" ca="1" si="8"/>
        <v>1.1000000000000001</v>
      </c>
      <c r="T20" s="47">
        <f t="shared" ca="1" si="9"/>
        <v>0</v>
      </c>
      <c r="U20" s="75">
        <f t="shared" ca="1" si="10"/>
        <v>0</v>
      </c>
      <c r="V20" s="75">
        <f t="shared" ca="1" si="11"/>
        <v>0</v>
      </c>
      <c r="W20" s="47">
        <f t="shared" ca="1" si="12"/>
        <v>0</v>
      </c>
      <c r="X20" s="47">
        <f t="shared" ca="1" si="13"/>
        <v>75000</v>
      </c>
      <c r="Y20" s="47">
        <f t="shared" ca="1" si="14"/>
        <v>0</v>
      </c>
      <c r="Z20" s="47">
        <f t="shared" ca="1" si="15"/>
        <v>78.199999999999974</v>
      </c>
      <c r="AA20" s="47">
        <f t="shared" ca="1" si="16"/>
        <v>1</v>
      </c>
      <c r="AB20" s="47">
        <f t="shared" ca="1" si="17"/>
        <v>4420</v>
      </c>
      <c r="AC20" s="63">
        <f t="shared" ca="1" si="18"/>
        <v>224000</v>
      </c>
      <c r="AD20" s="63">
        <f t="shared" ca="1" si="19"/>
        <v>18103.44827586208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>
        <f t="shared" ca="1" si="25"/>
        <v>18.400000000000006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86</v>
      </c>
      <c r="AS20" s="33">
        <f t="shared" ca="1" si="34"/>
        <v>0.4</v>
      </c>
      <c r="AW20" s="2">
        <v>15</v>
      </c>
      <c r="AX20" s="2" t="s">
        <v>221</v>
      </c>
      <c r="AY20" s="130">
        <v>36.1</v>
      </c>
      <c r="AZ20" s="2">
        <v>18.5</v>
      </c>
      <c r="BA20" s="2">
        <v>21</v>
      </c>
      <c r="BB20" s="2">
        <v>72</v>
      </c>
      <c r="BC20" s="2">
        <v>3</v>
      </c>
      <c r="BD20" s="2">
        <v>6.2</v>
      </c>
      <c r="BE20" s="2">
        <v>10.3</v>
      </c>
      <c r="BF20" s="2">
        <v>11</v>
      </c>
      <c r="BG20" s="2">
        <v>13.2</v>
      </c>
      <c r="BH20" s="2">
        <v>29.4</v>
      </c>
      <c r="BI20" s="2">
        <v>305</v>
      </c>
      <c r="BJ20" s="2">
        <v>478</v>
      </c>
      <c r="BK20" s="2">
        <v>533</v>
      </c>
      <c r="BL20" s="2">
        <v>652</v>
      </c>
      <c r="BM20" s="2">
        <v>1460</v>
      </c>
      <c r="BN20" s="2"/>
      <c r="BO20" s="2"/>
      <c r="BP20" s="2"/>
      <c r="BQ20" s="2"/>
      <c r="BR20" s="2"/>
      <c r="BS20" s="2"/>
      <c r="BT20" s="2">
        <v>472</v>
      </c>
      <c r="BU20" s="2">
        <v>599</v>
      </c>
      <c r="BV20" s="2">
        <v>699</v>
      </c>
      <c r="BW20" s="2">
        <v>903</v>
      </c>
      <c r="BX20" s="2">
        <v>2255</v>
      </c>
      <c r="BY20" s="2">
        <v>32.6</v>
      </c>
      <c r="BZ20" s="2">
        <v>15.6</v>
      </c>
      <c r="CA20" s="2">
        <v>3</v>
      </c>
      <c r="CB20" s="2">
        <v>2.7695500679715301E-9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>23r</v>
      </c>
      <c r="J21" s="47">
        <f t="shared" ca="1" si="35"/>
        <v>16</v>
      </c>
      <c r="K21" s="19">
        <f t="shared" ca="1" si="36"/>
        <v>-66</v>
      </c>
      <c r="L21" s="116" t="str">
        <f t="shared" ca="1" si="1"/>
        <v>EW_sand_Ruled_63</v>
      </c>
      <c r="M21" s="105" t="str">
        <f t="shared" ca="1" si="2"/>
        <v>API sand</v>
      </c>
      <c r="N21" s="47">
        <f t="shared" ca="1" si="3"/>
        <v>8.6999999999999993</v>
      </c>
      <c r="O21" s="63">
        <f t="shared" ca="1" si="4"/>
        <v>0</v>
      </c>
      <c r="P21" s="63">
        <f t="shared" ca="1" si="5"/>
        <v>0</v>
      </c>
      <c r="Q21" s="47">
        <f t="shared" ca="1" si="6"/>
        <v>27</v>
      </c>
      <c r="R21" s="47">
        <f t="shared" ca="1" si="7"/>
        <v>22</v>
      </c>
      <c r="S21" s="47">
        <f t="shared" ca="1" si="8"/>
        <v>0.7</v>
      </c>
      <c r="T21" s="47">
        <f t="shared" ca="1" si="9"/>
        <v>0</v>
      </c>
      <c r="U21" s="75">
        <f t="shared" ca="1" si="10"/>
        <v>0</v>
      </c>
      <c r="V21" s="75">
        <f t="shared" ca="1" si="11"/>
        <v>0</v>
      </c>
      <c r="W21" s="47">
        <f t="shared" ca="1" si="12"/>
        <v>0</v>
      </c>
      <c r="X21" s="47">
        <f t="shared" ca="1" si="13"/>
        <v>73700</v>
      </c>
      <c r="Y21" s="47">
        <f t="shared" ca="1" si="14"/>
        <v>0</v>
      </c>
      <c r="Z21" s="47">
        <f t="shared" ca="1" si="15"/>
        <v>72.59999999999998</v>
      </c>
      <c r="AA21" s="47">
        <f t="shared" ca="1" si="16"/>
        <v>1</v>
      </c>
      <c r="AB21" s="47">
        <f t="shared" ca="1" si="17"/>
        <v>3660</v>
      </c>
      <c r="AC21" s="63">
        <f t="shared" ca="1" si="18"/>
        <v>241000</v>
      </c>
      <c r="AD21" s="63">
        <f t="shared" ca="1" si="19"/>
        <v>-17000</v>
      </c>
      <c r="AE21" s="63">
        <f t="shared" ca="1" si="20"/>
        <v>0.3</v>
      </c>
      <c r="AF21" s="63">
        <f t="shared" ca="1" si="21"/>
        <v>0</v>
      </c>
      <c r="AG21" s="63">
        <f t="shared" ca="1" si="22"/>
        <v>0</v>
      </c>
      <c r="AH21" s="63">
        <f t="shared" ca="1" si="23"/>
        <v>0</v>
      </c>
      <c r="AI21" s="63">
        <f t="shared" ca="1" si="24"/>
        <v>0</v>
      </c>
      <c r="AJ21" s="47">
        <f t="shared" ca="1" si="25"/>
        <v>15.200000000000003</v>
      </c>
      <c r="AK21" s="47">
        <f t="shared" ca="1" si="26"/>
        <v>1</v>
      </c>
      <c r="AL21" s="47">
        <f t="shared" ca="1" si="27"/>
        <v>1</v>
      </c>
      <c r="AM21" s="47">
        <f t="shared" ca="1" si="28"/>
        <v>1</v>
      </c>
      <c r="AN21" s="47">
        <f t="shared" ca="1" si="29"/>
        <v>1</v>
      </c>
      <c r="AO21" s="47">
        <f t="shared" ca="1" si="30"/>
        <v>1</v>
      </c>
      <c r="AP21" s="47">
        <f t="shared" ca="1" si="31"/>
        <v>1</v>
      </c>
      <c r="AQ21" s="47">
        <f t="shared" ca="1" si="32"/>
        <v>0</v>
      </c>
      <c r="AR21" s="47">
        <f t="shared" ca="1" si="33"/>
        <v>63</v>
      </c>
      <c r="AS21" s="33">
        <f t="shared" ca="1" si="34"/>
        <v>0.4</v>
      </c>
      <c r="AW21" s="2">
        <v>21.5</v>
      </c>
      <c r="AX21" s="2" t="s">
        <v>221</v>
      </c>
      <c r="AY21" s="130">
        <v>36.1</v>
      </c>
      <c r="AZ21" s="2">
        <v>18.5</v>
      </c>
      <c r="BA21" s="2">
        <v>21</v>
      </c>
      <c r="BB21" s="2">
        <v>72</v>
      </c>
      <c r="BC21" s="2">
        <v>3</v>
      </c>
      <c r="BD21" s="2">
        <v>0.8</v>
      </c>
      <c r="BE21" s="2">
        <v>4.9000000000000004</v>
      </c>
      <c r="BF21" s="2">
        <v>5.6</v>
      </c>
      <c r="BG21" s="2">
        <v>7.8</v>
      </c>
      <c r="BH21" s="2">
        <v>24</v>
      </c>
      <c r="BI21" s="2">
        <v>30</v>
      </c>
      <c r="BJ21" s="2">
        <v>203</v>
      </c>
      <c r="BK21" s="2">
        <v>258</v>
      </c>
      <c r="BL21" s="2">
        <v>377</v>
      </c>
      <c r="BM21" s="2">
        <v>1185</v>
      </c>
      <c r="BN21" s="2"/>
      <c r="BO21" s="2"/>
      <c r="BP21" s="2"/>
      <c r="BQ21" s="2"/>
      <c r="BR21" s="2"/>
      <c r="BS21" s="2"/>
      <c r="BT21" s="2">
        <v>21</v>
      </c>
      <c r="BU21" s="2">
        <v>148</v>
      </c>
      <c r="BV21" s="2">
        <v>248</v>
      </c>
      <c r="BW21" s="2">
        <v>452</v>
      </c>
      <c r="BX21" s="2">
        <v>1804</v>
      </c>
      <c r="BY21" s="2">
        <v>32.6</v>
      </c>
      <c r="BZ21" s="2">
        <v>15.6</v>
      </c>
      <c r="CA21" s="2">
        <v>3</v>
      </c>
      <c r="CB21" s="2">
        <v>2.7695500679715301E-9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>23s</v>
      </c>
      <c r="J22" s="47">
        <f t="shared" ca="1" si="35"/>
        <v>17</v>
      </c>
      <c r="K22" s="19">
        <f t="shared" ca="1" si="36"/>
        <v>-68</v>
      </c>
      <c r="L22" s="116" t="str">
        <f t="shared" ca="1" si="1"/>
        <v>Cowden Clay</v>
      </c>
      <c r="M22" s="105" t="str">
        <f t="shared" ca="1" si="2"/>
        <v>API clay</v>
      </c>
      <c r="N22" s="47">
        <f t="shared" ca="1" si="3"/>
        <v>9</v>
      </c>
      <c r="O22" s="63">
        <f t="shared" ca="1" si="4"/>
        <v>473</v>
      </c>
      <c r="P22" s="63">
        <f t="shared" ca="1" si="5"/>
        <v>17.25</v>
      </c>
      <c r="Q22" s="47">
        <f t="shared" ca="1" si="6"/>
        <v>0</v>
      </c>
      <c r="R22" s="47" t="e">
        <f t="shared" ca="1" si="7"/>
        <v>#N/A</v>
      </c>
      <c r="S22" s="47">
        <f t="shared" ca="1" si="8"/>
        <v>2</v>
      </c>
      <c r="T22" s="47">
        <f t="shared" ca="1" si="9"/>
        <v>0</v>
      </c>
      <c r="U22" s="75">
        <f t="shared" ca="1" si="10"/>
        <v>1.7999999999999999E-2</v>
      </c>
      <c r="V22" s="75">
        <f t="shared" ca="1" si="11"/>
        <v>0</v>
      </c>
      <c r="W22" s="47">
        <f t="shared" ca="1" si="12"/>
        <v>0.25</v>
      </c>
      <c r="X22" s="47">
        <f t="shared" ca="1" si="13"/>
        <v>50500</v>
      </c>
      <c r="Y22" s="47">
        <f t="shared" ca="1" si="14"/>
        <v>0</v>
      </c>
      <c r="Z22" s="47" t="e">
        <f t="shared" ca="1" si="15"/>
        <v>#N/A</v>
      </c>
      <c r="AA22" s="47">
        <f t="shared" ca="1" si="16"/>
        <v>1</v>
      </c>
      <c r="AB22" s="47" t="e">
        <f t="shared" ca="1" si="17"/>
        <v>#N/A</v>
      </c>
      <c r="AC22" s="63">
        <f t="shared" ca="1" si="18"/>
        <v>741000</v>
      </c>
      <c r="AD22" s="63">
        <f t="shared" ca="1" si="19"/>
        <v>30750</v>
      </c>
      <c r="AE22" s="63">
        <f t="shared" ca="1" si="20"/>
        <v>0.3</v>
      </c>
      <c r="AF22" s="63">
        <f t="shared" ca="1" si="21"/>
        <v>0</v>
      </c>
      <c r="AG22" s="63">
        <f t="shared" ca="1" si="22"/>
        <v>0</v>
      </c>
      <c r="AH22" s="63">
        <f t="shared" ca="1" si="23"/>
        <v>0</v>
      </c>
      <c r="AI22" s="63">
        <f t="shared" ca="1" si="24"/>
        <v>0</v>
      </c>
      <c r="AJ22" s="47" t="e">
        <f t="shared" ca="1" si="25"/>
        <v>#N/A</v>
      </c>
      <c r="AK22" s="47">
        <f t="shared" ca="1" si="26"/>
        <v>1</v>
      </c>
      <c r="AL22" s="47">
        <f t="shared" ca="1" si="27"/>
        <v>1</v>
      </c>
      <c r="AM22" s="47">
        <f t="shared" ca="1" si="28"/>
        <v>1</v>
      </c>
      <c r="AN22" s="47">
        <f t="shared" ca="1" si="29"/>
        <v>1</v>
      </c>
      <c r="AO22" s="47">
        <f t="shared" ca="1" si="30"/>
        <v>1</v>
      </c>
      <c r="AP22" s="47">
        <f t="shared" ca="1" si="31"/>
        <v>1</v>
      </c>
      <c r="AQ22" s="47">
        <f t="shared" ca="1" si="32"/>
        <v>0</v>
      </c>
      <c r="AR22" s="47">
        <f t="shared" ca="1" si="33"/>
        <v>0</v>
      </c>
      <c r="AS22" s="33">
        <f t="shared" ca="1" si="34"/>
        <v>0.4</v>
      </c>
      <c r="AW22" s="2">
        <v>21.5</v>
      </c>
      <c r="AX22" s="2" t="s">
        <v>306</v>
      </c>
      <c r="AY22" s="130">
        <v>38.4</v>
      </c>
      <c r="AZ22" s="2">
        <v>18.100000000000001</v>
      </c>
      <c r="BA22" s="2">
        <v>34</v>
      </c>
      <c r="BB22" s="2">
        <v>77</v>
      </c>
      <c r="BC22" s="2">
        <v>3</v>
      </c>
      <c r="BD22" s="2">
        <v>9.4</v>
      </c>
      <c r="BE22" s="2">
        <v>16.5</v>
      </c>
      <c r="BF22" s="2">
        <v>17.899999999999999</v>
      </c>
      <c r="BG22" s="2">
        <v>21.4</v>
      </c>
      <c r="BH22" s="2">
        <v>39.5</v>
      </c>
      <c r="BI22" s="2">
        <v>450</v>
      </c>
      <c r="BJ22" s="2">
        <v>796</v>
      </c>
      <c r="BK22" s="2">
        <v>874</v>
      </c>
      <c r="BL22" s="2">
        <v>1053</v>
      </c>
      <c r="BM22" s="2">
        <v>1958</v>
      </c>
      <c r="BN22" s="2"/>
      <c r="BO22" s="2"/>
      <c r="BP22" s="2"/>
      <c r="BQ22" s="2"/>
      <c r="BR22" s="2"/>
      <c r="BS22" s="2"/>
      <c r="BT22" s="2">
        <v>25</v>
      </c>
      <c r="BU22" s="2">
        <v>856</v>
      </c>
      <c r="BV22" s="2">
        <v>966</v>
      </c>
      <c r="BW22" s="2">
        <v>1140</v>
      </c>
      <c r="BX22" s="2">
        <v>3030</v>
      </c>
      <c r="BY22" s="2">
        <v>58.1</v>
      </c>
      <c r="BZ22" s="2">
        <v>20.6</v>
      </c>
      <c r="CA22" s="2">
        <v>3</v>
      </c>
      <c r="CB22" s="2">
        <v>9.80421236679918E-9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25.86</v>
      </c>
      <c r="AX23" s="2" t="s">
        <v>306</v>
      </c>
      <c r="AY23" s="130">
        <v>38.4</v>
      </c>
      <c r="AZ23" s="2">
        <v>18.100000000000001</v>
      </c>
      <c r="BA23" s="2">
        <v>34</v>
      </c>
      <c r="BB23" s="2">
        <v>77</v>
      </c>
      <c r="BC23" s="2">
        <v>3</v>
      </c>
      <c r="BD23" s="2">
        <v>1.2</v>
      </c>
      <c r="BE23" s="2">
        <v>8.3000000000000007</v>
      </c>
      <c r="BF23" s="2">
        <v>9.6999999999999993</v>
      </c>
      <c r="BG23" s="2">
        <v>13.2</v>
      </c>
      <c r="BH23" s="2">
        <v>31.2</v>
      </c>
      <c r="BI23" s="2">
        <v>36</v>
      </c>
      <c r="BJ23" s="2">
        <v>381</v>
      </c>
      <c r="BK23" s="2">
        <v>460</v>
      </c>
      <c r="BL23" s="2">
        <v>638</v>
      </c>
      <c r="BM23" s="2">
        <v>1544</v>
      </c>
      <c r="BN23" s="2"/>
      <c r="BO23" s="2"/>
      <c r="BP23" s="2"/>
      <c r="BQ23" s="2"/>
      <c r="BR23" s="2"/>
      <c r="BS23" s="2"/>
      <c r="BT23" s="2">
        <v>25</v>
      </c>
      <c r="BU23" s="2">
        <v>856</v>
      </c>
      <c r="BV23" s="2">
        <v>966</v>
      </c>
      <c r="BW23" s="2">
        <v>1140</v>
      </c>
      <c r="BX23" s="2">
        <v>3030</v>
      </c>
      <c r="BY23" s="2">
        <v>58.1</v>
      </c>
      <c r="BZ23" s="2">
        <v>20.6</v>
      </c>
      <c r="CA23" s="2">
        <v>3</v>
      </c>
      <c r="CB23" s="2">
        <v>9.80421236679918E-9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25.86</v>
      </c>
      <c r="AX24" s="2" t="s">
        <v>310</v>
      </c>
      <c r="AY24" s="130">
        <v>34.1</v>
      </c>
      <c r="AZ24" s="2">
        <v>18.7</v>
      </c>
      <c r="BA24" s="2">
        <v>53</v>
      </c>
      <c r="BB24" s="2">
        <v>52</v>
      </c>
      <c r="BC24" s="2">
        <v>3</v>
      </c>
      <c r="BD24" s="2">
        <v>11.2</v>
      </c>
      <c r="BE24" s="2">
        <v>15.5</v>
      </c>
      <c r="BF24" s="2">
        <v>17.3</v>
      </c>
      <c r="BG24" s="2">
        <v>20</v>
      </c>
      <c r="BH24" s="2">
        <v>26.5</v>
      </c>
      <c r="BI24" s="2">
        <v>515</v>
      </c>
      <c r="BJ24" s="2">
        <v>743</v>
      </c>
      <c r="BK24" s="2">
        <v>839</v>
      </c>
      <c r="BL24" s="2">
        <v>978</v>
      </c>
      <c r="BM24" s="2">
        <v>1315</v>
      </c>
      <c r="BN24" s="2"/>
      <c r="BO24" s="2"/>
      <c r="BP24" s="2"/>
      <c r="BQ24" s="2"/>
      <c r="BR24" s="2"/>
      <c r="BS24" s="2"/>
      <c r="BT24" s="2">
        <v>629</v>
      </c>
      <c r="BU24" s="2">
        <v>1032</v>
      </c>
      <c r="BV24" s="2">
        <v>1203</v>
      </c>
      <c r="BW24" s="2">
        <v>1456</v>
      </c>
      <c r="BX24" s="2">
        <v>2069</v>
      </c>
      <c r="BY24" s="2">
        <v>73.5</v>
      </c>
      <c r="BZ24" s="2">
        <v>23.3</v>
      </c>
      <c r="CA24" s="2"/>
      <c r="CB24" s="2">
        <v>5.2654153972303003E-9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27</v>
      </c>
      <c r="AX25" s="2" t="s">
        <v>310</v>
      </c>
      <c r="AY25" s="130">
        <v>34.1</v>
      </c>
      <c r="AZ25" s="2">
        <v>18.7</v>
      </c>
      <c r="BA25" s="2">
        <v>53</v>
      </c>
      <c r="BB25" s="2">
        <v>52</v>
      </c>
      <c r="BC25" s="2">
        <v>3</v>
      </c>
      <c r="BD25" s="2">
        <v>12.9</v>
      </c>
      <c r="BE25" s="2">
        <v>17.100000000000001</v>
      </c>
      <c r="BF25" s="2">
        <v>18.899999999999999</v>
      </c>
      <c r="BG25" s="2">
        <v>21.6</v>
      </c>
      <c r="BH25" s="2">
        <v>28.1</v>
      </c>
      <c r="BI25" s="2">
        <v>595</v>
      </c>
      <c r="BJ25" s="2">
        <v>824</v>
      </c>
      <c r="BK25" s="2">
        <v>920</v>
      </c>
      <c r="BL25" s="2">
        <v>1059</v>
      </c>
      <c r="BM25" s="2">
        <v>1396</v>
      </c>
      <c r="BN25" s="2"/>
      <c r="BO25" s="2"/>
      <c r="BP25" s="2"/>
      <c r="BQ25" s="2"/>
      <c r="BR25" s="2"/>
      <c r="BS25" s="2"/>
      <c r="BT25" s="2">
        <v>772</v>
      </c>
      <c r="BU25" s="2">
        <v>1175</v>
      </c>
      <c r="BV25" s="2">
        <v>1346</v>
      </c>
      <c r="BW25" s="2">
        <v>1600</v>
      </c>
      <c r="BX25" s="2">
        <v>2212</v>
      </c>
      <c r="BY25" s="2">
        <v>73.5</v>
      </c>
      <c r="BZ25" s="2">
        <v>23.3</v>
      </c>
      <c r="CA25" s="2"/>
      <c r="CB25" s="2">
        <v>5.2654153972303003E-9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27</v>
      </c>
      <c r="AX26" s="2" t="s">
        <v>310</v>
      </c>
      <c r="AY26" s="130">
        <v>34.1</v>
      </c>
      <c r="AZ26" s="2">
        <v>18.7</v>
      </c>
      <c r="BA26" s="2">
        <v>53</v>
      </c>
      <c r="BB26" s="2">
        <v>52</v>
      </c>
      <c r="BC26" s="2">
        <v>3</v>
      </c>
      <c r="BD26" s="2">
        <v>8.8000000000000007</v>
      </c>
      <c r="BE26" s="2">
        <v>11</v>
      </c>
      <c r="BF26" s="2">
        <v>11.4</v>
      </c>
      <c r="BG26" s="2">
        <v>12.2</v>
      </c>
      <c r="BH26" s="2">
        <v>16.100000000000001</v>
      </c>
      <c r="BI26" s="2">
        <v>363</v>
      </c>
      <c r="BJ26" s="2">
        <v>498</v>
      </c>
      <c r="BK26" s="2">
        <v>546</v>
      </c>
      <c r="BL26" s="2">
        <v>603</v>
      </c>
      <c r="BM26" s="2">
        <v>812</v>
      </c>
      <c r="BN26" s="2"/>
      <c r="BO26" s="2"/>
      <c r="BP26" s="2"/>
      <c r="BQ26" s="2"/>
      <c r="BR26" s="2"/>
      <c r="BS26" s="2"/>
      <c r="BT26" s="2">
        <v>392</v>
      </c>
      <c r="BU26" s="2">
        <v>621</v>
      </c>
      <c r="BV26" s="2">
        <v>712</v>
      </c>
      <c r="BW26" s="2">
        <v>820</v>
      </c>
      <c r="BX26" s="2">
        <v>1192</v>
      </c>
      <c r="BY26" s="2">
        <v>37</v>
      </c>
      <c r="BZ26" s="2">
        <v>11.1</v>
      </c>
      <c r="CA26" s="2">
        <v>3</v>
      </c>
      <c r="CB26" s="2">
        <v>7.5598596010887805E-10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31</v>
      </c>
      <c r="AX27" s="2" t="s">
        <v>310</v>
      </c>
      <c r="AY27" s="130">
        <v>34.1</v>
      </c>
      <c r="AZ27" s="2">
        <v>18.7</v>
      </c>
      <c r="BA27" s="2">
        <v>53</v>
      </c>
      <c r="BB27" s="2">
        <v>52</v>
      </c>
      <c r="BC27" s="2">
        <v>3</v>
      </c>
      <c r="BD27" s="2">
        <v>3.8</v>
      </c>
      <c r="BE27" s="2">
        <v>6</v>
      </c>
      <c r="BF27" s="2">
        <v>6.5</v>
      </c>
      <c r="BG27" s="2">
        <v>7.3</v>
      </c>
      <c r="BH27" s="2">
        <v>11.2</v>
      </c>
      <c r="BI27" s="2">
        <v>113</v>
      </c>
      <c r="BJ27" s="2">
        <v>248</v>
      </c>
      <c r="BK27" s="2">
        <v>295</v>
      </c>
      <c r="BL27" s="2">
        <v>353</v>
      </c>
      <c r="BM27" s="2">
        <v>562</v>
      </c>
      <c r="BN27" s="2"/>
      <c r="BO27" s="2"/>
      <c r="BP27" s="2"/>
      <c r="BQ27" s="2"/>
      <c r="BR27" s="2"/>
      <c r="BS27" s="2"/>
      <c r="BT27" s="2">
        <v>30</v>
      </c>
      <c r="BU27" s="2">
        <v>259</v>
      </c>
      <c r="BV27" s="2">
        <v>351</v>
      </c>
      <c r="BW27" s="2">
        <v>458</v>
      </c>
      <c r="BX27" s="2">
        <v>830</v>
      </c>
      <c r="BY27" s="2">
        <v>37</v>
      </c>
      <c r="BZ27" s="2">
        <v>11.1</v>
      </c>
      <c r="CA27" s="2">
        <v>3</v>
      </c>
      <c r="CB27" s="2">
        <v>7.5598596010887805E-10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31</v>
      </c>
      <c r="AX28" s="2" t="s">
        <v>310</v>
      </c>
      <c r="AY28" s="130">
        <v>34.1</v>
      </c>
      <c r="AZ28" s="2">
        <v>18.7</v>
      </c>
      <c r="BA28" s="2">
        <v>53</v>
      </c>
      <c r="BB28" s="2">
        <v>52</v>
      </c>
      <c r="BC28" s="2">
        <v>3</v>
      </c>
      <c r="BD28" s="2">
        <v>5.2</v>
      </c>
      <c r="BE28" s="2">
        <v>7</v>
      </c>
      <c r="BF28" s="2">
        <v>7.2</v>
      </c>
      <c r="BG28" s="2">
        <v>7.5</v>
      </c>
      <c r="BH28" s="2">
        <v>10.1</v>
      </c>
      <c r="BI28" s="2">
        <v>167</v>
      </c>
      <c r="BJ28" s="2">
        <v>286</v>
      </c>
      <c r="BK28" s="2">
        <v>331</v>
      </c>
      <c r="BL28" s="2">
        <v>377</v>
      </c>
      <c r="BM28" s="2">
        <v>524</v>
      </c>
      <c r="BN28" s="2"/>
      <c r="BO28" s="2"/>
      <c r="BP28" s="2"/>
      <c r="BQ28" s="2"/>
      <c r="BR28" s="2"/>
      <c r="BS28" s="2"/>
      <c r="BT28" s="2">
        <v>152</v>
      </c>
      <c r="BU28" s="2">
        <v>313</v>
      </c>
      <c r="BV28" s="2">
        <v>402</v>
      </c>
      <c r="BW28" s="2">
        <v>492</v>
      </c>
      <c r="BX28" s="2">
        <v>732</v>
      </c>
      <c r="BY28" s="2">
        <v>22.7</v>
      </c>
      <c r="BZ28" s="2">
        <v>5.7</v>
      </c>
      <c r="CA28" s="2">
        <v>2.2999999999999998</v>
      </c>
      <c r="CB28" s="2">
        <v>8.8089724957140095E-11</v>
      </c>
      <c r="CC28" s="2">
        <v>1.8</v>
      </c>
    </row>
    <row r="29" spans="1:81" x14ac:dyDescent="0.25">
      <c r="A29" s="66"/>
      <c r="B29" s="66"/>
      <c r="C29" s="67"/>
      <c r="D29" s="35"/>
      <c r="AW29" s="2">
        <v>44</v>
      </c>
      <c r="AX29" s="2" t="s">
        <v>310</v>
      </c>
      <c r="AY29" s="130">
        <v>34.1</v>
      </c>
      <c r="AZ29" s="2">
        <v>18.7</v>
      </c>
      <c r="BA29" s="2">
        <v>53</v>
      </c>
      <c r="BB29" s="2">
        <v>52</v>
      </c>
      <c r="BC29" s="2">
        <v>3</v>
      </c>
      <c r="BD29" s="2">
        <v>3.6</v>
      </c>
      <c r="BE29" s="2">
        <v>5.4</v>
      </c>
      <c r="BF29" s="2">
        <v>5.6</v>
      </c>
      <c r="BG29" s="2">
        <v>5.9</v>
      </c>
      <c r="BH29" s="2">
        <v>8.5</v>
      </c>
      <c r="BI29" s="2">
        <v>77</v>
      </c>
      <c r="BJ29" s="2">
        <v>197</v>
      </c>
      <c r="BK29" s="2">
        <v>241</v>
      </c>
      <c r="BL29" s="2">
        <v>287</v>
      </c>
      <c r="BM29" s="2">
        <v>435</v>
      </c>
      <c r="BN29" s="2"/>
      <c r="BO29" s="2"/>
      <c r="BP29" s="2"/>
      <c r="BQ29" s="2"/>
      <c r="BR29" s="2"/>
      <c r="BS29" s="2"/>
      <c r="BT29" s="2">
        <v>44</v>
      </c>
      <c r="BU29" s="2">
        <v>205</v>
      </c>
      <c r="BV29" s="2">
        <v>294</v>
      </c>
      <c r="BW29" s="2">
        <v>384</v>
      </c>
      <c r="BX29" s="2">
        <v>624</v>
      </c>
      <c r="BY29" s="2">
        <v>22.7</v>
      </c>
      <c r="BZ29" s="2">
        <v>5.7</v>
      </c>
      <c r="CA29" s="2">
        <v>2.2999999999999998</v>
      </c>
      <c r="CB29" s="2">
        <v>8.8089724957140095E-11</v>
      </c>
      <c r="CC29" s="2">
        <v>1.8</v>
      </c>
    </row>
    <row r="30" spans="1:81" x14ac:dyDescent="0.25">
      <c r="A30" s="66"/>
      <c r="B30" s="66"/>
      <c r="C30" s="67"/>
      <c r="D30" s="35"/>
      <c r="AW30" s="2">
        <v>44</v>
      </c>
      <c r="AX30" s="2" t="s">
        <v>318</v>
      </c>
      <c r="AY30" s="130">
        <v>28.8</v>
      </c>
      <c r="AZ30" s="2">
        <v>19.7</v>
      </c>
      <c r="BA30" s="2">
        <v>47</v>
      </c>
      <c r="BB30" s="2">
        <v>53</v>
      </c>
      <c r="BC30" s="2">
        <v>3</v>
      </c>
      <c r="BD30" s="2">
        <v>7.8</v>
      </c>
      <c r="BE30" s="2">
        <v>11.5</v>
      </c>
      <c r="BF30" s="2">
        <v>12</v>
      </c>
      <c r="BG30" s="2">
        <v>12.7</v>
      </c>
      <c r="BH30" s="2">
        <v>17.399999999999999</v>
      </c>
      <c r="BI30" s="2">
        <v>312</v>
      </c>
      <c r="BJ30" s="2">
        <v>510</v>
      </c>
      <c r="BK30" s="2">
        <v>559</v>
      </c>
      <c r="BL30" s="2">
        <v>613</v>
      </c>
      <c r="BM30" s="2">
        <v>858</v>
      </c>
      <c r="BN30" s="2"/>
      <c r="BO30" s="2"/>
      <c r="BP30" s="2"/>
      <c r="BQ30" s="2"/>
      <c r="BR30" s="2"/>
      <c r="BS30" s="2"/>
      <c r="BT30" s="2">
        <v>384</v>
      </c>
      <c r="BU30" s="2">
        <v>709</v>
      </c>
      <c r="BV30" s="2">
        <v>804</v>
      </c>
      <c r="BW30" s="2">
        <v>906</v>
      </c>
      <c r="BX30" s="2">
        <v>1327</v>
      </c>
      <c r="BY30" s="2">
        <v>38.799999999999997</v>
      </c>
      <c r="BZ30" s="2">
        <v>6.9</v>
      </c>
      <c r="CA30" s="2">
        <v>2.6</v>
      </c>
      <c r="CB30" s="2">
        <v>1.9436844588115001E-10</v>
      </c>
      <c r="CC30" s="2">
        <v>1.8</v>
      </c>
    </row>
    <row r="31" spans="1:81" x14ac:dyDescent="0.25">
      <c r="A31" s="66"/>
      <c r="B31" s="66"/>
      <c r="C31" s="67"/>
      <c r="D31" s="35"/>
      <c r="AW31" s="2">
        <v>49</v>
      </c>
      <c r="AX31" s="2" t="s">
        <v>318</v>
      </c>
      <c r="AY31" s="130">
        <v>28.8</v>
      </c>
      <c r="AZ31" s="2">
        <v>19.7</v>
      </c>
      <c r="BA31" s="2">
        <v>47</v>
      </c>
      <c r="BB31" s="2">
        <v>53</v>
      </c>
      <c r="BC31" s="2">
        <v>3</v>
      </c>
      <c r="BD31" s="2">
        <v>4.9000000000000004</v>
      </c>
      <c r="BE31" s="2">
        <v>8.6</v>
      </c>
      <c r="BF31" s="2">
        <v>9.1</v>
      </c>
      <c r="BG31" s="2">
        <v>9.8000000000000007</v>
      </c>
      <c r="BH31" s="2">
        <v>14.5</v>
      </c>
      <c r="BI31" s="2">
        <v>163</v>
      </c>
      <c r="BJ31" s="2">
        <v>360</v>
      </c>
      <c r="BK31" s="2">
        <v>409</v>
      </c>
      <c r="BL31" s="2">
        <v>464</v>
      </c>
      <c r="BM31" s="2">
        <v>708</v>
      </c>
      <c r="BN31" s="2"/>
      <c r="BO31" s="2"/>
      <c r="BP31" s="2"/>
      <c r="BQ31" s="2"/>
      <c r="BR31" s="2"/>
      <c r="BS31" s="2"/>
      <c r="BT31" s="2">
        <v>144</v>
      </c>
      <c r="BU31" s="2">
        <v>470</v>
      </c>
      <c r="BV31" s="2">
        <v>565</v>
      </c>
      <c r="BW31" s="2">
        <v>666</v>
      </c>
      <c r="BX31" s="2">
        <v>1087</v>
      </c>
      <c r="BY31" s="2">
        <v>38.799999999999997</v>
      </c>
      <c r="BZ31" s="2">
        <v>6.9</v>
      </c>
      <c r="CA31" s="2">
        <v>2.6</v>
      </c>
      <c r="CB31" s="2">
        <v>1.9436844588115001E-10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49</v>
      </c>
      <c r="AX32" s="2" t="s">
        <v>318</v>
      </c>
      <c r="AY32" s="130">
        <v>28.8</v>
      </c>
      <c r="AZ32" s="2">
        <v>19.7</v>
      </c>
      <c r="BA32" s="2">
        <v>47</v>
      </c>
      <c r="BB32" s="2">
        <v>53</v>
      </c>
      <c r="BC32" s="2">
        <v>3</v>
      </c>
      <c r="BD32" s="2">
        <v>4.9000000000000004</v>
      </c>
      <c r="BE32" s="2">
        <v>5.7</v>
      </c>
      <c r="BF32" s="2">
        <v>5.8</v>
      </c>
      <c r="BG32" s="2">
        <v>6</v>
      </c>
      <c r="BH32" s="2">
        <v>7.3</v>
      </c>
      <c r="BI32" s="2">
        <v>108</v>
      </c>
      <c r="BJ32" s="2">
        <v>201</v>
      </c>
      <c r="BK32" s="2">
        <v>245</v>
      </c>
      <c r="BL32" s="2">
        <v>290</v>
      </c>
      <c r="BM32" s="2">
        <v>394</v>
      </c>
      <c r="BN32" s="2"/>
      <c r="BO32" s="2"/>
      <c r="BP32" s="2"/>
      <c r="BQ32" s="2"/>
      <c r="BR32" s="2"/>
      <c r="BS32" s="2"/>
      <c r="BT32" s="2">
        <v>49</v>
      </c>
      <c r="BU32" s="2">
        <v>228</v>
      </c>
      <c r="BV32" s="2">
        <v>316</v>
      </c>
      <c r="BW32" s="2">
        <v>405</v>
      </c>
      <c r="BX32" s="2">
        <v>601</v>
      </c>
      <c r="BY32" s="2">
        <v>29.8</v>
      </c>
      <c r="BZ32" s="2">
        <v>4.5</v>
      </c>
      <c r="CA32" s="2">
        <v>1.7</v>
      </c>
      <c r="CB32" s="2">
        <v>1.57664559398847E-10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60.2</v>
      </c>
      <c r="AX33" s="2" t="s">
        <v>318</v>
      </c>
      <c r="AY33" s="130">
        <v>28.8</v>
      </c>
      <c r="AZ33" s="2">
        <v>19.7</v>
      </c>
      <c r="BA33" s="2">
        <v>47</v>
      </c>
      <c r="BB33" s="2">
        <v>53</v>
      </c>
      <c r="BC33" s="2">
        <v>3</v>
      </c>
      <c r="BD33" s="2">
        <v>10.1</v>
      </c>
      <c r="BE33" s="2">
        <v>10.8</v>
      </c>
      <c r="BF33" s="2">
        <v>11</v>
      </c>
      <c r="BG33" s="2">
        <v>11.1</v>
      </c>
      <c r="BH33" s="2">
        <v>12.4</v>
      </c>
      <c r="BI33" s="2">
        <v>354</v>
      </c>
      <c r="BJ33" s="2">
        <v>447</v>
      </c>
      <c r="BK33" s="2">
        <v>491</v>
      </c>
      <c r="BL33" s="2">
        <v>536</v>
      </c>
      <c r="BM33" s="2">
        <v>640</v>
      </c>
      <c r="BN33" s="2"/>
      <c r="BO33" s="2"/>
      <c r="BP33" s="2"/>
      <c r="BQ33" s="2"/>
      <c r="BR33" s="2"/>
      <c r="BS33" s="2"/>
      <c r="BT33" s="2">
        <v>443</v>
      </c>
      <c r="BU33" s="2">
        <v>622</v>
      </c>
      <c r="BV33" s="2">
        <v>710</v>
      </c>
      <c r="BW33" s="2">
        <v>799</v>
      </c>
      <c r="BX33" s="2">
        <v>996</v>
      </c>
      <c r="BY33" s="2">
        <v>29.8</v>
      </c>
      <c r="BZ33" s="2">
        <v>4.5</v>
      </c>
      <c r="CA33" s="2">
        <v>1.7</v>
      </c>
      <c r="CB33" s="2">
        <v>1.57664559398847E-10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60.2</v>
      </c>
      <c r="AX34" s="2" t="s">
        <v>319</v>
      </c>
      <c r="AY34" s="130">
        <v>25.6</v>
      </c>
      <c r="AZ34" s="2">
        <v>18.7</v>
      </c>
      <c r="BA34" s="2"/>
      <c r="BB34" s="2">
        <v>11</v>
      </c>
      <c r="BC34" s="2"/>
      <c r="BD34" s="2">
        <v>2.2000000000000002</v>
      </c>
      <c r="BE34" s="2">
        <v>16.100000000000001</v>
      </c>
      <c r="BF34" s="2">
        <v>19.600000000000001</v>
      </c>
      <c r="BG34" s="2">
        <v>22.7</v>
      </c>
      <c r="BH34" s="2">
        <v>35.6</v>
      </c>
      <c r="BI34" s="2"/>
      <c r="BJ34" s="2"/>
      <c r="BK34" s="2"/>
      <c r="BL34" s="2"/>
      <c r="BM34" s="2"/>
      <c r="BN34" s="2">
        <v>86</v>
      </c>
      <c r="BO34" s="2">
        <v>26</v>
      </c>
      <c r="BP34" s="2">
        <v>29</v>
      </c>
      <c r="BQ34" s="2">
        <v>32</v>
      </c>
      <c r="BR34" s="2">
        <v>34</v>
      </c>
      <c r="BS34" s="2">
        <v>39</v>
      </c>
      <c r="BT34" s="2">
        <v>60</v>
      </c>
      <c r="BU34" s="2">
        <v>165</v>
      </c>
      <c r="BV34" s="2">
        <v>224</v>
      </c>
      <c r="BW34" s="2">
        <v>284</v>
      </c>
      <c r="BX34" s="2">
        <v>433</v>
      </c>
      <c r="BY34" s="2">
        <v>75</v>
      </c>
      <c r="BZ34" s="2">
        <v>3.5</v>
      </c>
      <c r="CA34" s="2">
        <v>1.1000000000000001</v>
      </c>
      <c r="CB34" s="2">
        <v>7.5590154671363495E-8</v>
      </c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66</v>
      </c>
      <c r="AX35" s="2" t="s">
        <v>319</v>
      </c>
      <c r="AY35" s="130">
        <v>25.6</v>
      </c>
      <c r="AZ35" s="2">
        <v>18.7</v>
      </c>
      <c r="BA35" s="2"/>
      <c r="BB35" s="2">
        <v>11</v>
      </c>
      <c r="BC35" s="2"/>
      <c r="BD35" s="2">
        <v>91.6</v>
      </c>
      <c r="BE35" s="2">
        <v>105.5</v>
      </c>
      <c r="BF35" s="2">
        <v>109</v>
      </c>
      <c r="BG35" s="2">
        <v>112.1</v>
      </c>
      <c r="BH35" s="2">
        <v>125</v>
      </c>
      <c r="BI35" s="2"/>
      <c r="BJ35" s="2"/>
      <c r="BK35" s="2"/>
      <c r="BL35" s="2"/>
      <c r="BM35" s="2"/>
      <c r="BN35" s="2">
        <v>86</v>
      </c>
      <c r="BO35" s="2">
        <v>26</v>
      </c>
      <c r="BP35" s="2">
        <v>29</v>
      </c>
      <c r="BQ35" s="2">
        <v>32</v>
      </c>
      <c r="BR35" s="2">
        <v>34</v>
      </c>
      <c r="BS35" s="2">
        <v>39</v>
      </c>
      <c r="BT35" s="2">
        <v>165</v>
      </c>
      <c r="BU35" s="2">
        <v>269</v>
      </c>
      <c r="BV35" s="2">
        <v>329</v>
      </c>
      <c r="BW35" s="2">
        <v>389</v>
      </c>
      <c r="BX35" s="2">
        <v>537</v>
      </c>
      <c r="BY35" s="2">
        <v>75</v>
      </c>
      <c r="BZ35" s="2">
        <v>3.5</v>
      </c>
      <c r="CA35" s="2">
        <v>1.1000000000000001</v>
      </c>
      <c r="CB35" s="2">
        <v>7.5590154671363495E-8</v>
      </c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>
        <v>66</v>
      </c>
      <c r="AX36" s="2" t="s">
        <v>319</v>
      </c>
      <c r="AY36" s="130">
        <v>25.6</v>
      </c>
      <c r="AZ36" s="2">
        <v>18.7</v>
      </c>
      <c r="BA36" s="2"/>
      <c r="BB36" s="2">
        <v>11</v>
      </c>
      <c r="BC36" s="2"/>
      <c r="BD36" s="2">
        <v>27.4</v>
      </c>
      <c r="BE36" s="2">
        <v>31.3</v>
      </c>
      <c r="BF36" s="2">
        <v>32.4</v>
      </c>
      <c r="BG36" s="2">
        <v>33.4</v>
      </c>
      <c r="BH36" s="2">
        <v>37</v>
      </c>
      <c r="BI36" s="2"/>
      <c r="BJ36" s="2"/>
      <c r="BK36" s="2"/>
      <c r="BL36" s="2"/>
      <c r="BM36" s="2"/>
      <c r="BN36" s="2">
        <v>63</v>
      </c>
      <c r="BO36" s="2">
        <v>26</v>
      </c>
      <c r="BP36" s="2">
        <v>27</v>
      </c>
      <c r="BQ36" s="2">
        <v>30</v>
      </c>
      <c r="BR36" s="2">
        <v>32</v>
      </c>
      <c r="BS36" s="2">
        <v>36</v>
      </c>
      <c r="BT36" s="2">
        <v>102</v>
      </c>
      <c r="BU36" s="2">
        <v>189</v>
      </c>
      <c r="BV36" s="2">
        <v>241</v>
      </c>
      <c r="BW36" s="2">
        <v>294</v>
      </c>
      <c r="BX36" s="2">
        <v>424</v>
      </c>
      <c r="BY36" s="2">
        <v>73.7</v>
      </c>
      <c r="BZ36" s="2">
        <v>1.8</v>
      </c>
      <c r="CA36" s="2">
        <v>0.7</v>
      </c>
      <c r="CB36" s="2">
        <v>1.0611653065296E-10</v>
      </c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>
        <v>68</v>
      </c>
      <c r="AX37" s="2" t="s">
        <v>319</v>
      </c>
      <c r="AY37" s="130">
        <v>25.6</v>
      </c>
      <c r="AZ37" s="2">
        <v>18.7</v>
      </c>
      <c r="BA37" s="2"/>
      <c r="BB37" s="2">
        <v>11</v>
      </c>
      <c r="BC37" s="2"/>
      <c r="BD37" s="2">
        <v>12.4</v>
      </c>
      <c r="BE37" s="2">
        <v>16.2</v>
      </c>
      <c r="BF37" s="2">
        <v>17.399999999999999</v>
      </c>
      <c r="BG37" s="2">
        <v>18.399999999999999</v>
      </c>
      <c r="BH37" s="2">
        <v>22</v>
      </c>
      <c r="BI37" s="2"/>
      <c r="BJ37" s="2"/>
      <c r="BK37" s="2"/>
      <c r="BL37" s="2"/>
      <c r="BM37" s="2"/>
      <c r="BN37" s="2">
        <v>63</v>
      </c>
      <c r="BO37" s="2">
        <v>26</v>
      </c>
      <c r="BP37" s="2">
        <v>27</v>
      </c>
      <c r="BQ37" s="2">
        <v>30</v>
      </c>
      <c r="BR37" s="2">
        <v>32</v>
      </c>
      <c r="BS37" s="2">
        <v>36</v>
      </c>
      <c r="BT37" s="2">
        <v>68</v>
      </c>
      <c r="BU37" s="2">
        <v>155</v>
      </c>
      <c r="BV37" s="2">
        <v>207</v>
      </c>
      <c r="BW37" s="2">
        <v>260</v>
      </c>
      <c r="BX37" s="2">
        <v>390</v>
      </c>
      <c r="BY37" s="2">
        <v>73.7</v>
      </c>
      <c r="BZ37" s="2">
        <v>1.8</v>
      </c>
      <c r="CA37" s="2">
        <v>0.7</v>
      </c>
      <c r="CB37" s="2">
        <v>1.0611653065296E-10</v>
      </c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>
        <v>68</v>
      </c>
      <c r="AX38" s="2" t="s">
        <v>320</v>
      </c>
      <c r="AY38" s="130">
        <v>34.4</v>
      </c>
      <c r="AZ38" s="2">
        <v>19</v>
      </c>
      <c r="BA38" s="2">
        <v>24</v>
      </c>
      <c r="BB38" s="2">
        <v>55</v>
      </c>
      <c r="BC38" s="2">
        <v>3</v>
      </c>
      <c r="BD38" s="2">
        <v>9.6</v>
      </c>
      <c r="BE38" s="2">
        <v>11.4</v>
      </c>
      <c r="BF38" s="2">
        <v>11.6</v>
      </c>
      <c r="BG38" s="2">
        <v>12.2</v>
      </c>
      <c r="BH38" s="2">
        <v>17.399999999999999</v>
      </c>
      <c r="BI38" s="2">
        <v>356</v>
      </c>
      <c r="BJ38" s="2">
        <v>473</v>
      </c>
      <c r="BK38" s="2">
        <v>517</v>
      </c>
      <c r="BL38" s="2">
        <v>566</v>
      </c>
      <c r="BM38" s="2">
        <v>831</v>
      </c>
      <c r="BN38" s="2"/>
      <c r="BO38" s="2"/>
      <c r="BP38" s="2"/>
      <c r="BQ38" s="2"/>
      <c r="BR38" s="2"/>
      <c r="BS38" s="2"/>
      <c r="BT38" s="2">
        <v>438</v>
      </c>
      <c r="BU38" s="2">
        <v>654</v>
      </c>
      <c r="BV38" s="2">
        <v>741</v>
      </c>
      <c r="BW38" s="2">
        <v>841</v>
      </c>
      <c r="BX38" s="2">
        <v>1405</v>
      </c>
      <c r="BY38" s="2">
        <v>50.5</v>
      </c>
      <c r="BZ38" s="2">
        <v>5.5</v>
      </c>
      <c r="CA38" s="2">
        <v>2</v>
      </c>
      <c r="CB38" s="2">
        <v>3.7902376104599501E-10</v>
      </c>
      <c r="CC38" s="2">
        <v>1.8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>
        <v>80</v>
      </c>
      <c r="AX39" s="2" t="s">
        <v>320</v>
      </c>
      <c r="AY39" s="130">
        <v>34.4</v>
      </c>
      <c r="AZ39" s="2">
        <v>19</v>
      </c>
      <c r="BA39" s="2">
        <v>24</v>
      </c>
      <c r="BB39" s="2">
        <v>55</v>
      </c>
      <c r="BC39" s="2">
        <v>3</v>
      </c>
      <c r="BD39" s="2">
        <v>14</v>
      </c>
      <c r="BE39" s="2">
        <v>15.8</v>
      </c>
      <c r="BF39" s="2">
        <v>16</v>
      </c>
      <c r="BG39" s="2">
        <v>16.5</v>
      </c>
      <c r="BH39" s="2">
        <v>21.8</v>
      </c>
      <c r="BI39" s="2">
        <v>563</v>
      </c>
      <c r="BJ39" s="2">
        <v>680</v>
      </c>
      <c r="BK39" s="2">
        <v>723</v>
      </c>
      <c r="BL39" s="2">
        <v>773</v>
      </c>
      <c r="BM39" s="2">
        <v>1038</v>
      </c>
      <c r="BN39" s="2"/>
      <c r="BO39" s="2"/>
      <c r="BP39" s="2"/>
      <c r="BQ39" s="2"/>
      <c r="BR39" s="2"/>
      <c r="BS39" s="2"/>
      <c r="BT39" s="2">
        <v>807</v>
      </c>
      <c r="BU39" s="2">
        <v>1024</v>
      </c>
      <c r="BV39" s="2">
        <v>1110</v>
      </c>
      <c r="BW39" s="2">
        <v>1210</v>
      </c>
      <c r="BX39" s="2">
        <v>1774</v>
      </c>
      <c r="BY39" s="2">
        <v>50.5</v>
      </c>
      <c r="BZ39" s="2">
        <v>5.5</v>
      </c>
      <c r="CA39" s="2">
        <v>2</v>
      </c>
      <c r="CB39" s="2">
        <v>3.7902376104599501E-10</v>
      </c>
      <c r="CC39" s="2">
        <v>1.8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791" priority="12">
      <formula>$L32="API sand"</formula>
    </cfRule>
  </conditionalFormatting>
  <conditionalFormatting sqref="R32:S36 AB32:AB35 AJ32:AL36 Z32:Z36 N32:N36">
    <cfRule type="expression" dxfId="2790" priority="11">
      <formula>$M32="API sand"</formula>
    </cfRule>
  </conditionalFormatting>
  <conditionalFormatting sqref="R32:T36 Z32:AB35 AK32:AL36 N32:N36">
    <cfRule type="expression" dxfId="2789" priority="10">
      <formula>$M32="API clay"</formula>
    </cfRule>
  </conditionalFormatting>
  <conditionalFormatting sqref="U32:W36 AM32:AP36 N32:P36">
    <cfRule type="expression" dxfId="2788" priority="7">
      <formula>$L32="Stiff clay w/o free water"</formula>
    </cfRule>
    <cfRule type="expression" dxfId="2787" priority="9">
      <formula>$L32="API clay"</formula>
    </cfRule>
  </conditionalFormatting>
  <conditionalFormatting sqref="U32:Y36 AM32:AP36 N32:P36">
    <cfRule type="expression" dxfId="2786" priority="8">
      <formula>$L32="Kirsch soft clay"</formula>
    </cfRule>
  </conditionalFormatting>
  <conditionalFormatting sqref="U32:Y36 AM32:AP36 N32:P36">
    <cfRule type="expression" dxfId="2785" priority="6">
      <formula>$L32="Kirsch stiff clay"</formula>
    </cfRule>
  </conditionalFormatting>
  <conditionalFormatting sqref="AM32:AP36 Q32:Q36 X32:Y36 N32:N36">
    <cfRule type="expression" dxfId="2784" priority="5">
      <formula>$L32="Kirsch sand"</formula>
    </cfRule>
  </conditionalFormatting>
  <conditionalFormatting sqref="AC32:AD36 AI32:AI36 AM32:AP36 N32:N36">
    <cfRule type="expression" dxfId="2783" priority="4">
      <formula>$L32="Modified Weak rock"</formula>
    </cfRule>
  </conditionalFormatting>
  <conditionalFormatting sqref="AM32:AP36 N32:P36 U32:V36">
    <cfRule type="expression" dxfId="2782" priority="3">
      <formula>$L32="Reese stiff clay"</formula>
    </cfRule>
  </conditionalFormatting>
  <conditionalFormatting sqref="AB36">
    <cfRule type="expression" dxfId="2781" priority="2">
      <formula>$M36="API sand"</formula>
    </cfRule>
  </conditionalFormatting>
  <conditionalFormatting sqref="Z36:AB36">
    <cfRule type="expression" dxfId="2780" priority="1">
      <formula>$M36="API clay"</formula>
    </cfRule>
  </conditionalFormatting>
  <conditionalFormatting sqref="AE37:AH37">
    <cfRule type="expression" dxfId="2779" priority="13">
      <formula>#REF!="Modified Weak rock"</formula>
    </cfRule>
  </conditionalFormatting>
  <dataValidations count="4">
    <dataValidation type="list" showInputMessage="1" showErrorMessage="1" sqref="M32:M36" xr:uid="{99978D06-038D-4EF6-BF2D-DCA8632F9DFD}">
      <formula1>"',API sand,API clay"</formula1>
    </dataValidation>
    <dataValidation type="list" showInputMessage="1" showErrorMessage="1" sqref="L32:L255" xr:uid="{B7533E4A-AE1A-406B-A518-7ADF398DF100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66B396DF-C559-4FB2-84A5-89DC59B0365F}"/>
    <dataValidation type="textLength" showInputMessage="1" showErrorMessage="1" sqref="M27:M31" xr:uid="{016E4B5E-F1EA-44F6-92D9-52D51DFFA980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B8605-D356-4EF4-83E1-26D007B9CC5D}">
  <sheetPr>
    <tabColor rgb="FF7030A0"/>
  </sheetPr>
  <dimension ref="A1:CC255"/>
  <sheetViews>
    <sheetView zoomScale="85" zoomScaleNormal="85" workbookViewId="0">
      <selection activeCell="I20" sqref="I20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Ak_Pisa_WTG3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EW_sand_Ruled_96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41</v>
      </c>
      <c r="R6" s="47">
        <f t="shared" ref="R6:R26" ca="1" si="7">IF(I6="","",IF(Q6&lt;&gt;0,Q6-5,NA()))</f>
        <v>36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27900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114.99999999999996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12000</v>
      </c>
      <c r="AC6" s="63">
        <f t="shared" ref="AC6:AC26" ca="1" si="18">IF(I6="","",IF(OFFSET($BV$6,(ROW()-6)*2,0)=0,0,OFFSET($BV$6,(ROW()-6)*2,0)*1000))</f>
        <v>12000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23333.333333333332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50.000000000000007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96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0.1</v>
      </c>
      <c r="BE6" s="2">
        <v>1.9</v>
      </c>
      <c r="BF6" s="2">
        <v>2.4</v>
      </c>
      <c r="BG6" s="2">
        <v>3.3</v>
      </c>
      <c r="BH6" s="2">
        <v>6.2</v>
      </c>
      <c r="BI6" s="2"/>
      <c r="BJ6" s="2"/>
      <c r="BK6" s="2"/>
      <c r="BL6" s="2"/>
      <c r="BM6" s="2"/>
      <c r="BN6" s="2">
        <v>96</v>
      </c>
      <c r="BO6" s="2">
        <v>32</v>
      </c>
      <c r="BP6" s="2">
        <v>41</v>
      </c>
      <c r="BQ6" s="2">
        <v>44</v>
      </c>
      <c r="BR6" s="2">
        <v>48</v>
      </c>
      <c r="BS6" s="2">
        <v>55</v>
      </c>
      <c r="BT6" s="2">
        <v>0</v>
      </c>
      <c r="BU6" s="2">
        <v>5</v>
      </c>
      <c r="BV6" s="2">
        <v>12</v>
      </c>
      <c r="BW6" s="2">
        <v>20</v>
      </c>
      <c r="BX6" s="2">
        <v>37</v>
      </c>
      <c r="BY6" s="2">
        <v>27.9</v>
      </c>
      <c r="BZ6" s="2">
        <v>1</v>
      </c>
      <c r="CA6" s="2">
        <v>0.5</v>
      </c>
      <c r="CB6" s="2">
        <v>3.5902159472106201E-4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21a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-1.5</v>
      </c>
      <c r="L7" s="116" t="str">
        <f t="shared" ca="1" si="1"/>
        <v>EW_sand_Ruled_15</v>
      </c>
      <c r="M7" s="105" t="str">
        <f t="shared" ca="1" si="2"/>
        <v>API sand</v>
      </c>
      <c r="N7" s="47">
        <f t="shared" ca="1" si="3"/>
        <v>9.8000000000000007</v>
      </c>
      <c r="O7" s="63">
        <f t="shared" ca="1" si="4"/>
        <v>0</v>
      </c>
      <c r="P7" s="63">
        <f t="shared" ca="1" si="5"/>
        <v>0</v>
      </c>
      <c r="Q7" s="47">
        <f t="shared" ca="1" si="6"/>
        <v>26.5</v>
      </c>
      <c r="R7" s="47">
        <f t="shared" ca="1" si="7"/>
        <v>21.5</v>
      </c>
      <c r="S7" s="47">
        <f t="shared" ca="1" si="8"/>
        <v>1.4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2100</v>
      </c>
      <c r="Y7" s="47">
        <f t="shared" ca="1" si="14"/>
        <v>0</v>
      </c>
      <c r="Z7" s="47">
        <f t="shared" ca="1" si="15"/>
        <v>69.799999999999983</v>
      </c>
      <c r="AA7" s="47">
        <f t="shared" ca="1" si="16"/>
        <v>1</v>
      </c>
      <c r="AB7" s="47">
        <f t="shared" ca="1" si="17"/>
        <v>3280</v>
      </c>
      <c r="AC7" s="63">
        <f t="shared" ca="1" si="18"/>
        <v>26000</v>
      </c>
      <c r="AD7" s="63">
        <f t="shared" ca="1" si="19"/>
        <v>9000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13.600000000000003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15</v>
      </c>
      <c r="AS7" s="33">
        <f t="shared" ca="1" si="34"/>
        <v>0.2</v>
      </c>
      <c r="AW7" s="2">
        <v>1.5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9.1</v>
      </c>
      <c r="BE7" s="2">
        <v>10.9</v>
      </c>
      <c r="BF7" s="2">
        <v>11.5</v>
      </c>
      <c r="BG7" s="2">
        <v>12.3</v>
      </c>
      <c r="BH7" s="2">
        <v>15.3</v>
      </c>
      <c r="BI7" s="2"/>
      <c r="BJ7" s="2"/>
      <c r="BK7" s="2"/>
      <c r="BL7" s="2"/>
      <c r="BM7" s="2"/>
      <c r="BN7" s="2">
        <v>96</v>
      </c>
      <c r="BO7" s="2">
        <v>32</v>
      </c>
      <c r="BP7" s="2">
        <v>41</v>
      </c>
      <c r="BQ7" s="2">
        <v>44</v>
      </c>
      <c r="BR7" s="2">
        <v>48</v>
      </c>
      <c r="BS7" s="2">
        <v>55</v>
      </c>
      <c r="BT7" s="2">
        <v>22</v>
      </c>
      <c r="BU7" s="2">
        <v>40</v>
      </c>
      <c r="BV7" s="2">
        <v>47</v>
      </c>
      <c r="BW7" s="2">
        <v>54</v>
      </c>
      <c r="BX7" s="2">
        <v>72</v>
      </c>
      <c r="BY7" s="2">
        <v>27.9</v>
      </c>
      <c r="BZ7" s="2">
        <v>1</v>
      </c>
      <c r="CA7" s="2">
        <v>0.5</v>
      </c>
      <c r="CB7" s="2">
        <v>3.5902159472106201E-4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21c</v>
      </c>
      <c r="J8" s="47">
        <f t="shared" ca="1" si="35"/>
        <v>3</v>
      </c>
      <c r="K8" s="19">
        <f t="shared" ca="1" si="36"/>
        <v>-2.5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9.3000000000000007</v>
      </c>
      <c r="O8" s="63">
        <f t="shared" ca="1" si="4"/>
        <v>50</v>
      </c>
      <c r="P8" s="63">
        <f t="shared" ca="1" si="5"/>
        <v>-38.750000000000007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3000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42000</v>
      </c>
      <c r="AD8" s="63">
        <f t="shared" ca="1" si="19"/>
        <v>-27500.000000000007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1.5</v>
      </c>
      <c r="AX8" s="2" t="s">
        <v>271</v>
      </c>
      <c r="AY8" s="130">
        <v>24.7</v>
      </c>
      <c r="AZ8" s="2">
        <v>19.8</v>
      </c>
      <c r="BA8" s="2"/>
      <c r="BB8" s="2">
        <v>11</v>
      </c>
      <c r="BC8" s="2"/>
      <c r="BD8" s="2">
        <v>0.1</v>
      </c>
      <c r="BE8" s="2">
        <v>0.4</v>
      </c>
      <c r="BF8" s="2">
        <v>0.9</v>
      </c>
      <c r="BG8" s="2">
        <v>1.3</v>
      </c>
      <c r="BH8" s="2">
        <f>+BH7</f>
        <v>15.3</v>
      </c>
      <c r="BI8" s="2"/>
      <c r="BJ8" s="2"/>
      <c r="BK8" s="2"/>
      <c r="BL8" s="2"/>
      <c r="BM8" s="2"/>
      <c r="BN8" s="2">
        <v>15</v>
      </c>
      <c r="BO8" s="2">
        <v>26</v>
      </c>
      <c r="BP8" s="2">
        <v>26.5</v>
      </c>
      <c r="BQ8" s="2">
        <v>27</v>
      </c>
      <c r="BR8" s="2">
        <v>29</v>
      </c>
      <c r="BS8" s="2">
        <v>33</v>
      </c>
      <c r="BT8" s="2">
        <v>1</v>
      </c>
      <c r="BU8" s="2">
        <v>18</v>
      </c>
      <c r="BV8" s="2">
        <v>26</v>
      </c>
      <c r="BW8" s="2">
        <v>34</v>
      </c>
      <c r="BX8" s="2">
        <v>52</v>
      </c>
      <c r="BY8" s="2">
        <v>2.1</v>
      </c>
      <c r="BZ8" s="2">
        <v>5.5</v>
      </c>
      <c r="CA8" s="2">
        <v>1.4</v>
      </c>
      <c r="CB8" s="2">
        <v>2.30935018988638E-9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23l</v>
      </c>
      <c r="J9" s="47">
        <f t="shared" ca="1" si="35"/>
        <v>4</v>
      </c>
      <c r="K9" s="19">
        <f t="shared" ca="1" si="36"/>
        <v>-3.3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8.8000000000000007</v>
      </c>
      <c r="O9" s="63">
        <f t="shared" ca="1" si="4"/>
        <v>54</v>
      </c>
      <c r="P9" s="63">
        <f t="shared" ca="1" si="5"/>
        <v>14.594594594594595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7800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59000</v>
      </c>
      <c r="AD9" s="63">
        <f t="shared" ca="1" si="19"/>
        <v>14864.864864864865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2.5</v>
      </c>
      <c r="AX9" s="2" t="s">
        <v>271</v>
      </c>
      <c r="AY9" s="130">
        <v>24.7</v>
      </c>
      <c r="AZ9" s="2">
        <v>19.8</v>
      </c>
      <c r="BA9" s="2"/>
      <c r="BB9" s="2">
        <v>11</v>
      </c>
      <c r="BC9" s="2"/>
      <c r="BD9" s="2">
        <v>1.2</v>
      </c>
      <c r="BE9" s="2">
        <v>1.6</v>
      </c>
      <c r="BF9" s="2">
        <v>2.1</v>
      </c>
      <c r="BG9" s="2">
        <v>2.6</v>
      </c>
      <c r="BH9" s="2">
        <f>+BH8</f>
        <v>15.3</v>
      </c>
      <c r="BI9" s="2"/>
      <c r="BJ9" s="2"/>
      <c r="BK9" s="2"/>
      <c r="BL9" s="2"/>
      <c r="BM9" s="2"/>
      <c r="BN9" s="2">
        <v>15</v>
      </c>
      <c r="BO9" s="2">
        <v>26</v>
      </c>
      <c r="BP9" s="2">
        <v>26.5</v>
      </c>
      <c r="BQ9" s="2">
        <v>27</v>
      </c>
      <c r="BR9" s="2">
        <v>29</v>
      </c>
      <c r="BS9" s="2">
        <v>33</v>
      </c>
      <c r="BT9" s="2">
        <v>11</v>
      </c>
      <c r="BU9" s="2">
        <v>27</v>
      </c>
      <c r="BV9" s="2">
        <v>35</v>
      </c>
      <c r="BW9" s="2">
        <v>43</v>
      </c>
      <c r="BX9" s="2">
        <v>62</v>
      </c>
      <c r="BY9" s="2">
        <v>2.1</v>
      </c>
      <c r="BZ9" s="2">
        <v>5.5</v>
      </c>
      <c r="CA9" s="2">
        <v>1.4</v>
      </c>
      <c r="CB9" s="2">
        <v>2.30935018988638E-9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23m</v>
      </c>
      <c r="J10" s="47">
        <f t="shared" ca="1" si="35"/>
        <v>5</v>
      </c>
      <c r="K10" s="19">
        <f t="shared" ca="1" si="36"/>
        <v>-7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8.5</v>
      </c>
      <c r="O10" s="63">
        <f t="shared" ca="1" si="4"/>
        <v>168</v>
      </c>
      <c r="P10" s="63">
        <f t="shared" ca="1" si="5"/>
        <v>14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0.5</v>
      </c>
      <c r="X10" s="47">
        <f t="shared" ca="1" si="13"/>
        <v>19500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219000</v>
      </c>
      <c r="AD10" s="63">
        <f t="shared" ca="1" si="19"/>
        <v>16888.888888888891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2.5</v>
      </c>
      <c r="AX10" s="2" t="s">
        <v>216</v>
      </c>
      <c r="AY10" s="130">
        <v>31.7</v>
      </c>
      <c r="AZ10" s="2">
        <v>19.3</v>
      </c>
      <c r="BA10" s="2">
        <v>20</v>
      </c>
      <c r="BB10" s="2">
        <v>45</v>
      </c>
      <c r="BC10" s="2">
        <v>4</v>
      </c>
      <c r="BD10" s="2">
        <v>0.7</v>
      </c>
      <c r="BE10" s="2">
        <v>1</v>
      </c>
      <c r="BF10" s="2">
        <v>1.2</v>
      </c>
      <c r="BG10" s="2">
        <v>1.3</v>
      </c>
      <c r="BH10" s="2">
        <v>1.5</v>
      </c>
      <c r="BI10" s="2">
        <v>35</v>
      </c>
      <c r="BJ10" s="2">
        <v>50</v>
      </c>
      <c r="BK10" s="2">
        <v>61</v>
      </c>
      <c r="BL10" s="2">
        <v>73</v>
      </c>
      <c r="BM10" s="2">
        <v>98</v>
      </c>
      <c r="BN10" s="2"/>
      <c r="BO10" s="2"/>
      <c r="BP10" s="2"/>
      <c r="BQ10" s="2"/>
      <c r="BR10" s="2"/>
      <c r="BS10" s="2"/>
      <c r="BT10" s="2">
        <v>25</v>
      </c>
      <c r="BU10" s="2">
        <v>30</v>
      </c>
      <c r="BV10" s="2">
        <v>42</v>
      </c>
      <c r="BW10" s="2">
        <v>53</v>
      </c>
      <c r="BX10" s="2">
        <v>77</v>
      </c>
      <c r="BY10" s="2">
        <v>3</v>
      </c>
      <c r="BZ10" s="2">
        <v>7.5</v>
      </c>
      <c r="CA10" s="2">
        <v>3</v>
      </c>
      <c r="CB10" s="2">
        <v>4.2964289294290603E-11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23m</v>
      </c>
      <c r="J11" s="47">
        <f t="shared" ca="1" si="35"/>
        <v>6</v>
      </c>
      <c r="K11" s="19">
        <f t="shared" ca="1" si="36"/>
        <v>-11.5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8.5</v>
      </c>
      <c r="O11" s="63">
        <f t="shared" ca="1" si="4"/>
        <v>195</v>
      </c>
      <c r="P11" s="63">
        <f t="shared" ca="1" si="5"/>
        <v>16.90909090909091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0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0.5</v>
      </c>
      <c r="X11" s="47">
        <f t="shared" ca="1" si="13"/>
        <v>23700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241000</v>
      </c>
      <c r="AD11" s="63">
        <f t="shared" ca="1" si="19"/>
        <v>26363.636363636364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3.3</v>
      </c>
      <c r="AX11" s="2" t="s">
        <v>216</v>
      </c>
      <c r="AY11" s="130">
        <v>31.7</v>
      </c>
      <c r="AZ11" s="2">
        <v>19.3</v>
      </c>
      <c r="BA11" s="2">
        <v>20</v>
      </c>
      <c r="BB11" s="2">
        <v>45</v>
      </c>
      <c r="BC11" s="2">
        <v>4</v>
      </c>
      <c r="BD11" s="2">
        <v>0.1</v>
      </c>
      <c r="BE11" s="2">
        <v>0.5</v>
      </c>
      <c r="BF11" s="2">
        <v>0.6</v>
      </c>
      <c r="BG11" s="2">
        <v>0.8</v>
      </c>
      <c r="BH11" s="2">
        <v>1</v>
      </c>
      <c r="BI11" s="2">
        <v>4</v>
      </c>
      <c r="BJ11" s="2">
        <v>19</v>
      </c>
      <c r="BK11" s="2">
        <v>30</v>
      </c>
      <c r="BL11" s="2">
        <v>42</v>
      </c>
      <c r="BM11" s="2">
        <v>67</v>
      </c>
      <c r="BN11" s="2"/>
      <c r="BO11" s="2"/>
      <c r="BP11" s="2"/>
      <c r="BQ11" s="2"/>
      <c r="BR11" s="2"/>
      <c r="BS11" s="2"/>
      <c r="BT11" s="2">
        <v>3</v>
      </c>
      <c r="BU11" s="2">
        <v>8</v>
      </c>
      <c r="BV11" s="2">
        <v>20</v>
      </c>
      <c r="BW11" s="2">
        <v>31</v>
      </c>
      <c r="BX11" s="2">
        <v>55</v>
      </c>
      <c r="BY11" s="2">
        <v>3</v>
      </c>
      <c r="BZ11" s="2">
        <v>7.5</v>
      </c>
      <c r="CA11" s="2">
        <v>3</v>
      </c>
      <c r="CB11" s="2">
        <v>4.2964289294290603E-11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23n</v>
      </c>
      <c r="J12" s="47">
        <f t="shared" ca="1" si="35"/>
        <v>7</v>
      </c>
      <c r="K12" s="19">
        <f t="shared" ca="1" si="36"/>
        <v>-17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8.1000000000000014</v>
      </c>
      <c r="O12" s="63">
        <f t="shared" ca="1" si="4"/>
        <v>548</v>
      </c>
      <c r="P12" s="63">
        <f t="shared" ca="1" si="5"/>
        <v>22.340425531914896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0.25</v>
      </c>
      <c r="X12" s="47">
        <f t="shared" ca="1" si="13"/>
        <v>51700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750000</v>
      </c>
      <c r="AD12" s="63">
        <f t="shared" ca="1" si="19"/>
        <v>35957.446808510649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3.3</v>
      </c>
      <c r="AX12" s="2" t="s">
        <v>220</v>
      </c>
      <c r="AY12" s="130">
        <v>29.5</v>
      </c>
      <c r="AZ12" s="2">
        <v>18.8</v>
      </c>
      <c r="BA12" s="2">
        <v>48</v>
      </c>
      <c r="BB12" s="2">
        <v>77</v>
      </c>
      <c r="BC12" s="2">
        <v>3</v>
      </c>
      <c r="BD12" s="2">
        <v>0.8</v>
      </c>
      <c r="BE12" s="2">
        <v>1.4</v>
      </c>
      <c r="BF12" s="2">
        <v>1.5</v>
      </c>
      <c r="BG12" s="2">
        <v>1.8</v>
      </c>
      <c r="BH12" s="2">
        <v>3.1</v>
      </c>
      <c r="BI12" s="2">
        <v>10</v>
      </c>
      <c r="BJ12" s="2">
        <v>54</v>
      </c>
      <c r="BK12" s="2">
        <v>72</v>
      </c>
      <c r="BL12" s="2">
        <v>93</v>
      </c>
      <c r="BM12" s="2">
        <v>167</v>
      </c>
      <c r="BN12" s="2"/>
      <c r="BO12" s="2"/>
      <c r="BP12" s="2"/>
      <c r="BQ12" s="2"/>
      <c r="BR12" s="2"/>
      <c r="BS12" s="2"/>
      <c r="BT12" s="2">
        <v>3</v>
      </c>
      <c r="BU12" s="2">
        <v>28</v>
      </c>
      <c r="BV12" s="2">
        <v>59</v>
      </c>
      <c r="BW12" s="2">
        <v>91</v>
      </c>
      <c r="BX12" s="2">
        <v>186</v>
      </c>
      <c r="BY12" s="2">
        <v>7.8</v>
      </c>
      <c r="BZ12" s="2">
        <v>12.4</v>
      </c>
      <c r="CA12" s="2">
        <v>3</v>
      </c>
      <c r="CB12" s="2">
        <v>1.43776069236945E-9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23o</v>
      </c>
      <c r="J13" s="47">
        <f t="shared" ca="1" si="35"/>
        <v>8</v>
      </c>
      <c r="K13" s="19">
        <f t="shared" ca="1" si="36"/>
        <v>-21.7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8.6999999999999993</v>
      </c>
      <c r="O13" s="63">
        <f t="shared" ca="1" si="4"/>
        <v>508</v>
      </c>
      <c r="P13" s="63">
        <f t="shared" ca="1" si="5"/>
        <v>1.5075376884422107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45200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718000</v>
      </c>
      <c r="AD13" s="63">
        <f t="shared" ca="1" si="19"/>
        <v>3661.1629576453688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7</v>
      </c>
      <c r="AX13" s="2" t="s">
        <v>220</v>
      </c>
      <c r="AY13" s="130">
        <v>29.5</v>
      </c>
      <c r="AZ13" s="2">
        <v>18.8</v>
      </c>
      <c r="BA13" s="2">
        <v>48</v>
      </c>
      <c r="BB13" s="2">
        <v>77</v>
      </c>
      <c r="BC13" s="2">
        <v>3</v>
      </c>
      <c r="BD13" s="2">
        <v>1.9</v>
      </c>
      <c r="BE13" s="2">
        <v>2.5</v>
      </c>
      <c r="BF13" s="2">
        <v>2.7</v>
      </c>
      <c r="BG13" s="2">
        <v>2.9</v>
      </c>
      <c r="BH13" s="2">
        <v>4.3</v>
      </c>
      <c r="BI13" s="2">
        <v>63</v>
      </c>
      <c r="BJ13" s="2">
        <v>108</v>
      </c>
      <c r="BK13" s="2">
        <v>126</v>
      </c>
      <c r="BL13" s="2">
        <v>147</v>
      </c>
      <c r="BM13" s="2">
        <v>221</v>
      </c>
      <c r="BN13" s="2"/>
      <c r="BO13" s="2"/>
      <c r="BP13" s="2"/>
      <c r="BQ13" s="2"/>
      <c r="BR13" s="2"/>
      <c r="BS13" s="2"/>
      <c r="BT13" s="2">
        <v>58</v>
      </c>
      <c r="BU13" s="2">
        <v>83</v>
      </c>
      <c r="BV13" s="2">
        <v>114</v>
      </c>
      <c r="BW13" s="2">
        <v>147</v>
      </c>
      <c r="BX13" s="2">
        <v>242</v>
      </c>
      <c r="BY13" s="2">
        <v>7.8</v>
      </c>
      <c r="BZ13" s="2">
        <v>12.4</v>
      </c>
      <c r="CA13" s="2">
        <v>3</v>
      </c>
      <c r="CB13" s="2">
        <v>1.43776069236945E-9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23q</v>
      </c>
      <c r="J14" s="47">
        <f t="shared" ca="1" si="35"/>
        <v>9</v>
      </c>
      <c r="K14" s="19">
        <f t="shared" ca="1" si="36"/>
        <v>-35.630000000000003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9.6999999999999993</v>
      </c>
      <c r="O14" s="63">
        <f t="shared" ca="1" si="4"/>
        <v>589</v>
      </c>
      <c r="P14" s="63">
        <f t="shared" ca="1" si="5"/>
        <v>12.760581174984209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58300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914000</v>
      </c>
      <c r="AD14" s="63">
        <f t="shared" ca="1" si="19"/>
        <v>24384.08085912824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7</v>
      </c>
      <c r="AX14" s="2" t="s">
        <v>221</v>
      </c>
      <c r="AY14" s="130">
        <v>36.1</v>
      </c>
      <c r="AZ14" s="2">
        <v>18.5</v>
      </c>
      <c r="BA14" s="2">
        <v>21</v>
      </c>
      <c r="BB14" s="2">
        <v>72</v>
      </c>
      <c r="BC14" s="2">
        <v>3</v>
      </c>
      <c r="BD14" s="2">
        <v>2.2000000000000002</v>
      </c>
      <c r="BE14" s="2">
        <v>4.0999999999999996</v>
      </c>
      <c r="BF14" s="2">
        <v>4.4000000000000004</v>
      </c>
      <c r="BG14" s="2">
        <v>4.8</v>
      </c>
      <c r="BH14" s="2">
        <v>7.5</v>
      </c>
      <c r="BI14" s="2">
        <v>46</v>
      </c>
      <c r="BJ14" s="2">
        <v>168</v>
      </c>
      <c r="BK14" s="2">
        <v>213</v>
      </c>
      <c r="BL14" s="2">
        <v>260</v>
      </c>
      <c r="BM14" s="2">
        <v>413</v>
      </c>
      <c r="BN14" s="2"/>
      <c r="BO14" s="2"/>
      <c r="BP14" s="2"/>
      <c r="BQ14" s="2"/>
      <c r="BR14" s="2"/>
      <c r="BS14" s="2"/>
      <c r="BT14" s="2">
        <v>7</v>
      </c>
      <c r="BU14" s="2">
        <v>129</v>
      </c>
      <c r="BV14" s="2">
        <v>219</v>
      </c>
      <c r="BW14" s="2">
        <v>312</v>
      </c>
      <c r="BX14" s="2">
        <v>556</v>
      </c>
      <c r="BY14" s="2">
        <v>19.5</v>
      </c>
      <c r="BZ14" s="2">
        <v>17</v>
      </c>
      <c r="CA14" s="2">
        <v>3</v>
      </c>
      <c r="CB14" s="2">
        <v>5.4000457496166101E-9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23r</v>
      </c>
      <c r="J15" s="47">
        <f t="shared" ca="1" si="35"/>
        <v>10</v>
      </c>
      <c r="K15" s="19">
        <f t="shared" ca="1" si="36"/>
        <v>-51.46</v>
      </c>
      <c r="L15" s="116" t="str">
        <f t="shared" ca="1" si="1"/>
        <v>EW_sand_Ruled_100</v>
      </c>
      <c r="M15" s="105" t="str">
        <f t="shared" ca="1" si="2"/>
        <v>API sand</v>
      </c>
      <c r="N15" s="47">
        <f t="shared" ca="1" si="3"/>
        <v>8.6999999999999993</v>
      </c>
      <c r="O15" s="63">
        <f t="shared" ca="1" si="4"/>
        <v>0</v>
      </c>
      <c r="P15" s="63">
        <f t="shared" ca="1" si="5"/>
        <v>0</v>
      </c>
      <c r="Q15" s="47">
        <f t="shared" ca="1" si="6"/>
        <v>31</v>
      </c>
      <c r="R15" s="47">
        <f t="shared" ca="1" si="7"/>
        <v>26</v>
      </c>
      <c r="S15" s="47">
        <f t="shared" ca="1" si="8"/>
        <v>1.5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75000</v>
      </c>
      <c r="Y15" s="47">
        <f t="shared" ca="1" si="14"/>
        <v>0</v>
      </c>
      <c r="Z15" s="47">
        <f t="shared" ca="1" si="15"/>
        <v>83.999999999999972</v>
      </c>
      <c r="AA15" s="47">
        <f t="shared" ca="1" si="16"/>
        <v>1</v>
      </c>
      <c r="AB15" s="47">
        <f t="shared" ca="1" si="17"/>
        <v>5760</v>
      </c>
      <c r="AC15" s="63">
        <f t="shared" ca="1" si="18"/>
        <v>290000</v>
      </c>
      <c r="AD15" s="63">
        <f t="shared" ca="1" si="19"/>
        <v>1758.0872011251752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24.000000000000007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100</v>
      </c>
      <c r="AS15" s="33">
        <f t="shared" ca="1" si="34"/>
        <v>0.4</v>
      </c>
      <c r="AW15" s="2">
        <v>11.5</v>
      </c>
      <c r="AX15" s="2" t="s">
        <v>221</v>
      </c>
      <c r="AY15" s="130">
        <v>36.1</v>
      </c>
      <c r="AZ15" s="2">
        <v>18.5</v>
      </c>
      <c r="BA15" s="2">
        <v>21</v>
      </c>
      <c r="BB15" s="2">
        <v>72</v>
      </c>
      <c r="BC15" s="2">
        <v>3</v>
      </c>
      <c r="BD15" s="2">
        <v>3.5</v>
      </c>
      <c r="BE15" s="2">
        <v>5.4</v>
      </c>
      <c r="BF15" s="2">
        <v>5.7</v>
      </c>
      <c r="BG15" s="2">
        <v>6.1</v>
      </c>
      <c r="BH15" s="2">
        <v>8.9</v>
      </c>
      <c r="BI15" s="2">
        <v>109</v>
      </c>
      <c r="BJ15" s="2">
        <v>231</v>
      </c>
      <c r="BK15" s="2">
        <v>275</v>
      </c>
      <c r="BL15" s="2">
        <v>322</v>
      </c>
      <c r="BM15" s="2">
        <v>476</v>
      </c>
      <c r="BN15" s="2"/>
      <c r="BO15" s="2"/>
      <c r="BP15" s="2"/>
      <c r="BQ15" s="2"/>
      <c r="BR15" s="2"/>
      <c r="BS15" s="2"/>
      <c r="BT15" s="2">
        <v>82</v>
      </c>
      <c r="BU15" s="2">
        <v>205</v>
      </c>
      <c r="BV15" s="2">
        <v>295</v>
      </c>
      <c r="BW15" s="2">
        <v>388</v>
      </c>
      <c r="BX15" s="2">
        <v>631</v>
      </c>
      <c r="BY15" s="2">
        <v>19.5</v>
      </c>
      <c r="BZ15" s="2">
        <v>17</v>
      </c>
      <c r="CA15" s="2">
        <v>3</v>
      </c>
      <c r="CB15" s="2">
        <v>5.4000457496166101E-9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23s</v>
      </c>
      <c r="J16" s="47">
        <f t="shared" ca="1" si="35"/>
        <v>11</v>
      </c>
      <c r="K16" s="19">
        <f t="shared" ca="1" si="36"/>
        <v>-65.680000000000007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9</v>
      </c>
      <c r="O16" s="63">
        <f t="shared" ca="1" si="4"/>
        <v>948</v>
      </c>
      <c r="P16" s="63">
        <f t="shared" ca="1" si="5"/>
        <v>12.011173184357547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3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86400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1568000</v>
      </c>
      <c r="AD16" s="63">
        <f t="shared" ca="1" si="19"/>
        <v>24441.340782122919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11.5</v>
      </c>
      <c r="AX16" s="2" t="s">
        <v>221</v>
      </c>
      <c r="AY16" s="130">
        <v>36.1</v>
      </c>
      <c r="AZ16" s="2">
        <v>18.5</v>
      </c>
      <c r="BA16" s="2">
        <v>21</v>
      </c>
      <c r="BB16" s="2">
        <v>72</v>
      </c>
      <c r="BC16" s="2">
        <v>3</v>
      </c>
      <c r="BD16" s="2">
        <v>2.2000000000000002</v>
      </c>
      <c r="BE16" s="2">
        <v>4.7</v>
      </c>
      <c r="BF16" s="2">
        <v>5</v>
      </c>
      <c r="BG16" s="2">
        <v>5.9</v>
      </c>
      <c r="BH16" s="2">
        <v>12.8</v>
      </c>
      <c r="BI16" s="2">
        <v>54</v>
      </c>
      <c r="BJ16" s="2">
        <v>195</v>
      </c>
      <c r="BK16" s="2">
        <v>239</v>
      </c>
      <c r="BL16" s="2">
        <v>298</v>
      </c>
      <c r="BM16" s="2">
        <v>645</v>
      </c>
      <c r="BN16" s="2"/>
      <c r="BO16" s="2"/>
      <c r="BP16" s="2"/>
      <c r="BQ16" s="2"/>
      <c r="BR16" s="2"/>
      <c r="BS16" s="2"/>
      <c r="BT16" s="2">
        <v>11</v>
      </c>
      <c r="BU16" s="2">
        <v>156</v>
      </c>
      <c r="BV16" s="2">
        <v>241</v>
      </c>
      <c r="BW16" s="2">
        <v>344</v>
      </c>
      <c r="BX16" s="2">
        <v>861</v>
      </c>
      <c r="BY16" s="2">
        <v>23.7</v>
      </c>
      <c r="BZ16" s="2">
        <v>13.6</v>
      </c>
      <c r="CA16" s="2"/>
      <c r="CB16" s="2">
        <v>3.58341427125842E-9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17</v>
      </c>
      <c r="AX17" s="2" t="s">
        <v>221</v>
      </c>
      <c r="AY17" s="130">
        <v>36.1</v>
      </c>
      <c r="AZ17" s="2">
        <v>18.5</v>
      </c>
      <c r="BA17" s="2">
        <v>21</v>
      </c>
      <c r="BB17" s="2">
        <v>72</v>
      </c>
      <c r="BC17" s="2">
        <v>3</v>
      </c>
      <c r="BD17" s="2">
        <v>4.2</v>
      </c>
      <c r="BE17" s="2">
        <v>6.6</v>
      </c>
      <c r="BF17" s="2">
        <v>7</v>
      </c>
      <c r="BG17" s="2">
        <v>7.8</v>
      </c>
      <c r="BH17" s="2">
        <v>14.7</v>
      </c>
      <c r="BI17" s="2">
        <v>147</v>
      </c>
      <c r="BJ17" s="2">
        <v>288</v>
      </c>
      <c r="BK17" s="2">
        <v>332</v>
      </c>
      <c r="BL17" s="2">
        <v>392</v>
      </c>
      <c r="BM17" s="2">
        <v>739</v>
      </c>
      <c r="BN17" s="2"/>
      <c r="BO17" s="2"/>
      <c r="BP17" s="2"/>
      <c r="BQ17" s="2"/>
      <c r="BR17" s="2"/>
      <c r="BS17" s="2"/>
      <c r="BT17" s="2">
        <v>156</v>
      </c>
      <c r="BU17" s="2">
        <v>301</v>
      </c>
      <c r="BV17" s="2">
        <v>386</v>
      </c>
      <c r="BW17" s="2">
        <v>489</v>
      </c>
      <c r="BX17" s="2">
        <v>1006</v>
      </c>
      <c r="BY17" s="2">
        <v>23.7</v>
      </c>
      <c r="BZ17" s="2">
        <v>13.6</v>
      </c>
      <c r="CA17" s="2"/>
      <c r="CB17" s="2">
        <v>3.58341427125842E-9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17</v>
      </c>
      <c r="AX18" s="2" t="s">
        <v>306</v>
      </c>
      <c r="AY18" s="130">
        <v>38.4</v>
      </c>
      <c r="AZ18" s="2">
        <v>18.100000000000001</v>
      </c>
      <c r="BA18" s="2">
        <v>34</v>
      </c>
      <c r="BB18" s="2">
        <v>77</v>
      </c>
      <c r="BC18" s="2">
        <v>3</v>
      </c>
      <c r="BD18" s="2">
        <v>0.6</v>
      </c>
      <c r="BE18" s="2">
        <v>8.1</v>
      </c>
      <c r="BF18" s="2">
        <v>12.2</v>
      </c>
      <c r="BG18" s="2">
        <v>26.2</v>
      </c>
      <c r="BH18" s="2">
        <v>69.8</v>
      </c>
      <c r="BI18" s="2">
        <v>463</v>
      </c>
      <c r="BJ18" s="2">
        <v>548</v>
      </c>
      <c r="BK18" s="2">
        <v>592</v>
      </c>
      <c r="BL18" s="2">
        <v>636</v>
      </c>
      <c r="BM18" s="2">
        <v>722</v>
      </c>
      <c r="BN18" s="2"/>
      <c r="BO18" s="2"/>
      <c r="BP18" s="2"/>
      <c r="BQ18" s="2"/>
      <c r="BR18" s="2"/>
      <c r="BS18" s="2"/>
      <c r="BT18" s="2">
        <v>491</v>
      </c>
      <c r="BU18" s="2">
        <v>663</v>
      </c>
      <c r="BV18" s="2">
        <v>750</v>
      </c>
      <c r="BW18" s="2">
        <v>837</v>
      </c>
      <c r="BX18" s="2">
        <v>1008</v>
      </c>
      <c r="BY18" s="2">
        <v>51.7</v>
      </c>
      <c r="BZ18" s="2">
        <v>23.1</v>
      </c>
      <c r="CA18" s="2">
        <v>3</v>
      </c>
      <c r="CB18" s="2">
        <v>8.8189921821081106E-12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21.7</v>
      </c>
      <c r="AX19" s="2" t="s">
        <v>306</v>
      </c>
      <c r="AY19" s="130">
        <v>38.4</v>
      </c>
      <c r="AZ19" s="2">
        <v>18.100000000000001</v>
      </c>
      <c r="BA19" s="2">
        <v>34</v>
      </c>
      <c r="BB19" s="2">
        <v>77</v>
      </c>
      <c r="BC19" s="2">
        <v>3</v>
      </c>
      <c r="BD19" s="2">
        <v>2.7</v>
      </c>
      <c r="BE19" s="2">
        <v>10.199999999999999</v>
      </c>
      <c r="BF19" s="2">
        <v>14.3</v>
      </c>
      <c r="BG19" s="2">
        <v>28.4</v>
      </c>
      <c r="BH19" s="2">
        <v>71.900000000000006</v>
      </c>
      <c r="BI19" s="2">
        <v>567</v>
      </c>
      <c r="BJ19" s="2">
        <v>653</v>
      </c>
      <c r="BK19" s="2">
        <v>696</v>
      </c>
      <c r="BL19" s="2">
        <v>740</v>
      </c>
      <c r="BM19" s="2">
        <v>826</v>
      </c>
      <c r="BN19" s="2"/>
      <c r="BO19" s="2"/>
      <c r="BP19" s="2"/>
      <c r="BQ19" s="2"/>
      <c r="BR19" s="2"/>
      <c r="BS19" s="2"/>
      <c r="BT19" s="2">
        <v>661</v>
      </c>
      <c r="BU19" s="2">
        <v>833</v>
      </c>
      <c r="BV19" s="2">
        <v>919</v>
      </c>
      <c r="BW19" s="2">
        <v>1006</v>
      </c>
      <c r="BX19" s="2">
        <v>1178</v>
      </c>
      <c r="BY19" s="2">
        <v>51.7</v>
      </c>
      <c r="BZ19" s="2">
        <v>23.1</v>
      </c>
      <c r="CA19" s="2">
        <v>3</v>
      </c>
      <c r="CB19" s="2">
        <v>8.8189921821081106E-12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21.7</v>
      </c>
      <c r="AX20" s="2" t="s">
        <v>310</v>
      </c>
      <c r="AY20" s="130">
        <v>34.1</v>
      </c>
      <c r="AZ20" s="2">
        <v>18.7</v>
      </c>
      <c r="BA20" s="2">
        <v>53</v>
      </c>
      <c r="BB20" s="2">
        <v>52</v>
      </c>
      <c r="BC20" s="2">
        <v>3</v>
      </c>
      <c r="BD20" s="2">
        <v>0.8</v>
      </c>
      <c r="BE20" s="2">
        <v>7.2</v>
      </c>
      <c r="BF20" s="2">
        <v>11.5</v>
      </c>
      <c r="BG20" s="2">
        <v>25.3</v>
      </c>
      <c r="BH20" s="2">
        <v>68.099999999999994</v>
      </c>
      <c r="BI20" s="2">
        <v>422</v>
      </c>
      <c r="BJ20" s="2">
        <v>508</v>
      </c>
      <c r="BK20" s="2">
        <v>551</v>
      </c>
      <c r="BL20" s="2">
        <v>595</v>
      </c>
      <c r="BM20" s="2">
        <v>681</v>
      </c>
      <c r="BN20" s="2"/>
      <c r="BO20" s="2"/>
      <c r="BP20" s="2"/>
      <c r="BQ20" s="2"/>
      <c r="BR20" s="2"/>
      <c r="BS20" s="2"/>
      <c r="BT20" s="2">
        <v>460</v>
      </c>
      <c r="BU20" s="2">
        <v>632</v>
      </c>
      <c r="BV20" s="2">
        <v>718</v>
      </c>
      <c r="BW20" s="2">
        <v>805</v>
      </c>
      <c r="BX20" s="2">
        <v>977</v>
      </c>
      <c r="BY20" s="2">
        <v>45.2</v>
      </c>
      <c r="BZ20" s="2">
        <v>13.6</v>
      </c>
      <c r="CA20" s="2">
        <v>3</v>
      </c>
      <c r="CB20" s="2">
        <v>4.51634059272547E-12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35.630000000000003</v>
      </c>
      <c r="AX21" s="2" t="s">
        <v>310</v>
      </c>
      <c r="AY21" s="130">
        <v>34.1</v>
      </c>
      <c r="AZ21" s="2">
        <v>18.7</v>
      </c>
      <c r="BA21" s="2">
        <v>53</v>
      </c>
      <c r="BB21" s="2">
        <v>52</v>
      </c>
      <c r="BC21" s="2">
        <v>3</v>
      </c>
      <c r="BD21" s="2">
        <v>1.4</v>
      </c>
      <c r="BE21" s="2">
        <v>7.9</v>
      </c>
      <c r="BF21" s="2">
        <v>12.1</v>
      </c>
      <c r="BG21" s="2">
        <v>25.9</v>
      </c>
      <c r="BH21" s="2">
        <v>68.7</v>
      </c>
      <c r="BI21" s="2">
        <v>443</v>
      </c>
      <c r="BJ21" s="2">
        <v>529</v>
      </c>
      <c r="BK21" s="2">
        <v>572</v>
      </c>
      <c r="BL21" s="2">
        <v>616</v>
      </c>
      <c r="BM21" s="2">
        <v>702</v>
      </c>
      <c r="BN21" s="2"/>
      <c r="BO21" s="2"/>
      <c r="BP21" s="2"/>
      <c r="BQ21" s="2"/>
      <c r="BR21" s="2"/>
      <c r="BS21" s="2"/>
      <c r="BT21" s="2">
        <v>511</v>
      </c>
      <c r="BU21" s="2">
        <v>682</v>
      </c>
      <c r="BV21" s="2">
        <v>769</v>
      </c>
      <c r="BW21" s="2">
        <v>856</v>
      </c>
      <c r="BX21" s="2">
        <v>1028</v>
      </c>
      <c r="BY21" s="2">
        <v>45.2</v>
      </c>
      <c r="BZ21" s="2">
        <v>13.6</v>
      </c>
      <c r="CA21" s="2">
        <v>3</v>
      </c>
      <c r="CB21" s="2">
        <v>4.51634059272547E-12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35.630000000000003</v>
      </c>
      <c r="AX22" s="2" t="s">
        <v>318</v>
      </c>
      <c r="AY22" s="130">
        <v>28.8</v>
      </c>
      <c r="AZ22" s="2">
        <v>19.7</v>
      </c>
      <c r="BA22" s="2">
        <v>47</v>
      </c>
      <c r="BB22" s="2">
        <v>53</v>
      </c>
      <c r="BC22" s="2">
        <v>3</v>
      </c>
      <c r="BD22" s="2">
        <v>1.3</v>
      </c>
      <c r="BE22" s="2">
        <v>10.6</v>
      </c>
      <c r="BF22" s="2">
        <v>13.3</v>
      </c>
      <c r="BG22" s="2">
        <v>30.6</v>
      </c>
      <c r="BH22" s="2">
        <v>84</v>
      </c>
      <c r="BI22" s="2">
        <v>503</v>
      </c>
      <c r="BJ22" s="2">
        <v>589</v>
      </c>
      <c r="BK22" s="2">
        <v>633</v>
      </c>
      <c r="BL22" s="2">
        <v>677</v>
      </c>
      <c r="BM22" s="2">
        <v>763</v>
      </c>
      <c r="BN22" s="2"/>
      <c r="BO22" s="2"/>
      <c r="BP22" s="2"/>
      <c r="BQ22" s="2"/>
      <c r="BR22" s="2"/>
      <c r="BS22" s="2"/>
      <c r="BT22" s="2">
        <v>145</v>
      </c>
      <c r="BU22" s="2">
        <v>682</v>
      </c>
      <c r="BV22" s="2">
        <v>914</v>
      </c>
      <c r="BW22" s="2">
        <v>1104</v>
      </c>
      <c r="BX22" s="2">
        <v>1537</v>
      </c>
      <c r="BY22" s="2">
        <v>58.3</v>
      </c>
      <c r="BZ22" s="2">
        <v>11.4</v>
      </c>
      <c r="CA22" s="2">
        <v>3</v>
      </c>
      <c r="CB22" s="2">
        <v>4.3382066889173098E-12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51.46</v>
      </c>
      <c r="AX23" s="2" t="s">
        <v>318</v>
      </c>
      <c r="AY23" s="130">
        <v>28.8</v>
      </c>
      <c r="AZ23" s="2">
        <v>19.7</v>
      </c>
      <c r="BA23" s="2">
        <v>47</v>
      </c>
      <c r="BB23" s="2">
        <v>53</v>
      </c>
      <c r="BC23" s="2">
        <v>3</v>
      </c>
      <c r="BD23" s="2">
        <v>5.6</v>
      </c>
      <c r="BE23" s="2">
        <v>15</v>
      </c>
      <c r="BF23" s="2">
        <v>17.7</v>
      </c>
      <c r="BG23" s="2">
        <v>34.9</v>
      </c>
      <c r="BH23" s="2">
        <v>88.3</v>
      </c>
      <c r="BI23" s="2">
        <v>705</v>
      </c>
      <c r="BJ23" s="2">
        <v>791</v>
      </c>
      <c r="BK23" s="2">
        <v>834</v>
      </c>
      <c r="BL23" s="2">
        <v>879</v>
      </c>
      <c r="BM23" s="2">
        <v>965</v>
      </c>
      <c r="BN23" s="2"/>
      <c r="BO23" s="2"/>
      <c r="BP23" s="2"/>
      <c r="BQ23" s="2"/>
      <c r="BR23" s="2"/>
      <c r="BS23" s="2"/>
      <c r="BT23" s="2">
        <v>530</v>
      </c>
      <c r="BU23" s="2">
        <v>1068</v>
      </c>
      <c r="BV23" s="2">
        <v>1300</v>
      </c>
      <c r="BW23" s="2">
        <v>1489</v>
      </c>
      <c r="BX23" s="2">
        <v>1922</v>
      </c>
      <c r="BY23" s="2">
        <v>58.3</v>
      </c>
      <c r="BZ23" s="2">
        <v>11.4</v>
      </c>
      <c r="CA23" s="2">
        <v>3</v>
      </c>
      <c r="CB23" s="2">
        <v>4.3382066889173098E-12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51.46</v>
      </c>
      <c r="AX24" s="2" t="s">
        <v>319</v>
      </c>
      <c r="AY24" s="130">
        <v>25.6</v>
      </c>
      <c r="AZ24" s="2">
        <v>18.7</v>
      </c>
      <c r="BA24" s="2"/>
      <c r="BB24" s="2">
        <v>11</v>
      </c>
      <c r="BC24" s="2"/>
      <c r="BD24" s="2">
        <v>2.4</v>
      </c>
      <c r="BE24" s="2">
        <v>53.1</v>
      </c>
      <c r="BF24" s="2">
        <v>100</v>
      </c>
      <c r="BG24" s="2">
        <v>216.5</v>
      </c>
      <c r="BH24" s="2">
        <v>578.20000000000005</v>
      </c>
      <c r="BI24" s="2"/>
      <c r="BJ24" s="2"/>
      <c r="BK24" s="2"/>
      <c r="BL24" s="2"/>
      <c r="BM24" s="2"/>
      <c r="BN24" s="2">
        <v>100</v>
      </c>
      <c r="BO24" s="2">
        <v>26</v>
      </c>
      <c r="BP24" s="2">
        <v>31</v>
      </c>
      <c r="BQ24" s="2">
        <v>33</v>
      </c>
      <c r="BR24" s="2">
        <v>36</v>
      </c>
      <c r="BS24" s="2">
        <v>40</v>
      </c>
      <c r="BT24" s="2">
        <v>87</v>
      </c>
      <c r="BU24" s="2">
        <v>232</v>
      </c>
      <c r="BV24" s="2">
        <v>290</v>
      </c>
      <c r="BW24" s="2">
        <v>349</v>
      </c>
      <c r="BX24" s="2">
        <v>493</v>
      </c>
      <c r="BY24" s="2">
        <v>75</v>
      </c>
      <c r="BZ24" s="2">
        <v>6.3</v>
      </c>
      <c r="CA24" s="2">
        <v>1.5</v>
      </c>
      <c r="CB24" s="2">
        <v>9.3189824037271096E-11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65.680000000000007</v>
      </c>
      <c r="AX25" s="2" t="s">
        <v>319</v>
      </c>
      <c r="AY25" s="130">
        <v>25.6</v>
      </c>
      <c r="AZ25" s="2">
        <v>18.7</v>
      </c>
      <c r="BA25" s="2"/>
      <c r="BB25" s="2">
        <v>11</v>
      </c>
      <c r="BC25" s="2"/>
      <c r="BD25" s="2">
        <v>2.4</v>
      </c>
      <c r="BE25" s="2">
        <v>53.1</v>
      </c>
      <c r="BF25" s="2">
        <v>100</v>
      </c>
      <c r="BG25" s="2">
        <v>216.5</v>
      </c>
      <c r="BH25" s="2">
        <v>578.20000000000005</v>
      </c>
      <c r="BI25" s="2"/>
      <c r="BJ25" s="2"/>
      <c r="BK25" s="2"/>
      <c r="BL25" s="2"/>
      <c r="BM25" s="2"/>
      <c r="BN25" s="2">
        <v>100</v>
      </c>
      <c r="BO25" s="2">
        <v>26</v>
      </c>
      <c r="BP25" s="2">
        <v>31</v>
      </c>
      <c r="BQ25" s="2">
        <v>33</v>
      </c>
      <c r="BR25" s="2">
        <v>36</v>
      </c>
      <c r="BS25" s="2">
        <v>40</v>
      </c>
      <c r="BT25" s="2">
        <v>112</v>
      </c>
      <c r="BU25" s="2">
        <v>257</v>
      </c>
      <c r="BV25" s="2">
        <v>315</v>
      </c>
      <c r="BW25" s="2">
        <v>373</v>
      </c>
      <c r="BX25" s="2">
        <v>518</v>
      </c>
      <c r="BY25" s="2">
        <v>75</v>
      </c>
      <c r="BZ25" s="2">
        <v>6.3</v>
      </c>
      <c r="CA25" s="2">
        <v>1.5</v>
      </c>
      <c r="CB25" s="2">
        <v>9.3189824037271096E-11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65.680000000000007</v>
      </c>
      <c r="AX26" s="2" t="s">
        <v>320</v>
      </c>
      <c r="AY26" s="130">
        <v>34.4</v>
      </c>
      <c r="AZ26" s="2">
        <v>19</v>
      </c>
      <c r="BA26" s="2">
        <v>24</v>
      </c>
      <c r="BB26" s="2">
        <v>55</v>
      </c>
      <c r="BC26" s="2">
        <v>3</v>
      </c>
      <c r="BD26" s="2">
        <v>2.4</v>
      </c>
      <c r="BE26" s="2">
        <v>16</v>
      </c>
      <c r="BF26" s="2">
        <v>21.1</v>
      </c>
      <c r="BG26" s="2">
        <v>48.1</v>
      </c>
      <c r="BH26" s="2">
        <v>131.80000000000001</v>
      </c>
      <c r="BI26" s="2">
        <v>862</v>
      </c>
      <c r="BJ26" s="2">
        <v>948</v>
      </c>
      <c r="BK26" s="2">
        <v>991</v>
      </c>
      <c r="BL26" s="2">
        <v>1035</v>
      </c>
      <c r="BM26" s="2">
        <v>1121</v>
      </c>
      <c r="BN26" s="2"/>
      <c r="BO26" s="2"/>
      <c r="BP26" s="2"/>
      <c r="BQ26" s="2"/>
      <c r="BR26" s="2"/>
      <c r="BS26" s="2"/>
      <c r="BT26" s="2">
        <v>1309</v>
      </c>
      <c r="BU26" s="2">
        <v>1481</v>
      </c>
      <c r="BV26" s="2">
        <v>1568</v>
      </c>
      <c r="BW26" s="2">
        <v>1654</v>
      </c>
      <c r="BX26" s="2">
        <v>1826</v>
      </c>
      <c r="BY26" s="2">
        <v>86.4</v>
      </c>
      <c r="BZ26" s="2">
        <v>9.9</v>
      </c>
      <c r="CA26" s="2">
        <v>3</v>
      </c>
      <c r="CB26" s="2">
        <v>4.29474712019468E-12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80</v>
      </c>
      <c r="AX27" s="2" t="s">
        <v>320</v>
      </c>
      <c r="AY27" s="130">
        <v>34.4</v>
      </c>
      <c r="AZ27" s="2">
        <v>19</v>
      </c>
      <c r="BA27" s="2">
        <v>24</v>
      </c>
      <c r="BB27" s="2">
        <v>55</v>
      </c>
      <c r="BC27" s="2">
        <v>3</v>
      </c>
      <c r="BD27" s="2">
        <v>6.1</v>
      </c>
      <c r="BE27" s="2">
        <v>19.7</v>
      </c>
      <c r="BF27" s="2">
        <v>24.8</v>
      </c>
      <c r="BG27" s="2">
        <v>51.8</v>
      </c>
      <c r="BH27" s="2">
        <v>135.5</v>
      </c>
      <c r="BI27" s="2">
        <v>1034</v>
      </c>
      <c r="BJ27" s="2">
        <v>1120</v>
      </c>
      <c r="BK27" s="2">
        <v>1163</v>
      </c>
      <c r="BL27" s="2">
        <v>1207</v>
      </c>
      <c r="BM27" s="2">
        <v>1293</v>
      </c>
      <c r="BN27" s="2"/>
      <c r="BO27" s="2"/>
      <c r="BP27" s="2"/>
      <c r="BQ27" s="2"/>
      <c r="BR27" s="2"/>
      <c r="BS27" s="2"/>
      <c r="BT27" s="2">
        <v>1660</v>
      </c>
      <c r="BU27" s="2">
        <v>1832</v>
      </c>
      <c r="BV27" s="2">
        <v>1918</v>
      </c>
      <c r="BW27" s="2">
        <v>2005</v>
      </c>
      <c r="BX27" s="2">
        <v>2177</v>
      </c>
      <c r="BY27" s="2">
        <v>86.4</v>
      </c>
      <c r="BZ27" s="2">
        <v>9.9</v>
      </c>
      <c r="CA27" s="2">
        <v>3</v>
      </c>
      <c r="CB27" s="2">
        <v>4.29474712019468E-12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778" priority="12">
      <formula>$L32="API sand"</formula>
    </cfRule>
  </conditionalFormatting>
  <conditionalFormatting sqref="R32:S36 AB32:AB35 AJ32:AL36 Z32:Z36 N32:N36">
    <cfRule type="expression" dxfId="2777" priority="11">
      <formula>$M32="API sand"</formula>
    </cfRule>
  </conditionalFormatting>
  <conditionalFormatting sqref="R32:T36 Z32:AB35 AK32:AL36 N32:N36">
    <cfRule type="expression" dxfId="2776" priority="10">
      <formula>$M32="API clay"</formula>
    </cfRule>
  </conditionalFormatting>
  <conditionalFormatting sqref="U32:W36 AM32:AP36 N32:P36">
    <cfRule type="expression" dxfId="2775" priority="7">
      <formula>$L32="Stiff clay w/o free water"</formula>
    </cfRule>
    <cfRule type="expression" dxfId="2774" priority="9">
      <formula>$L32="API clay"</formula>
    </cfRule>
  </conditionalFormatting>
  <conditionalFormatting sqref="U32:Y36 AM32:AP36 N32:P36">
    <cfRule type="expression" dxfId="2773" priority="8">
      <formula>$L32="Kirsch soft clay"</formula>
    </cfRule>
  </conditionalFormatting>
  <conditionalFormatting sqref="U32:Y36 AM32:AP36 N32:P36">
    <cfRule type="expression" dxfId="2772" priority="6">
      <formula>$L32="Kirsch stiff clay"</formula>
    </cfRule>
  </conditionalFormatting>
  <conditionalFormatting sqref="AM32:AP36 Q32:Q36 X32:Y36 N32:N36">
    <cfRule type="expression" dxfId="2771" priority="5">
      <formula>$L32="Kirsch sand"</formula>
    </cfRule>
  </conditionalFormatting>
  <conditionalFormatting sqref="AC32:AD36 AI32:AI36 AM32:AP36 N32:N36">
    <cfRule type="expression" dxfId="2770" priority="4">
      <formula>$L32="Modified Weak rock"</formula>
    </cfRule>
  </conditionalFormatting>
  <conditionalFormatting sqref="AM32:AP36 N32:P36 U32:V36">
    <cfRule type="expression" dxfId="2769" priority="3">
      <formula>$L32="Reese stiff clay"</formula>
    </cfRule>
  </conditionalFormatting>
  <conditionalFormatting sqref="AB36">
    <cfRule type="expression" dxfId="2768" priority="2">
      <formula>$M36="API sand"</formula>
    </cfRule>
  </conditionalFormatting>
  <conditionalFormatting sqref="Z36:AB36">
    <cfRule type="expression" dxfId="2767" priority="1">
      <formula>$M36="API clay"</formula>
    </cfRule>
  </conditionalFormatting>
  <conditionalFormatting sqref="AE37:AH37">
    <cfRule type="expression" dxfId="2766" priority="13">
      <formula>#REF!="Modified Weak rock"</formula>
    </cfRule>
  </conditionalFormatting>
  <dataValidations count="4">
    <dataValidation type="textLength" showInputMessage="1" showErrorMessage="1" sqref="M27:M31" xr:uid="{6ED9A19A-09AC-40EC-BDA7-6A3FEDA09BD9}">
      <formula1>0</formula1>
      <formula2>100</formula2>
    </dataValidation>
    <dataValidation showInputMessage="1" showErrorMessage="1" sqref="L6:M26" xr:uid="{1CDC58F1-5269-4C21-982E-301CDBFD1ACF}"/>
    <dataValidation type="list" showInputMessage="1" showErrorMessage="1" sqref="L32:L255" xr:uid="{DA918BBC-FD50-4215-9CF2-7A3E57074CFC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BCF305D1-494E-41FA-A114-9487301F6A37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4A366-FE42-4F02-8984-F93A0F1FCAD2}">
  <sheetPr>
    <tabColor rgb="FF7030A0"/>
  </sheetPr>
  <dimension ref="A1:CC255"/>
  <sheetViews>
    <sheetView zoomScale="85" zoomScaleNormal="85" workbookViewId="0">
      <selection activeCell="E38" sqref="E38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Ak_Pisa_WTG4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16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EW_sand_Ruled_95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40</v>
      </c>
      <c r="R6" s="47">
        <f t="shared" ref="R6:R26" ca="1" si="7">IF(I6="","",IF(Q6&lt;&gt;0,Q6-5,NA()))</f>
        <v>35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19200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114.99999999999996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12000</v>
      </c>
      <c r="AC6" s="63">
        <f t="shared" ref="AC6:AC26" ca="1" si="18">IF(I6="","",IF(OFFSET($BV$6,(ROW()-6)*2,0)=0,0,OFFSET($BV$6,(ROW()-6)*2,0)*1000))</f>
        <v>11000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22727.272727272728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50.000000000000007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95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1.3</v>
      </c>
      <c r="BF6" s="2">
        <v>2.5</v>
      </c>
      <c r="BG6" s="2">
        <v>3.3</v>
      </c>
      <c r="BH6" s="2">
        <v>5.7</v>
      </c>
      <c r="BI6" s="2"/>
      <c r="BJ6" s="2"/>
      <c r="BK6" s="2"/>
      <c r="BL6" s="2"/>
      <c r="BM6" s="2"/>
      <c r="BN6" s="2">
        <v>95</v>
      </c>
      <c r="BO6" s="2">
        <v>28</v>
      </c>
      <c r="BP6" s="2">
        <v>40</v>
      </c>
      <c r="BQ6" s="2">
        <v>43</v>
      </c>
      <c r="BR6" s="2">
        <v>47</v>
      </c>
      <c r="BS6" s="2">
        <v>55</v>
      </c>
      <c r="BT6" s="2">
        <v>0</v>
      </c>
      <c r="BU6" s="2">
        <v>5</v>
      </c>
      <c r="BV6" s="2">
        <v>11</v>
      </c>
      <c r="BW6" s="2">
        <v>17</v>
      </c>
      <c r="BX6" s="2">
        <v>31</v>
      </c>
      <c r="BY6" s="2">
        <v>19.2</v>
      </c>
      <c r="BZ6" s="2">
        <v>1</v>
      </c>
      <c r="CA6" s="2">
        <v>0.5</v>
      </c>
      <c r="CB6" s="2">
        <v>7.7152983319631405E-5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02a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-1.1000000000000001</v>
      </c>
      <c r="L7" s="116" t="str">
        <f t="shared" ca="1" si="1"/>
        <v>Cowden Clay</v>
      </c>
      <c r="M7" s="105" t="str">
        <f t="shared" ca="1" si="2"/>
        <v>API clay</v>
      </c>
      <c r="N7" s="47">
        <f t="shared" ca="1" si="3"/>
        <v>10.199999999999999</v>
      </c>
      <c r="O7" s="63">
        <f t="shared" ca="1" si="4"/>
        <v>49</v>
      </c>
      <c r="P7" s="63">
        <f t="shared" ca="1" si="5"/>
        <v>203.63636363636371</v>
      </c>
      <c r="Q7" s="47">
        <f t="shared" ca="1" si="6"/>
        <v>0</v>
      </c>
      <c r="R7" s="47" t="e">
        <f t="shared" ca="1" si="7"/>
        <v>#N/A</v>
      </c>
      <c r="S7" s="47">
        <f t="shared" ca="1" si="8"/>
        <v>3</v>
      </c>
      <c r="T7" s="47">
        <f t="shared" ca="1" si="9"/>
        <v>0</v>
      </c>
      <c r="U7" s="75">
        <f t="shared" ca="1" si="10"/>
        <v>1.7999999999999999E-2</v>
      </c>
      <c r="V7" s="75">
        <f t="shared" ca="1" si="11"/>
        <v>0</v>
      </c>
      <c r="W7" s="47">
        <f t="shared" ca="1" si="12"/>
        <v>0.5</v>
      </c>
      <c r="X7" s="47">
        <f t="shared" ca="1" si="13"/>
        <v>17000</v>
      </c>
      <c r="Y7" s="47">
        <f t="shared" ca="1" si="14"/>
        <v>0</v>
      </c>
      <c r="Z7" s="47" t="e">
        <f t="shared" ca="1" si="15"/>
        <v>#N/A</v>
      </c>
      <c r="AA7" s="47">
        <f t="shared" ca="1" si="16"/>
        <v>1</v>
      </c>
      <c r="AB7" s="47" t="e">
        <f t="shared" ca="1" si="17"/>
        <v>#N/A</v>
      </c>
      <c r="AC7" s="63">
        <f t="shared" ca="1" si="18"/>
        <v>60000</v>
      </c>
      <c r="AD7" s="63">
        <f t="shared" ca="1" si="19"/>
        <v>223636.36363636371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 t="e">
        <f t="shared" ca="1" si="25"/>
        <v>#N/A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0</v>
      </c>
      <c r="AS7" s="33">
        <f t="shared" ca="1" si="34"/>
        <v>0.4</v>
      </c>
      <c r="AW7" s="2">
        <v>1.1000000000000001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3.3</v>
      </c>
      <c r="BE7" s="2">
        <v>6.9</v>
      </c>
      <c r="BF7" s="2">
        <v>8.1999999999999993</v>
      </c>
      <c r="BG7" s="2">
        <v>9</v>
      </c>
      <c r="BH7" s="2">
        <v>11.3</v>
      </c>
      <c r="BI7" s="2"/>
      <c r="BJ7" s="2"/>
      <c r="BK7" s="2"/>
      <c r="BL7" s="2"/>
      <c r="BM7" s="2"/>
      <c r="BN7" s="2">
        <v>95</v>
      </c>
      <c r="BO7" s="2">
        <v>28</v>
      </c>
      <c r="BP7" s="2">
        <v>40</v>
      </c>
      <c r="BQ7" s="2">
        <v>43</v>
      </c>
      <c r="BR7" s="2">
        <v>47</v>
      </c>
      <c r="BS7" s="2">
        <v>55</v>
      </c>
      <c r="BT7" s="2">
        <v>16</v>
      </c>
      <c r="BU7" s="2">
        <v>30</v>
      </c>
      <c r="BV7" s="2">
        <v>36</v>
      </c>
      <c r="BW7" s="2">
        <v>42</v>
      </c>
      <c r="BX7" s="2">
        <v>56</v>
      </c>
      <c r="BY7" s="2">
        <v>19.2</v>
      </c>
      <c r="BZ7" s="2">
        <v>1</v>
      </c>
      <c r="CA7" s="2">
        <v>0.5</v>
      </c>
      <c r="CB7" s="2">
        <v>7.7152983319631405E-5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02b</v>
      </c>
      <c r="J8" s="47">
        <f t="shared" ca="1" si="35"/>
        <v>3</v>
      </c>
      <c r="K8" s="19">
        <f t="shared" ca="1" si="36"/>
        <v>-1.65</v>
      </c>
      <c r="L8" s="116" t="str">
        <f t="shared" ca="1" si="1"/>
        <v>EW_sand_Ruled_55</v>
      </c>
      <c r="M8" s="105" t="str">
        <f t="shared" ca="1" si="2"/>
        <v>API sand</v>
      </c>
      <c r="N8" s="47">
        <f t="shared" ca="1" si="3"/>
        <v>9.3999999999999986</v>
      </c>
      <c r="O8" s="63">
        <f t="shared" ca="1" si="4"/>
        <v>0</v>
      </c>
      <c r="P8" s="63">
        <f t="shared" ca="1" si="5"/>
        <v>0</v>
      </c>
      <c r="Q8" s="47">
        <f t="shared" ca="1" si="6"/>
        <v>36</v>
      </c>
      <c r="R8" s="47">
        <f t="shared" ca="1" si="7"/>
        <v>31</v>
      </c>
      <c r="S8" s="47">
        <f t="shared" ca="1" si="8"/>
        <v>1.4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17100</v>
      </c>
      <c r="Y8" s="47">
        <f t="shared" ca="1" si="14"/>
        <v>0</v>
      </c>
      <c r="Z8" s="47">
        <f t="shared" ca="1" si="15"/>
        <v>99.799999999999969</v>
      </c>
      <c r="AA8" s="47">
        <f t="shared" ca="1" si="16"/>
        <v>1</v>
      </c>
      <c r="AB8" s="47">
        <f t="shared" ca="1" si="17"/>
        <v>10080</v>
      </c>
      <c r="AC8" s="63">
        <f t="shared" ca="1" si="18"/>
        <v>34000</v>
      </c>
      <c r="AD8" s="63">
        <f t="shared" ca="1" si="19"/>
        <v>9090.9090909090919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42.000000000000007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55</v>
      </c>
      <c r="AS8" s="33">
        <f t="shared" ca="1" si="34"/>
        <v>0.4</v>
      </c>
      <c r="AW8" s="2">
        <v>1.1000000000000001</v>
      </c>
      <c r="AX8" s="2" t="s">
        <v>255</v>
      </c>
      <c r="AY8" s="130">
        <v>23.1</v>
      </c>
      <c r="AZ8" s="2">
        <v>20.2</v>
      </c>
      <c r="BA8" s="2">
        <v>18</v>
      </c>
      <c r="BB8" s="2">
        <v>28</v>
      </c>
      <c r="BC8" s="2">
        <v>5</v>
      </c>
      <c r="BD8" s="2">
        <v>0.5</v>
      </c>
      <c r="BE8" s="2">
        <v>1.2</v>
      </c>
      <c r="BF8" s="2">
        <v>1.5</v>
      </c>
      <c r="BG8" s="2">
        <v>1.9</v>
      </c>
      <c r="BH8" s="2">
        <v>2.8</v>
      </c>
      <c r="BI8" s="2">
        <v>1</v>
      </c>
      <c r="BJ8" s="2">
        <v>49</v>
      </c>
      <c r="BK8" s="2">
        <v>82</v>
      </c>
      <c r="BL8" s="2">
        <v>118</v>
      </c>
      <c r="BM8" s="2">
        <v>197</v>
      </c>
      <c r="BN8" s="2"/>
      <c r="BO8" s="2"/>
      <c r="BP8" s="2"/>
      <c r="BQ8" s="2"/>
      <c r="BR8" s="2"/>
      <c r="BS8" s="2"/>
      <c r="BT8" s="2">
        <v>1</v>
      </c>
      <c r="BU8" s="2">
        <v>13</v>
      </c>
      <c r="BV8" s="2">
        <v>60</v>
      </c>
      <c r="BW8" s="2">
        <v>108</v>
      </c>
      <c r="BX8" s="2">
        <v>206</v>
      </c>
      <c r="BY8" s="2">
        <v>17</v>
      </c>
      <c r="BZ8" s="2">
        <v>30</v>
      </c>
      <c r="CA8" s="2">
        <v>3</v>
      </c>
      <c r="CB8" s="2">
        <v>4.7244994894879199E-7</v>
      </c>
      <c r="CC8" s="2">
        <v>1.8</v>
      </c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02c</v>
      </c>
      <c r="J9" s="47">
        <f t="shared" ca="1" si="35"/>
        <v>4</v>
      </c>
      <c r="K9" s="19">
        <f t="shared" ca="1" si="36"/>
        <v>-3.3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8.5</v>
      </c>
      <c r="O9" s="63">
        <f t="shared" ca="1" si="4"/>
        <v>21</v>
      </c>
      <c r="P9" s="63">
        <f t="shared" ca="1" si="5"/>
        <v>-1.2499999999999996</v>
      </c>
      <c r="Q9" s="47">
        <f t="shared" ca="1" si="6"/>
        <v>0</v>
      </c>
      <c r="R9" s="47" t="e">
        <f t="shared" ca="1" si="7"/>
        <v>#N/A</v>
      </c>
      <c r="S9" s="47">
        <f t="shared" ca="1" si="8"/>
        <v>1.9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4000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16000</v>
      </c>
      <c r="AD9" s="63">
        <f t="shared" ca="1" si="19"/>
        <v>0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1.65</v>
      </c>
      <c r="AX9" s="2" t="s">
        <v>255</v>
      </c>
      <c r="AY9" s="130">
        <v>23.1</v>
      </c>
      <c r="AZ9" s="2">
        <v>20.2</v>
      </c>
      <c r="BA9" s="2">
        <v>18</v>
      </c>
      <c r="BB9" s="2">
        <v>28</v>
      </c>
      <c r="BC9" s="2">
        <v>5</v>
      </c>
      <c r="BD9" s="2">
        <v>2.5</v>
      </c>
      <c r="BE9" s="2">
        <v>3.2</v>
      </c>
      <c r="BF9" s="2">
        <v>3.5</v>
      </c>
      <c r="BG9" s="2">
        <v>3.9</v>
      </c>
      <c r="BH9" s="2">
        <v>4.8</v>
      </c>
      <c r="BI9" s="2">
        <v>113</v>
      </c>
      <c r="BJ9" s="2">
        <v>161</v>
      </c>
      <c r="BK9" s="2">
        <v>193</v>
      </c>
      <c r="BL9" s="2">
        <v>230</v>
      </c>
      <c r="BM9" s="2">
        <v>309</v>
      </c>
      <c r="BN9" s="2"/>
      <c r="BO9" s="2"/>
      <c r="BP9" s="2"/>
      <c r="BQ9" s="2"/>
      <c r="BR9" s="2"/>
      <c r="BS9" s="2"/>
      <c r="BT9" s="2">
        <v>124</v>
      </c>
      <c r="BU9" s="2">
        <v>137</v>
      </c>
      <c r="BV9" s="2">
        <v>183</v>
      </c>
      <c r="BW9" s="2">
        <v>231</v>
      </c>
      <c r="BX9" s="2">
        <v>330</v>
      </c>
      <c r="BY9" s="2">
        <v>17</v>
      </c>
      <c r="BZ9" s="2">
        <v>30</v>
      </c>
      <c r="CA9" s="2">
        <v>3</v>
      </c>
      <c r="CB9" s="2">
        <v>4.7244994894879199E-7</v>
      </c>
      <c r="CC9" s="2">
        <v>1.8</v>
      </c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21a</v>
      </c>
      <c r="J10" s="47">
        <f t="shared" ca="1" si="35"/>
        <v>5</v>
      </c>
      <c r="K10" s="19">
        <f t="shared" ca="1" si="36"/>
        <v>-4.9000000000000004</v>
      </c>
      <c r="L10" s="116" t="str">
        <f t="shared" ca="1" si="1"/>
        <v>EW_sand_Ruled_67</v>
      </c>
      <c r="M10" s="105" t="str">
        <f t="shared" ca="1" si="2"/>
        <v>API sand</v>
      </c>
      <c r="N10" s="47">
        <f t="shared" ca="1" si="3"/>
        <v>9.8000000000000007</v>
      </c>
      <c r="O10" s="63">
        <f t="shared" ca="1" si="4"/>
        <v>0</v>
      </c>
      <c r="P10" s="63">
        <f t="shared" ca="1" si="5"/>
        <v>0</v>
      </c>
      <c r="Q10" s="47">
        <f t="shared" ca="1" si="6"/>
        <v>29</v>
      </c>
      <c r="R10" s="47">
        <f t="shared" ca="1" si="7"/>
        <v>24</v>
      </c>
      <c r="S10" s="47">
        <f t="shared" ca="1" si="8"/>
        <v>1.9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23800</v>
      </c>
      <c r="Y10" s="47">
        <f t="shared" ca="1" si="14"/>
        <v>0</v>
      </c>
      <c r="Z10" s="47">
        <f t="shared" ca="1" si="15"/>
        <v>78.199999999999974</v>
      </c>
      <c r="AA10" s="47">
        <f t="shared" ca="1" si="16"/>
        <v>1</v>
      </c>
      <c r="AB10" s="47">
        <f t="shared" ca="1" si="17"/>
        <v>4420</v>
      </c>
      <c r="AC10" s="63">
        <f t="shared" ca="1" si="18"/>
        <v>84000</v>
      </c>
      <c r="AD10" s="63">
        <f t="shared" ca="1" si="19"/>
        <v>2950.8196721311479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18.400000000000006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67</v>
      </c>
      <c r="AS10" s="33">
        <f t="shared" ca="1" si="34"/>
        <v>0.2</v>
      </c>
      <c r="AW10" s="2">
        <v>1.65</v>
      </c>
      <c r="AX10" s="2" t="s">
        <v>257</v>
      </c>
      <c r="AY10" s="130">
        <v>29.7</v>
      </c>
      <c r="AZ10" s="2">
        <v>19.399999999999999</v>
      </c>
      <c r="BA10" s="2"/>
      <c r="BB10" s="2">
        <v>24</v>
      </c>
      <c r="BC10" s="2"/>
      <c r="BD10" s="2">
        <v>1.2</v>
      </c>
      <c r="BE10" s="2">
        <v>2.2000000000000002</v>
      </c>
      <c r="BF10" s="2">
        <v>2.4</v>
      </c>
      <c r="BG10" s="2">
        <v>2.7</v>
      </c>
      <c r="BH10" s="2">
        <v>3.6</v>
      </c>
      <c r="BI10" s="2"/>
      <c r="BJ10" s="2"/>
      <c r="BK10" s="2"/>
      <c r="BL10" s="2"/>
      <c r="BM10" s="2"/>
      <c r="BN10" s="2">
        <v>55</v>
      </c>
      <c r="BO10" s="2">
        <v>30</v>
      </c>
      <c r="BP10" s="2">
        <v>36</v>
      </c>
      <c r="BQ10" s="2">
        <v>39</v>
      </c>
      <c r="BR10" s="2">
        <v>42</v>
      </c>
      <c r="BS10" s="2">
        <v>47</v>
      </c>
      <c r="BT10" s="2">
        <v>1</v>
      </c>
      <c r="BU10" s="2">
        <v>24</v>
      </c>
      <c r="BV10" s="2">
        <v>34</v>
      </c>
      <c r="BW10" s="2">
        <v>45</v>
      </c>
      <c r="BX10" s="2">
        <v>69</v>
      </c>
      <c r="BY10" s="2">
        <v>17.100000000000001</v>
      </c>
      <c r="BZ10" s="2">
        <v>5.4</v>
      </c>
      <c r="CA10" s="2">
        <v>1.4</v>
      </c>
      <c r="CB10" s="2">
        <v>8.8436724419172605E-7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21a</v>
      </c>
      <c r="J11" s="47">
        <f t="shared" ca="1" si="35"/>
        <v>6</v>
      </c>
      <c r="K11" s="19">
        <f t="shared" ca="1" si="36"/>
        <v>-11</v>
      </c>
      <c r="L11" s="116" t="str">
        <f t="shared" ca="1" si="1"/>
        <v>EW_sand_Ruled_59</v>
      </c>
      <c r="M11" s="105" t="str">
        <f t="shared" ca="1" si="2"/>
        <v>API sand</v>
      </c>
      <c r="N11" s="47">
        <f t="shared" ca="1" si="3"/>
        <v>9.8000000000000007</v>
      </c>
      <c r="O11" s="63">
        <f t="shared" ca="1" si="4"/>
        <v>0</v>
      </c>
      <c r="P11" s="63">
        <f t="shared" ca="1" si="5"/>
        <v>0</v>
      </c>
      <c r="Q11" s="47">
        <f t="shared" ca="1" si="6"/>
        <v>28</v>
      </c>
      <c r="R11" s="47">
        <f t="shared" ca="1" si="7"/>
        <v>23</v>
      </c>
      <c r="S11" s="47">
        <f t="shared" ca="1" si="8"/>
        <v>1.4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19900</v>
      </c>
      <c r="Y11" s="47">
        <f t="shared" ca="1" si="14"/>
        <v>0</v>
      </c>
      <c r="Z11" s="47">
        <f t="shared" ca="1" si="15"/>
        <v>75.399999999999977</v>
      </c>
      <c r="AA11" s="47">
        <f t="shared" ca="1" si="16"/>
        <v>1</v>
      </c>
      <c r="AB11" s="47">
        <f t="shared" ca="1" si="17"/>
        <v>4040</v>
      </c>
      <c r="AC11" s="63">
        <f t="shared" ca="1" si="18"/>
        <v>106000</v>
      </c>
      <c r="AD11" s="63">
        <f t="shared" ca="1" si="19"/>
        <v>-967.74193548387109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16.800000000000004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59</v>
      </c>
      <c r="AS11" s="33">
        <f t="shared" ca="1" si="34"/>
        <v>0.2</v>
      </c>
      <c r="AW11" s="2">
        <v>3.3</v>
      </c>
      <c r="AX11" s="2" t="s">
        <v>257</v>
      </c>
      <c r="AY11" s="130">
        <v>29.7</v>
      </c>
      <c r="AZ11" s="2">
        <v>19.399999999999999</v>
      </c>
      <c r="BA11" s="2"/>
      <c r="BB11" s="2">
        <v>24</v>
      </c>
      <c r="BC11" s="2"/>
      <c r="BD11" s="2">
        <v>4.2</v>
      </c>
      <c r="BE11" s="2">
        <v>5.0999999999999996</v>
      </c>
      <c r="BF11" s="2">
        <v>5.4</v>
      </c>
      <c r="BG11" s="2">
        <v>5.6</v>
      </c>
      <c r="BH11" s="2">
        <v>6.6</v>
      </c>
      <c r="BI11" s="2"/>
      <c r="BJ11" s="2"/>
      <c r="BK11" s="2"/>
      <c r="BL11" s="2"/>
      <c r="BM11" s="2"/>
      <c r="BN11" s="2">
        <v>55</v>
      </c>
      <c r="BO11" s="2">
        <v>30</v>
      </c>
      <c r="BP11" s="2">
        <v>36</v>
      </c>
      <c r="BQ11" s="2">
        <v>39</v>
      </c>
      <c r="BR11" s="2">
        <v>42</v>
      </c>
      <c r="BS11" s="2">
        <v>47</v>
      </c>
      <c r="BT11" s="2">
        <v>16</v>
      </c>
      <c r="BU11" s="2">
        <v>39</v>
      </c>
      <c r="BV11" s="2">
        <v>49</v>
      </c>
      <c r="BW11" s="2">
        <v>60</v>
      </c>
      <c r="BX11" s="2">
        <v>84</v>
      </c>
      <c r="BY11" s="2">
        <v>17.100000000000001</v>
      </c>
      <c r="BZ11" s="2">
        <v>5.4</v>
      </c>
      <c r="CA11" s="2">
        <v>1.4</v>
      </c>
      <c r="CB11" s="2">
        <v>8.8436724419172605E-7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23l</v>
      </c>
      <c r="J12" s="47">
        <f t="shared" ca="1" si="35"/>
        <v>7</v>
      </c>
      <c r="K12" s="19">
        <f t="shared" ca="1" si="36"/>
        <v>-14.1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8.8000000000000007</v>
      </c>
      <c r="O12" s="63">
        <f t="shared" ca="1" si="4"/>
        <v>349</v>
      </c>
      <c r="P12" s="63">
        <f t="shared" ca="1" si="5"/>
        <v>-1.6949152542372881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0.25</v>
      </c>
      <c r="X12" s="47">
        <f t="shared" ca="1" si="13"/>
        <v>30700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464000</v>
      </c>
      <c r="AD12" s="63">
        <f t="shared" ca="1" si="19"/>
        <v>4915.2542372881353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3.3</v>
      </c>
      <c r="AX12" s="2" t="s">
        <v>298</v>
      </c>
      <c r="AY12" s="130">
        <v>37.1</v>
      </c>
      <c r="AZ12" s="2">
        <v>18.5</v>
      </c>
      <c r="BA12" s="2">
        <v>30</v>
      </c>
      <c r="BB12" s="2">
        <v>88</v>
      </c>
      <c r="BC12" s="2">
        <v>3</v>
      </c>
      <c r="BD12" s="2">
        <v>0.5</v>
      </c>
      <c r="BE12" s="2">
        <v>0.5</v>
      </c>
      <c r="BF12" s="2">
        <v>0.5</v>
      </c>
      <c r="BG12" s="2">
        <v>0.6</v>
      </c>
      <c r="BH12" s="2">
        <v>0.6</v>
      </c>
      <c r="BI12" s="2">
        <v>9</v>
      </c>
      <c r="BJ12" s="2">
        <v>21</v>
      </c>
      <c r="BK12" s="2">
        <v>26</v>
      </c>
      <c r="BL12" s="2">
        <v>32</v>
      </c>
      <c r="BM12" s="2">
        <v>44</v>
      </c>
      <c r="BN12" s="2"/>
      <c r="BO12" s="2"/>
      <c r="BP12" s="2"/>
      <c r="BQ12" s="2"/>
      <c r="BR12" s="2"/>
      <c r="BS12" s="2"/>
      <c r="BT12" s="2">
        <v>5</v>
      </c>
      <c r="BU12" s="2">
        <v>10</v>
      </c>
      <c r="BV12" s="2">
        <v>16</v>
      </c>
      <c r="BW12" s="2">
        <v>22</v>
      </c>
      <c r="BX12" s="2">
        <v>32</v>
      </c>
      <c r="BY12" s="2">
        <v>4</v>
      </c>
      <c r="BZ12" s="2">
        <v>2.4</v>
      </c>
      <c r="CA12" s="2">
        <v>1.9</v>
      </c>
      <c r="CB12" s="2">
        <v>3.3213360711038899E-11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23m</v>
      </c>
      <c r="J13" s="47">
        <f t="shared" ca="1" si="35"/>
        <v>8</v>
      </c>
      <c r="K13" s="19">
        <f t="shared" ca="1" si="36"/>
        <v>-20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8.5</v>
      </c>
      <c r="O13" s="63">
        <f t="shared" ca="1" si="4"/>
        <v>557</v>
      </c>
      <c r="P13" s="63">
        <f t="shared" ca="1" si="5"/>
        <v>1.2727272727272727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48500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862000</v>
      </c>
      <c r="AD13" s="63">
        <f t="shared" ca="1" si="19"/>
        <v>6363.6363636363631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4.9000000000000004</v>
      </c>
      <c r="AX13" s="2" t="s">
        <v>298</v>
      </c>
      <c r="AY13" s="130">
        <v>37.1</v>
      </c>
      <c r="AZ13" s="2">
        <v>18.5</v>
      </c>
      <c r="BA13" s="2">
        <v>30</v>
      </c>
      <c r="BB13" s="2">
        <v>88</v>
      </c>
      <c r="BC13" s="2">
        <v>3</v>
      </c>
      <c r="BD13" s="2">
        <v>0.4</v>
      </c>
      <c r="BE13" s="2">
        <v>0.5</v>
      </c>
      <c r="BF13" s="2">
        <v>0.5</v>
      </c>
      <c r="BG13" s="2">
        <v>0.6</v>
      </c>
      <c r="BH13" s="2">
        <v>0.6</v>
      </c>
      <c r="BI13" s="2">
        <v>8</v>
      </c>
      <c r="BJ13" s="2">
        <v>19</v>
      </c>
      <c r="BK13" s="2">
        <v>25</v>
      </c>
      <c r="BL13" s="2">
        <v>31</v>
      </c>
      <c r="BM13" s="2">
        <v>43</v>
      </c>
      <c r="BN13" s="2"/>
      <c r="BO13" s="2"/>
      <c r="BP13" s="2"/>
      <c r="BQ13" s="2"/>
      <c r="BR13" s="2"/>
      <c r="BS13" s="2"/>
      <c r="BT13" s="2">
        <v>4</v>
      </c>
      <c r="BU13" s="2">
        <v>10</v>
      </c>
      <c r="BV13" s="2">
        <v>16</v>
      </c>
      <c r="BW13" s="2">
        <v>21</v>
      </c>
      <c r="BX13" s="2">
        <v>32</v>
      </c>
      <c r="BY13" s="2">
        <v>4</v>
      </c>
      <c r="BZ13" s="2">
        <v>2.4</v>
      </c>
      <c r="CA13" s="2">
        <v>1.9</v>
      </c>
      <c r="CB13" s="2">
        <v>3.3213360711038899E-11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23n</v>
      </c>
      <c r="J14" s="47">
        <f t="shared" ca="1" si="35"/>
        <v>9</v>
      </c>
      <c r="K14" s="19">
        <f t="shared" ca="1" si="36"/>
        <v>-25.5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8.1000000000000014</v>
      </c>
      <c r="O14" s="63">
        <f t="shared" ca="1" si="4"/>
        <v>547</v>
      </c>
      <c r="P14" s="63">
        <f t="shared" ca="1" si="5"/>
        <v>-52.615384615384613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36000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841000</v>
      </c>
      <c r="AD14" s="63">
        <f t="shared" ca="1" si="19"/>
        <v>-73384.61538461539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4.9000000000000004</v>
      </c>
      <c r="AX14" s="2" t="s">
        <v>271</v>
      </c>
      <c r="AY14" s="130">
        <v>24.7</v>
      </c>
      <c r="AZ14" s="2">
        <v>19.8</v>
      </c>
      <c r="BA14" s="2"/>
      <c r="BB14" s="2">
        <v>11</v>
      </c>
      <c r="BC14" s="2"/>
      <c r="BD14" s="2">
        <v>13.4</v>
      </c>
      <c r="BE14" s="2">
        <v>17.5</v>
      </c>
      <c r="BF14" s="2">
        <v>18</v>
      </c>
      <c r="BG14" s="2">
        <v>18.399999999999999</v>
      </c>
      <c r="BH14" s="2">
        <v>21.6</v>
      </c>
      <c r="BI14" s="2"/>
      <c r="BJ14" s="2"/>
      <c r="BK14" s="2"/>
      <c r="BL14" s="2"/>
      <c r="BM14" s="2"/>
      <c r="BN14" s="2">
        <v>67</v>
      </c>
      <c r="BO14" s="2">
        <v>26</v>
      </c>
      <c r="BP14" s="2">
        <v>29</v>
      </c>
      <c r="BQ14" s="2">
        <v>31</v>
      </c>
      <c r="BR14" s="2">
        <v>33</v>
      </c>
      <c r="BS14" s="2">
        <v>38</v>
      </c>
      <c r="BT14" s="2">
        <v>8</v>
      </c>
      <c r="BU14" s="2">
        <v>62</v>
      </c>
      <c r="BV14" s="2">
        <v>84</v>
      </c>
      <c r="BW14" s="2">
        <v>106</v>
      </c>
      <c r="BX14" s="2">
        <v>160</v>
      </c>
      <c r="BY14" s="2">
        <v>23.8</v>
      </c>
      <c r="BZ14" s="2">
        <v>9</v>
      </c>
      <c r="CA14" s="2">
        <v>1.9</v>
      </c>
      <c r="CB14" s="2">
        <v>3.4784526349384601E-6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23o</v>
      </c>
      <c r="J15" s="47">
        <f t="shared" ca="1" si="35"/>
        <v>10</v>
      </c>
      <c r="K15" s="19">
        <f t="shared" ca="1" si="36"/>
        <v>-32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8.6999999999999993</v>
      </c>
      <c r="O15" s="63">
        <f t="shared" ca="1" si="4"/>
        <v>493</v>
      </c>
      <c r="P15" s="63">
        <f t="shared" ca="1" si="5"/>
        <v>-38.285714285714285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35700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571000</v>
      </c>
      <c r="AD15" s="63">
        <f t="shared" ca="1" si="19"/>
        <v>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11</v>
      </c>
      <c r="AX15" s="2" t="s">
        <v>271</v>
      </c>
      <c r="AY15" s="130">
        <v>24.7</v>
      </c>
      <c r="AZ15" s="2">
        <v>19.8</v>
      </c>
      <c r="BA15" s="2"/>
      <c r="BB15" s="2">
        <v>11</v>
      </c>
      <c r="BC15" s="2"/>
      <c r="BD15" s="2">
        <v>10.199999999999999</v>
      </c>
      <c r="BE15" s="2">
        <v>14.3</v>
      </c>
      <c r="BF15" s="2">
        <v>14.8</v>
      </c>
      <c r="BG15" s="2">
        <v>15.2</v>
      </c>
      <c r="BH15" s="2">
        <v>18.3</v>
      </c>
      <c r="BI15" s="2"/>
      <c r="BJ15" s="2"/>
      <c r="BK15" s="2"/>
      <c r="BL15" s="2"/>
      <c r="BM15" s="2"/>
      <c r="BN15" s="2">
        <v>67</v>
      </c>
      <c r="BO15" s="2">
        <v>26</v>
      </c>
      <c r="BP15" s="2">
        <v>29</v>
      </c>
      <c r="BQ15" s="2">
        <v>31</v>
      </c>
      <c r="BR15" s="2">
        <v>33</v>
      </c>
      <c r="BS15" s="2">
        <v>38</v>
      </c>
      <c r="BT15" s="2">
        <v>26</v>
      </c>
      <c r="BU15" s="2">
        <v>80</v>
      </c>
      <c r="BV15" s="2">
        <v>102</v>
      </c>
      <c r="BW15" s="2">
        <v>125</v>
      </c>
      <c r="BX15" s="2">
        <v>179</v>
      </c>
      <c r="BY15" s="2">
        <v>23.8</v>
      </c>
      <c r="BZ15" s="2">
        <v>9</v>
      </c>
      <c r="CA15" s="2">
        <v>1.9</v>
      </c>
      <c r="CB15" s="2">
        <v>3.4784526349384601E-6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23o</v>
      </c>
      <c r="J16" s="47">
        <f t="shared" ca="1" si="35"/>
        <v>11</v>
      </c>
      <c r="K16" s="19">
        <f t="shared" ca="1" si="36"/>
        <v>-35.5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8.6999999999999993</v>
      </c>
      <c r="O16" s="63">
        <f t="shared" ca="1" si="4"/>
        <v>347</v>
      </c>
      <c r="P16" s="63">
        <f t="shared" ca="1" si="5"/>
        <v>1.3913043478260869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2.4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31300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499000</v>
      </c>
      <c r="AD16" s="63">
        <f t="shared" ca="1" si="19"/>
        <v>2956.5217391304345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11</v>
      </c>
      <c r="AX16" s="2" t="s">
        <v>271</v>
      </c>
      <c r="AY16" s="130">
        <v>24.7</v>
      </c>
      <c r="AZ16" s="2">
        <v>19.8</v>
      </c>
      <c r="BA16" s="2"/>
      <c r="BB16" s="2">
        <v>11</v>
      </c>
      <c r="BC16" s="2"/>
      <c r="BD16" s="2">
        <v>13.2</v>
      </c>
      <c r="BE16" s="2">
        <v>14.9</v>
      </c>
      <c r="BF16" s="2">
        <v>15.2</v>
      </c>
      <c r="BG16" s="2">
        <v>15.6</v>
      </c>
      <c r="BH16" s="2">
        <v>17.2</v>
      </c>
      <c r="BI16" s="2"/>
      <c r="BJ16" s="2"/>
      <c r="BK16" s="2"/>
      <c r="BL16" s="2"/>
      <c r="BM16" s="2"/>
      <c r="BN16" s="2">
        <v>59</v>
      </c>
      <c r="BO16" s="2">
        <v>26</v>
      </c>
      <c r="BP16" s="2">
        <v>28</v>
      </c>
      <c r="BQ16" s="2">
        <v>30</v>
      </c>
      <c r="BR16" s="2">
        <v>33</v>
      </c>
      <c r="BS16" s="2">
        <v>37</v>
      </c>
      <c r="BT16" s="2">
        <v>21</v>
      </c>
      <c r="BU16" s="2">
        <v>82</v>
      </c>
      <c r="BV16" s="2">
        <v>106</v>
      </c>
      <c r="BW16" s="2">
        <v>131</v>
      </c>
      <c r="BX16" s="2">
        <v>192</v>
      </c>
      <c r="BY16" s="2">
        <v>19.899999999999999</v>
      </c>
      <c r="BZ16" s="2">
        <v>5.5</v>
      </c>
      <c r="CA16" s="2">
        <v>1.4</v>
      </c>
      <c r="CB16" s="2">
        <v>4.0224109230692802E-7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23o</v>
      </c>
      <c r="J17" s="47">
        <f t="shared" ca="1" si="35"/>
        <v>12</v>
      </c>
      <c r="K17" s="19">
        <f t="shared" ca="1" si="36"/>
        <v>-47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8.6999999999999993</v>
      </c>
      <c r="O17" s="63">
        <f t="shared" ca="1" si="4"/>
        <v>219</v>
      </c>
      <c r="P17" s="63">
        <f t="shared" ca="1" si="5"/>
        <v>13.25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1.4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0.5</v>
      </c>
      <c r="X17" s="47">
        <f t="shared" ca="1" si="13"/>
        <v>23300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329000</v>
      </c>
      <c r="AD17" s="63">
        <f t="shared" ca="1" si="19"/>
        <v>19750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14.1</v>
      </c>
      <c r="AX17" s="2" t="s">
        <v>271</v>
      </c>
      <c r="AY17" s="130">
        <v>24.7</v>
      </c>
      <c r="AZ17" s="2">
        <v>19.8</v>
      </c>
      <c r="BA17" s="2"/>
      <c r="BB17" s="2">
        <v>11</v>
      </c>
      <c r="BC17" s="2"/>
      <c r="BD17" s="2">
        <v>7.9</v>
      </c>
      <c r="BE17" s="2">
        <v>9.6</v>
      </c>
      <c r="BF17" s="2">
        <v>10</v>
      </c>
      <c r="BG17" s="2">
        <v>10.3</v>
      </c>
      <c r="BH17" s="2">
        <v>11.9</v>
      </c>
      <c r="BI17" s="2"/>
      <c r="BJ17" s="2"/>
      <c r="BK17" s="2"/>
      <c r="BL17" s="2"/>
      <c r="BM17" s="2"/>
      <c r="BN17" s="2">
        <v>59</v>
      </c>
      <c r="BO17" s="2">
        <v>26</v>
      </c>
      <c r="BP17" s="2">
        <v>28</v>
      </c>
      <c r="BQ17" s="2">
        <v>30</v>
      </c>
      <c r="BR17" s="2">
        <v>33</v>
      </c>
      <c r="BS17" s="2">
        <v>37</v>
      </c>
      <c r="BT17" s="2">
        <v>17</v>
      </c>
      <c r="BU17" s="2">
        <v>78</v>
      </c>
      <c r="BV17" s="2">
        <v>103</v>
      </c>
      <c r="BW17" s="2">
        <v>127</v>
      </c>
      <c r="BX17" s="2">
        <v>188</v>
      </c>
      <c r="BY17" s="2">
        <v>19.899999999999999</v>
      </c>
      <c r="BZ17" s="2">
        <v>5.5</v>
      </c>
      <c r="CA17" s="2">
        <v>1.4</v>
      </c>
      <c r="CB17" s="2">
        <v>4.0224109230692802E-7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23q</v>
      </c>
      <c r="J18" s="47">
        <f t="shared" ca="1" si="35"/>
        <v>13</v>
      </c>
      <c r="K18" s="19">
        <f t="shared" ca="1" si="36"/>
        <v>-51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9.6999999999999993</v>
      </c>
      <c r="O18" s="63">
        <f t="shared" ca="1" si="4"/>
        <v>350</v>
      </c>
      <c r="P18" s="63">
        <f t="shared" ca="1" si="5"/>
        <v>28.666666666666668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2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0.25</v>
      </c>
      <c r="X18" s="47">
        <f t="shared" ca="1" si="13"/>
        <v>34400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543000</v>
      </c>
      <c r="AD18" s="63">
        <f t="shared" ca="1" si="19"/>
        <v>59000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14.1</v>
      </c>
      <c r="AX18" s="2" t="s">
        <v>220</v>
      </c>
      <c r="AY18" s="130">
        <v>29.5</v>
      </c>
      <c r="AZ18" s="2">
        <v>18.8</v>
      </c>
      <c r="BA18" s="2">
        <v>48</v>
      </c>
      <c r="BB18" s="2">
        <v>77</v>
      </c>
      <c r="BC18" s="2">
        <v>3</v>
      </c>
      <c r="BD18" s="2">
        <v>3.3</v>
      </c>
      <c r="BE18" s="2">
        <v>7.7</v>
      </c>
      <c r="BF18" s="2">
        <v>8.3000000000000007</v>
      </c>
      <c r="BG18" s="2">
        <v>9.3000000000000007</v>
      </c>
      <c r="BH18" s="2">
        <v>17.7</v>
      </c>
      <c r="BI18" s="2">
        <v>118</v>
      </c>
      <c r="BJ18" s="2">
        <v>349</v>
      </c>
      <c r="BK18" s="2">
        <v>401</v>
      </c>
      <c r="BL18" s="2">
        <v>468</v>
      </c>
      <c r="BM18" s="2">
        <v>890</v>
      </c>
      <c r="BN18" s="2"/>
      <c r="BO18" s="2"/>
      <c r="BP18" s="2"/>
      <c r="BQ18" s="2"/>
      <c r="BR18" s="2"/>
      <c r="BS18" s="2"/>
      <c r="BT18" s="2">
        <v>33</v>
      </c>
      <c r="BU18" s="2">
        <v>368</v>
      </c>
      <c r="BV18" s="2">
        <v>464</v>
      </c>
      <c r="BW18" s="2">
        <v>583</v>
      </c>
      <c r="BX18" s="2">
        <v>1257</v>
      </c>
      <c r="BY18" s="2">
        <v>30.7</v>
      </c>
      <c r="BZ18" s="2">
        <v>13.8</v>
      </c>
      <c r="CA18" s="2">
        <v>3</v>
      </c>
      <c r="CB18" s="2">
        <v>1.78227492195975E-9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23q</v>
      </c>
      <c r="J19" s="47">
        <f t="shared" ca="1" si="35"/>
        <v>14</v>
      </c>
      <c r="K19" s="19">
        <f t="shared" ca="1" si="36"/>
        <v>-54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9.6999999999999993</v>
      </c>
      <c r="O19" s="63">
        <f t="shared" ca="1" si="4"/>
        <v>260</v>
      </c>
      <c r="P19" s="63">
        <f t="shared" ca="1" si="5"/>
        <v>12.056737588652487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1.4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0.25</v>
      </c>
      <c r="X19" s="47">
        <f t="shared" ca="1" si="13"/>
        <v>30000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414000</v>
      </c>
      <c r="AD19" s="63">
        <f t="shared" ca="1" si="19"/>
        <v>20354.609929078022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20</v>
      </c>
      <c r="AX19" s="2" t="s">
        <v>220</v>
      </c>
      <c r="AY19" s="130">
        <v>29.5</v>
      </c>
      <c r="AZ19" s="2">
        <v>18.8</v>
      </c>
      <c r="BA19" s="2">
        <v>48</v>
      </c>
      <c r="BB19" s="2">
        <v>77</v>
      </c>
      <c r="BC19" s="2">
        <v>3</v>
      </c>
      <c r="BD19" s="2">
        <v>3.1</v>
      </c>
      <c r="BE19" s="2">
        <v>7.6</v>
      </c>
      <c r="BF19" s="2">
        <v>8.1999999999999993</v>
      </c>
      <c r="BG19" s="2">
        <v>9.1999999999999993</v>
      </c>
      <c r="BH19" s="2">
        <v>17.600000000000001</v>
      </c>
      <c r="BI19" s="2">
        <v>107</v>
      </c>
      <c r="BJ19" s="2">
        <v>339</v>
      </c>
      <c r="BK19" s="2">
        <v>390</v>
      </c>
      <c r="BL19" s="2">
        <v>457</v>
      </c>
      <c r="BM19" s="2">
        <v>879</v>
      </c>
      <c r="BN19" s="2"/>
      <c r="BO19" s="2"/>
      <c r="BP19" s="2"/>
      <c r="BQ19" s="2"/>
      <c r="BR19" s="2"/>
      <c r="BS19" s="2"/>
      <c r="BT19" s="2">
        <v>62</v>
      </c>
      <c r="BU19" s="2">
        <v>396</v>
      </c>
      <c r="BV19" s="2">
        <v>493</v>
      </c>
      <c r="BW19" s="2">
        <v>612</v>
      </c>
      <c r="BX19" s="2">
        <v>1286</v>
      </c>
      <c r="BY19" s="2">
        <v>30.7</v>
      </c>
      <c r="BZ19" s="2">
        <v>13.8</v>
      </c>
      <c r="CA19" s="2">
        <v>3</v>
      </c>
      <c r="CB19" s="2">
        <v>1.78227492195975E-9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23r</v>
      </c>
      <c r="J20" s="47">
        <f t="shared" ca="1" si="35"/>
        <v>15</v>
      </c>
      <c r="K20" s="19">
        <f t="shared" ca="1" si="36"/>
        <v>-68.099999999999994</v>
      </c>
      <c r="L20" s="116" t="str">
        <f t="shared" ca="1" si="1"/>
        <v>EW_sand_Ruled_89</v>
      </c>
      <c r="M20" s="105" t="str">
        <f t="shared" ca="1" si="2"/>
        <v>API sand</v>
      </c>
      <c r="N20" s="47">
        <f t="shared" ca="1" si="3"/>
        <v>8.6999999999999993</v>
      </c>
      <c r="O20" s="63">
        <f t="shared" ca="1" si="4"/>
        <v>0</v>
      </c>
      <c r="P20" s="63">
        <f t="shared" ca="1" si="5"/>
        <v>0</v>
      </c>
      <c r="Q20" s="47">
        <f t="shared" ca="1" si="6"/>
        <v>29</v>
      </c>
      <c r="R20" s="47">
        <f t="shared" ca="1" si="7"/>
        <v>24</v>
      </c>
      <c r="S20" s="47">
        <f t="shared" ca="1" si="8"/>
        <v>1</v>
      </c>
      <c r="T20" s="47">
        <f t="shared" ca="1" si="9"/>
        <v>0</v>
      </c>
      <c r="U20" s="75">
        <f t="shared" ca="1" si="10"/>
        <v>0</v>
      </c>
      <c r="V20" s="75">
        <f t="shared" ca="1" si="11"/>
        <v>0</v>
      </c>
      <c r="W20" s="47">
        <f t="shared" ca="1" si="12"/>
        <v>0</v>
      </c>
      <c r="X20" s="47">
        <f t="shared" ca="1" si="13"/>
        <v>75000</v>
      </c>
      <c r="Y20" s="47">
        <f t="shared" ca="1" si="14"/>
        <v>0</v>
      </c>
      <c r="Z20" s="47">
        <f t="shared" ca="1" si="15"/>
        <v>78.199999999999974</v>
      </c>
      <c r="AA20" s="47">
        <f t="shared" ca="1" si="16"/>
        <v>1</v>
      </c>
      <c r="AB20" s="47">
        <f t="shared" ca="1" si="17"/>
        <v>4420</v>
      </c>
      <c r="AC20" s="63">
        <f t="shared" ca="1" si="18"/>
        <v>273000</v>
      </c>
      <c r="AD20" s="63">
        <f t="shared" ca="1" si="19"/>
        <v>4057.9710144927503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>
        <f t="shared" ca="1" si="25"/>
        <v>18.400000000000006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89</v>
      </c>
      <c r="AS20" s="33">
        <f t="shared" ca="1" si="34"/>
        <v>0.4</v>
      </c>
      <c r="AW20" s="2">
        <v>20</v>
      </c>
      <c r="AX20" s="2" t="s">
        <v>221</v>
      </c>
      <c r="AY20" s="130">
        <v>36.1</v>
      </c>
      <c r="AZ20" s="2">
        <v>18.5</v>
      </c>
      <c r="BA20" s="2">
        <v>21</v>
      </c>
      <c r="BB20" s="2">
        <v>72</v>
      </c>
      <c r="BC20" s="2">
        <v>3</v>
      </c>
      <c r="BD20" s="2">
        <v>2.2999999999999998</v>
      </c>
      <c r="BE20" s="2">
        <v>11.8</v>
      </c>
      <c r="BF20" s="2">
        <v>13.5</v>
      </c>
      <c r="BG20" s="2">
        <v>15.3</v>
      </c>
      <c r="BH20" s="2">
        <v>24.3</v>
      </c>
      <c r="BI20" s="2">
        <v>79</v>
      </c>
      <c r="BJ20" s="2">
        <v>557</v>
      </c>
      <c r="BK20" s="2">
        <v>656</v>
      </c>
      <c r="BL20" s="2">
        <v>753</v>
      </c>
      <c r="BM20" s="2">
        <v>1208</v>
      </c>
      <c r="BN20" s="2"/>
      <c r="BO20" s="2"/>
      <c r="BP20" s="2"/>
      <c r="BQ20" s="2"/>
      <c r="BR20" s="2"/>
      <c r="BS20" s="2"/>
      <c r="BT20" s="2">
        <v>20</v>
      </c>
      <c r="BU20" s="2">
        <v>695</v>
      </c>
      <c r="BV20" s="2">
        <v>862</v>
      </c>
      <c r="BW20" s="2">
        <v>1033</v>
      </c>
      <c r="BX20" s="2">
        <v>1822</v>
      </c>
      <c r="BY20" s="2">
        <v>48.5</v>
      </c>
      <c r="BZ20" s="2">
        <v>17.899999999999999</v>
      </c>
      <c r="CA20" s="2">
        <v>3</v>
      </c>
      <c r="CB20" s="2">
        <v>2.3590554136607002E-9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>23r</v>
      </c>
      <c r="J21" s="47">
        <f t="shared" ca="1" si="35"/>
        <v>16</v>
      </c>
      <c r="K21" s="19">
        <f t="shared" ca="1" si="36"/>
        <v>-75</v>
      </c>
      <c r="L21" s="116" t="str">
        <f t="shared" ca="1" si="1"/>
        <v>EW_sand_Ruled_70</v>
      </c>
      <c r="M21" s="105" t="str">
        <f t="shared" ca="1" si="2"/>
        <v>API sand</v>
      </c>
      <c r="N21" s="47">
        <f t="shared" ca="1" si="3"/>
        <v>8.6999999999999993</v>
      </c>
      <c r="O21" s="63">
        <f t="shared" ca="1" si="4"/>
        <v>0</v>
      </c>
      <c r="P21" s="63">
        <f t="shared" ca="1" si="5"/>
        <v>0</v>
      </c>
      <c r="Q21" s="47">
        <f t="shared" ca="1" si="6"/>
        <v>28</v>
      </c>
      <c r="R21" s="47">
        <f t="shared" ca="1" si="7"/>
        <v>23</v>
      </c>
      <c r="S21" s="47">
        <f t="shared" ca="1" si="8"/>
        <v>1</v>
      </c>
      <c r="T21" s="47">
        <f t="shared" ca="1" si="9"/>
        <v>0</v>
      </c>
      <c r="U21" s="75">
        <f t="shared" ca="1" si="10"/>
        <v>0</v>
      </c>
      <c r="V21" s="75">
        <f t="shared" ca="1" si="11"/>
        <v>0</v>
      </c>
      <c r="W21" s="47">
        <f t="shared" ca="1" si="12"/>
        <v>0</v>
      </c>
      <c r="X21" s="47">
        <f t="shared" ca="1" si="13"/>
        <v>75000</v>
      </c>
      <c r="Y21" s="47">
        <f t="shared" ca="1" si="14"/>
        <v>0</v>
      </c>
      <c r="Z21" s="47">
        <f t="shared" ca="1" si="15"/>
        <v>75.399999999999977</v>
      </c>
      <c r="AA21" s="47">
        <f t="shared" ca="1" si="16"/>
        <v>1</v>
      </c>
      <c r="AB21" s="47">
        <f t="shared" ca="1" si="17"/>
        <v>4040</v>
      </c>
      <c r="AC21" s="63">
        <f t="shared" ca="1" si="18"/>
        <v>301000</v>
      </c>
      <c r="AD21" s="63">
        <f t="shared" ca="1" si="19"/>
        <v>0</v>
      </c>
      <c r="AE21" s="63">
        <f t="shared" ca="1" si="20"/>
        <v>0.3</v>
      </c>
      <c r="AF21" s="63">
        <f t="shared" ca="1" si="21"/>
        <v>0</v>
      </c>
      <c r="AG21" s="63">
        <f t="shared" ca="1" si="22"/>
        <v>0</v>
      </c>
      <c r="AH21" s="63">
        <f t="shared" ca="1" si="23"/>
        <v>0</v>
      </c>
      <c r="AI21" s="63">
        <f t="shared" ca="1" si="24"/>
        <v>0</v>
      </c>
      <c r="AJ21" s="47">
        <f t="shared" ca="1" si="25"/>
        <v>16.800000000000004</v>
      </c>
      <c r="AK21" s="47">
        <f t="shared" ca="1" si="26"/>
        <v>1</v>
      </c>
      <c r="AL21" s="47">
        <f t="shared" ca="1" si="27"/>
        <v>1</v>
      </c>
      <c r="AM21" s="47">
        <f t="shared" ca="1" si="28"/>
        <v>1</v>
      </c>
      <c r="AN21" s="47">
        <f t="shared" ca="1" si="29"/>
        <v>1</v>
      </c>
      <c r="AO21" s="47">
        <f t="shared" ca="1" si="30"/>
        <v>1</v>
      </c>
      <c r="AP21" s="47">
        <f t="shared" ca="1" si="31"/>
        <v>1</v>
      </c>
      <c r="AQ21" s="47">
        <f t="shared" ca="1" si="32"/>
        <v>0</v>
      </c>
      <c r="AR21" s="47">
        <f t="shared" ca="1" si="33"/>
        <v>70</v>
      </c>
      <c r="AS21" s="33">
        <f t="shared" ca="1" si="34"/>
        <v>0.4</v>
      </c>
      <c r="AW21" s="2">
        <v>25.5</v>
      </c>
      <c r="AX21" s="2" t="s">
        <v>221</v>
      </c>
      <c r="AY21" s="130">
        <v>36.1</v>
      </c>
      <c r="AZ21" s="2">
        <v>18.5</v>
      </c>
      <c r="BA21" s="2">
        <v>21</v>
      </c>
      <c r="BB21" s="2">
        <v>72</v>
      </c>
      <c r="BC21" s="2">
        <v>3</v>
      </c>
      <c r="BD21" s="2">
        <v>2.5</v>
      </c>
      <c r="BE21" s="2">
        <v>11.9</v>
      </c>
      <c r="BF21" s="2">
        <v>13.7</v>
      </c>
      <c r="BG21" s="2">
        <v>15.5</v>
      </c>
      <c r="BH21" s="2">
        <v>24.4</v>
      </c>
      <c r="BI21" s="2">
        <v>87</v>
      </c>
      <c r="BJ21" s="2">
        <v>564</v>
      </c>
      <c r="BK21" s="2">
        <v>664</v>
      </c>
      <c r="BL21" s="2">
        <v>760</v>
      </c>
      <c r="BM21" s="2">
        <v>1216</v>
      </c>
      <c r="BN21" s="2"/>
      <c r="BO21" s="2"/>
      <c r="BP21" s="2"/>
      <c r="BQ21" s="2"/>
      <c r="BR21" s="2"/>
      <c r="BS21" s="2"/>
      <c r="BT21" s="2">
        <v>55</v>
      </c>
      <c r="BU21" s="2">
        <v>730</v>
      </c>
      <c r="BV21" s="2">
        <v>897</v>
      </c>
      <c r="BW21" s="2">
        <v>1068</v>
      </c>
      <c r="BX21" s="2">
        <v>1857</v>
      </c>
      <c r="BY21" s="2">
        <v>48.5</v>
      </c>
      <c r="BZ21" s="2">
        <v>17.899999999999999</v>
      </c>
      <c r="CA21" s="2">
        <v>3</v>
      </c>
      <c r="CB21" s="2">
        <v>2.3590554136607002E-9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25.5</v>
      </c>
      <c r="AX22" s="2" t="s">
        <v>306</v>
      </c>
      <c r="AY22" s="130">
        <v>38.4</v>
      </c>
      <c r="AZ22" s="2">
        <v>18.100000000000001</v>
      </c>
      <c r="BA22" s="2">
        <v>34</v>
      </c>
      <c r="BB22" s="2">
        <v>77</v>
      </c>
      <c r="BC22" s="2">
        <v>3</v>
      </c>
      <c r="BD22" s="2">
        <v>7.9</v>
      </c>
      <c r="BE22" s="2">
        <v>11.7</v>
      </c>
      <c r="BF22" s="2">
        <v>13.4</v>
      </c>
      <c r="BG22" s="2">
        <v>15.7</v>
      </c>
      <c r="BH22" s="2">
        <v>26.1</v>
      </c>
      <c r="BI22" s="2">
        <v>386</v>
      </c>
      <c r="BJ22" s="2">
        <v>547</v>
      </c>
      <c r="BK22" s="2">
        <v>646</v>
      </c>
      <c r="BL22" s="2">
        <v>767</v>
      </c>
      <c r="BM22" s="2">
        <v>1297</v>
      </c>
      <c r="BN22" s="2"/>
      <c r="BO22" s="2"/>
      <c r="BP22" s="2"/>
      <c r="BQ22" s="2"/>
      <c r="BR22" s="2"/>
      <c r="BS22" s="2"/>
      <c r="BT22" s="2">
        <v>509</v>
      </c>
      <c r="BU22" s="2">
        <v>681</v>
      </c>
      <c r="BV22" s="2">
        <v>841</v>
      </c>
      <c r="BW22" s="2">
        <v>1053</v>
      </c>
      <c r="BX22" s="2">
        <v>1952</v>
      </c>
      <c r="BY22" s="2">
        <v>36</v>
      </c>
      <c r="BZ22" s="2">
        <v>10.4</v>
      </c>
      <c r="CA22" s="2">
        <v>3</v>
      </c>
      <c r="CB22" s="2">
        <v>4.0077264048341399E-10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32</v>
      </c>
      <c r="AX23" s="2" t="s">
        <v>306</v>
      </c>
      <c r="AY23" s="130">
        <v>38.4</v>
      </c>
      <c r="AZ23" s="2">
        <v>18.100000000000001</v>
      </c>
      <c r="BA23" s="2">
        <v>34</v>
      </c>
      <c r="BB23" s="2">
        <v>77</v>
      </c>
      <c r="BC23" s="2">
        <v>3</v>
      </c>
      <c r="BD23" s="2">
        <v>1.2</v>
      </c>
      <c r="BE23" s="2">
        <v>4.9000000000000004</v>
      </c>
      <c r="BF23" s="2">
        <v>6.7</v>
      </c>
      <c r="BG23" s="2">
        <v>8.9</v>
      </c>
      <c r="BH23" s="2">
        <v>19.399999999999999</v>
      </c>
      <c r="BI23" s="2">
        <v>44</v>
      </c>
      <c r="BJ23" s="2">
        <v>205</v>
      </c>
      <c r="BK23" s="2">
        <v>305</v>
      </c>
      <c r="BL23" s="2">
        <v>426</v>
      </c>
      <c r="BM23" s="2">
        <v>956</v>
      </c>
      <c r="BN23" s="2"/>
      <c r="BO23" s="2"/>
      <c r="BP23" s="2"/>
      <c r="BQ23" s="2"/>
      <c r="BR23" s="2"/>
      <c r="BS23" s="2"/>
      <c r="BT23" s="2">
        <v>32</v>
      </c>
      <c r="BU23" s="2">
        <v>204</v>
      </c>
      <c r="BV23" s="2">
        <v>364</v>
      </c>
      <c r="BW23" s="2">
        <v>575</v>
      </c>
      <c r="BX23" s="2">
        <v>1475</v>
      </c>
      <c r="BY23" s="2">
        <v>36</v>
      </c>
      <c r="BZ23" s="2">
        <v>10.4</v>
      </c>
      <c r="CA23" s="2">
        <v>3</v>
      </c>
      <c r="CB23" s="2">
        <v>4.0077264048341399E-10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32</v>
      </c>
      <c r="AX24" s="2" t="s">
        <v>310</v>
      </c>
      <c r="AY24" s="130">
        <v>34.1</v>
      </c>
      <c r="AZ24" s="2">
        <v>18.7</v>
      </c>
      <c r="BA24" s="2">
        <v>53</v>
      </c>
      <c r="BB24" s="2">
        <v>52</v>
      </c>
      <c r="BC24" s="2">
        <v>3</v>
      </c>
      <c r="BD24" s="2">
        <v>4.4000000000000004</v>
      </c>
      <c r="BE24" s="2">
        <v>10.8</v>
      </c>
      <c r="BF24" s="2">
        <v>12.1</v>
      </c>
      <c r="BG24" s="2">
        <v>16.7</v>
      </c>
      <c r="BH24" s="2">
        <v>38.6</v>
      </c>
      <c r="BI24" s="2">
        <v>184</v>
      </c>
      <c r="BJ24" s="2">
        <v>493</v>
      </c>
      <c r="BK24" s="2">
        <v>575</v>
      </c>
      <c r="BL24" s="2">
        <v>808</v>
      </c>
      <c r="BM24" s="2">
        <v>1905</v>
      </c>
      <c r="BN24" s="2"/>
      <c r="BO24" s="2"/>
      <c r="BP24" s="2"/>
      <c r="BQ24" s="2"/>
      <c r="BR24" s="2"/>
      <c r="BS24" s="2"/>
      <c r="BT24" s="2">
        <v>118</v>
      </c>
      <c r="BU24" s="2">
        <v>479</v>
      </c>
      <c r="BV24" s="2">
        <v>571</v>
      </c>
      <c r="BW24" s="2">
        <v>815</v>
      </c>
      <c r="BX24" s="2">
        <v>3369</v>
      </c>
      <c r="BY24" s="2">
        <v>35.700000000000003</v>
      </c>
      <c r="BZ24" s="2">
        <v>8.8000000000000007</v>
      </c>
      <c r="CA24" s="2">
        <v>3</v>
      </c>
      <c r="CB24" s="2">
        <v>1.9097304505326E-10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35.5</v>
      </c>
      <c r="AX25" s="2" t="s">
        <v>310</v>
      </c>
      <c r="AY25" s="130">
        <v>34.1</v>
      </c>
      <c r="AZ25" s="2">
        <v>18.7</v>
      </c>
      <c r="BA25" s="2">
        <v>53</v>
      </c>
      <c r="BB25" s="2">
        <v>52</v>
      </c>
      <c r="BC25" s="2">
        <v>3</v>
      </c>
      <c r="BD25" s="2">
        <v>1.8</v>
      </c>
      <c r="BE25" s="2">
        <v>8.1</v>
      </c>
      <c r="BF25" s="2">
        <v>9.5</v>
      </c>
      <c r="BG25" s="2">
        <v>14.1</v>
      </c>
      <c r="BH25" s="2">
        <v>35.9</v>
      </c>
      <c r="BI25" s="2">
        <v>49</v>
      </c>
      <c r="BJ25" s="2">
        <v>359</v>
      </c>
      <c r="BK25" s="2">
        <v>440</v>
      </c>
      <c r="BL25" s="2">
        <v>673</v>
      </c>
      <c r="BM25" s="2">
        <v>1770</v>
      </c>
      <c r="BN25" s="2"/>
      <c r="BO25" s="2"/>
      <c r="BP25" s="2"/>
      <c r="BQ25" s="2"/>
      <c r="BR25" s="2"/>
      <c r="BS25" s="2"/>
      <c r="BT25" s="2">
        <v>118</v>
      </c>
      <c r="BU25" s="2">
        <v>479</v>
      </c>
      <c r="BV25" s="2">
        <v>571</v>
      </c>
      <c r="BW25" s="2">
        <v>815</v>
      </c>
      <c r="BX25" s="2">
        <v>3369</v>
      </c>
      <c r="BY25" s="2">
        <v>35.700000000000003</v>
      </c>
      <c r="BZ25" s="2">
        <v>8.8000000000000007</v>
      </c>
      <c r="CA25" s="2">
        <v>3</v>
      </c>
      <c r="CB25" s="2">
        <v>1.9097304505326E-10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35.5</v>
      </c>
      <c r="AX26" s="2" t="s">
        <v>310</v>
      </c>
      <c r="AY26" s="130">
        <v>34.1</v>
      </c>
      <c r="AZ26" s="2">
        <v>18.7</v>
      </c>
      <c r="BA26" s="2">
        <v>53</v>
      </c>
      <c r="BB26" s="2">
        <v>52</v>
      </c>
      <c r="BC26" s="2">
        <v>3</v>
      </c>
      <c r="BD26" s="2">
        <v>5.2</v>
      </c>
      <c r="BE26" s="2">
        <v>8.1999999999999993</v>
      </c>
      <c r="BF26" s="2">
        <v>8.6</v>
      </c>
      <c r="BG26" s="2">
        <v>8.9</v>
      </c>
      <c r="BH26" s="2">
        <v>11.7</v>
      </c>
      <c r="BI26" s="2">
        <v>180</v>
      </c>
      <c r="BJ26" s="2">
        <v>347</v>
      </c>
      <c r="BK26" s="2">
        <v>394</v>
      </c>
      <c r="BL26" s="2">
        <v>441</v>
      </c>
      <c r="BM26" s="2">
        <v>600</v>
      </c>
      <c r="BN26" s="2"/>
      <c r="BO26" s="2"/>
      <c r="BP26" s="2"/>
      <c r="BQ26" s="2"/>
      <c r="BR26" s="2"/>
      <c r="BS26" s="2"/>
      <c r="BT26" s="2">
        <v>141</v>
      </c>
      <c r="BU26" s="2">
        <v>407</v>
      </c>
      <c r="BV26" s="2">
        <v>499</v>
      </c>
      <c r="BW26" s="2">
        <v>591</v>
      </c>
      <c r="BX26" s="2">
        <v>849</v>
      </c>
      <c r="BY26" s="2">
        <v>31.3</v>
      </c>
      <c r="BZ26" s="2">
        <v>6.6</v>
      </c>
      <c r="CA26" s="2">
        <v>2.4</v>
      </c>
      <c r="CB26" s="2">
        <v>1.5378591071683699E-10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47</v>
      </c>
      <c r="AX27" s="2" t="s">
        <v>310</v>
      </c>
      <c r="AY27" s="130">
        <v>34.1</v>
      </c>
      <c r="AZ27" s="2">
        <v>18.7</v>
      </c>
      <c r="BA27" s="2">
        <v>53</v>
      </c>
      <c r="BB27" s="2">
        <v>52</v>
      </c>
      <c r="BC27" s="2">
        <v>3</v>
      </c>
      <c r="BD27" s="2">
        <v>5.7</v>
      </c>
      <c r="BE27" s="2">
        <v>8.6999999999999993</v>
      </c>
      <c r="BF27" s="2">
        <v>9.1</v>
      </c>
      <c r="BG27" s="2">
        <v>9.4</v>
      </c>
      <c r="BH27" s="2">
        <v>12.3</v>
      </c>
      <c r="BI27" s="2">
        <v>196</v>
      </c>
      <c r="BJ27" s="2">
        <v>363</v>
      </c>
      <c r="BK27" s="2">
        <v>410</v>
      </c>
      <c r="BL27" s="2">
        <v>458</v>
      </c>
      <c r="BM27" s="2">
        <v>616</v>
      </c>
      <c r="BN27" s="2"/>
      <c r="BO27" s="2"/>
      <c r="BP27" s="2"/>
      <c r="BQ27" s="2"/>
      <c r="BR27" s="2"/>
      <c r="BS27" s="2"/>
      <c r="BT27" s="2">
        <v>175</v>
      </c>
      <c r="BU27" s="2">
        <v>441</v>
      </c>
      <c r="BV27" s="2">
        <v>533</v>
      </c>
      <c r="BW27" s="2">
        <v>625</v>
      </c>
      <c r="BX27" s="2">
        <v>883</v>
      </c>
      <c r="BY27" s="2">
        <v>31.3</v>
      </c>
      <c r="BZ27" s="2">
        <v>6.6</v>
      </c>
      <c r="CA27" s="2">
        <v>2.4</v>
      </c>
      <c r="CB27" s="2">
        <v>1.5378591071683699E-10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47</v>
      </c>
      <c r="AX28" s="2" t="s">
        <v>310</v>
      </c>
      <c r="AY28" s="130">
        <v>34.1</v>
      </c>
      <c r="AZ28" s="2">
        <v>18.7</v>
      </c>
      <c r="BA28" s="2">
        <v>53</v>
      </c>
      <c r="BB28" s="2">
        <v>52</v>
      </c>
      <c r="BC28" s="2">
        <v>3</v>
      </c>
      <c r="BD28" s="2">
        <v>4.9000000000000004</v>
      </c>
      <c r="BE28" s="2">
        <v>6</v>
      </c>
      <c r="BF28" s="2">
        <v>6.2</v>
      </c>
      <c r="BG28" s="2">
        <v>6.4</v>
      </c>
      <c r="BH28" s="2">
        <v>7.3</v>
      </c>
      <c r="BI28" s="2">
        <v>120</v>
      </c>
      <c r="BJ28" s="2">
        <v>219</v>
      </c>
      <c r="BK28" s="2">
        <v>263</v>
      </c>
      <c r="BL28" s="2">
        <v>308</v>
      </c>
      <c r="BM28" s="2">
        <v>405</v>
      </c>
      <c r="BN28" s="2"/>
      <c r="BO28" s="2"/>
      <c r="BP28" s="2"/>
      <c r="BQ28" s="2"/>
      <c r="BR28" s="2"/>
      <c r="BS28" s="2"/>
      <c r="BT28" s="2">
        <v>56</v>
      </c>
      <c r="BU28" s="2">
        <v>241</v>
      </c>
      <c r="BV28" s="2">
        <v>329</v>
      </c>
      <c r="BW28" s="2">
        <v>417</v>
      </c>
      <c r="BX28" s="2">
        <v>601</v>
      </c>
      <c r="BY28" s="2">
        <v>23.3</v>
      </c>
      <c r="BZ28" s="2">
        <v>4</v>
      </c>
      <c r="CA28" s="2">
        <v>1.4</v>
      </c>
      <c r="CB28" s="2">
        <v>3.7232772499261003E-11</v>
      </c>
      <c r="CC28" s="2">
        <v>1.8</v>
      </c>
    </row>
    <row r="29" spans="1:81" x14ac:dyDescent="0.25">
      <c r="A29" s="66"/>
      <c r="B29" s="66"/>
      <c r="C29" s="67"/>
      <c r="D29" s="35"/>
      <c r="AW29" s="2">
        <v>51</v>
      </c>
      <c r="AX29" s="2" t="s">
        <v>310</v>
      </c>
      <c r="AY29" s="130">
        <v>34.1</v>
      </c>
      <c r="AZ29" s="2">
        <v>18.7</v>
      </c>
      <c r="BA29" s="2">
        <v>53</v>
      </c>
      <c r="BB29" s="2">
        <v>52</v>
      </c>
      <c r="BC29" s="2">
        <v>3</v>
      </c>
      <c r="BD29" s="2">
        <v>6</v>
      </c>
      <c r="BE29" s="2">
        <v>7.1</v>
      </c>
      <c r="BF29" s="2">
        <v>7.3</v>
      </c>
      <c r="BG29" s="2">
        <v>7.5</v>
      </c>
      <c r="BH29" s="2">
        <v>8.5</v>
      </c>
      <c r="BI29" s="2">
        <v>174</v>
      </c>
      <c r="BJ29" s="2">
        <v>272</v>
      </c>
      <c r="BK29" s="2">
        <v>316</v>
      </c>
      <c r="BL29" s="2">
        <v>361</v>
      </c>
      <c r="BM29" s="2">
        <v>458</v>
      </c>
      <c r="BN29" s="2"/>
      <c r="BO29" s="2"/>
      <c r="BP29" s="2"/>
      <c r="BQ29" s="2"/>
      <c r="BR29" s="2"/>
      <c r="BS29" s="2"/>
      <c r="BT29" s="2">
        <v>134</v>
      </c>
      <c r="BU29" s="2">
        <v>320</v>
      </c>
      <c r="BV29" s="2">
        <v>408</v>
      </c>
      <c r="BW29" s="2">
        <v>495</v>
      </c>
      <c r="BX29" s="2">
        <v>679</v>
      </c>
      <c r="BY29" s="2">
        <v>23.3</v>
      </c>
      <c r="BZ29" s="2">
        <v>4</v>
      </c>
      <c r="CA29" s="2">
        <v>1.4</v>
      </c>
      <c r="CB29" s="2">
        <v>3.7232772499261003E-11</v>
      </c>
      <c r="CC29" s="2">
        <v>1.8</v>
      </c>
    </row>
    <row r="30" spans="1:81" x14ac:dyDescent="0.25">
      <c r="A30" s="66"/>
      <c r="B30" s="66"/>
      <c r="C30" s="67"/>
      <c r="D30" s="35"/>
      <c r="AW30" s="2">
        <v>51</v>
      </c>
      <c r="AX30" s="2" t="s">
        <v>318</v>
      </c>
      <c r="AY30" s="130">
        <v>28.8</v>
      </c>
      <c r="AZ30" s="2">
        <v>19.7</v>
      </c>
      <c r="BA30" s="2">
        <v>47</v>
      </c>
      <c r="BB30" s="2">
        <v>53</v>
      </c>
      <c r="BC30" s="2">
        <v>3</v>
      </c>
      <c r="BD30" s="2">
        <v>7.9</v>
      </c>
      <c r="BE30" s="2">
        <v>8.6</v>
      </c>
      <c r="BF30" s="2">
        <v>8.9</v>
      </c>
      <c r="BG30" s="2">
        <v>9.4</v>
      </c>
      <c r="BH30" s="2">
        <v>11.3</v>
      </c>
      <c r="BI30" s="2">
        <v>257</v>
      </c>
      <c r="BJ30" s="2">
        <v>350</v>
      </c>
      <c r="BK30" s="2">
        <v>394</v>
      </c>
      <c r="BL30" s="2">
        <v>445</v>
      </c>
      <c r="BM30" s="2">
        <v>569</v>
      </c>
      <c r="BN30" s="2"/>
      <c r="BO30" s="2"/>
      <c r="BP30" s="2"/>
      <c r="BQ30" s="2"/>
      <c r="BR30" s="2"/>
      <c r="BS30" s="2"/>
      <c r="BT30" s="2">
        <v>259</v>
      </c>
      <c r="BU30" s="2">
        <v>452</v>
      </c>
      <c r="BV30" s="2">
        <v>543</v>
      </c>
      <c r="BW30" s="2">
        <v>639</v>
      </c>
      <c r="BX30" s="2">
        <v>856</v>
      </c>
      <c r="BY30" s="2">
        <v>34.4</v>
      </c>
      <c r="BZ30" s="2">
        <v>5.6</v>
      </c>
      <c r="CA30" s="2">
        <v>2</v>
      </c>
      <c r="CB30" s="2">
        <v>1.6092994003152101E-10</v>
      </c>
      <c r="CC30" s="2">
        <v>1.8</v>
      </c>
    </row>
    <row r="31" spans="1:81" x14ac:dyDescent="0.25">
      <c r="A31" s="66"/>
      <c r="B31" s="66"/>
      <c r="C31" s="67"/>
      <c r="D31" s="35"/>
      <c r="AW31" s="2">
        <v>54</v>
      </c>
      <c r="AX31" s="2" t="s">
        <v>318</v>
      </c>
      <c r="AY31" s="130">
        <v>28.8</v>
      </c>
      <c r="AZ31" s="2">
        <v>19.7</v>
      </c>
      <c r="BA31" s="2">
        <v>47</v>
      </c>
      <c r="BB31" s="2">
        <v>53</v>
      </c>
      <c r="BC31" s="2">
        <v>3</v>
      </c>
      <c r="BD31" s="2">
        <v>9.6</v>
      </c>
      <c r="BE31" s="2">
        <v>10.4</v>
      </c>
      <c r="BF31" s="2">
        <v>10.6</v>
      </c>
      <c r="BG31" s="2">
        <v>11.2</v>
      </c>
      <c r="BH31" s="2">
        <v>13</v>
      </c>
      <c r="BI31" s="2">
        <v>343</v>
      </c>
      <c r="BJ31" s="2">
        <v>436</v>
      </c>
      <c r="BK31" s="2">
        <v>481</v>
      </c>
      <c r="BL31" s="2">
        <v>531</v>
      </c>
      <c r="BM31" s="2">
        <v>656</v>
      </c>
      <c r="BN31" s="2"/>
      <c r="BO31" s="2"/>
      <c r="BP31" s="2"/>
      <c r="BQ31" s="2"/>
      <c r="BR31" s="2"/>
      <c r="BS31" s="2"/>
      <c r="BT31" s="2">
        <v>435</v>
      </c>
      <c r="BU31" s="2">
        <v>628</v>
      </c>
      <c r="BV31" s="2">
        <v>720</v>
      </c>
      <c r="BW31" s="2">
        <v>815</v>
      </c>
      <c r="BX31" s="2">
        <v>1032</v>
      </c>
      <c r="BY31" s="2">
        <v>34.4</v>
      </c>
      <c r="BZ31" s="2">
        <v>5.6</v>
      </c>
      <c r="CA31" s="2">
        <v>2</v>
      </c>
      <c r="CB31" s="2">
        <v>1.6092994003152101E-10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54</v>
      </c>
      <c r="AX32" s="2" t="s">
        <v>318</v>
      </c>
      <c r="AY32" s="130">
        <v>28.8</v>
      </c>
      <c r="AZ32" s="2">
        <v>19.7</v>
      </c>
      <c r="BA32" s="2">
        <v>47</v>
      </c>
      <c r="BB32" s="2">
        <v>53</v>
      </c>
      <c r="BC32" s="2">
        <v>3</v>
      </c>
      <c r="BD32" s="2">
        <v>5.6</v>
      </c>
      <c r="BE32" s="2">
        <v>7</v>
      </c>
      <c r="BF32" s="2">
        <v>7.1</v>
      </c>
      <c r="BG32" s="2">
        <v>7.3</v>
      </c>
      <c r="BH32" s="2">
        <v>8.8000000000000007</v>
      </c>
      <c r="BI32" s="2">
        <v>154</v>
      </c>
      <c r="BJ32" s="2">
        <v>260</v>
      </c>
      <c r="BK32" s="2">
        <v>304</v>
      </c>
      <c r="BL32" s="2">
        <v>350</v>
      </c>
      <c r="BM32" s="2">
        <v>460</v>
      </c>
      <c r="BN32" s="2"/>
      <c r="BO32" s="2"/>
      <c r="BP32" s="2"/>
      <c r="BQ32" s="2"/>
      <c r="BR32" s="2"/>
      <c r="BS32" s="2"/>
      <c r="BT32" s="2">
        <v>126</v>
      </c>
      <c r="BU32" s="2">
        <v>324</v>
      </c>
      <c r="BV32" s="2">
        <v>414</v>
      </c>
      <c r="BW32" s="2">
        <v>504</v>
      </c>
      <c r="BX32" s="2">
        <v>710</v>
      </c>
      <c r="BY32" s="2">
        <v>30</v>
      </c>
      <c r="BZ32" s="2">
        <v>4</v>
      </c>
      <c r="CA32" s="2">
        <v>1.4</v>
      </c>
      <c r="CB32" s="2">
        <v>1.1898333119164501E-10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68.099999999999994</v>
      </c>
      <c r="AX33" s="2" t="s">
        <v>318</v>
      </c>
      <c r="AY33" s="130">
        <v>28.8</v>
      </c>
      <c r="AZ33" s="2">
        <v>19.7</v>
      </c>
      <c r="BA33" s="2">
        <v>47</v>
      </c>
      <c r="BB33" s="2">
        <v>53</v>
      </c>
      <c r="BC33" s="2">
        <v>3</v>
      </c>
      <c r="BD33" s="2">
        <v>9.3000000000000007</v>
      </c>
      <c r="BE33" s="2">
        <v>10.6</v>
      </c>
      <c r="BF33" s="2">
        <v>10.8</v>
      </c>
      <c r="BG33" s="2">
        <v>11</v>
      </c>
      <c r="BH33" s="2">
        <v>12.4</v>
      </c>
      <c r="BI33" s="2">
        <v>325</v>
      </c>
      <c r="BJ33" s="2">
        <v>430</v>
      </c>
      <c r="BK33" s="2">
        <v>475</v>
      </c>
      <c r="BL33" s="2">
        <v>521</v>
      </c>
      <c r="BM33" s="2">
        <v>631</v>
      </c>
      <c r="BN33" s="2"/>
      <c r="BO33" s="2"/>
      <c r="BP33" s="2"/>
      <c r="BQ33" s="2"/>
      <c r="BR33" s="2"/>
      <c r="BS33" s="2"/>
      <c r="BT33" s="2">
        <v>414</v>
      </c>
      <c r="BU33" s="2">
        <v>612</v>
      </c>
      <c r="BV33" s="2">
        <v>701</v>
      </c>
      <c r="BW33" s="2">
        <v>791</v>
      </c>
      <c r="BX33" s="2">
        <v>997</v>
      </c>
      <c r="BY33" s="2">
        <v>30</v>
      </c>
      <c r="BZ33" s="2">
        <v>4</v>
      </c>
      <c r="CA33" s="2">
        <v>1.4</v>
      </c>
      <c r="CB33" s="2">
        <v>1.1898333119164501E-10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68.099999999999994</v>
      </c>
      <c r="AX34" s="2" t="s">
        <v>319</v>
      </c>
      <c r="AY34" s="130">
        <v>25.6</v>
      </c>
      <c r="AZ34" s="2">
        <v>18.7</v>
      </c>
      <c r="BA34" s="2"/>
      <c r="BB34" s="2">
        <v>11</v>
      </c>
      <c r="BC34" s="2"/>
      <c r="BD34" s="2">
        <v>17.2</v>
      </c>
      <c r="BE34" s="2">
        <v>46.9</v>
      </c>
      <c r="BF34" s="2">
        <v>51.6</v>
      </c>
      <c r="BG34" s="2">
        <v>55.6</v>
      </c>
      <c r="BH34" s="2">
        <v>81.2</v>
      </c>
      <c r="BI34" s="2"/>
      <c r="BJ34" s="2"/>
      <c r="BK34" s="2"/>
      <c r="BL34" s="2"/>
      <c r="BM34" s="2"/>
      <c r="BN34" s="2">
        <v>89</v>
      </c>
      <c r="BO34" s="2">
        <v>26</v>
      </c>
      <c r="BP34" s="2">
        <v>29</v>
      </c>
      <c r="BQ34" s="2">
        <v>32</v>
      </c>
      <c r="BR34" s="2">
        <v>34</v>
      </c>
      <c r="BS34" s="2">
        <v>39</v>
      </c>
      <c r="BT34" s="2">
        <v>68</v>
      </c>
      <c r="BU34" s="2">
        <v>215</v>
      </c>
      <c r="BV34" s="2">
        <v>273</v>
      </c>
      <c r="BW34" s="2">
        <v>330</v>
      </c>
      <c r="BX34" s="2">
        <v>477</v>
      </c>
      <c r="BY34" s="2">
        <v>75</v>
      </c>
      <c r="BZ34" s="2">
        <v>3.4</v>
      </c>
      <c r="CA34" s="2">
        <v>1</v>
      </c>
      <c r="CB34" s="2">
        <v>1.23100226972296E-8</v>
      </c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75</v>
      </c>
      <c r="AX35" s="2" t="s">
        <v>319</v>
      </c>
      <c r="AY35" s="130">
        <v>25.6</v>
      </c>
      <c r="AZ35" s="2">
        <v>18.7</v>
      </c>
      <c r="BA35" s="2"/>
      <c r="BB35" s="2">
        <v>11</v>
      </c>
      <c r="BC35" s="2"/>
      <c r="BD35" s="2">
        <v>32</v>
      </c>
      <c r="BE35" s="2">
        <v>61.7</v>
      </c>
      <c r="BF35" s="2">
        <v>66.400000000000006</v>
      </c>
      <c r="BG35" s="2">
        <v>70.400000000000006</v>
      </c>
      <c r="BH35" s="2">
        <v>96</v>
      </c>
      <c r="BI35" s="2"/>
      <c r="BJ35" s="2"/>
      <c r="BK35" s="2"/>
      <c r="BL35" s="2"/>
      <c r="BM35" s="2"/>
      <c r="BN35" s="2">
        <v>89</v>
      </c>
      <c r="BO35" s="2">
        <v>26</v>
      </c>
      <c r="BP35" s="2">
        <v>29</v>
      </c>
      <c r="BQ35" s="2">
        <v>32</v>
      </c>
      <c r="BR35" s="2">
        <v>34</v>
      </c>
      <c r="BS35" s="2">
        <v>39</v>
      </c>
      <c r="BT35" s="2">
        <v>95</v>
      </c>
      <c r="BU35" s="2">
        <v>243</v>
      </c>
      <c r="BV35" s="2">
        <v>301</v>
      </c>
      <c r="BW35" s="2">
        <v>358</v>
      </c>
      <c r="BX35" s="2">
        <v>505</v>
      </c>
      <c r="BY35" s="2">
        <v>75</v>
      </c>
      <c r="BZ35" s="2">
        <v>3.4</v>
      </c>
      <c r="CA35" s="2">
        <v>1</v>
      </c>
      <c r="CB35" s="2">
        <v>1.23100226972296E-8</v>
      </c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>
        <v>75</v>
      </c>
      <c r="AX36" s="2" t="s">
        <v>319</v>
      </c>
      <c r="AY36" s="130">
        <v>25.6</v>
      </c>
      <c r="AZ36" s="2">
        <v>18.7</v>
      </c>
      <c r="BA36" s="2"/>
      <c r="BB36" s="2">
        <v>11</v>
      </c>
      <c r="BC36" s="2"/>
      <c r="BD36" s="2">
        <v>32.5</v>
      </c>
      <c r="BE36" s="2">
        <v>35.5</v>
      </c>
      <c r="BF36" s="2">
        <v>36.299999999999997</v>
      </c>
      <c r="BG36" s="2">
        <v>37</v>
      </c>
      <c r="BH36" s="2">
        <v>39.6</v>
      </c>
      <c r="BI36" s="2"/>
      <c r="BJ36" s="2"/>
      <c r="BK36" s="2"/>
      <c r="BL36" s="2"/>
      <c r="BM36" s="2"/>
      <c r="BN36" s="2">
        <v>70</v>
      </c>
      <c r="BO36" s="2">
        <v>27</v>
      </c>
      <c r="BP36" s="2">
        <v>28</v>
      </c>
      <c r="BQ36" s="2">
        <v>31</v>
      </c>
      <c r="BR36" s="2">
        <v>33</v>
      </c>
      <c r="BS36" s="2">
        <v>38</v>
      </c>
      <c r="BT36" s="2">
        <v>95</v>
      </c>
      <c r="BU36" s="2">
        <v>243</v>
      </c>
      <c r="BV36" s="2">
        <v>301</v>
      </c>
      <c r="BW36" s="2">
        <v>358</v>
      </c>
      <c r="BX36" s="2">
        <v>505</v>
      </c>
      <c r="BY36" s="2">
        <v>75</v>
      </c>
      <c r="BZ36" s="2">
        <v>3.4</v>
      </c>
      <c r="CA36" s="2">
        <v>1</v>
      </c>
      <c r="CB36" s="2">
        <v>1.23100226972296E-8</v>
      </c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>
        <v>80</v>
      </c>
      <c r="AX37" s="2" t="s">
        <v>319</v>
      </c>
      <c r="AY37" s="130">
        <v>25.6</v>
      </c>
      <c r="AZ37" s="2">
        <v>18.7</v>
      </c>
      <c r="BA37" s="2"/>
      <c r="BB37" s="2">
        <v>11</v>
      </c>
      <c r="BC37" s="2"/>
      <c r="BD37" s="2">
        <v>29.5</v>
      </c>
      <c r="BE37" s="2">
        <v>32.5</v>
      </c>
      <c r="BF37" s="2">
        <v>33.200000000000003</v>
      </c>
      <c r="BG37" s="2">
        <v>33.9</v>
      </c>
      <c r="BH37" s="2">
        <v>36.5</v>
      </c>
      <c r="BI37" s="2"/>
      <c r="BJ37" s="2"/>
      <c r="BK37" s="2"/>
      <c r="BL37" s="2"/>
      <c r="BM37" s="2"/>
      <c r="BN37" s="2">
        <v>70</v>
      </c>
      <c r="BO37" s="2">
        <v>27</v>
      </c>
      <c r="BP37" s="2">
        <v>28</v>
      </c>
      <c r="BQ37" s="2">
        <v>31</v>
      </c>
      <c r="BR37" s="2">
        <v>33</v>
      </c>
      <c r="BS37" s="2">
        <v>38</v>
      </c>
      <c r="BT37" s="2">
        <v>95</v>
      </c>
      <c r="BU37" s="2">
        <v>243</v>
      </c>
      <c r="BV37" s="2">
        <v>301</v>
      </c>
      <c r="BW37" s="2">
        <v>358</v>
      </c>
      <c r="BX37" s="2">
        <v>505</v>
      </c>
      <c r="BY37" s="2">
        <v>75</v>
      </c>
      <c r="BZ37" s="2">
        <v>3.4</v>
      </c>
      <c r="CA37" s="2">
        <v>1</v>
      </c>
      <c r="CB37" s="2">
        <v>1.23100226972296E-8</v>
      </c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765" priority="12">
      <formula>$L32="API sand"</formula>
    </cfRule>
  </conditionalFormatting>
  <conditionalFormatting sqref="R32:S36 AB32:AB35 AJ32:AL36 Z32:Z36 N32:N36">
    <cfRule type="expression" dxfId="2764" priority="11">
      <formula>$M32="API sand"</formula>
    </cfRule>
  </conditionalFormatting>
  <conditionalFormatting sqref="R32:T36 Z32:AB35 AK32:AL36 N32:N36">
    <cfRule type="expression" dxfId="2763" priority="10">
      <formula>$M32="API clay"</formula>
    </cfRule>
  </conditionalFormatting>
  <conditionalFormatting sqref="U32:W36 AM32:AP36 N32:P36">
    <cfRule type="expression" dxfId="2762" priority="7">
      <formula>$L32="Stiff clay w/o free water"</formula>
    </cfRule>
    <cfRule type="expression" dxfId="2761" priority="9">
      <formula>$L32="API clay"</formula>
    </cfRule>
  </conditionalFormatting>
  <conditionalFormatting sqref="U32:Y36 AM32:AP36 N32:P36">
    <cfRule type="expression" dxfId="2760" priority="8">
      <formula>$L32="Kirsch soft clay"</formula>
    </cfRule>
  </conditionalFormatting>
  <conditionalFormatting sqref="U32:Y36 AM32:AP36 N32:P36">
    <cfRule type="expression" dxfId="2759" priority="6">
      <formula>$L32="Kirsch stiff clay"</formula>
    </cfRule>
  </conditionalFormatting>
  <conditionalFormatting sqref="AM32:AP36 Q32:Q36 X32:Y36 N32:N36">
    <cfRule type="expression" dxfId="2758" priority="5">
      <formula>$L32="Kirsch sand"</formula>
    </cfRule>
  </conditionalFormatting>
  <conditionalFormatting sqref="AC32:AD36 AI32:AI36 AM32:AP36 N32:N36">
    <cfRule type="expression" dxfId="2757" priority="4">
      <formula>$L32="Modified Weak rock"</formula>
    </cfRule>
  </conditionalFormatting>
  <conditionalFormatting sqref="AM32:AP36 N32:P36 U32:V36">
    <cfRule type="expression" dxfId="2756" priority="3">
      <formula>$L32="Reese stiff clay"</formula>
    </cfRule>
  </conditionalFormatting>
  <conditionalFormatting sqref="AB36">
    <cfRule type="expression" dxfId="2755" priority="2">
      <formula>$M36="API sand"</formula>
    </cfRule>
  </conditionalFormatting>
  <conditionalFormatting sqref="Z36:AB36">
    <cfRule type="expression" dxfId="2754" priority="1">
      <formula>$M36="API clay"</formula>
    </cfRule>
  </conditionalFormatting>
  <conditionalFormatting sqref="AE37:AH37">
    <cfRule type="expression" dxfId="2753" priority="13">
      <formula>#REF!="Modified Weak rock"</formula>
    </cfRule>
  </conditionalFormatting>
  <dataValidations count="4">
    <dataValidation type="list" showInputMessage="1" showErrorMessage="1" sqref="M32:M36" xr:uid="{60109765-DA92-4F4D-A009-30637739DCBA}">
      <formula1>"',API sand,API clay"</formula1>
    </dataValidation>
    <dataValidation type="list" showInputMessage="1" showErrorMessage="1" sqref="L32:L255" xr:uid="{66D70195-41F1-49F9-9F82-88D54444A9A1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5401C930-55E3-4FB6-860B-26B8C8EB6149}"/>
    <dataValidation type="textLength" showInputMessage="1" showErrorMessage="1" sqref="M27:M31" xr:uid="{E2C4824A-5AE8-4B52-A5B1-F5302865CDA2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2C5D7-CC04-4B9A-A748-FF900D4FF164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Ak_Pisa_WTG5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EW_sand_Ruled_55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29</v>
      </c>
      <c r="R6" s="47">
        <f t="shared" ref="R6:R26" ca="1" si="7">IF(I6="","",IF(Q6&lt;&gt;0,Q6-5,NA()))</f>
        <v>24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1200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78.199999999999974</v>
      </c>
      <c r="AA6" s="47">
        <f t="shared" ref="AA6:AA26" ca="1" si="16">IF(I6="","",1)</f>
        <v>1</v>
      </c>
      <c r="AB6" s="47">
        <f t="shared" ref="AB6:AB26" ca="1" si="17">IF(I6="","",VLOOKUP(R6,$AE$39:$AG$59,3))</f>
        <v>4420</v>
      </c>
      <c r="AC6" s="63">
        <f t="shared" ref="AC6:AC26" ca="1" si="18">IF(I6="","",IF(OFFSET($BV$6,(ROW()-6)*2,0)=0,0,OFFSET($BV$6,(ROW()-6)*2,0)*1000))</f>
        <v>4000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20000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18.400000000000006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55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0.2</v>
      </c>
      <c r="BG6" s="2">
        <v>0.3</v>
      </c>
      <c r="BH6" s="2">
        <v>0.4</v>
      </c>
      <c r="BI6" s="2"/>
      <c r="BJ6" s="2"/>
      <c r="BK6" s="2"/>
      <c r="BL6" s="2"/>
      <c r="BM6" s="2"/>
      <c r="BN6" s="2">
        <v>55</v>
      </c>
      <c r="BO6" s="2">
        <v>23</v>
      </c>
      <c r="BP6" s="2">
        <v>29</v>
      </c>
      <c r="BQ6" s="2">
        <v>32</v>
      </c>
      <c r="BR6" s="2">
        <v>34</v>
      </c>
      <c r="BS6" s="2">
        <v>40</v>
      </c>
      <c r="BT6" s="2">
        <v>0</v>
      </c>
      <c r="BU6" s="2">
        <v>2</v>
      </c>
      <c r="BV6" s="2">
        <v>4</v>
      </c>
      <c r="BW6" s="2">
        <v>7</v>
      </c>
      <c r="BX6" s="2">
        <v>13</v>
      </c>
      <c r="BY6" s="2">
        <v>1.2</v>
      </c>
      <c r="BZ6" s="2">
        <v>1</v>
      </c>
      <c r="CA6" s="2">
        <v>0.5</v>
      </c>
      <c r="CB6" s="2">
        <v>4.1767849595061602E-5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02a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-0.5</v>
      </c>
      <c r="L7" s="116" t="str">
        <f t="shared" ca="1" si="1"/>
        <v>Cowden Clay</v>
      </c>
      <c r="M7" s="105" t="str">
        <f t="shared" ca="1" si="2"/>
        <v>API clay</v>
      </c>
      <c r="N7" s="47">
        <f t="shared" ca="1" si="3"/>
        <v>10.199999999999999</v>
      </c>
      <c r="O7" s="63">
        <f t="shared" ca="1" si="4"/>
        <v>50</v>
      </c>
      <c r="P7" s="63">
        <f t="shared" ca="1" si="5"/>
        <v>37.894736842105267</v>
      </c>
      <c r="Q7" s="47">
        <f t="shared" ca="1" si="6"/>
        <v>0</v>
      </c>
      <c r="R7" s="47" t="e">
        <f t="shared" ca="1" si="7"/>
        <v>#N/A</v>
      </c>
      <c r="S7" s="47">
        <f t="shared" ca="1" si="8"/>
        <v>3</v>
      </c>
      <c r="T7" s="47">
        <f t="shared" ca="1" si="9"/>
        <v>0</v>
      </c>
      <c r="U7" s="75">
        <f t="shared" ca="1" si="10"/>
        <v>1.7999999999999999E-2</v>
      </c>
      <c r="V7" s="75">
        <f t="shared" ca="1" si="11"/>
        <v>0</v>
      </c>
      <c r="W7" s="47">
        <f t="shared" ca="1" si="12"/>
        <v>0.5</v>
      </c>
      <c r="X7" s="47">
        <f t="shared" ca="1" si="13"/>
        <v>16200</v>
      </c>
      <c r="Y7" s="47">
        <f t="shared" ca="1" si="14"/>
        <v>0</v>
      </c>
      <c r="Z7" s="47" t="e">
        <f t="shared" ca="1" si="15"/>
        <v>#N/A</v>
      </c>
      <c r="AA7" s="47">
        <f t="shared" ca="1" si="16"/>
        <v>1</v>
      </c>
      <c r="AB7" s="47" t="e">
        <f t="shared" ca="1" si="17"/>
        <v>#N/A</v>
      </c>
      <c r="AC7" s="63">
        <f t="shared" ca="1" si="18"/>
        <v>52000</v>
      </c>
      <c r="AD7" s="63">
        <f t="shared" ca="1" si="19"/>
        <v>37894.736842105267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 t="e">
        <f t="shared" ca="1" si="25"/>
        <v>#N/A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0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0.3</v>
      </c>
      <c r="BE7" s="2">
        <v>0.4</v>
      </c>
      <c r="BF7" s="2">
        <v>0.5</v>
      </c>
      <c r="BG7" s="2">
        <v>0.6</v>
      </c>
      <c r="BH7" s="2">
        <v>0.8</v>
      </c>
      <c r="BI7" s="2"/>
      <c r="BJ7" s="2"/>
      <c r="BK7" s="2"/>
      <c r="BL7" s="2"/>
      <c r="BM7" s="2"/>
      <c r="BN7" s="2">
        <v>55</v>
      </c>
      <c r="BO7" s="2">
        <v>23</v>
      </c>
      <c r="BP7" s="2">
        <v>29</v>
      </c>
      <c r="BQ7" s="2">
        <v>32</v>
      </c>
      <c r="BR7" s="2">
        <v>34</v>
      </c>
      <c r="BS7" s="2">
        <v>40</v>
      </c>
      <c r="BT7" s="2">
        <v>5</v>
      </c>
      <c r="BU7" s="2">
        <v>11</v>
      </c>
      <c r="BV7" s="2">
        <v>14</v>
      </c>
      <c r="BW7" s="2">
        <v>16</v>
      </c>
      <c r="BX7" s="2">
        <v>22</v>
      </c>
      <c r="BY7" s="2">
        <v>1.2</v>
      </c>
      <c r="BZ7" s="2">
        <v>1</v>
      </c>
      <c r="CA7" s="2">
        <v>0.5</v>
      </c>
      <c r="CB7" s="2">
        <v>4.1767849595061602E-5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02a</v>
      </c>
      <c r="J8" s="47">
        <f t="shared" ca="1" si="35"/>
        <v>3</v>
      </c>
      <c r="K8" s="19">
        <f t="shared" ca="1" si="36"/>
        <v>-2.4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10.199999999999999</v>
      </c>
      <c r="O8" s="63">
        <f t="shared" ca="1" si="4"/>
        <v>185</v>
      </c>
      <c r="P8" s="63">
        <f t="shared" ca="1" si="5"/>
        <v>-3.125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33400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224000</v>
      </c>
      <c r="AD8" s="63">
        <f t="shared" ca="1" si="19"/>
        <v>-3125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0.5</v>
      </c>
      <c r="AX8" s="2" t="s">
        <v>255</v>
      </c>
      <c r="AY8" s="130">
        <v>23.1</v>
      </c>
      <c r="AZ8" s="2">
        <v>20.2</v>
      </c>
      <c r="BA8" s="2">
        <v>18</v>
      </c>
      <c r="BB8" s="2">
        <v>28</v>
      </c>
      <c r="BC8" s="2">
        <v>5</v>
      </c>
      <c r="BD8" s="2">
        <v>0.9</v>
      </c>
      <c r="BE8" s="2">
        <v>1.2</v>
      </c>
      <c r="BF8" s="2">
        <v>1.3</v>
      </c>
      <c r="BG8" s="2">
        <v>1.5</v>
      </c>
      <c r="BH8" s="2">
        <v>2.1</v>
      </c>
      <c r="BI8" s="2">
        <v>0</v>
      </c>
      <c r="BJ8" s="2">
        <v>50</v>
      </c>
      <c r="BK8" s="2">
        <v>73</v>
      </c>
      <c r="BL8" s="2">
        <v>98</v>
      </c>
      <c r="BM8" s="2">
        <v>155</v>
      </c>
      <c r="BN8" s="2"/>
      <c r="BO8" s="2"/>
      <c r="BP8" s="2"/>
      <c r="BQ8" s="2"/>
      <c r="BR8" s="2"/>
      <c r="BS8" s="2"/>
      <c r="BT8" s="2">
        <v>0</v>
      </c>
      <c r="BU8" s="2">
        <v>21</v>
      </c>
      <c r="BV8" s="2">
        <v>52</v>
      </c>
      <c r="BW8" s="2">
        <v>83</v>
      </c>
      <c r="BX8" s="2">
        <v>151</v>
      </c>
      <c r="BY8" s="2">
        <v>16.2</v>
      </c>
      <c r="BZ8" s="2">
        <v>27.4</v>
      </c>
      <c r="CA8" s="2">
        <v>3</v>
      </c>
      <c r="CB8" s="2">
        <v>7.5351314619470695E-9</v>
      </c>
      <c r="CC8" s="2">
        <v>1.8</v>
      </c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21c</v>
      </c>
      <c r="J9" s="47">
        <f t="shared" ca="1" si="35"/>
        <v>4</v>
      </c>
      <c r="K9" s="19">
        <f t="shared" ca="1" si="36"/>
        <v>-4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9.3000000000000007</v>
      </c>
      <c r="O9" s="63">
        <f t="shared" ca="1" si="4"/>
        <v>187</v>
      </c>
      <c r="P9" s="63">
        <f t="shared" ca="1" si="5"/>
        <v>-23.428571428571427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13200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209000</v>
      </c>
      <c r="AD9" s="63">
        <f t="shared" ca="1" si="19"/>
        <v>-24571.428571428572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2.4</v>
      </c>
      <c r="AX9" s="2" t="s">
        <v>255</v>
      </c>
      <c r="AY9" s="130">
        <v>23.1</v>
      </c>
      <c r="AZ9" s="2">
        <v>20.2</v>
      </c>
      <c r="BA9" s="2">
        <v>18</v>
      </c>
      <c r="BB9" s="2">
        <v>28</v>
      </c>
      <c r="BC9" s="2">
        <v>5</v>
      </c>
      <c r="BD9" s="2">
        <v>2.2000000000000002</v>
      </c>
      <c r="BE9" s="2">
        <v>2.5</v>
      </c>
      <c r="BF9" s="2">
        <v>2.7</v>
      </c>
      <c r="BG9" s="2">
        <v>2.8</v>
      </c>
      <c r="BH9" s="2">
        <v>3.4</v>
      </c>
      <c r="BI9" s="2">
        <v>71</v>
      </c>
      <c r="BJ9" s="2">
        <v>122</v>
      </c>
      <c r="BK9" s="2">
        <v>145</v>
      </c>
      <c r="BL9" s="2">
        <v>170</v>
      </c>
      <c r="BM9" s="2">
        <v>228</v>
      </c>
      <c r="BN9" s="2"/>
      <c r="BO9" s="2"/>
      <c r="BP9" s="2"/>
      <c r="BQ9" s="2"/>
      <c r="BR9" s="2"/>
      <c r="BS9" s="2"/>
      <c r="BT9" s="2">
        <v>31</v>
      </c>
      <c r="BU9" s="2">
        <v>93</v>
      </c>
      <c r="BV9" s="2">
        <v>124</v>
      </c>
      <c r="BW9" s="2">
        <v>156</v>
      </c>
      <c r="BX9" s="2">
        <v>223</v>
      </c>
      <c r="BY9" s="2">
        <v>16.2</v>
      </c>
      <c r="BZ9" s="2">
        <v>27.4</v>
      </c>
      <c r="CA9" s="2">
        <v>3</v>
      </c>
      <c r="CB9" s="2">
        <v>7.5351314619470695E-9</v>
      </c>
      <c r="CC9" s="2">
        <v>1.8</v>
      </c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23l</v>
      </c>
      <c r="J10" s="47">
        <f t="shared" ca="1" si="35"/>
        <v>5</v>
      </c>
      <c r="K10" s="19">
        <f t="shared" ca="1" si="36"/>
        <v>-7.5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8.8000000000000007</v>
      </c>
      <c r="O10" s="63">
        <f t="shared" ca="1" si="4"/>
        <v>175</v>
      </c>
      <c r="P10" s="63">
        <f t="shared" ca="1" si="5"/>
        <v>-7.0967741935483879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0.5</v>
      </c>
      <c r="X10" s="47">
        <f t="shared" ca="1" si="13"/>
        <v>14400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219000</v>
      </c>
      <c r="AD10" s="63">
        <f t="shared" ca="1" si="19"/>
        <v>-9354.8387096774204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2.4</v>
      </c>
      <c r="AX10" s="2" t="s">
        <v>255</v>
      </c>
      <c r="AY10" s="130">
        <v>23.1</v>
      </c>
      <c r="AZ10" s="2">
        <v>20.2</v>
      </c>
      <c r="BA10" s="2">
        <v>18</v>
      </c>
      <c r="BB10" s="2">
        <v>28</v>
      </c>
      <c r="BC10" s="2">
        <v>5</v>
      </c>
      <c r="BD10" s="2">
        <v>3.7</v>
      </c>
      <c r="BE10" s="2">
        <v>4.0999999999999996</v>
      </c>
      <c r="BF10" s="2">
        <v>4.3</v>
      </c>
      <c r="BG10" s="2">
        <v>4.4000000000000004</v>
      </c>
      <c r="BH10" s="2">
        <v>5</v>
      </c>
      <c r="BI10" s="2">
        <v>80</v>
      </c>
      <c r="BJ10" s="2">
        <v>185</v>
      </c>
      <c r="BK10" s="2">
        <v>233</v>
      </c>
      <c r="BL10" s="2">
        <v>282</v>
      </c>
      <c r="BM10" s="2">
        <v>389</v>
      </c>
      <c r="BN10" s="2"/>
      <c r="BO10" s="2"/>
      <c r="BP10" s="2"/>
      <c r="BQ10" s="2"/>
      <c r="BR10" s="2"/>
      <c r="BS10" s="2"/>
      <c r="BT10" s="2">
        <v>8</v>
      </c>
      <c r="BU10" s="2">
        <v>147</v>
      </c>
      <c r="BV10" s="2">
        <v>224</v>
      </c>
      <c r="BW10" s="2">
        <v>301</v>
      </c>
      <c r="BX10" s="2">
        <v>456</v>
      </c>
      <c r="BY10" s="2">
        <v>33.4</v>
      </c>
      <c r="BZ10" s="2">
        <v>26.5</v>
      </c>
      <c r="CA10" s="2">
        <v>3</v>
      </c>
      <c r="CB10" s="2">
        <v>1.0515941990645401E-8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23l</v>
      </c>
      <c r="J11" s="47">
        <f t="shared" ca="1" si="35"/>
        <v>6</v>
      </c>
      <c r="K11" s="19">
        <f t="shared" ca="1" si="36"/>
        <v>-13.7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8.8000000000000007</v>
      </c>
      <c r="O11" s="63">
        <f t="shared" ca="1" si="4"/>
        <v>476</v>
      </c>
      <c r="P11" s="63">
        <f t="shared" ca="1" si="5"/>
        <v>74.761904761904759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0.25</v>
      </c>
      <c r="X11" s="47">
        <f t="shared" ca="1" si="13"/>
        <v>63400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1113000</v>
      </c>
      <c r="AD11" s="63">
        <f t="shared" ca="1" si="19"/>
        <v>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4</v>
      </c>
      <c r="AX11" s="2" t="s">
        <v>255</v>
      </c>
      <c r="AY11" s="130">
        <v>23.1</v>
      </c>
      <c r="AZ11" s="2">
        <v>20.2</v>
      </c>
      <c r="BA11" s="2">
        <v>18</v>
      </c>
      <c r="BB11" s="2">
        <v>28</v>
      </c>
      <c r="BC11" s="2">
        <v>5</v>
      </c>
      <c r="BD11" s="2">
        <v>3.6</v>
      </c>
      <c r="BE11" s="2">
        <v>4</v>
      </c>
      <c r="BF11" s="2">
        <v>4.2</v>
      </c>
      <c r="BG11" s="2">
        <v>4.4000000000000004</v>
      </c>
      <c r="BH11" s="2">
        <v>4.9000000000000004</v>
      </c>
      <c r="BI11" s="2">
        <v>75</v>
      </c>
      <c r="BJ11" s="2">
        <v>180</v>
      </c>
      <c r="BK11" s="2">
        <v>228</v>
      </c>
      <c r="BL11" s="2">
        <v>277</v>
      </c>
      <c r="BM11" s="2">
        <v>384</v>
      </c>
      <c r="BN11" s="2"/>
      <c r="BO11" s="2"/>
      <c r="BP11" s="2"/>
      <c r="BQ11" s="2"/>
      <c r="BR11" s="2"/>
      <c r="BS11" s="2"/>
      <c r="BT11" s="2">
        <v>4</v>
      </c>
      <c r="BU11" s="2">
        <v>142</v>
      </c>
      <c r="BV11" s="2">
        <v>219</v>
      </c>
      <c r="BW11" s="2">
        <v>297</v>
      </c>
      <c r="BX11" s="2">
        <v>452</v>
      </c>
      <c r="BY11" s="2">
        <v>33.4</v>
      </c>
      <c r="BZ11" s="2">
        <v>26.5</v>
      </c>
      <c r="CA11" s="2">
        <v>3</v>
      </c>
      <c r="CB11" s="2">
        <v>1.0515941990645401E-8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23m</v>
      </c>
      <c r="J12" s="47">
        <f t="shared" ca="1" si="35"/>
        <v>7</v>
      </c>
      <c r="K12" s="19">
        <f t="shared" ca="1" si="36"/>
        <v>-20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8.5</v>
      </c>
      <c r="O12" s="63">
        <f t="shared" ca="1" si="4"/>
        <v>774</v>
      </c>
      <c r="P12" s="63">
        <f t="shared" ca="1" si="5"/>
        <v>0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0.25</v>
      </c>
      <c r="X12" s="47">
        <f t="shared" ca="1" si="13"/>
        <v>66100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1158000</v>
      </c>
      <c r="AD12" s="63">
        <f t="shared" ca="1" si="19"/>
        <v>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4</v>
      </c>
      <c r="AX12" s="2" t="s">
        <v>216</v>
      </c>
      <c r="AY12" s="130">
        <v>31.7</v>
      </c>
      <c r="AZ12" s="2">
        <v>19.3</v>
      </c>
      <c r="BA12" s="2">
        <v>20</v>
      </c>
      <c r="BB12" s="2">
        <v>45</v>
      </c>
      <c r="BC12" s="2">
        <v>4</v>
      </c>
      <c r="BD12" s="2">
        <v>3.1</v>
      </c>
      <c r="BE12" s="2">
        <v>4</v>
      </c>
      <c r="BF12" s="2">
        <v>4.2</v>
      </c>
      <c r="BG12" s="2">
        <v>4.4000000000000004</v>
      </c>
      <c r="BH12" s="2">
        <v>5.5</v>
      </c>
      <c r="BI12" s="2">
        <v>92</v>
      </c>
      <c r="BJ12" s="2">
        <v>187</v>
      </c>
      <c r="BK12" s="2">
        <v>227</v>
      </c>
      <c r="BL12" s="2">
        <v>268</v>
      </c>
      <c r="BM12" s="2">
        <v>370</v>
      </c>
      <c r="BN12" s="2"/>
      <c r="BO12" s="2"/>
      <c r="BP12" s="2"/>
      <c r="BQ12" s="2"/>
      <c r="BR12" s="2"/>
      <c r="BS12" s="2"/>
      <c r="BT12" s="2">
        <v>93</v>
      </c>
      <c r="BU12" s="2">
        <v>151</v>
      </c>
      <c r="BV12" s="2">
        <v>209</v>
      </c>
      <c r="BW12" s="2">
        <v>268</v>
      </c>
      <c r="BX12" s="2">
        <v>400</v>
      </c>
      <c r="BY12" s="2">
        <v>13.2</v>
      </c>
      <c r="BZ12" s="2">
        <v>17.600000000000001</v>
      </c>
      <c r="CA12" s="2">
        <v>3</v>
      </c>
      <c r="CB12" s="2">
        <v>1.9070796219061401E-9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23m</v>
      </c>
      <c r="J13" s="47">
        <f t="shared" ca="1" si="35"/>
        <v>8</v>
      </c>
      <c r="K13" s="19">
        <f t="shared" ca="1" si="36"/>
        <v>-23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8.5</v>
      </c>
      <c r="O13" s="63">
        <f t="shared" ca="1" si="4"/>
        <v>803</v>
      </c>
      <c r="P13" s="63">
        <f t="shared" ca="1" si="5"/>
        <v>0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71000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1269000</v>
      </c>
      <c r="AD13" s="63">
        <f t="shared" ca="1" si="19"/>
        <v>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7.5</v>
      </c>
      <c r="AX13" s="2" t="s">
        <v>216</v>
      </c>
      <c r="AY13" s="130">
        <v>31.7</v>
      </c>
      <c r="AZ13" s="2">
        <v>19.3</v>
      </c>
      <c r="BA13" s="2">
        <v>20</v>
      </c>
      <c r="BB13" s="2">
        <v>45</v>
      </c>
      <c r="BC13" s="2">
        <v>4</v>
      </c>
      <c r="BD13" s="2">
        <v>1.7</v>
      </c>
      <c r="BE13" s="2">
        <v>2.6</v>
      </c>
      <c r="BF13" s="2">
        <v>2.8</v>
      </c>
      <c r="BG13" s="2">
        <v>3</v>
      </c>
      <c r="BH13" s="2">
        <v>4.0999999999999996</v>
      </c>
      <c r="BI13" s="2">
        <v>10</v>
      </c>
      <c r="BJ13" s="2">
        <v>105</v>
      </c>
      <c r="BK13" s="2">
        <v>144</v>
      </c>
      <c r="BL13" s="2">
        <v>185</v>
      </c>
      <c r="BM13" s="2">
        <v>288</v>
      </c>
      <c r="BN13" s="2"/>
      <c r="BO13" s="2"/>
      <c r="BP13" s="2"/>
      <c r="BQ13" s="2"/>
      <c r="BR13" s="2"/>
      <c r="BS13" s="2"/>
      <c r="BT13" s="2">
        <v>7</v>
      </c>
      <c r="BU13" s="2">
        <v>64</v>
      </c>
      <c r="BV13" s="2">
        <v>123</v>
      </c>
      <c r="BW13" s="2">
        <v>182</v>
      </c>
      <c r="BX13" s="2">
        <v>314</v>
      </c>
      <c r="BY13" s="2">
        <v>13.2</v>
      </c>
      <c r="BZ13" s="2">
        <v>17.600000000000001</v>
      </c>
      <c r="CA13" s="2">
        <v>3</v>
      </c>
      <c r="CB13" s="2">
        <v>1.9070796219061401E-9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23n</v>
      </c>
      <c r="J14" s="47">
        <f t="shared" ca="1" si="35"/>
        <v>9</v>
      </c>
      <c r="K14" s="19">
        <f t="shared" ca="1" si="36"/>
        <v>-26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8.1000000000000014</v>
      </c>
      <c r="O14" s="63">
        <f t="shared" ca="1" si="4"/>
        <v>634</v>
      </c>
      <c r="P14" s="63">
        <f t="shared" ca="1" si="5"/>
        <v>0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55000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919000</v>
      </c>
      <c r="AD14" s="63">
        <f t="shared" ca="1" si="19"/>
        <v>0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7.5</v>
      </c>
      <c r="AX14" s="2" t="s">
        <v>220</v>
      </c>
      <c r="AY14" s="130">
        <v>29.5</v>
      </c>
      <c r="AZ14" s="2">
        <v>18.8</v>
      </c>
      <c r="BA14" s="2">
        <v>48</v>
      </c>
      <c r="BB14" s="2">
        <v>77</v>
      </c>
      <c r="BC14" s="2">
        <v>3</v>
      </c>
      <c r="BD14" s="2">
        <v>2.9</v>
      </c>
      <c r="BE14" s="2">
        <v>4.0999999999999996</v>
      </c>
      <c r="BF14" s="2">
        <v>4.3</v>
      </c>
      <c r="BG14" s="2">
        <v>4.7</v>
      </c>
      <c r="BH14" s="2">
        <v>7.2</v>
      </c>
      <c r="BI14" s="2">
        <v>91</v>
      </c>
      <c r="BJ14" s="2">
        <v>175</v>
      </c>
      <c r="BK14" s="2">
        <v>208</v>
      </c>
      <c r="BL14" s="2">
        <v>244</v>
      </c>
      <c r="BM14" s="2">
        <v>382</v>
      </c>
      <c r="BN14" s="2"/>
      <c r="BO14" s="2"/>
      <c r="BP14" s="2"/>
      <c r="BQ14" s="2"/>
      <c r="BR14" s="2"/>
      <c r="BS14" s="2"/>
      <c r="BT14" s="2">
        <v>71</v>
      </c>
      <c r="BU14" s="2">
        <v>152</v>
      </c>
      <c r="BV14" s="2">
        <v>219</v>
      </c>
      <c r="BW14" s="2">
        <v>287</v>
      </c>
      <c r="BX14" s="2">
        <v>482</v>
      </c>
      <c r="BY14" s="2">
        <v>14.4</v>
      </c>
      <c r="BZ14" s="2">
        <v>10.7</v>
      </c>
      <c r="CA14" s="2">
        <v>3</v>
      </c>
      <c r="CB14" s="2">
        <v>4.8651530536107702E-10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23o</v>
      </c>
      <c r="J15" s="47">
        <f t="shared" ca="1" si="35"/>
        <v>10</v>
      </c>
      <c r="K15" s="19">
        <f t="shared" ca="1" si="36"/>
        <v>-35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8.6999999999999993</v>
      </c>
      <c r="O15" s="63">
        <f t="shared" ca="1" si="4"/>
        <v>505</v>
      </c>
      <c r="P15" s="63">
        <f t="shared" ca="1" si="5"/>
        <v>4.2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44600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767000</v>
      </c>
      <c r="AD15" s="63">
        <f t="shared" ca="1" si="19"/>
        <v>400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13.7</v>
      </c>
      <c r="AX15" s="2" t="s">
        <v>220</v>
      </c>
      <c r="AY15" s="130">
        <v>29.5</v>
      </c>
      <c r="AZ15" s="2">
        <v>18.8</v>
      </c>
      <c r="BA15" s="2">
        <v>48</v>
      </c>
      <c r="BB15" s="2">
        <v>77</v>
      </c>
      <c r="BC15" s="2">
        <v>3</v>
      </c>
      <c r="BD15" s="2">
        <v>2.2000000000000002</v>
      </c>
      <c r="BE15" s="2">
        <v>3.4</v>
      </c>
      <c r="BF15" s="2">
        <v>3.5</v>
      </c>
      <c r="BG15" s="2">
        <v>3.9</v>
      </c>
      <c r="BH15" s="2">
        <v>6.4</v>
      </c>
      <c r="BI15" s="2">
        <v>46</v>
      </c>
      <c r="BJ15" s="2">
        <v>131</v>
      </c>
      <c r="BK15" s="2">
        <v>163</v>
      </c>
      <c r="BL15" s="2">
        <v>199</v>
      </c>
      <c r="BM15" s="2">
        <v>337</v>
      </c>
      <c r="BN15" s="2"/>
      <c r="BO15" s="2"/>
      <c r="BP15" s="2"/>
      <c r="BQ15" s="2"/>
      <c r="BR15" s="2"/>
      <c r="BS15" s="2"/>
      <c r="BT15" s="2">
        <v>13</v>
      </c>
      <c r="BU15" s="2">
        <v>94</v>
      </c>
      <c r="BV15" s="2">
        <v>161</v>
      </c>
      <c r="BW15" s="2">
        <v>229</v>
      </c>
      <c r="BX15" s="2">
        <v>424</v>
      </c>
      <c r="BY15" s="2">
        <v>14.4</v>
      </c>
      <c r="BZ15" s="2">
        <v>10.7</v>
      </c>
      <c r="CA15" s="2">
        <v>3</v>
      </c>
      <c r="CB15" s="2">
        <v>4.8651530536107702E-10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23o</v>
      </c>
      <c r="J16" s="47">
        <f t="shared" ca="1" si="35"/>
        <v>11</v>
      </c>
      <c r="K16" s="19">
        <f t="shared" ca="1" si="36"/>
        <v>-40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8.6999999999999993</v>
      </c>
      <c r="O16" s="63">
        <f t="shared" ca="1" si="4"/>
        <v>440</v>
      </c>
      <c r="P16" s="63">
        <f t="shared" ca="1" si="5"/>
        <v>-9.3333333333333339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2.7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38200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638000</v>
      </c>
      <c r="AD16" s="63">
        <f t="shared" ca="1" si="19"/>
        <v>-13000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13.7</v>
      </c>
      <c r="AX16" s="2" t="s">
        <v>220</v>
      </c>
      <c r="AY16" s="130">
        <v>29.5</v>
      </c>
      <c r="AZ16" s="2">
        <v>18.8</v>
      </c>
      <c r="BA16" s="2">
        <v>48</v>
      </c>
      <c r="BB16" s="2">
        <v>77</v>
      </c>
      <c r="BC16" s="2">
        <v>3</v>
      </c>
      <c r="BD16" s="2">
        <v>1.6</v>
      </c>
      <c r="BE16" s="2">
        <v>10.1</v>
      </c>
      <c r="BF16" s="2">
        <v>11</v>
      </c>
      <c r="BG16" s="2">
        <v>12.7</v>
      </c>
      <c r="BH16" s="2">
        <v>27.6</v>
      </c>
      <c r="BI16" s="2">
        <v>55</v>
      </c>
      <c r="BJ16" s="2">
        <v>476</v>
      </c>
      <c r="BK16" s="2">
        <v>538</v>
      </c>
      <c r="BL16" s="2">
        <v>630</v>
      </c>
      <c r="BM16" s="2">
        <v>1372</v>
      </c>
      <c r="BN16" s="2"/>
      <c r="BO16" s="2"/>
      <c r="BP16" s="2"/>
      <c r="BQ16" s="2"/>
      <c r="BR16" s="2"/>
      <c r="BS16" s="2"/>
      <c r="BT16" s="2">
        <v>192</v>
      </c>
      <c r="BU16" s="2">
        <v>1017</v>
      </c>
      <c r="BV16" s="2">
        <v>1113</v>
      </c>
      <c r="BW16" s="2">
        <v>1234</v>
      </c>
      <c r="BX16" s="2">
        <v>2966</v>
      </c>
      <c r="BY16" s="2">
        <v>63.4</v>
      </c>
      <c r="BZ16" s="2">
        <v>29.9</v>
      </c>
      <c r="CA16" s="2">
        <v>3</v>
      </c>
      <c r="CB16" s="2">
        <v>1.8628488047025701E-8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23o</v>
      </c>
      <c r="J17" s="47">
        <f t="shared" ca="1" si="35"/>
        <v>12</v>
      </c>
      <c r="K17" s="19">
        <f t="shared" ca="1" si="36"/>
        <v>-43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8.6999999999999993</v>
      </c>
      <c r="O17" s="63">
        <f t="shared" ca="1" si="4"/>
        <v>663</v>
      </c>
      <c r="P17" s="63">
        <f t="shared" ca="1" si="5"/>
        <v>34.75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3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66400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1048000</v>
      </c>
      <c r="AD17" s="63">
        <f t="shared" ca="1" si="19"/>
        <v>61500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20</v>
      </c>
      <c r="AX17" s="2" t="s">
        <v>220</v>
      </c>
      <c r="AY17" s="130">
        <v>29.5</v>
      </c>
      <c r="AZ17" s="2">
        <v>18.8</v>
      </c>
      <c r="BA17" s="2">
        <v>48</v>
      </c>
      <c r="BB17" s="2">
        <v>77</v>
      </c>
      <c r="BC17" s="2">
        <v>3</v>
      </c>
      <c r="BD17" s="2">
        <v>11.2</v>
      </c>
      <c r="BE17" s="2">
        <v>19.600000000000001</v>
      </c>
      <c r="BF17" s="2">
        <v>20.6</v>
      </c>
      <c r="BG17" s="2">
        <v>22.2</v>
      </c>
      <c r="BH17" s="2">
        <v>37.1</v>
      </c>
      <c r="BI17" s="2">
        <v>526</v>
      </c>
      <c r="BJ17" s="2">
        <v>947</v>
      </c>
      <c r="BK17" s="2">
        <v>1009</v>
      </c>
      <c r="BL17" s="2">
        <v>1101</v>
      </c>
      <c r="BM17" s="2">
        <v>1843</v>
      </c>
      <c r="BN17" s="2"/>
      <c r="BO17" s="2"/>
      <c r="BP17" s="2"/>
      <c r="BQ17" s="2"/>
      <c r="BR17" s="2"/>
      <c r="BS17" s="2"/>
      <c r="BT17" s="2">
        <v>192</v>
      </c>
      <c r="BU17" s="2">
        <v>1017</v>
      </c>
      <c r="BV17" s="2">
        <v>1113</v>
      </c>
      <c r="BW17" s="2">
        <v>1234</v>
      </c>
      <c r="BX17" s="2">
        <v>2966</v>
      </c>
      <c r="BY17" s="2">
        <v>63.4</v>
      </c>
      <c r="BZ17" s="2">
        <v>29.9</v>
      </c>
      <c r="CA17" s="2">
        <v>3</v>
      </c>
      <c r="CB17" s="2">
        <v>1.8628488047025701E-8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23r</v>
      </c>
      <c r="J18" s="47">
        <f t="shared" ca="1" si="35"/>
        <v>13</v>
      </c>
      <c r="K18" s="19">
        <f t="shared" ca="1" si="36"/>
        <v>-47</v>
      </c>
      <c r="L18" s="116" t="str">
        <f t="shared" ca="1" si="1"/>
        <v>EW_sand_Ruled_39</v>
      </c>
      <c r="M18" s="105" t="str">
        <f t="shared" ca="1" si="2"/>
        <v>API sand</v>
      </c>
      <c r="N18" s="47">
        <f t="shared" ca="1" si="3"/>
        <v>8.6999999999999993</v>
      </c>
      <c r="O18" s="63">
        <f t="shared" ca="1" si="4"/>
        <v>0</v>
      </c>
      <c r="P18" s="63">
        <f t="shared" ca="1" si="5"/>
        <v>0</v>
      </c>
      <c r="Q18" s="47">
        <f t="shared" ca="1" si="6"/>
        <v>27</v>
      </c>
      <c r="R18" s="47">
        <f t="shared" ca="1" si="7"/>
        <v>22</v>
      </c>
      <c r="S18" s="47">
        <f t="shared" ca="1" si="8"/>
        <v>0.5</v>
      </c>
      <c r="T18" s="47">
        <f t="shared" ca="1" si="9"/>
        <v>0</v>
      </c>
      <c r="U18" s="75">
        <f t="shared" ca="1" si="10"/>
        <v>0</v>
      </c>
      <c r="V18" s="75">
        <f t="shared" ca="1" si="11"/>
        <v>0</v>
      </c>
      <c r="W18" s="47">
        <f t="shared" ca="1" si="12"/>
        <v>0</v>
      </c>
      <c r="X18" s="47">
        <f t="shared" ca="1" si="13"/>
        <v>39100</v>
      </c>
      <c r="Y18" s="47">
        <f t="shared" ca="1" si="14"/>
        <v>0</v>
      </c>
      <c r="Z18" s="47">
        <f t="shared" ca="1" si="15"/>
        <v>72.59999999999998</v>
      </c>
      <c r="AA18" s="47">
        <f t="shared" ca="1" si="16"/>
        <v>1</v>
      </c>
      <c r="AB18" s="47">
        <f t="shared" ca="1" si="17"/>
        <v>3660</v>
      </c>
      <c r="AC18" s="63">
        <f t="shared" ca="1" si="18"/>
        <v>151000</v>
      </c>
      <c r="AD18" s="63">
        <f t="shared" ca="1" si="19"/>
        <v>3250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>
        <f t="shared" ca="1" si="25"/>
        <v>15.200000000000003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39</v>
      </c>
      <c r="AS18" s="33">
        <f t="shared" ca="1" si="34"/>
        <v>0.4</v>
      </c>
      <c r="AW18" s="2">
        <v>20</v>
      </c>
      <c r="AX18" s="2" t="s">
        <v>221</v>
      </c>
      <c r="AY18" s="130">
        <v>36.1</v>
      </c>
      <c r="AZ18" s="2">
        <v>18.5</v>
      </c>
      <c r="BA18" s="2">
        <v>21</v>
      </c>
      <c r="BB18" s="2">
        <v>72</v>
      </c>
      <c r="BC18" s="2">
        <v>3</v>
      </c>
      <c r="BD18" s="2">
        <v>4</v>
      </c>
      <c r="BE18" s="2">
        <v>12.9</v>
      </c>
      <c r="BF18" s="2">
        <v>14.7</v>
      </c>
      <c r="BG18" s="2">
        <v>18.2</v>
      </c>
      <c r="BH18" s="2">
        <v>35.200000000000003</v>
      </c>
      <c r="BI18" s="2">
        <v>443</v>
      </c>
      <c r="BJ18" s="2">
        <v>774</v>
      </c>
      <c r="BK18" s="2">
        <v>826</v>
      </c>
      <c r="BL18" s="2">
        <v>937</v>
      </c>
      <c r="BM18" s="2">
        <v>2114</v>
      </c>
      <c r="BN18" s="2"/>
      <c r="BO18" s="2"/>
      <c r="BP18" s="2"/>
      <c r="BQ18" s="2"/>
      <c r="BR18" s="2"/>
      <c r="BS18" s="2"/>
      <c r="BT18" s="2">
        <v>510</v>
      </c>
      <c r="BU18" s="2">
        <v>1059</v>
      </c>
      <c r="BV18" s="2">
        <v>1158</v>
      </c>
      <c r="BW18" s="2">
        <v>1383</v>
      </c>
      <c r="BX18" s="2">
        <v>3766</v>
      </c>
      <c r="BY18" s="2">
        <v>66.099999999999994</v>
      </c>
      <c r="BZ18" s="2">
        <v>25.7</v>
      </c>
      <c r="CA18" s="2">
        <v>3</v>
      </c>
      <c r="CB18" s="2">
        <v>3.6699431027444401E-9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23r</v>
      </c>
      <c r="J19" s="47">
        <f t="shared" ca="1" si="35"/>
        <v>14</v>
      </c>
      <c r="K19" s="19">
        <f t="shared" ca="1" si="36"/>
        <v>-51</v>
      </c>
      <c r="L19" s="116" t="str">
        <f t="shared" ca="1" si="1"/>
        <v>EW_sand_Ruled_66</v>
      </c>
      <c r="M19" s="105" t="str">
        <f t="shared" ca="1" si="2"/>
        <v>API sand</v>
      </c>
      <c r="N19" s="47">
        <f t="shared" ca="1" si="3"/>
        <v>8.6999999999999993</v>
      </c>
      <c r="O19" s="63">
        <f t="shared" ca="1" si="4"/>
        <v>0</v>
      </c>
      <c r="P19" s="63">
        <f t="shared" ca="1" si="5"/>
        <v>0</v>
      </c>
      <c r="Q19" s="47">
        <f t="shared" ca="1" si="6"/>
        <v>28</v>
      </c>
      <c r="R19" s="47">
        <f t="shared" ca="1" si="7"/>
        <v>23</v>
      </c>
      <c r="S19" s="47">
        <f t="shared" ca="1" si="8"/>
        <v>0.8</v>
      </c>
      <c r="T19" s="47">
        <f t="shared" ca="1" si="9"/>
        <v>0</v>
      </c>
      <c r="U19" s="75">
        <f t="shared" ca="1" si="10"/>
        <v>0</v>
      </c>
      <c r="V19" s="75">
        <f t="shared" ca="1" si="11"/>
        <v>0</v>
      </c>
      <c r="W19" s="47">
        <f t="shared" ca="1" si="12"/>
        <v>0</v>
      </c>
      <c r="X19" s="47">
        <f t="shared" ca="1" si="13"/>
        <v>42200</v>
      </c>
      <c r="Y19" s="47">
        <f t="shared" ca="1" si="14"/>
        <v>0</v>
      </c>
      <c r="Z19" s="47">
        <f t="shared" ca="1" si="15"/>
        <v>75.399999999999977</v>
      </c>
      <c r="AA19" s="47">
        <f t="shared" ca="1" si="16"/>
        <v>1</v>
      </c>
      <c r="AB19" s="47">
        <f t="shared" ca="1" si="17"/>
        <v>4040</v>
      </c>
      <c r="AC19" s="63">
        <f t="shared" ca="1" si="18"/>
        <v>198000</v>
      </c>
      <c r="AD19" s="63">
        <f t="shared" ca="1" si="19"/>
        <v>2103.4482758620688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>
        <f t="shared" ca="1" si="25"/>
        <v>16.800000000000004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66</v>
      </c>
      <c r="AS19" s="33">
        <f t="shared" ca="1" si="34"/>
        <v>0.4</v>
      </c>
      <c r="AW19" s="2">
        <v>23</v>
      </c>
      <c r="AX19" s="2" t="s">
        <v>221</v>
      </c>
      <c r="AY19" s="130">
        <v>36.1</v>
      </c>
      <c r="AZ19" s="2">
        <v>18.5</v>
      </c>
      <c r="BA19" s="2">
        <v>21</v>
      </c>
      <c r="BB19" s="2">
        <v>72</v>
      </c>
      <c r="BC19" s="2">
        <v>3</v>
      </c>
      <c r="BD19" s="2">
        <v>12.8</v>
      </c>
      <c r="BE19" s="2">
        <v>21.6</v>
      </c>
      <c r="BF19" s="2">
        <v>23.5</v>
      </c>
      <c r="BG19" s="2">
        <v>27</v>
      </c>
      <c r="BH19" s="2">
        <v>43.9</v>
      </c>
      <c r="BI19" s="2">
        <v>443</v>
      </c>
      <c r="BJ19" s="2">
        <v>774</v>
      </c>
      <c r="BK19" s="2">
        <v>826</v>
      </c>
      <c r="BL19" s="2">
        <v>937</v>
      </c>
      <c r="BM19" s="2">
        <v>2114</v>
      </c>
      <c r="BN19" s="2"/>
      <c r="BO19" s="2"/>
      <c r="BP19" s="2"/>
      <c r="BQ19" s="2"/>
      <c r="BR19" s="2"/>
      <c r="BS19" s="2"/>
      <c r="BT19" s="2">
        <v>510</v>
      </c>
      <c r="BU19" s="2">
        <v>1059</v>
      </c>
      <c r="BV19" s="2">
        <v>1158</v>
      </c>
      <c r="BW19" s="2">
        <v>1383</v>
      </c>
      <c r="BX19" s="2">
        <v>3766</v>
      </c>
      <c r="BY19" s="2">
        <v>66.099999999999994</v>
      </c>
      <c r="BZ19" s="2">
        <v>25.7</v>
      </c>
      <c r="CA19" s="2">
        <v>3</v>
      </c>
      <c r="CB19" s="2">
        <v>3.6699431027444401E-9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23</v>
      </c>
      <c r="AX20" s="2" t="s">
        <v>221</v>
      </c>
      <c r="AY20" s="130">
        <v>36.1</v>
      </c>
      <c r="AZ20" s="2">
        <v>18.5</v>
      </c>
      <c r="BA20" s="2">
        <v>21</v>
      </c>
      <c r="BB20" s="2">
        <v>72</v>
      </c>
      <c r="BC20" s="2">
        <v>3</v>
      </c>
      <c r="BD20" s="2">
        <v>25.2</v>
      </c>
      <c r="BE20" s="2">
        <v>29.6</v>
      </c>
      <c r="BF20" s="2">
        <v>32.4</v>
      </c>
      <c r="BG20" s="2">
        <v>37.9</v>
      </c>
      <c r="BH20" s="2">
        <v>64.5</v>
      </c>
      <c r="BI20" s="2">
        <v>36</v>
      </c>
      <c r="BJ20" s="2">
        <v>803</v>
      </c>
      <c r="BK20" s="2">
        <v>886</v>
      </c>
      <c r="BL20" s="2">
        <v>1064</v>
      </c>
      <c r="BM20" s="2">
        <v>3013</v>
      </c>
      <c r="BN20" s="2"/>
      <c r="BO20" s="2"/>
      <c r="BP20" s="2"/>
      <c r="BQ20" s="2"/>
      <c r="BR20" s="2"/>
      <c r="BS20" s="2"/>
      <c r="BT20" s="2">
        <v>25</v>
      </c>
      <c r="BU20" s="2">
        <v>1125</v>
      </c>
      <c r="BV20" s="2">
        <v>1269</v>
      </c>
      <c r="BW20" s="2">
        <v>1628</v>
      </c>
      <c r="BX20" s="2">
        <v>5581</v>
      </c>
      <c r="BY20" s="2">
        <v>71</v>
      </c>
      <c r="BZ20" s="2">
        <v>24.5</v>
      </c>
      <c r="CA20" s="2">
        <v>3</v>
      </c>
      <c r="CB20" s="2">
        <v>2.04000670137518E-9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26</v>
      </c>
      <c r="AX21" s="2" t="s">
        <v>221</v>
      </c>
      <c r="AY21" s="130">
        <v>36.1</v>
      </c>
      <c r="AZ21" s="2">
        <v>18.5</v>
      </c>
      <c r="BA21" s="2">
        <v>21</v>
      </c>
      <c r="BB21" s="2">
        <v>72</v>
      </c>
      <c r="BC21" s="2">
        <v>3</v>
      </c>
      <c r="BD21" s="2">
        <v>0.9</v>
      </c>
      <c r="BE21" s="2">
        <v>5.3</v>
      </c>
      <c r="BF21" s="2">
        <v>8.1</v>
      </c>
      <c r="BG21" s="2">
        <v>13.6</v>
      </c>
      <c r="BH21" s="2">
        <v>40.200000000000003</v>
      </c>
      <c r="BI21" s="2">
        <v>36</v>
      </c>
      <c r="BJ21" s="2">
        <v>803</v>
      </c>
      <c r="BK21" s="2">
        <v>886</v>
      </c>
      <c r="BL21" s="2">
        <v>1064</v>
      </c>
      <c r="BM21" s="2">
        <v>3013</v>
      </c>
      <c r="BN21" s="2"/>
      <c r="BO21" s="2"/>
      <c r="BP21" s="2"/>
      <c r="BQ21" s="2"/>
      <c r="BR21" s="2"/>
      <c r="BS21" s="2"/>
      <c r="BT21" s="2">
        <v>25</v>
      </c>
      <c r="BU21" s="2">
        <v>1125</v>
      </c>
      <c r="BV21" s="2">
        <v>1269</v>
      </c>
      <c r="BW21" s="2">
        <v>1628</v>
      </c>
      <c r="BX21" s="2">
        <v>5581</v>
      </c>
      <c r="BY21" s="2">
        <v>71</v>
      </c>
      <c r="BZ21" s="2">
        <v>24.5</v>
      </c>
      <c r="CA21" s="2">
        <v>3</v>
      </c>
      <c r="CB21" s="2">
        <v>2.04000670137518E-9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26</v>
      </c>
      <c r="AX22" s="2" t="s">
        <v>306</v>
      </c>
      <c r="AY22" s="130">
        <v>38.4</v>
      </c>
      <c r="AZ22" s="2">
        <v>18.100000000000001</v>
      </c>
      <c r="BA22" s="2">
        <v>34</v>
      </c>
      <c r="BB22" s="2">
        <v>77</v>
      </c>
      <c r="BC22" s="2">
        <v>3</v>
      </c>
      <c r="BD22" s="2">
        <v>0.9</v>
      </c>
      <c r="BE22" s="2">
        <v>6</v>
      </c>
      <c r="BF22" s="2">
        <v>7.7</v>
      </c>
      <c r="BG22" s="2">
        <v>14</v>
      </c>
      <c r="BH22" s="2">
        <v>57.2</v>
      </c>
      <c r="BI22" s="2">
        <v>159</v>
      </c>
      <c r="BJ22" s="2">
        <v>634</v>
      </c>
      <c r="BK22" s="2">
        <v>686</v>
      </c>
      <c r="BL22" s="2">
        <v>853</v>
      </c>
      <c r="BM22" s="2">
        <v>3418</v>
      </c>
      <c r="BN22" s="2"/>
      <c r="BO22" s="2"/>
      <c r="BP22" s="2"/>
      <c r="BQ22" s="2"/>
      <c r="BR22" s="2"/>
      <c r="BS22" s="2"/>
      <c r="BT22" s="2">
        <v>99</v>
      </c>
      <c r="BU22" s="2">
        <v>821</v>
      </c>
      <c r="BV22" s="2">
        <v>919</v>
      </c>
      <c r="BW22" s="2">
        <v>1250</v>
      </c>
      <c r="BX22" s="2">
        <v>6355</v>
      </c>
      <c r="BY22" s="2">
        <v>55</v>
      </c>
      <c r="BZ22" s="2">
        <v>14.9</v>
      </c>
      <c r="CA22" s="2">
        <v>3</v>
      </c>
      <c r="CB22" s="2">
        <v>5.2312942787379497E-10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35</v>
      </c>
      <c r="AX23" s="2" t="s">
        <v>306</v>
      </c>
      <c r="AY23" s="130">
        <v>38.4</v>
      </c>
      <c r="AZ23" s="2">
        <v>18.100000000000001</v>
      </c>
      <c r="BA23" s="2">
        <v>34</v>
      </c>
      <c r="BB23" s="2">
        <v>77</v>
      </c>
      <c r="BC23" s="2">
        <v>3</v>
      </c>
      <c r="BD23" s="2">
        <v>16.3</v>
      </c>
      <c r="BE23" s="2">
        <v>21.4</v>
      </c>
      <c r="BF23" s="2">
        <v>23.1</v>
      </c>
      <c r="BG23" s="2">
        <v>29.4</v>
      </c>
      <c r="BH23" s="2">
        <v>72.599999999999994</v>
      </c>
      <c r="BI23" s="2">
        <v>159</v>
      </c>
      <c r="BJ23" s="2">
        <v>634</v>
      </c>
      <c r="BK23" s="2">
        <v>686</v>
      </c>
      <c r="BL23" s="2">
        <v>853</v>
      </c>
      <c r="BM23" s="2">
        <v>3418</v>
      </c>
      <c r="BN23" s="2"/>
      <c r="BO23" s="2"/>
      <c r="BP23" s="2"/>
      <c r="BQ23" s="2"/>
      <c r="BR23" s="2"/>
      <c r="BS23" s="2"/>
      <c r="BT23" s="2">
        <v>99</v>
      </c>
      <c r="BU23" s="2">
        <v>821</v>
      </c>
      <c r="BV23" s="2">
        <v>919</v>
      </c>
      <c r="BW23" s="2">
        <v>1250</v>
      </c>
      <c r="BX23" s="2">
        <v>6355</v>
      </c>
      <c r="BY23" s="2">
        <v>55</v>
      </c>
      <c r="BZ23" s="2">
        <v>14.9</v>
      </c>
      <c r="CA23" s="2">
        <v>3</v>
      </c>
      <c r="CB23" s="2">
        <v>5.2312942787379497E-10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35</v>
      </c>
      <c r="AX24" s="2" t="s">
        <v>310</v>
      </c>
      <c r="AY24" s="130">
        <v>34.1</v>
      </c>
      <c r="AZ24" s="2">
        <v>18.7</v>
      </c>
      <c r="BA24" s="2">
        <v>53</v>
      </c>
      <c r="BB24" s="2">
        <v>52</v>
      </c>
      <c r="BC24" s="2">
        <v>3</v>
      </c>
      <c r="BD24" s="2">
        <v>7.8</v>
      </c>
      <c r="BE24" s="2">
        <v>11.2</v>
      </c>
      <c r="BF24" s="2">
        <v>11.8</v>
      </c>
      <c r="BG24" s="2">
        <v>12.6</v>
      </c>
      <c r="BH24" s="2">
        <v>18</v>
      </c>
      <c r="BI24" s="2">
        <v>318</v>
      </c>
      <c r="BJ24" s="2">
        <v>505</v>
      </c>
      <c r="BK24" s="2">
        <v>555</v>
      </c>
      <c r="BL24" s="2">
        <v>614</v>
      </c>
      <c r="BM24" s="2">
        <v>893</v>
      </c>
      <c r="BN24" s="2"/>
      <c r="BO24" s="2"/>
      <c r="BP24" s="2"/>
      <c r="BQ24" s="2"/>
      <c r="BR24" s="2"/>
      <c r="BS24" s="2"/>
      <c r="BT24" s="2">
        <v>349</v>
      </c>
      <c r="BU24" s="2">
        <v>669</v>
      </c>
      <c r="BV24" s="2">
        <v>767</v>
      </c>
      <c r="BW24" s="2">
        <v>875</v>
      </c>
      <c r="BX24" s="2">
        <v>1334</v>
      </c>
      <c r="BY24" s="2">
        <v>44.6</v>
      </c>
      <c r="BZ24" s="2">
        <v>10</v>
      </c>
      <c r="CA24" s="2">
        <v>3</v>
      </c>
      <c r="CB24" s="2">
        <v>3.04932556303702E-10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40</v>
      </c>
      <c r="AX25" s="2" t="s">
        <v>310</v>
      </c>
      <c r="AY25" s="130">
        <v>34.1</v>
      </c>
      <c r="AZ25" s="2">
        <v>18.7</v>
      </c>
      <c r="BA25" s="2">
        <v>53</v>
      </c>
      <c r="BB25" s="2">
        <v>52</v>
      </c>
      <c r="BC25" s="2">
        <v>3</v>
      </c>
      <c r="BD25" s="2">
        <v>8.3000000000000007</v>
      </c>
      <c r="BE25" s="2">
        <v>11.7</v>
      </c>
      <c r="BF25" s="2">
        <v>12.3</v>
      </c>
      <c r="BG25" s="2">
        <v>13.1</v>
      </c>
      <c r="BH25" s="2">
        <v>18.5</v>
      </c>
      <c r="BI25" s="2">
        <v>339</v>
      </c>
      <c r="BJ25" s="2">
        <v>526</v>
      </c>
      <c r="BK25" s="2">
        <v>576</v>
      </c>
      <c r="BL25" s="2">
        <v>635</v>
      </c>
      <c r="BM25" s="2">
        <v>914</v>
      </c>
      <c r="BN25" s="2"/>
      <c r="BO25" s="2"/>
      <c r="BP25" s="2"/>
      <c r="BQ25" s="2"/>
      <c r="BR25" s="2"/>
      <c r="BS25" s="2"/>
      <c r="BT25" s="2">
        <v>351</v>
      </c>
      <c r="BU25" s="2">
        <v>672</v>
      </c>
      <c r="BV25" s="2">
        <v>769</v>
      </c>
      <c r="BW25" s="2">
        <v>878</v>
      </c>
      <c r="BX25" s="2">
        <v>1336</v>
      </c>
      <c r="BY25" s="2">
        <v>44.6</v>
      </c>
      <c r="BZ25" s="2">
        <v>10</v>
      </c>
      <c r="CA25" s="2">
        <v>3</v>
      </c>
      <c r="CB25" s="2">
        <v>3.04932556303702E-10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40</v>
      </c>
      <c r="AX26" s="2" t="s">
        <v>310</v>
      </c>
      <c r="AY26" s="130">
        <v>34.1</v>
      </c>
      <c r="AZ26" s="2">
        <v>18.7</v>
      </c>
      <c r="BA26" s="2">
        <v>53</v>
      </c>
      <c r="BB26" s="2">
        <v>52</v>
      </c>
      <c r="BC26" s="2">
        <v>3</v>
      </c>
      <c r="BD26" s="2">
        <v>9.4</v>
      </c>
      <c r="BE26" s="2">
        <v>10.199999999999999</v>
      </c>
      <c r="BF26" s="2">
        <v>10.4</v>
      </c>
      <c r="BG26" s="2">
        <v>10.7</v>
      </c>
      <c r="BH26" s="2">
        <v>11.6</v>
      </c>
      <c r="BI26" s="2">
        <v>346</v>
      </c>
      <c r="BJ26" s="2">
        <v>440</v>
      </c>
      <c r="BK26" s="2">
        <v>483</v>
      </c>
      <c r="BL26" s="2">
        <v>527</v>
      </c>
      <c r="BM26" s="2">
        <v>623</v>
      </c>
      <c r="BN26" s="2"/>
      <c r="BO26" s="2"/>
      <c r="BP26" s="2"/>
      <c r="BQ26" s="2"/>
      <c r="BR26" s="2"/>
      <c r="BS26" s="2"/>
      <c r="BT26" s="2">
        <v>373</v>
      </c>
      <c r="BU26" s="2">
        <v>552</v>
      </c>
      <c r="BV26" s="2">
        <v>638</v>
      </c>
      <c r="BW26" s="2">
        <v>724</v>
      </c>
      <c r="BX26" s="2">
        <v>906</v>
      </c>
      <c r="BY26" s="2">
        <v>38.200000000000003</v>
      </c>
      <c r="BZ26" s="2">
        <v>7.9</v>
      </c>
      <c r="CA26" s="2">
        <v>2.7</v>
      </c>
      <c r="CB26" s="2">
        <v>4.2542965032135899E-10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43</v>
      </c>
      <c r="AX27" s="2" t="s">
        <v>310</v>
      </c>
      <c r="AY27" s="130">
        <v>34.1</v>
      </c>
      <c r="AZ27" s="2">
        <v>18.7</v>
      </c>
      <c r="BA27" s="2">
        <v>53</v>
      </c>
      <c r="BB27" s="2">
        <v>52</v>
      </c>
      <c r="BC27" s="2">
        <v>3</v>
      </c>
      <c r="BD27" s="2">
        <v>8.8000000000000007</v>
      </c>
      <c r="BE27" s="2">
        <v>9.6999999999999993</v>
      </c>
      <c r="BF27" s="2">
        <v>9.9</v>
      </c>
      <c r="BG27" s="2">
        <v>10.1</v>
      </c>
      <c r="BH27" s="2">
        <v>11.1</v>
      </c>
      <c r="BI27" s="2">
        <v>319</v>
      </c>
      <c r="BJ27" s="2">
        <v>412</v>
      </c>
      <c r="BK27" s="2">
        <v>455</v>
      </c>
      <c r="BL27" s="2">
        <v>500</v>
      </c>
      <c r="BM27" s="2">
        <v>595</v>
      </c>
      <c r="BN27" s="2"/>
      <c r="BO27" s="2"/>
      <c r="BP27" s="2"/>
      <c r="BQ27" s="2"/>
      <c r="BR27" s="2"/>
      <c r="BS27" s="2"/>
      <c r="BT27" s="2">
        <v>334</v>
      </c>
      <c r="BU27" s="2">
        <v>513</v>
      </c>
      <c r="BV27" s="2">
        <v>599</v>
      </c>
      <c r="BW27" s="2">
        <v>685</v>
      </c>
      <c r="BX27" s="2">
        <v>867</v>
      </c>
      <c r="BY27" s="2">
        <v>38.200000000000003</v>
      </c>
      <c r="BZ27" s="2">
        <v>7.9</v>
      </c>
      <c r="CA27" s="2">
        <v>2.7</v>
      </c>
      <c r="CB27" s="2">
        <v>4.2542965032135899E-10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43</v>
      </c>
      <c r="AX28" s="2" t="s">
        <v>310</v>
      </c>
      <c r="AY28" s="130">
        <v>34.1</v>
      </c>
      <c r="AZ28" s="2">
        <v>18.7</v>
      </c>
      <c r="BA28" s="2">
        <v>53</v>
      </c>
      <c r="BB28" s="2">
        <v>52</v>
      </c>
      <c r="BC28" s="2">
        <v>3</v>
      </c>
      <c r="BD28" s="2">
        <v>7.7</v>
      </c>
      <c r="BE28" s="2">
        <v>14.3</v>
      </c>
      <c r="BF28" s="2">
        <v>15.5</v>
      </c>
      <c r="BG28" s="2">
        <v>16.399999999999999</v>
      </c>
      <c r="BH28" s="2">
        <v>21.6</v>
      </c>
      <c r="BI28" s="2">
        <v>328</v>
      </c>
      <c r="BJ28" s="2">
        <v>663</v>
      </c>
      <c r="BK28" s="2">
        <v>733</v>
      </c>
      <c r="BL28" s="2">
        <v>795</v>
      </c>
      <c r="BM28" s="2">
        <v>1063</v>
      </c>
      <c r="BN28" s="2"/>
      <c r="BO28" s="2"/>
      <c r="BP28" s="2"/>
      <c r="BQ28" s="2"/>
      <c r="BR28" s="2"/>
      <c r="BS28" s="2"/>
      <c r="BT28" s="2">
        <v>356</v>
      </c>
      <c r="BU28" s="2">
        <v>922</v>
      </c>
      <c r="BV28" s="2">
        <v>1048</v>
      </c>
      <c r="BW28" s="2">
        <v>1161</v>
      </c>
      <c r="BX28" s="2">
        <v>1623</v>
      </c>
      <c r="BY28" s="2">
        <v>66.400000000000006</v>
      </c>
      <c r="BZ28" s="2">
        <v>12.5</v>
      </c>
      <c r="CA28" s="2">
        <v>3</v>
      </c>
      <c r="CB28" s="2">
        <v>5.1436245813136402E-10</v>
      </c>
      <c r="CC28" s="2">
        <v>1.8</v>
      </c>
    </row>
    <row r="29" spans="1:81" x14ac:dyDescent="0.25">
      <c r="A29" s="66"/>
      <c r="B29" s="66"/>
      <c r="C29" s="67"/>
      <c r="D29" s="35"/>
      <c r="AW29" s="2">
        <v>47</v>
      </c>
      <c r="AX29" s="2" t="s">
        <v>310</v>
      </c>
      <c r="AY29" s="130">
        <v>34.1</v>
      </c>
      <c r="AZ29" s="2">
        <v>18.7</v>
      </c>
      <c r="BA29" s="2">
        <v>53</v>
      </c>
      <c r="BB29" s="2">
        <v>52</v>
      </c>
      <c r="BC29" s="2">
        <v>3</v>
      </c>
      <c r="BD29" s="2">
        <v>10.6</v>
      </c>
      <c r="BE29" s="2">
        <v>17.2</v>
      </c>
      <c r="BF29" s="2">
        <v>18.3</v>
      </c>
      <c r="BG29" s="2">
        <v>19.2</v>
      </c>
      <c r="BH29" s="2">
        <v>24.4</v>
      </c>
      <c r="BI29" s="2">
        <v>466</v>
      </c>
      <c r="BJ29" s="2">
        <v>802</v>
      </c>
      <c r="BK29" s="2">
        <v>872</v>
      </c>
      <c r="BL29" s="2">
        <v>934</v>
      </c>
      <c r="BM29" s="2">
        <v>1201</v>
      </c>
      <c r="BN29" s="2"/>
      <c r="BO29" s="2"/>
      <c r="BP29" s="2"/>
      <c r="BQ29" s="2"/>
      <c r="BR29" s="2"/>
      <c r="BS29" s="2"/>
      <c r="BT29" s="2">
        <v>602</v>
      </c>
      <c r="BU29" s="2">
        <v>1168</v>
      </c>
      <c r="BV29" s="2">
        <v>1294</v>
      </c>
      <c r="BW29" s="2">
        <v>1406</v>
      </c>
      <c r="BX29" s="2">
        <v>1868</v>
      </c>
      <c r="BY29" s="2">
        <v>66.400000000000006</v>
      </c>
      <c r="BZ29" s="2">
        <v>12.5</v>
      </c>
      <c r="CA29" s="2">
        <v>3</v>
      </c>
      <c r="CB29" s="2">
        <v>5.1436245813136402E-10</v>
      </c>
      <c r="CC29" s="2">
        <v>1.8</v>
      </c>
    </row>
    <row r="30" spans="1:81" x14ac:dyDescent="0.25">
      <c r="A30" s="66"/>
      <c r="B30" s="66"/>
      <c r="C30" s="67"/>
      <c r="D30" s="35"/>
      <c r="AW30" s="2">
        <v>47</v>
      </c>
      <c r="AX30" s="2" t="s">
        <v>319</v>
      </c>
      <c r="AY30" s="130">
        <v>25.6</v>
      </c>
      <c r="AZ30" s="2">
        <v>18.7</v>
      </c>
      <c r="BA30" s="2"/>
      <c r="BB30" s="2">
        <v>11</v>
      </c>
      <c r="BC30" s="2"/>
      <c r="BD30" s="2">
        <v>7.3</v>
      </c>
      <c r="BE30" s="2">
        <v>8.6</v>
      </c>
      <c r="BF30" s="2">
        <v>8.8000000000000007</v>
      </c>
      <c r="BG30" s="2">
        <v>9.1999999999999993</v>
      </c>
      <c r="BH30" s="2">
        <v>11.5</v>
      </c>
      <c r="BI30" s="2"/>
      <c r="BJ30" s="2"/>
      <c r="BK30" s="2"/>
      <c r="BL30" s="2"/>
      <c r="BM30" s="2"/>
      <c r="BN30" s="2">
        <v>39</v>
      </c>
      <c r="BO30" s="2">
        <v>26</v>
      </c>
      <c r="BP30" s="2">
        <v>27</v>
      </c>
      <c r="BQ30" s="2">
        <v>28</v>
      </c>
      <c r="BR30" s="2">
        <v>30</v>
      </c>
      <c r="BS30" s="2">
        <v>34</v>
      </c>
      <c r="BT30" s="2">
        <v>47</v>
      </c>
      <c r="BU30" s="2">
        <v>115</v>
      </c>
      <c r="BV30" s="2">
        <v>151</v>
      </c>
      <c r="BW30" s="2">
        <v>188</v>
      </c>
      <c r="BX30" s="2">
        <v>280</v>
      </c>
      <c r="BY30" s="2">
        <v>39.1</v>
      </c>
      <c r="BZ30" s="2">
        <v>1.1000000000000001</v>
      </c>
      <c r="CA30" s="2">
        <v>0.5</v>
      </c>
      <c r="CB30" s="2">
        <v>2.4503057290902902E-10</v>
      </c>
      <c r="CC30" s="2"/>
    </row>
    <row r="31" spans="1:81" x14ac:dyDescent="0.25">
      <c r="A31" s="66"/>
      <c r="B31" s="66"/>
      <c r="C31" s="67"/>
      <c r="D31" s="35"/>
      <c r="AW31" s="2">
        <v>51</v>
      </c>
      <c r="AX31" s="2" t="s">
        <v>319</v>
      </c>
      <c r="AY31" s="130">
        <v>25.6</v>
      </c>
      <c r="AZ31" s="2">
        <v>18.7</v>
      </c>
      <c r="BA31" s="2"/>
      <c r="BB31" s="2">
        <v>11</v>
      </c>
      <c r="BC31" s="2"/>
      <c r="BD31" s="2">
        <v>9.6</v>
      </c>
      <c r="BE31" s="2">
        <v>10.9</v>
      </c>
      <c r="BF31" s="2">
        <v>11.1</v>
      </c>
      <c r="BG31" s="2">
        <v>11.5</v>
      </c>
      <c r="BH31" s="2">
        <v>13.8</v>
      </c>
      <c r="BI31" s="2"/>
      <c r="BJ31" s="2"/>
      <c r="BK31" s="2"/>
      <c r="BL31" s="2"/>
      <c r="BM31" s="2"/>
      <c r="BN31" s="2">
        <v>39</v>
      </c>
      <c r="BO31" s="2">
        <v>26</v>
      </c>
      <c r="BP31" s="2">
        <v>27</v>
      </c>
      <c r="BQ31" s="2">
        <v>28</v>
      </c>
      <c r="BR31" s="2">
        <v>30</v>
      </c>
      <c r="BS31" s="2">
        <v>34</v>
      </c>
      <c r="BT31" s="2">
        <v>59</v>
      </c>
      <c r="BU31" s="2">
        <v>127</v>
      </c>
      <c r="BV31" s="2">
        <v>164</v>
      </c>
      <c r="BW31" s="2">
        <v>201</v>
      </c>
      <c r="BX31" s="2">
        <v>293</v>
      </c>
      <c r="BY31" s="2">
        <v>39.1</v>
      </c>
      <c r="BZ31" s="2">
        <v>1.1000000000000001</v>
      </c>
      <c r="CA31" s="2">
        <v>0.5</v>
      </c>
      <c r="CB31" s="2">
        <v>2.4503057290902902E-10</v>
      </c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51</v>
      </c>
      <c r="AX32" s="2" t="s">
        <v>319</v>
      </c>
      <c r="AY32" s="130">
        <v>25.6</v>
      </c>
      <c r="AZ32" s="2">
        <v>18.7</v>
      </c>
      <c r="BA32" s="2"/>
      <c r="BB32" s="2">
        <v>11</v>
      </c>
      <c r="BC32" s="2"/>
      <c r="BD32" s="2">
        <v>1.9</v>
      </c>
      <c r="BE32" s="2">
        <v>19.899999999999999</v>
      </c>
      <c r="BF32" s="2">
        <v>22.1</v>
      </c>
      <c r="BG32" s="2">
        <v>56</v>
      </c>
      <c r="BH32" s="2">
        <v>161.19999999999999</v>
      </c>
      <c r="BI32" s="2"/>
      <c r="BJ32" s="2"/>
      <c r="BK32" s="2"/>
      <c r="BL32" s="2"/>
      <c r="BM32" s="2"/>
      <c r="BN32" s="2">
        <v>66</v>
      </c>
      <c r="BO32" s="2">
        <v>26</v>
      </c>
      <c r="BP32" s="2">
        <v>28</v>
      </c>
      <c r="BQ32" s="2">
        <v>30</v>
      </c>
      <c r="BR32" s="2">
        <v>32</v>
      </c>
      <c r="BS32" s="2">
        <v>36</v>
      </c>
      <c r="BT32" s="2">
        <v>51</v>
      </c>
      <c r="BU32" s="2">
        <v>144</v>
      </c>
      <c r="BV32" s="2">
        <v>198</v>
      </c>
      <c r="BW32" s="2">
        <v>251</v>
      </c>
      <c r="BX32" s="2">
        <v>383</v>
      </c>
      <c r="BY32" s="2">
        <v>42.2</v>
      </c>
      <c r="BZ32" s="2">
        <v>2</v>
      </c>
      <c r="CA32" s="2">
        <v>0.8</v>
      </c>
      <c r="CB32" s="2">
        <v>7.9383393160512894E-12</v>
      </c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80</v>
      </c>
      <c r="AX33" s="2" t="s">
        <v>319</v>
      </c>
      <c r="AY33" s="130">
        <v>25.6</v>
      </c>
      <c r="AZ33" s="2">
        <v>18.7</v>
      </c>
      <c r="BA33" s="2"/>
      <c r="BB33" s="2">
        <v>11</v>
      </c>
      <c r="BC33" s="2"/>
      <c r="BD33" s="2">
        <v>14</v>
      </c>
      <c r="BE33" s="2">
        <v>32</v>
      </c>
      <c r="BF33" s="2">
        <v>34.200000000000003</v>
      </c>
      <c r="BG33" s="2">
        <v>68.099999999999994</v>
      </c>
      <c r="BH33" s="2">
        <v>173.3</v>
      </c>
      <c r="BI33" s="2"/>
      <c r="BJ33" s="2"/>
      <c r="BK33" s="2"/>
      <c r="BL33" s="2"/>
      <c r="BM33" s="2"/>
      <c r="BN33" s="2">
        <v>66</v>
      </c>
      <c r="BO33" s="2">
        <v>26</v>
      </c>
      <c r="BP33" s="2">
        <v>28</v>
      </c>
      <c r="BQ33" s="2">
        <v>30</v>
      </c>
      <c r="BR33" s="2">
        <v>32</v>
      </c>
      <c r="BS33" s="2">
        <v>36</v>
      </c>
      <c r="BT33" s="2">
        <v>112</v>
      </c>
      <c r="BU33" s="2">
        <v>206</v>
      </c>
      <c r="BV33" s="2">
        <v>259</v>
      </c>
      <c r="BW33" s="2">
        <v>312</v>
      </c>
      <c r="BX33" s="2">
        <v>444</v>
      </c>
      <c r="BY33" s="2">
        <v>42.2</v>
      </c>
      <c r="BZ33" s="2">
        <v>2</v>
      </c>
      <c r="CA33" s="2">
        <v>0.8</v>
      </c>
      <c r="CB33" s="2">
        <v>7.9383393160512894E-12</v>
      </c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752" priority="12">
      <formula>$L32="API sand"</formula>
    </cfRule>
  </conditionalFormatting>
  <conditionalFormatting sqref="R32:S36 AB32:AB35 AJ32:AL36 Z32:Z36 N32:N36">
    <cfRule type="expression" dxfId="2751" priority="11">
      <formula>$M32="API sand"</formula>
    </cfRule>
  </conditionalFormatting>
  <conditionalFormatting sqref="R32:T36 Z32:AB35 AK32:AL36 N32:N36">
    <cfRule type="expression" dxfId="2750" priority="10">
      <formula>$M32="API clay"</formula>
    </cfRule>
  </conditionalFormatting>
  <conditionalFormatting sqref="U32:W36 AM32:AP36 N32:P36">
    <cfRule type="expression" dxfId="2749" priority="7">
      <formula>$L32="Stiff clay w/o free water"</formula>
    </cfRule>
    <cfRule type="expression" dxfId="2748" priority="9">
      <formula>$L32="API clay"</formula>
    </cfRule>
  </conditionalFormatting>
  <conditionalFormatting sqref="U32:Y36 AM32:AP36 N32:P36">
    <cfRule type="expression" dxfId="2747" priority="8">
      <formula>$L32="Kirsch soft clay"</formula>
    </cfRule>
  </conditionalFormatting>
  <conditionalFormatting sqref="U32:Y36 AM32:AP36 N32:P36">
    <cfRule type="expression" dxfId="2746" priority="6">
      <formula>$L32="Kirsch stiff clay"</formula>
    </cfRule>
  </conditionalFormatting>
  <conditionalFormatting sqref="AM32:AP36 Q32:Q36 X32:Y36 N32:N36">
    <cfRule type="expression" dxfId="2745" priority="5">
      <formula>$L32="Kirsch sand"</formula>
    </cfRule>
  </conditionalFormatting>
  <conditionalFormatting sqref="AC32:AD36 AI32:AI36 AM32:AP36 N32:N36">
    <cfRule type="expression" dxfId="2744" priority="4">
      <formula>$L32="Modified Weak rock"</formula>
    </cfRule>
  </conditionalFormatting>
  <conditionalFormatting sqref="AM32:AP36 N32:P36 U32:V36">
    <cfRule type="expression" dxfId="2743" priority="3">
      <formula>$L32="Reese stiff clay"</formula>
    </cfRule>
  </conditionalFormatting>
  <conditionalFormatting sqref="AB36">
    <cfRule type="expression" dxfId="2742" priority="2">
      <formula>$M36="API sand"</formula>
    </cfRule>
  </conditionalFormatting>
  <conditionalFormatting sqref="Z36:AB36">
    <cfRule type="expression" dxfId="2741" priority="1">
      <formula>$M36="API clay"</formula>
    </cfRule>
  </conditionalFormatting>
  <conditionalFormatting sqref="AE37:AH37">
    <cfRule type="expression" dxfId="2740" priority="13">
      <formula>#REF!="Modified Weak rock"</formula>
    </cfRule>
  </conditionalFormatting>
  <dataValidations count="4">
    <dataValidation type="textLength" showInputMessage="1" showErrorMessage="1" sqref="M27:M31" xr:uid="{727B8279-9181-4678-AFE9-A9EE8861E34A}">
      <formula1>0</formula1>
      <formula2>100</formula2>
    </dataValidation>
    <dataValidation showInputMessage="1" showErrorMessage="1" sqref="L6:M26" xr:uid="{99E5CAEB-CCC4-49F5-8883-4FDB7EA922B9}"/>
    <dataValidation type="list" showInputMessage="1" showErrorMessage="1" sqref="L32:L255" xr:uid="{B00CAF63-E0AD-4EDA-A1AF-9EA3B11A2D9D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2364FF4C-6684-49D5-BE89-905A7AE05CE1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B9C0C-7F84-405E-B330-7FAE2A0B20B5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Ak_Pisa_WTG6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15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EW_sand_Ruled_85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37</v>
      </c>
      <c r="R6" s="47">
        <f t="shared" ref="R6:R26" ca="1" si="7">IF(I6="","",IF(Q6&lt;&gt;0,Q6-5,NA()))</f>
        <v>32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13300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103.59999999999997</v>
      </c>
      <c r="AA6" s="47">
        <f t="shared" ref="AA6:AA26" ca="1" si="16">IF(I6="","",1)</f>
        <v>1</v>
      </c>
      <c r="AB6" s="47">
        <f t="shared" ref="AB6:AB26" ca="1" si="17">IF(I6="","",VLOOKUP(R6,$AE$39:$AG$59,3))</f>
        <v>10560</v>
      </c>
      <c r="AC6" s="63">
        <f t="shared" ref="AC6:AC26" ca="1" si="18">IF(I6="","",IF(OFFSET($BV$6,(ROW()-6)*2,0)=0,0,OFFSET($BV$6,(ROW()-6)*2,0)*1000))</f>
        <v>11000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21000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44.000000000000007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85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1.1000000000000001</v>
      </c>
      <c r="BF6" s="2">
        <v>2</v>
      </c>
      <c r="BG6" s="2">
        <v>2.7</v>
      </c>
      <c r="BH6" s="2">
        <v>4.4000000000000004</v>
      </c>
      <c r="BI6" s="2"/>
      <c r="BJ6" s="2"/>
      <c r="BK6" s="2"/>
      <c r="BL6" s="2"/>
      <c r="BM6" s="2"/>
      <c r="BN6" s="2">
        <v>85</v>
      </c>
      <c r="BO6" s="2">
        <v>30</v>
      </c>
      <c r="BP6" s="2">
        <v>37</v>
      </c>
      <c r="BQ6" s="2">
        <v>40</v>
      </c>
      <c r="BR6" s="2">
        <v>44</v>
      </c>
      <c r="BS6" s="2">
        <v>51</v>
      </c>
      <c r="BT6" s="2">
        <v>0</v>
      </c>
      <c r="BU6" s="2">
        <v>6</v>
      </c>
      <c r="BV6" s="2">
        <v>11</v>
      </c>
      <c r="BW6" s="2">
        <v>17</v>
      </c>
      <c r="BX6" s="2">
        <v>30</v>
      </c>
      <c r="BY6" s="2">
        <v>13.3</v>
      </c>
      <c r="BZ6" s="2">
        <v>1</v>
      </c>
      <c r="CA6" s="2">
        <v>0.5</v>
      </c>
      <c r="CB6" s="2">
        <v>1.1559574951954099E-5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21a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-1</v>
      </c>
      <c r="L7" s="116" t="str">
        <f t="shared" ca="1" si="1"/>
        <v>EW_sand_Ruled_77</v>
      </c>
      <c r="M7" s="105" t="str">
        <f t="shared" ca="1" si="2"/>
        <v>API sand</v>
      </c>
      <c r="N7" s="47">
        <f t="shared" ca="1" si="3"/>
        <v>9.8000000000000007</v>
      </c>
      <c r="O7" s="63">
        <f t="shared" ca="1" si="4"/>
        <v>0</v>
      </c>
      <c r="P7" s="63">
        <f t="shared" ca="1" si="5"/>
        <v>0</v>
      </c>
      <c r="Q7" s="47">
        <f t="shared" ca="1" si="6"/>
        <v>30</v>
      </c>
      <c r="R7" s="47">
        <f t="shared" ca="1" si="7"/>
        <v>25</v>
      </c>
      <c r="S7" s="47">
        <f t="shared" ca="1" si="8"/>
        <v>3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15800</v>
      </c>
      <c r="Y7" s="47">
        <f t="shared" ca="1" si="14"/>
        <v>0</v>
      </c>
      <c r="Z7" s="47">
        <f t="shared" ca="1" si="15"/>
        <v>80.999999999999972</v>
      </c>
      <c r="AA7" s="47">
        <f t="shared" ca="1" si="16"/>
        <v>1</v>
      </c>
      <c r="AB7" s="47">
        <f t="shared" ca="1" si="17"/>
        <v>4800</v>
      </c>
      <c r="AC7" s="63">
        <f t="shared" ca="1" si="18"/>
        <v>47000</v>
      </c>
      <c r="AD7" s="63">
        <f t="shared" ca="1" si="19"/>
        <v>666.66666666666663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20.000000000000007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77</v>
      </c>
      <c r="AS7" s="33">
        <f t="shared" ca="1" si="34"/>
        <v>0.2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2.6</v>
      </c>
      <c r="BE7" s="2">
        <v>4.7</v>
      </c>
      <c r="BF7" s="2">
        <v>5.6</v>
      </c>
      <c r="BG7" s="2">
        <v>6.3</v>
      </c>
      <c r="BH7" s="2">
        <v>8.1</v>
      </c>
      <c r="BI7" s="2"/>
      <c r="BJ7" s="2"/>
      <c r="BK7" s="2"/>
      <c r="BL7" s="2"/>
      <c r="BM7" s="2"/>
      <c r="BN7" s="2">
        <v>85</v>
      </c>
      <c r="BO7" s="2">
        <v>30</v>
      </c>
      <c r="BP7" s="2">
        <v>37</v>
      </c>
      <c r="BQ7" s="2">
        <v>40</v>
      </c>
      <c r="BR7" s="2">
        <v>44</v>
      </c>
      <c r="BS7" s="2">
        <v>51</v>
      </c>
      <c r="BT7" s="2">
        <v>14</v>
      </c>
      <c r="BU7" s="2">
        <v>27</v>
      </c>
      <c r="BV7" s="2">
        <v>32</v>
      </c>
      <c r="BW7" s="2">
        <v>38</v>
      </c>
      <c r="BX7" s="2">
        <v>51</v>
      </c>
      <c r="BY7" s="2">
        <v>13.3</v>
      </c>
      <c r="BZ7" s="2">
        <v>1</v>
      </c>
      <c r="CA7" s="2">
        <v>0.5</v>
      </c>
      <c r="CB7" s="2">
        <v>1.1559574951954099E-5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21c</v>
      </c>
      <c r="J8" s="47">
        <f t="shared" ca="1" si="35"/>
        <v>3</v>
      </c>
      <c r="K8" s="19">
        <f t="shared" ca="1" si="36"/>
        <v>-2.5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9.3000000000000007</v>
      </c>
      <c r="O8" s="63">
        <f t="shared" ca="1" si="4"/>
        <v>62</v>
      </c>
      <c r="P8" s="63">
        <f t="shared" ca="1" si="5"/>
        <v>88.750000000000014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9300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62000</v>
      </c>
      <c r="AD8" s="63">
        <f t="shared" ca="1" si="19"/>
        <v>96250.000000000029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1</v>
      </c>
      <c r="AX8" s="2" t="s">
        <v>271</v>
      </c>
      <c r="AY8" s="130">
        <v>24.7</v>
      </c>
      <c r="AZ8" s="2">
        <v>19.8</v>
      </c>
      <c r="BA8" s="2"/>
      <c r="BB8" s="2">
        <v>11</v>
      </c>
      <c r="BC8" s="2"/>
      <c r="BD8" s="2">
        <v>12.9</v>
      </c>
      <c r="BE8" s="2">
        <v>14.9</v>
      </c>
      <c r="BF8" s="2">
        <v>15.5</v>
      </c>
      <c r="BG8" s="2">
        <v>16</v>
      </c>
      <c r="BH8" s="2">
        <v>17.600000000000001</v>
      </c>
      <c r="BI8" s="2"/>
      <c r="BJ8" s="2"/>
      <c r="BK8" s="2"/>
      <c r="BL8" s="2"/>
      <c r="BM8" s="2"/>
      <c r="BN8" s="2">
        <v>77</v>
      </c>
      <c r="BO8" s="2">
        <v>26</v>
      </c>
      <c r="BP8" s="2">
        <v>30</v>
      </c>
      <c r="BQ8" s="2">
        <v>32</v>
      </c>
      <c r="BR8" s="2">
        <v>35</v>
      </c>
      <c r="BS8" s="2">
        <v>39</v>
      </c>
      <c r="BT8" s="2">
        <v>8</v>
      </c>
      <c r="BU8" s="2">
        <v>36</v>
      </c>
      <c r="BV8" s="2">
        <v>47</v>
      </c>
      <c r="BW8" s="2">
        <v>59</v>
      </c>
      <c r="BX8" s="2">
        <v>87</v>
      </c>
      <c r="BY8" s="2">
        <v>15.8</v>
      </c>
      <c r="BZ8" s="2">
        <v>30</v>
      </c>
      <c r="CA8" s="2">
        <v>3</v>
      </c>
      <c r="CB8" s="2">
        <v>6.0273892266392198E-5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21c</v>
      </c>
      <c r="J9" s="47">
        <f t="shared" ca="1" si="35"/>
        <v>4</v>
      </c>
      <c r="K9" s="19">
        <f t="shared" ca="1" si="36"/>
        <v>-3.3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9.3000000000000007</v>
      </c>
      <c r="O9" s="63">
        <f t="shared" ca="1" si="4"/>
        <v>239</v>
      </c>
      <c r="P9" s="63">
        <f t="shared" ca="1" si="5"/>
        <v>-132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12100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265000</v>
      </c>
      <c r="AD9" s="63">
        <f t="shared" ca="1" si="19"/>
        <v>-143333.33333333334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2.5</v>
      </c>
      <c r="AX9" s="2" t="s">
        <v>271</v>
      </c>
      <c r="AY9" s="130">
        <v>24.7</v>
      </c>
      <c r="AZ9" s="2">
        <v>19.8</v>
      </c>
      <c r="BA9" s="2"/>
      <c r="BB9" s="2">
        <v>11</v>
      </c>
      <c r="BC9" s="2"/>
      <c r="BD9" s="2">
        <v>4.5</v>
      </c>
      <c r="BE9" s="2">
        <v>6.5</v>
      </c>
      <c r="BF9" s="2">
        <v>7.1</v>
      </c>
      <c r="BG9" s="2">
        <v>7.6</v>
      </c>
      <c r="BH9" s="2">
        <v>9.1999999999999993</v>
      </c>
      <c r="BI9" s="2"/>
      <c r="BJ9" s="2"/>
      <c r="BK9" s="2"/>
      <c r="BL9" s="2"/>
      <c r="BM9" s="2"/>
      <c r="BN9" s="2">
        <v>77</v>
      </c>
      <c r="BO9" s="2">
        <v>26</v>
      </c>
      <c r="BP9" s="2">
        <v>30</v>
      </c>
      <c r="BQ9" s="2">
        <v>32</v>
      </c>
      <c r="BR9" s="2">
        <v>35</v>
      </c>
      <c r="BS9" s="2">
        <v>39</v>
      </c>
      <c r="BT9" s="2">
        <v>9</v>
      </c>
      <c r="BU9" s="2">
        <v>37</v>
      </c>
      <c r="BV9" s="2">
        <v>48</v>
      </c>
      <c r="BW9" s="2">
        <v>60</v>
      </c>
      <c r="BX9" s="2">
        <v>88</v>
      </c>
      <c r="BY9" s="2">
        <v>15.8</v>
      </c>
      <c r="BZ9" s="2">
        <v>30</v>
      </c>
      <c r="CA9" s="2">
        <v>3</v>
      </c>
      <c r="CB9" s="2">
        <v>6.0273892266392198E-5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21d</v>
      </c>
      <c r="J10" s="47">
        <f t="shared" ca="1" si="35"/>
        <v>5</v>
      </c>
      <c r="K10" s="19">
        <f t="shared" ca="1" si="36"/>
        <v>-4.8</v>
      </c>
      <c r="L10" s="116" t="str">
        <f t="shared" ca="1" si="1"/>
        <v>EW_sand_Ruled_68</v>
      </c>
      <c r="M10" s="105" t="str">
        <f t="shared" ca="1" si="2"/>
        <v>API sand</v>
      </c>
      <c r="N10" s="47">
        <f t="shared" ca="1" si="3"/>
        <v>10</v>
      </c>
      <c r="O10" s="63">
        <f t="shared" ca="1" si="4"/>
        <v>0</v>
      </c>
      <c r="P10" s="63">
        <f t="shared" ca="1" si="5"/>
        <v>0</v>
      </c>
      <c r="Q10" s="47">
        <f t="shared" ca="1" si="6"/>
        <v>29</v>
      </c>
      <c r="R10" s="47">
        <f t="shared" ca="1" si="7"/>
        <v>24</v>
      </c>
      <c r="S10" s="47">
        <f t="shared" ca="1" si="8"/>
        <v>2.1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18900</v>
      </c>
      <c r="Y10" s="47">
        <f t="shared" ca="1" si="14"/>
        <v>0</v>
      </c>
      <c r="Z10" s="47">
        <f t="shared" ca="1" si="15"/>
        <v>78.199999999999974</v>
      </c>
      <c r="AA10" s="47">
        <f t="shared" ca="1" si="16"/>
        <v>1</v>
      </c>
      <c r="AB10" s="47">
        <f t="shared" ca="1" si="17"/>
        <v>4420</v>
      </c>
      <c r="AC10" s="63">
        <f t="shared" ca="1" si="18"/>
        <v>76000</v>
      </c>
      <c r="AD10" s="63">
        <f t="shared" ca="1" si="19"/>
        <v>3750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18.400000000000006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68</v>
      </c>
      <c r="AS10" s="33">
        <f t="shared" ca="1" si="34"/>
        <v>0.4</v>
      </c>
      <c r="AW10" s="2">
        <v>2.5</v>
      </c>
      <c r="AX10" s="2" t="s">
        <v>216</v>
      </c>
      <c r="AY10" s="130">
        <v>31.7</v>
      </c>
      <c r="AZ10" s="2">
        <v>19.3</v>
      </c>
      <c r="BA10" s="2">
        <v>20</v>
      </c>
      <c r="BB10" s="2">
        <v>45</v>
      </c>
      <c r="BC10" s="2">
        <v>4</v>
      </c>
      <c r="BD10" s="2">
        <v>0.7</v>
      </c>
      <c r="BE10" s="2">
        <v>1.4</v>
      </c>
      <c r="BF10" s="2">
        <v>1.7</v>
      </c>
      <c r="BG10" s="2">
        <v>1.9</v>
      </c>
      <c r="BH10" s="2">
        <v>2.4</v>
      </c>
      <c r="BI10" s="2">
        <v>3</v>
      </c>
      <c r="BJ10" s="2">
        <v>62</v>
      </c>
      <c r="BK10" s="2">
        <v>92</v>
      </c>
      <c r="BL10" s="2">
        <v>121</v>
      </c>
      <c r="BM10" s="2">
        <v>184</v>
      </c>
      <c r="BN10" s="2"/>
      <c r="BO10" s="2"/>
      <c r="BP10" s="2"/>
      <c r="BQ10" s="2"/>
      <c r="BR10" s="2"/>
      <c r="BS10" s="2"/>
      <c r="BT10" s="2">
        <v>2</v>
      </c>
      <c r="BU10" s="2">
        <v>25</v>
      </c>
      <c r="BV10" s="2">
        <v>62</v>
      </c>
      <c r="BW10" s="2">
        <v>98</v>
      </c>
      <c r="BX10" s="2">
        <v>171</v>
      </c>
      <c r="BY10" s="2">
        <v>9.3000000000000007</v>
      </c>
      <c r="BZ10" s="2">
        <v>24.4</v>
      </c>
      <c r="CA10" s="2">
        <v>3</v>
      </c>
      <c r="CB10" s="2">
        <v>3.0932201970062501E-8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21d</v>
      </c>
      <c r="J11" s="47">
        <f t="shared" ca="1" si="35"/>
        <v>6</v>
      </c>
      <c r="K11" s="19">
        <f t="shared" ca="1" si="36"/>
        <v>-8</v>
      </c>
      <c r="L11" s="116" t="str">
        <f t="shared" ca="1" si="1"/>
        <v>EW_sand_Ruled_58</v>
      </c>
      <c r="M11" s="105" t="str">
        <f t="shared" ca="1" si="2"/>
        <v>API sand</v>
      </c>
      <c r="N11" s="47">
        <f t="shared" ca="1" si="3"/>
        <v>10</v>
      </c>
      <c r="O11" s="63">
        <f t="shared" ca="1" si="4"/>
        <v>0</v>
      </c>
      <c r="P11" s="63">
        <f t="shared" ca="1" si="5"/>
        <v>0</v>
      </c>
      <c r="Q11" s="47">
        <f t="shared" ca="1" si="6"/>
        <v>27</v>
      </c>
      <c r="R11" s="47">
        <f t="shared" ca="1" si="7"/>
        <v>22</v>
      </c>
      <c r="S11" s="47">
        <f t="shared" ca="1" si="8"/>
        <v>1.3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15700</v>
      </c>
      <c r="Y11" s="47">
        <f t="shared" ca="1" si="14"/>
        <v>0</v>
      </c>
      <c r="Z11" s="47">
        <f t="shared" ca="1" si="15"/>
        <v>72.59999999999998</v>
      </c>
      <c r="AA11" s="47">
        <f t="shared" ca="1" si="16"/>
        <v>1</v>
      </c>
      <c r="AB11" s="47">
        <f t="shared" ca="1" si="17"/>
        <v>3660</v>
      </c>
      <c r="AC11" s="63">
        <f t="shared" ca="1" si="18"/>
        <v>76000</v>
      </c>
      <c r="AD11" s="63">
        <f t="shared" ca="1" si="19"/>
        <v>7384.6153846153848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15.200000000000003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58</v>
      </c>
      <c r="AS11" s="33">
        <f t="shared" ca="1" si="34"/>
        <v>0.4</v>
      </c>
      <c r="AW11" s="2">
        <v>3.3</v>
      </c>
      <c r="AX11" s="2" t="s">
        <v>216</v>
      </c>
      <c r="AY11" s="130">
        <v>31.7</v>
      </c>
      <c r="AZ11" s="2">
        <v>19.3</v>
      </c>
      <c r="BA11" s="2">
        <v>20</v>
      </c>
      <c r="BB11" s="2">
        <v>45</v>
      </c>
      <c r="BC11" s="2">
        <v>4</v>
      </c>
      <c r="BD11" s="2">
        <v>2</v>
      </c>
      <c r="BE11" s="2">
        <v>2.7</v>
      </c>
      <c r="BF11" s="2">
        <v>3</v>
      </c>
      <c r="BG11" s="2">
        <v>3.2</v>
      </c>
      <c r="BH11" s="2">
        <v>3.7</v>
      </c>
      <c r="BI11" s="2">
        <v>74</v>
      </c>
      <c r="BJ11" s="2">
        <v>133</v>
      </c>
      <c r="BK11" s="2">
        <v>163</v>
      </c>
      <c r="BL11" s="2">
        <v>191</v>
      </c>
      <c r="BM11" s="2">
        <v>255</v>
      </c>
      <c r="BN11" s="2"/>
      <c r="BO11" s="2"/>
      <c r="BP11" s="2"/>
      <c r="BQ11" s="2"/>
      <c r="BR11" s="2"/>
      <c r="BS11" s="2"/>
      <c r="BT11" s="2">
        <v>79</v>
      </c>
      <c r="BU11" s="2">
        <v>103</v>
      </c>
      <c r="BV11" s="2">
        <v>139</v>
      </c>
      <c r="BW11" s="2">
        <v>175</v>
      </c>
      <c r="BX11" s="2">
        <v>248</v>
      </c>
      <c r="BY11" s="2">
        <v>9.3000000000000007</v>
      </c>
      <c r="BZ11" s="2">
        <v>24.4</v>
      </c>
      <c r="CA11" s="2">
        <v>3</v>
      </c>
      <c r="CB11" s="2">
        <v>3.0932201970062501E-8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23i</v>
      </c>
      <c r="J12" s="47">
        <f t="shared" ca="1" si="35"/>
        <v>7</v>
      </c>
      <c r="K12" s="19">
        <f t="shared" ca="1" si="36"/>
        <v>-14.5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8.3000000000000007</v>
      </c>
      <c r="O12" s="63">
        <f t="shared" ca="1" si="4"/>
        <v>279</v>
      </c>
      <c r="P12" s="63">
        <f t="shared" ca="1" si="5"/>
        <v>-17.384615384615383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0.25</v>
      </c>
      <c r="X12" s="47">
        <f t="shared" ca="1" si="13"/>
        <v>21100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363000</v>
      </c>
      <c r="AD12" s="63">
        <f t="shared" ca="1" si="19"/>
        <v>-21230.76923076923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3.3</v>
      </c>
      <c r="AX12" s="2" t="s">
        <v>216</v>
      </c>
      <c r="AY12" s="130">
        <v>31.7</v>
      </c>
      <c r="AZ12" s="2">
        <v>19.3</v>
      </c>
      <c r="BA12" s="2">
        <v>20</v>
      </c>
      <c r="BB12" s="2">
        <v>45</v>
      </c>
      <c r="BC12" s="2">
        <v>4</v>
      </c>
      <c r="BD12" s="2">
        <v>4.2</v>
      </c>
      <c r="BE12" s="2">
        <v>4.8</v>
      </c>
      <c r="BF12" s="2">
        <v>5.0999999999999996</v>
      </c>
      <c r="BG12" s="2">
        <v>5.4</v>
      </c>
      <c r="BH12" s="2">
        <v>6.3</v>
      </c>
      <c r="BI12" s="2">
        <v>204</v>
      </c>
      <c r="BJ12" s="2">
        <v>239</v>
      </c>
      <c r="BK12" s="2">
        <v>277</v>
      </c>
      <c r="BL12" s="2">
        <v>318</v>
      </c>
      <c r="BM12" s="2">
        <v>412</v>
      </c>
      <c r="BN12" s="2"/>
      <c r="BO12" s="2"/>
      <c r="BP12" s="2"/>
      <c r="BQ12" s="2"/>
      <c r="BR12" s="2"/>
      <c r="BS12" s="2"/>
      <c r="BT12" s="2">
        <v>219</v>
      </c>
      <c r="BU12" s="2">
        <v>250</v>
      </c>
      <c r="BV12" s="2">
        <v>265</v>
      </c>
      <c r="BW12" s="2">
        <v>322</v>
      </c>
      <c r="BX12" s="2">
        <v>445</v>
      </c>
      <c r="BY12" s="2">
        <v>12.1</v>
      </c>
      <c r="BZ12" s="2">
        <v>22.9</v>
      </c>
      <c r="CA12" s="2">
        <v>3</v>
      </c>
      <c r="CB12" s="2">
        <v>6.0272752288410894E-8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23k</v>
      </c>
      <c r="J13" s="47">
        <f t="shared" ca="1" si="35"/>
        <v>8</v>
      </c>
      <c r="K13" s="19">
        <f t="shared" ca="1" si="36"/>
        <v>-21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8.5</v>
      </c>
      <c r="O13" s="63">
        <f t="shared" ca="1" si="4"/>
        <v>158</v>
      </c>
      <c r="P13" s="63">
        <f t="shared" ca="1" si="5"/>
        <v>14.516129032258059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2.6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0.5</v>
      </c>
      <c r="X13" s="47">
        <f t="shared" ca="1" si="13"/>
        <v>17500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210000</v>
      </c>
      <c r="AD13" s="63">
        <f t="shared" ca="1" si="19"/>
        <v>19032.258064516122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4.8</v>
      </c>
      <c r="AX13" s="2" t="s">
        <v>216</v>
      </c>
      <c r="AY13" s="130">
        <v>31.7</v>
      </c>
      <c r="AZ13" s="2">
        <v>19.3</v>
      </c>
      <c r="BA13" s="2">
        <v>20</v>
      </c>
      <c r="BB13" s="2">
        <v>45</v>
      </c>
      <c r="BC13" s="2">
        <v>4</v>
      </c>
      <c r="BD13" s="2">
        <v>0.7</v>
      </c>
      <c r="BE13" s="2">
        <v>1.3</v>
      </c>
      <c r="BF13" s="2">
        <v>1.5</v>
      </c>
      <c r="BG13" s="2">
        <v>1.8</v>
      </c>
      <c r="BH13" s="2">
        <v>2.8</v>
      </c>
      <c r="BI13" s="2">
        <v>6</v>
      </c>
      <c r="BJ13" s="2">
        <v>41</v>
      </c>
      <c r="BK13" s="2">
        <v>79</v>
      </c>
      <c r="BL13" s="2">
        <v>120</v>
      </c>
      <c r="BM13" s="2">
        <v>214</v>
      </c>
      <c r="BN13" s="2"/>
      <c r="BO13" s="2"/>
      <c r="BP13" s="2"/>
      <c r="BQ13" s="2"/>
      <c r="BR13" s="2"/>
      <c r="BS13" s="2"/>
      <c r="BT13" s="2">
        <v>4</v>
      </c>
      <c r="BU13" s="2">
        <v>40</v>
      </c>
      <c r="BV13" s="2">
        <v>50</v>
      </c>
      <c r="BW13" s="2">
        <v>107</v>
      </c>
      <c r="BX13" s="2">
        <v>230</v>
      </c>
      <c r="BY13" s="2">
        <v>12.1</v>
      </c>
      <c r="BZ13" s="2">
        <v>22.9</v>
      </c>
      <c r="CA13" s="2">
        <v>3</v>
      </c>
      <c r="CB13" s="2">
        <v>6.0272752288410894E-8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23l</v>
      </c>
      <c r="J14" s="47">
        <f t="shared" ca="1" si="35"/>
        <v>9</v>
      </c>
      <c r="K14" s="19">
        <f t="shared" ca="1" si="36"/>
        <v>-24.1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8.8000000000000007</v>
      </c>
      <c r="O14" s="63">
        <f t="shared" ca="1" si="4"/>
        <v>323</v>
      </c>
      <c r="P14" s="63">
        <f t="shared" ca="1" si="5"/>
        <v>19.655172413793114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31200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450000</v>
      </c>
      <c r="AD14" s="63">
        <f t="shared" ca="1" si="19"/>
        <v>35517.241379310362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4.8</v>
      </c>
      <c r="AX14" s="2" t="s">
        <v>217</v>
      </c>
      <c r="AY14" s="130">
        <v>23.6</v>
      </c>
      <c r="AZ14" s="2">
        <v>20</v>
      </c>
      <c r="BA14" s="2"/>
      <c r="BB14" s="2">
        <v>18</v>
      </c>
      <c r="BC14" s="2"/>
      <c r="BD14" s="2">
        <v>9.9</v>
      </c>
      <c r="BE14" s="2">
        <v>12.6</v>
      </c>
      <c r="BF14" s="2">
        <v>13.1</v>
      </c>
      <c r="BG14" s="2">
        <v>14</v>
      </c>
      <c r="BH14" s="2">
        <v>18.899999999999999</v>
      </c>
      <c r="BI14" s="2"/>
      <c r="BJ14" s="2"/>
      <c r="BK14" s="2"/>
      <c r="BL14" s="2"/>
      <c r="BM14" s="2"/>
      <c r="BN14" s="2">
        <v>68</v>
      </c>
      <c r="BO14" s="2">
        <v>26</v>
      </c>
      <c r="BP14" s="2">
        <v>29</v>
      </c>
      <c r="BQ14" s="2">
        <v>31</v>
      </c>
      <c r="BR14" s="2">
        <v>33</v>
      </c>
      <c r="BS14" s="2">
        <v>38</v>
      </c>
      <c r="BT14" s="2">
        <v>9</v>
      </c>
      <c r="BU14" s="2">
        <v>56</v>
      </c>
      <c r="BV14" s="2">
        <v>76</v>
      </c>
      <c r="BW14" s="2">
        <v>95</v>
      </c>
      <c r="BX14" s="2">
        <v>143</v>
      </c>
      <c r="BY14" s="2">
        <v>18.899999999999999</v>
      </c>
      <c r="BZ14" s="2">
        <v>10.5</v>
      </c>
      <c r="CA14" s="2">
        <v>2.1</v>
      </c>
      <c r="CB14" s="2">
        <v>2.9376584781947699E-6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23l</v>
      </c>
      <c r="J15" s="47">
        <f t="shared" ca="1" si="35"/>
        <v>10</v>
      </c>
      <c r="K15" s="19">
        <f t="shared" ca="1" si="36"/>
        <v>-27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8.8000000000000007</v>
      </c>
      <c r="O15" s="63">
        <f t="shared" ca="1" si="4"/>
        <v>629</v>
      </c>
      <c r="P15" s="63">
        <f t="shared" ca="1" si="5"/>
        <v>54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62000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1012000</v>
      </c>
      <c r="AD15" s="63">
        <f t="shared" ca="1" si="19"/>
        <v>93333.333333333328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8</v>
      </c>
      <c r="AX15" s="2" t="s">
        <v>217</v>
      </c>
      <c r="AY15" s="130">
        <v>23.6</v>
      </c>
      <c r="AZ15" s="2">
        <v>20</v>
      </c>
      <c r="BA15" s="2"/>
      <c r="BB15" s="2">
        <v>18</v>
      </c>
      <c r="BC15" s="2"/>
      <c r="BD15" s="2">
        <v>8.6</v>
      </c>
      <c r="BE15" s="2">
        <v>11.3</v>
      </c>
      <c r="BF15" s="2">
        <v>11.8</v>
      </c>
      <c r="BG15" s="2">
        <v>12.7</v>
      </c>
      <c r="BH15" s="2">
        <v>17.600000000000001</v>
      </c>
      <c r="BI15" s="2"/>
      <c r="BJ15" s="2"/>
      <c r="BK15" s="2"/>
      <c r="BL15" s="2"/>
      <c r="BM15" s="2"/>
      <c r="BN15" s="2">
        <v>68</v>
      </c>
      <c r="BO15" s="2">
        <v>26</v>
      </c>
      <c r="BP15" s="2">
        <v>29</v>
      </c>
      <c r="BQ15" s="2">
        <v>31</v>
      </c>
      <c r="BR15" s="2">
        <v>33</v>
      </c>
      <c r="BS15" s="2">
        <v>38</v>
      </c>
      <c r="BT15" s="2">
        <v>21</v>
      </c>
      <c r="BU15" s="2">
        <v>69</v>
      </c>
      <c r="BV15" s="2">
        <v>88</v>
      </c>
      <c r="BW15" s="2">
        <v>107</v>
      </c>
      <c r="BX15" s="2">
        <v>155</v>
      </c>
      <c r="BY15" s="2">
        <v>18.899999999999999</v>
      </c>
      <c r="BZ15" s="2">
        <v>10.5</v>
      </c>
      <c r="CA15" s="2">
        <v>2.1</v>
      </c>
      <c r="CB15" s="2">
        <v>2.9376584781947699E-6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23l</v>
      </c>
      <c r="J16" s="47">
        <f t="shared" ca="1" si="35"/>
        <v>11</v>
      </c>
      <c r="K16" s="19">
        <f t="shared" ca="1" si="36"/>
        <v>-28.5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8.8000000000000007</v>
      </c>
      <c r="O16" s="63">
        <f t="shared" ca="1" si="4"/>
        <v>439</v>
      </c>
      <c r="P16" s="63">
        <f t="shared" ca="1" si="5"/>
        <v>-10.952380952380953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3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35300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630000</v>
      </c>
      <c r="AD16" s="63">
        <f t="shared" ca="1" si="19"/>
        <v>-15904.761904761905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8</v>
      </c>
      <c r="AX16" s="2" t="s">
        <v>217</v>
      </c>
      <c r="AY16" s="130">
        <v>23.6</v>
      </c>
      <c r="AZ16" s="2">
        <v>20</v>
      </c>
      <c r="BA16" s="2"/>
      <c r="BB16" s="2">
        <v>18</v>
      </c>
      <c r="BC16" s="2"/>
      <c r="BD16" s="2">
        <v>1.7</v>
      </c>
      <c r="BE16" s="2">
        <v>5.5</v>
      </c>
      <c r="BF16" s="2">
        <v>6</v>
      </c>
      <c r="BG16" s="2">
        <v>6.4</v>
      </c>
      <c r="BH16" s="2">
        <v>9.4</v>
      </c>
      <c r="BI16" s="2"/>
      <c r="BJ16" s="2"/>
      <c r="BK16" s="2"/>
      <c r="BL16" s="2"/>
      <c r="BM16" s="2"/>
      <c r="BN16" s="2">
        <v>58</v>
      </c>
      <c r="BO16" s="2">
        <v>26</v>
      </c>
      <c r="BP16" s="2">
        <v>27</v>
      </c>
      <c r="BQ16" s="2">
        <v>30</v>
      </c>
      <c r="BR16" s="2">
        <v>32</v>
      </c>
      <c r="BS16" s="2">
        <v>36</v>
      </c>
      <c r="BT16" s="2">
        <v>8</v>
      </c>
      <c r="BU16" s="2">
        <v>53</v>
      </c>
      <c r="BV16" s="2">
        <v>76</v>
      </c>
      <c r="BW16" s="2">
        <v>100</v>
      </c>
      <c r="BX16" s="2">
        <v>158</v>
      </c>
      <c r="BY16" s="2">
        <v>15.7</v>
      </c>
      <c r="BZ16" s="2">
        <v>5.0999999999999996</v>
      </c>
      <c r="CA16" s="2">
        <v>1.3</v>
      </c>
      <c r="CB16" s="2">
        <v>3.9510576682757601E-7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23m</v>
      </c>
      <c r="J17" s="47">
        <f t="shared" ca="1" si="35"/>
        <v>12</v>
      </c>
      <c r="K17" s="19">
        <f t="shared" ca="1" si="36"/>
        <v>-39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8.5</v>
      </c>
      <c r="O17" s="63">
        <f t="shared" ca="1" si="4"/>
        <v>594</v>
      </c>
      <c r="P17" s="63">
        <f t="shared" ca="1" si="5"/>
        <v>10.216718266253869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3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53900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874000</v>
      </c>
      <c r="AD17" s="63">
        <f t="shared" ca="1" si="19"/>
        <v>17956.656346749223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14.5</v>
      </c>
      <c r="AX17" s="2" t="s">
        <v>217</v>
      </c>
      <c r="AY17" s="130">
        <v>23.6</v>
      </c>
      <c r="AZ17" s="2">
        <v>20</v>
      </c>
      <c r="BA17" s="2"/>
      <c r="BB17" s="2">
        <v>18</v>
      </c>
      <c r="BC17" s="2"/>
      <c r="BD17" s="2">
        <v>14.1</v>
      </c>
      <c r="BE17" s="2">
        <v>18</v>
      </c>
      <c r="BF17" s="2">
        <v>18.399999999999999</v>
      </c>
      <c r="BG17" s="2">
        <v>18.8</v>
      </c>
      <c r="BH17" s="2">
        <v>21.9</v>
      </c>
      <c r="BI17" s="2"/>
      <c r="BJ17" s="2"/>
      <c r="BK17" s="2"/>
      <c r="BL17" s="2"/>
      <c r="BM17" s="2"/>
      <c r="BN17" s="2">
        <v>58</v>
      </c>
      <c r="BO17" s="2">
        <v>26</v>
      </c>
      <c r="BP17" s="2">
        <v>27</v>
      </c>
      <c r="BQ17" s="2">
        <v>30</v>
      </c>
      <c r="BR17" s="2">
        <v>32</v>
      </c>
      <c r="BS17" s="2">
        <v>36</v>
      </c>
      <c r="BT17" s="2">
        <v>55</v>
      </c>
      <c r="BU17" s="2">
        <v>100</v>
      </c>
      <c r="BV17" s="2">
        <v>124</v>
      </c>
      <c r="BW17" s="2">
        <v>147</v>
      </c>
      <c r="BX17" s="2">
        <v>206</v>
      </c>
      <c r="BY17" s="2">
        <v>15.7</v>
      </c>
      <c r="BZ17" s="2">
        <v>5.0999999999999996</v>
      </c>
      <c r="CA17" s="2">
        <v>1.3</v>
      </c>
      <c r="CB17" s="2">
        <v>3.9510576682757601E-7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23n</v>
      </c>
      <c r="J18" s="47">
        <f t="shared" ca="1" si="35"/>
        <v>13</v>
      </c>
      <c r="K18" s="19">
        <f t="shared" ca="1" si="36"/>
        <v>-45.46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8.1000000000000014</v>
      </c>
      <c r="O18" s="63">
        <f t="shared" ca="1" si="4"/>
        <v>673</v>
      </c>
      <c r="P18" s="63">
        <f t="shared" ca="1" si="5"/>
        <v>11.375212224108658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3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0.25</v>
      </c>
      <c r="X18" s="47">
        <f t="shared" ca="1" si="13"/>
        <v>60300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992000</v>
      </c>
      <c r="AD18" s="63">
        <f t="shared" ca="1" si="19"/>
        <v>19864.1765704584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14.5</v>
      </c>
      <c r="AX18" s="2" t="s">
        <v>218</v>
      </c>
      <c r="AY18" s="130">
        <v>37</v>
      </c>
      <c r="AZ18" s="2">
        <v>18.3</v>
      </c>
      <c r="BA18" s="2">
        <v>59</v>
      </c>
      <c r="BB18" s="2">
        <v>77</v>
      </c>
      <c r="BC18" s="2">
        <v>3</v>
      </c>
      <c r="BD18" s="2">
        <v>5.8</v>
      </c>
      <c r="BE18" s="2">
        <v>6.6</v>
      </c>
      <c r="BF18" s="2">
        <v>6.8</v>
      </c>
      <c r="BG18" s="2">
        <v>6.9</v>
      </c>
      <c r="BH18" s="2">
        <v>7.6</v>
      </c>
      <c r="BI18" s="2">
        <v>183</v>
      </c>
      <c r="BJ18" s="2">
        <v>279</v>
      </c>
      <c r="BK18" s="2">
        <v>323</v>
      </c>
      <c r="BL18" s="2">
        <v>369</v>
      </c>
      <c r="BM18" s="2">
        <v>463</v>
      </c>
      <c r="BN18" s="2"/>
      <c r="BO18" s="2"/>
      <c r="BP18" s="2"/>
      <c r="BQ18" s="2"/>
      <c r="BR18" s="2"/>
      <c r="BS18" s="2"/>
      <c r="BT18" s="2">
        <v>158</v>
      </c>
      <c r="BU18" s="2">
        <v>273</v>
      </c>
      <c r="BV18" s="2">
        <v>363</v>
      </c>
      <c r="BW18" s="2">
        <v>453</v>
      </c>
      <c r="BX18" s="2">
        <v>637</v>
      </c>
      <c r="BY18" s="2">
        <v>21.1</v>
      </c>
      <c r="BZ18" s="2">
        <v>9.1999999999999993</v>
      </c>
      <c r="CA18" s="2">
        <v>3</v>
      </c>
      <c r="CB18" s="2">
        <v>3.2161567612181799E-10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23o</v>
      </c>
      <c r="J19" s="47">
        <f t="shared" ca="1" si="35"/>
        <v>14</v>
      </c>
      <c r="K19" s="19">
        <f t="shared" ca="1" si="36"/>
        <v>-51.35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8.6999999999999993</v>
      </c>
      <c r="O19" s="63">
        <f t="shared" ca="1" si="4"/>
        <v>753</v>
      </c>
      <c r="P19" s="63">
        <f t="shared" ca="1" si="5"/>
        <v>12.087353986795325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3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0.25</v>
      </c>
      <c r="X19" s="47">
        <f t="shared" ca="1" si="13"/>
        <v>73500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1168000</v>
      </c>
      <c r="AD19" s="63">
        <f t="shared" ca="1" si="19"/>
        <v>23311.325545962412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21</v>
      </c>
      <c r="AX19" s="2" t="s">
        <v>218</v>
      </c>
      <c r="AY19" s="130">
        <v>37</v>
      </c>
      <c r="AZ19" s="2">
        <v>18.3</v>
      </c>
      <c r="BA19" s="2">
        <v>59</v>
      </c>
      <c r="BB19" s="2">
        <v>77</v>
      </c>
      <c r="BC19" s="2">
        <v>3</v>
      </c>
      <c r="BD19" s="2">
        <v>3.7</v>
      </c>
      <c r="BE19" s="2">
        <v>4.5</v>
      </c>
      <c r="BF19" s="2">
        <v>4.5999999999999996</v>
      </c>
      <c r="BG19" s="2">
        <v>4.8</v>
      </c>
      <c r="BH19" s="2">
        <v>5.5</v>
      </c>
      <c r="BI19" s="2">
        <v>70</v>
      </c>
      <c r="BJ19" s="2">
        <v>166</v>
      </c>
      <c r="BK19" s="2">
        <v>211</v>
      </c>
      <c r="BL19" s="2">
        <v>256</v>
      </c>
      <c r="BM19" s="2">
        <v>350</v>
      </c>
      <c r="BN19" s="2"/>
      <c r="BO19" s="2"/>
      <c r="BP19" s="2"/>
      <c r="BQ19" s="2"/>
      <c r="BR19" s="2"/>
      <c r="BS19" s="2"/>
      <c r="BT19" s="2">
        <v>20</v>
      </c>
      <c r="BU19" s="2">
        <v>135</v>
      </c>
      <c r="BV19" s="2">
        <v>225</v>
      </c>
      <c r="BW19" s="2">
        <v>315</v>
      </c>
      <c r="BX19" s="2">
        <v>499</v>
      </c>
      <c r="BY19" s="2">
        <v>21.1</v>
      </c>
      <c r="BZ19" s="2">
        <v>9.1999999999999993</v>
      </c>
      <c r="CA19" s="2">
        <v>3</v>
      </c>
      <c r="CB19" s="2">
        <v>3.2161567612181799E-10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23q</v>
      </c>
      <c r="J20" s="47">
        <f t="shared" ca="1" si="35"/>
        <v>15</v>
      </c>
      <c r="K20" s="19">
        <f t="shared" ca="1" si="36"/>
        <v>-71.040000000000006</v>
      </c>
      <c r="L20" s="116" t="str">
        <f t="shared" ca="1" si="1"/>
        <v>Cowden Clay</v>
      </c>
      <c r="M20" s="105" t="str">
        <f t="shared" ca="1" si="2"/>
        <v>API clay</v>
      </c>
      <c r="N20" s="47">
        <f t="shared" ca="1" si="3"/>
        <v>9.6999999999999993</v>
      </c>
      <c r="O20" s="63">
        <f t="shared" ca="1" si="4"/>
        <v>1018</v>
      </c>
      <c r="P20" s="63">
        <f t="shared" ca="1" si="5"/>
        <v>10.267857142857149</v>
      </c>
      <c r="Q20" s="47">
        <f t="shared" ca="1" si="6"/>
        <v>0</v>
      </c>
      <c r="R20" s="47" t="e">
        <f t="shared" ca="1" si="7"/>
        <v>#N/A</v>
      </c>
      <c r="S20" s="47">
        <f t="shared" ca="1" si="8"/>
        <v>3</v>
      </c>
      <c r="T20" s="47">
        <f t="shared" ca="1" si="9"/>
        <v>0</v>
      </c>
      <c r="U20" s="75">
        <f t="shared" ca="1" si="10"/>
        <v>1.7999999999999999E-2</v>
      </c>
      <c r="V20" s="75">
        <f t="shared" ca="1" si="11"/>
        <v>0</v>
      </c>
      <c r="W20" s="47">
        <f t="shared" ca="1" si="12"/>
        <v>0.25</v>
      </c>
      <c r="X20" s="47">
        <f t="shared" ca="1" si="13"/>
        <v>88800</v>
      </c>
      <c r="Y20" s="47">
        <f t="shared" ca="1" si="14"/>
        <v>0</v>
      </c>
      <c r="Z20" s="47" t="e">
        <f t="shared" ca="1" si="15"/>
        <v>#N/A</v>
      </c>
      <c r="AA20" s="47">
        <f t="shared" ca="1" si="16"/>
        <v>1</v>
      </c>
      <c r="AB20" s="47" t="e">
        <f t="shared" ca="1" si="17"/>
        <v>#N/A</v>
      </c>
      <c r="AC20" s="63">
        <f t="shared" ca="1" si="18"/>
        <v>1772000</v>
      </c>
      <c r="AD20" s="63">
        <f t="shared" ca="1" si="19"/>
        <v>21986.607142857156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 t="e">
        <f t="shared" ca="1" si="25"/>
        <v>#N/A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0</v>
      </c>
      <c r="AS20" s="33">
        <f t="shared" ca="1" si="34"/>
        <v>0.4</v>
      </c>
      <c r="AW20" s="2">
        <v>21</v>
      </c>
      <c r="AX20" s="2" t="s">
        <v>219</v>
      </c>
      <c r="AY20" s="130">
        <v>37</v>
      </c>
      <c r="AZ20" s="2">
        <v>18.5</v>
      </c>
      <c r="BA20" s="2">
        <v>42</v>
      </c>
      <c r="BB20" s="2">
        <v>63</v>
      </c>
      <c r="BC20" s="2">
        <v>3</v>
      </c>
      <c r="BD20" s="2">
        <v>4</v>
      </c>
      <c r="BE20" s="2">
        <v>4.2</v>
      </c>
      <c r="BF20" s="2">
        <v>4.3</v>
      </c>
      <c r="BG20" s="2">
        <v>4.5</v>
      </c>
      <c r="BH20" s="2">
        <v>4.8</v>
      </c>
      <c r="BI20" s="2">
        <v>82</v>
      </c>
      <c r="BJ20" s="2">
        <v>158</v>
      </c>
      <c r="BK20" s="2">
        <v>196</v>
      </c>
      <c r="BL20" s="2">
        <v>235</v>
      </c>
      <c r="BM20" s="2">
        <v>312</v>
      </c>
      <c r="BN20" s="2"/>
      <c r="BO20" s="2"/>
      <c r="BP20" s="2"/>
      <c r="BQ20" s="2"/>
      <c r="BR20" s="2"/>
      <c r="BS20" s="2"/>
      <c r="BT20" s="2">
        <v>21</v>
      </c>
      <c r="BU20" s="2">
        <v>127</v>
      </c>
      <c r="BV20" s="2">
        <v>210</v>
      </c>
      <c r="BW20" s="2">
        <v>294</v>
      </c>
      <c r="BX20" s="2">
        <v>460</v>
      </c>
      <c r="BY20" s="2">
        <v>17.5</v>
      </c>
      <c r="BZ20" s="2">
        <v>6.2</v>
      </c>
      <c r="CA20" s="2">
        <v>2.6</v>
      </c>
      <c r="CB20" s="2">
        <v>1.3852190461636701E-10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24.1</v>
      </c>
      <c r="AX21" s="2" t="s">
        <v>219</v>
      </c>
      <c r="AY21" s="130">
        <v>37</v>
      </c>
      <c r="AZ21" s="2">
        <v>18.5</v>
      </c>
      <c r="BA21" s="2">
        <v>42</v>
      </c>
      <c r="BB21" s="2">
        <v>63</v>
      </c>
      <c r="BC21" s="2">
        <v>3</v>
      </c>
      <c r="BD21" s="2">
        <v>4.9000000000000004</v>
      </c>
      <c r="BE21" s="2">
        <v>5.2</v>
      </c>
      <c r="BF21" s="2">
        <v>5.3</v>
      </c>
      <c r="BG21" s="2">
        <v>5.4</v>
      </c>
      <c r="BH21" s="2">
        <v>5.8</v>
      </c>
      <c r="BI21" s="2">
        <v>126</v>
      </c>
      <c r="BJ21" s="2">
        <v>203</v>
      </c>
      <c r="BK21" s="2">
        <v>241</v>
      </c>
      <c r="BL21" s="2">
        <v>279</v>
      </c>
      <c r="BM21" s="2">
        <v>357</v>
      </c>
      <c r="BN21" s="2"/>
      <c r="BO21" s="2"/>
      <c r="BP21" s="2"/>
      <c r="BQ21" s="2"/>
      <c r="BR21" s="2"/>
      <c r="BS21" s="2"/>
      <c r="BT21" s="2">
        <v>79</v>
      </c>
      <c r="BU21" s="2">
        <v>186</v>
      </c>
      <c r="BV21" s="2">
        <v>269</v>
      </c>
      <c r="BW21" s="2">
        <v>353</v>
      </c>
      <c r="BX21" s="2">
        <v>519</v>
      </c>
      <c r="BY21" s="2">
        <v>17.5</v>
      </c>
      <c r="BZ21" s="2">
        <v>6.2</v>
      </c>
      <c r="CA21" s="2">
        <v>2.6</v>
      </c>
      <c r="CB21" s="2">
        <v>1.3852190461636701E-10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24.1</v>
      </c>
      <c r="AX22" s="2" t="s">
        <v>220</v>
      </c>
      <c r="AY22" s="130">
        <v>29.5</v>
      </c>
      <c r="AZ22" s="2">
        <v>18.8</v>
      </c>
      <c r="BA22" s="2">
        <v>48</v>
      </c>
      <c r="BB22" s="2">
        <v>77</v>
      </c>
      <c r="BC22" s="2">
        <v>3</v>
      </c>
      <c r="BD22" s="2">
        <v>5.5</v>
      </c>
      <c r="BE22" s="2">
        <v>7.5</v>
      </c>
      <c r="BF22" s="2">
        <v>7.9</v>
      </c>
      <c r="BG22" s="2">
        <v>8.8000000000000007</v>
      </c>
      <c r="BH22" s="2">
        <v>13.5</v>
      </c>
      <c r="BI22" s="2">
        <v>195</v>
      </c>
      <c r="BJ22" s="2">
        <v>323</v>
      </c>
      <c r="BK22" s="2">
        <v>371</v>
      </c>
      <c r="BL22" s="2">
        <v>433</v>
      </c>
      <c r="BM22" s="2">
        <v>682</v>
      </c>
      <c r="BN22" s="2"/>
      <c r="BO22" s="2"/>
      <c r="BP22" s="2"/>
      <c r="BQ22" s="2"/>
      <c r="BR22" s="2"/>
      <c r="BS22" s="2"/>
      <c r="BT22" s="2">
        <v>130</v>
      </c>
      <c r="BU22" s="2">
        <v>356</v>
      </c>
      <c r="BV22" s="2">
        <v>450</v>
      </c>
      <c r="BW22" s="2">
        <v>562</v>
      </c>
      <c r="BX22" s="2">
        <v>965</v>
      </c>
      <c r="BY22" s="2">
        <v>31.2</v>
      </c>
      <c r="BZ22" s="2">
        <v>10</v>
      </c>
      <c r="CA22" s="2">
        <v>3</v>
      </c>
      <c r="CB22" s="2">
        <v>7.0431459956798997E-10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27</v>
      </c>
      <c r="AX23" s="2" t="s">
        <v>220</v>
      </c>
      <c r="AY23" s="130">
        <v>29.5</v>
      </c>
      <c r="AZ23" s="2">
        <v>18.8</v>
      </c>
      <c r="BA23" s="2">
        <v>48</v>
      </c>
      <c r="BB23" s="2">
        <v>77</v>
      </c>
      <c r="BC23" s="2">
        <v>3</v>
      </c>
      <c r="BD23" s="2">
        <v>6.7</v>
      </c>
      <c r="BE23" s="2">
        <v>8.6999999999999993</v>
      </c>
      <c r="BF23" s="2">
        <v>9.1</v>
      </c>
      <c r="BG23" s="2">
        <v>10</v>
      </c>
      <c r="BH23" s="2">
        <v>14.7</v>
      </c>
      <c r="BI23" s="2">
        <v>252</v>
      </c>
      <c r="BJ23" s="2">
        <v>380</v>
      </c>
      <c r="BK23" s="2">
        <v>428</v>
      </c>
      <c r="BL23" s="2">
        <v>490</v>
      </c>
      <c r="BM23" s="2">
        <v>739</v>
      </c>
      <c r="BN23" s="2"/>
      <c r="BO23" s="2"/>
      <c r="BP23" s="2"/>
      <c r="BQ23" s="2"/>
      <c r="BR23" s="2"/>
      <c r="BS23" s="2"/>
      <c r="BT23" s="2">
        <v>233</v>
      </c>
      <c r="BU23" s="2">
        <v>459</v>
      </c>
      <c r="BV23" s="2">
        <v>553</v>
      </c>
      <c r="BW23" s="2">
        <v>665</v>
      </c>
      <c r="BX23" s="2">
        <v>1068</v>
      </c>
      <c r="BY23" s="2">
        <v>31.2</v>
      </c>
      <c r="BZ23" s="2">
        <v>10</v>
      </c>
      <c r="CA23" s="2">
        <v>3</v>
      </c>
      <c r="CB23" s="2">
        <v>7.0431459956798997E-10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27</v>
      </c>
      <c r="AX24" s="2" t="s">
        <v>220</v>
      </c>
      <c r="AY24" s="130">
        <v>29.5</v>
      </c>
      <c r="AZ24" s="2">
        <v>18.8</v>
      </c>
      <c r="BA24" s="2">
        <v>48</v>
      </c>
      <c r="BB24" s="2">
        <v>77</v>
      </c>
      <c r="BC24" s="2">
        <v>3</v>
      </c>
      <c r="BD24" s="2">
        <v>7.1</v>
      </c>
      <c r="BE24" s="2">
        <v>13.3</v>
      </c>
      <c r="BF24" s="2">
        <v>15</v>
      </c>
      <c r="BG24" s="2">
        <v>16.8</v>
      </c>
      <c r="BH24" s="2">
        <v>23.3</v>
      </c>
      <c r="BI24" s="2">
        <v>309</v>
      </c>
      <c r="BJ24" s="2">
        <v>629</v>
      </c>
      <c r="BK24" s="2">
        <v>723</v>
      </c>
      <c r="BL24" s="2">
        <v>821</v>
      </c>
      <c r="BM24" s="2">
        <v>1156</v>
      </c>
      <c r="BN24" s="2"/>
      <c r="BO24" s="2"/>
      <c r="BP24" s="2"/>
      <c r="BQ24" s="2"/>
      <c r="BR24" s="2"/>
      <c r="BS24" s="2"/>
      <c r="BT24" s="2">
        <v>312</v>
      </c>
      <c r="BU24" s="2">
        <v>850</v>
      </c>
      <c r="BV24" s="2">
        <v>1012</v>
      </c>
      <c r="BW24" s="2">
        <v>1190</v>
      </c>
      <c r="BX24" s="2">
        <v>1790</v>
      </c>
      <c r="BY24" s="2">
        <v>62</v>
      </c>
      <c r="BZ24" s="2">
        <v>18.2</v>
      </c>
      <c r="CA24" s="2">
        <v>3</v>
      </c>
      <c r="CB24" s="2">
        <v>3.7882838412465796E-9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28.5</v>
      </c>
      <c r="AX25" s="2" t="s">
        <v>220</v>
      </c>
      <c r="AY25" s="130">
        <v>29.5</v>
      </c>
      <c r="AZ25" s="2">
        <v>18.8</v>
      </c>
      <c r="BA25" s="2">
        <v>48</v>
      </c>
      <c r="BB25" s="2">
        <v>77</v>
      </c>
      <c r="BC25" s="2">
        <v>3</v>
      </c>
      <c r="BD25" s="2">
        <v>8.6999999999999993</v>
      </c>
      <c r="BE25" s="2">
        <v>14.9</v>
      </c>
      <c r="BF25" s="2">
        <v>16.600000000000001</v>
      </c>
      <c r="BG25" s="2">
        <v>18.399999999999999</v>
      </c>
      <c r="BH25" s="2">
        <v>24.9</v>
      </c>
      <c r="BI25" s="2">
        <v>389</v>
      </c>
      <c r="BJ25" s="2">
        <v>710</v>
      </c>
      <c r="BK25" s="2">
        <v>804</v>
      </c>
      <c r="BL25" s="2">
        <v>902</v>
      </c>
      <c r="BM25" s="2">
        <v>1236</v>
      </c>
      <c r="BN25" s="2"/>
      <c r="BO25" s="2"/>
      <c r="BP25" s="2"/>
      <c r="BQ25" s="2"/>
      <c r="BR25" s="2"/>
      <c r="BS25" s="2"/>
      <c r="BT25" s="2">
        <v>452</v>
      </c>
      <c r="BU25" s="2">
        <v>990</v>
      </c>
      <c r="BV25" s="2">
        <v>1152</v>
      </c>
      <c r="BW25" s="2">
        <v>1329</v>
      </c>
      <c r="BX25" s="2">
        <v>1929</v>
      </c>
      <c r="BY25" s="2">
        <v>62</v>
      </c>
      <c r="BZ25" s="2">
        <v>18.2</v>
      </c>
      <c r="CA25" s="2">
        <v>3</v>
      </c>
      <c r="CB25" s="2">
        <v>3.7882838412465796E-9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28.5</v>
      </c>
      <c r="AX26" s="2" t="s">
        <v>220</v>
      </c>
      <c r="AY26" s="130">
        <v>29.5</v>
      </c>
      <c r="AZ26" s="2">
        <v>18.8</v>
      </c>
      <c r="BA26" s="2">
        <v>48</v>
      </c>
      <c r="BB26" s="2">
        <v>77</v>
      </c>
      <c r="BC26" s="2">
        <v>3</v>
      </c>
      <c r="BD26" s="2">
        <v>7.9</v>
      </c>
      <c r="BE26" s="2">
        <v>9.8000000000000007</v>
      </c>
      <c r="BF26" s="2">
        <v>10.3</v>
      </c>
      <c r="BG26" s="2">
        <v>11</v>
      </c>
      <c r="BH26" s="2">
        <v>14.5</v>
      </c>
      <c r="BI26" s="2">
        <v>314</v>
      </c>
      <c r="BJ26" s="2">
        <v>439</v>
      </c>
      <c r="BK26" s="2">
        <v>485</v>
      </c>
      <c r="BL26" s="2">
        <v>540</v>
      </c>
      <c r="BM26" s="2">
        <v>733</v>
      </c>
      <c r="BN26" s="2"/>
      <c r="BO26" s="2"/>
      <c r="BP26" s="2"/>
      <c r="BQ26" s="2"/>
      <c r="BR26" s="2"/>
      <c r="BS26" s="2"/>
      <c r="BT26" s="2">
        <v>323</v>
      </c>
      <c r="BU26" s="2">
        <v>541</v>
      </c>
      <c r="BV26" s="2">
        <v>630</v>
      </c>
      <c r="BW26" s="2">
        <v>730</v>
      </c>
      <c r="BX26" s="2">
        <v>1046</v>
      </c>
      <c r="BY26" s="2">
        <v>35.299999999999997</v>
      </c>
      <c r="BZ26" s="2">
        <v>9.6999999999999993</v>
      </c>
      <c r="CA26" s="2">
        <v>3</v>
      </c>
      <c r="CB26" s="2">
        <v>6.1987465605382201E-10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39</v>
      </c>
      <c r="AX27" s="2" t="s">
        <v>220</v>
      </c>
      <c r="AY27" s="130">
        <v>29.5</v>
      </c>
      <c r="AZ27" s="2">
        <v>18.8</v>
      </c>
      <c r="BA27" s="2">
        <v>48</v>
      </c>
      <c r="BB27" s="2">
        <v>77</v>
      </c>
      <c r="BC27" s="2">
        <v>3</v>
      </c>
      <c r="BD27" s="2">
        <v>5.6</v>
      </c>
      <c r="BE27" s="2">
        <v>7.6</v>
      </c>
      <c r="BF27" s="2">
        <v>8</v>
      </c>
      <c r="BG27" s="2">
        <v>8.6999999999999993</v>
      </c>
      <c r="BH27" s="2">
        <v>12.3</v>
      </c>
      <c r="BI27" s="2">
        <v>198</v>
      </c>
      <c r="BJ27" s="2">
        <v>324</v>
      </c>
      <c r="BK27" s="2">
        <v>370</v>
      </c>
      <c r="BL27" s="2">
        <v>425</v>
      </c>
      <c r="BM27" s="2">
        <v>617</v>
      </c>
      <c r="BN27" s="2"/>
      <c r="BO27" s="2"/>
      <c r="BP27" s="2"/>
      <c r="BQ27" s="2"/>
      <c r="BR27" s="2"/>
      <c r="BS27" s="2"/>
      <c r="BT27" s="2">
        <v>156</v>
      </c>
      <c r="BU27" s="2">
        <v>374</v>
      </c>
      <c r="BV27" s="2">
        <v>463</v>
      </c>
      <c r="BW27" s="2">
        <v>563</v>
      </c>
      <c r="BX27" s="2">
        <v>879</v>
      </c>
      <c r="BY27" s="2">
        <v>35.299999999999997</v>
      </c>
      <c r="BZ27" s="2">
        <v>9.6999999999999993</v>
      </c>
      <c r="CA27" s="2">
        <v>3</v>
      </c>
      <c r="CB27" s="2">
        <v>6.1987465605382201E-10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39</v>
      </c>
      <c r="AX28" s="2" t="s">
        <v>221</v>
      </c>
      <c r="AY28" s="130">
        <v>36.1</v>
      </c>
      <c r="AZ28" s="2">
        <v>18.5</v>
      </c>
      <c r="BA28" s="2">
        <v>21</v>
      </c>
      <c r="BB28" s="2">
        <v>72</v>
      </c>
      <c r="BC28" s="2">
        <v>3</v>
      </c>
      <c r="BD28" s="2">
        <v>1.4</v>
      </c>
      <c r="BE28" s="2">
        <v>9.5</v>
      </c>
      <c r="BF28" s="2">
        <v>13.5</v>
      </c>
      <c r="BG28" s="2">
        <v>26</v>
      </c>
      <c r="BH28" s="2">
        <v>64.7</v>
      </c>
      <c r="BI28" s="2">
        <v>508</v>
      </c>
      <c r="BJ28" s="2">
        <v>594</v>
      </c>
      <c r="BK28" s="2">
        <v>637</v>
      </c>
      <c r="BL28" s="2">
        <v>681</v>
      </c>
      <c r="BM28" s="2">
        <v>767</v>
      </c>
      <c r="BN28" s="2"/>
      <c r="BO28" s="2"/>
      <c r="BP28" s="2"/>
      <c r="BQ28" s="2"/>
      <c r="BR28" s="2"/>
      <c r="BS28" s="2"/>
      <c r="BT28" s="2">
        <v>39</v>
      </c>
      <c r="BU28" s="2">
        <v>396</v>
      </c>
      <c r="BV28" s="2">
        <v>874</v>
      </c>
      <c r="BW28" s="2">
        <v>1252</v>
      </c>
      <c r="BX28" s="2">
        <v>2113</v>
      </c>
      <c r="BY28" s="2">
        <v>53.9</v>
      </c>
      <c r="BZ28" s="2">
        <v>10.5</v>
      </c>
      <c r="CA28" s="2">
        <v>3</v>
      </c>
      <c r="CB28" s="2">
        <v>3.8457714171058504E-12</v>
      </c>
      <c r="CC28" s="2">
        <v>1.8</v>
      </c>
    </row>
    <row r="29" spans="1:81" x14ac:dyDescent="0.25">
      <c r="A29" s="66"/>
      <c r="B29" s="66"/>
      <c r="C29" s="67"/>
      <c r="D29" s="35"/>
      <c r="AW29" s="2">
        <v>45.46</v>
      </c>
      <c r="AX29" s="2" t="s">
        <v>221</v>
      </c>
      <c r="AY29" s="130">
        <v>36.1</v>
      </c>
      <c r="AZ29" s="2">
        <v>18.5</v>
      </c>
      <c r="BA29" s="2">
        <v>21</v>
      </c>
      <c r="BB29" s="2">
        <v>72</v>
      </c>
      <c r="BC29" s="2">
        <v>3</v>
      </c>
      <c r="BD29" s="2">
        <v>2.8</v>
      </c>
      <c r="BE29" s="2">
        <v>10.9</v>
      </c>
      <c r="BF29" s="2">
        <v>14.9</v>
      </c>
      <c r="BG29" s="2">
        <v>27.4</v>
      </c>
      <c r="BH29" s="2">
        <v>66.099999999999994</v>
      </c>
      <c r="BI29" s="2">
        <v>574</v>
      </c>
      <c r="BJ29" s="2">
        <v>660</v>
      </c>
      <c r="BK29" s="2">
        <v>703</v>
      </c>
      <c r="BL29" s="2">
        <v>747</v>
      </c>
      <c r="BM29" s="2">
        <v>833</v>
      </c>
      <c r="BN29" s="2"/>
      <c r="BO29" s="2"/>
      <c r="BP29" s="2"/>
      <c r="BQ29" s="2"/>
      <c r="BR29" s="2"/>
      <c r="BS29" s="2"/>
      <c r="BT29" s="2">
        <v>155</v>
      </c>
      <c r="BU29" s="2">
        <v>512</v>
      </c>
      <c r="BV29" s="2">
        <v>990</v>
      </c>
      <c r="BW29" s="2">
        <v>1369</v>
      </c>
      <c r="BX29" s="2">
        <v>2229</v>
      </c>
      <c r="BY29" s="2">
        <v>53.9</v>
      </c>
      <c r="BZ29" s="2">
        <v>10.5</v>
      </c>
      <c r="CA29" s="2">
        <v>3</v>
      </c>
      <c r="CB29" s="2">
        <v>3.8457714171058504E-12</v>
      </c>
      <c r="CC29" s="2">
        <v>1.8</v>
      </c>
    </row>
    <row r="30" spans="1:81" x14ac:dyDescent="0.25">
      <c r="A30" s="66"/>
      <c r="B30" s="66"/>
      <c r="C30" s="67"/>
      <c r="D30" s="35"/>
      <c r="AW30" s="2">
        <v>45.46</v>
      </c>
      <c r="AX30" s="2" t="s">
        <v>306</v>
      </c>
      <c r="AY30" s="130">
        <v>38.4</v>
      </c>
      <c r="AZ30" s="2">
        <v>18.100000000000001</v>
      </c>
      <c r="BA30" s="2">
        <v>34</v>
      </c>
      <c r="BB30" s="2">
        <v>77</v>
      </c>
      <c r="BC30" s="2">
        <v>3</v>
      </c>
      <c r="BD30" s="2">
        <v>1.7</v>
      </c>
      <c r="BE30" s="2">
        <v>10.8</v>
      </c>
      <c r="BF30" s="2">
        <v>15.2</v>
      </c>
      <c r="BG30" s="2">
        <v>32.799999999999997</v>
      </c>
      <c r="BH30" s="2">
        <v>87.2</v>
      </c>
      <c r="BI30" s="2">
        <v>588</v>
      </c>
      <c r="BJ30" s="2">
        <v>673</v>
      </c>
      <c r="BK30" s="2">
        <v>717</v>
      </c>
      <c r="BL30" s="2">
        <v>761</v>
      </c>
      <c r="BM30" s="2">
        <v>847</v>
      </c>
      <c r="BN30" s="2"/>
      <c r="BO30" s="2"/>
      <c r="BP30" s="2"/>
      <c r="BQ30" s="2"/>
      <c r="BR30" s="2"/>
      <c r="BS30" s="2"/>
      <c r="BT30" s="2">
        <v>733</v>
      </c>
      <c r="BU30" s="2">
        <v>905</v>
      </c>
      <c r="BV30" s="2">
        <v>992</v>
      </c>
      <c r="BW30" s="2">
        <v>1079</v>
      </c>
      <c r="BX30" s="2">
        <v>1250</v>
      </c>
      <c r="BY30" s="2">
        <v>60.3</v>
      </c>
      <c r="BZ30" s="2">
        <v>10.4</v>
      </c>
      <c r="CA30" s="2">
        <v>3</v>
      </c>
      <c r="CB30" s="2">
        <v>3.9668810545194099E-12</v>
      </c>
      <c r="CC30" s="2">
        <v>1.8</v>
      </c>
    </row>
    <row r="31" spans="1:81" x14ac:dyDescent="0.25">
      <c r="A31" s="66"/>
      <c r="B31" s="66"/>
      <c r="C31" s="67"/>
      <c r="D31" s="35"/>
      <c r="AW31" s="2">
        <v>51.35</v>
      </c>
      <c r="AX31" s="2" t="s">
        <v>306</v>
      </c>
      <c r="AY31" s="130">
        <v>38.4</v>
      </c>
      <c r="AZ31" s="2">
        <v>18.100000000000001</v>
      </c>
      <c r="BA31" s="2">
        <v>34</v>
      </c>
      <c r="BB31" s="2">
        <v>77</v>
      </c>
      <c r="BC31" s="2">
        <v>3</v>
      </c>
      <c r="BD31" s="2">
        <v>3.1</v>
      </c>
      <c r="BE31" s="2">
        <v>12.2</v>
      </c>
      <c r="BF31" s="2">
        <v>16.600000000000001</v>
      </c>
      <c r="BG31" s="2">
        <v>34.200000000000003</v>
      </c>
      <c r="BH31" s="2">
        <v>88.6</v>
      </c>
      <c r="BI31" s="2">
        <v>654</v>
      </c>
      <c r="BJ31" s="2">
        <v>740</v>
      </c>
      <c r="BK31" s="2">
        <v>783</v>
      </c>
      <c r="BL31" s="2">
        <v>827</v>
      </c>
      <c r="BM31" s="2">
        <v>913</v>
      </c>
      <c r="BN31" s="2"/>
      <c r="BO31" s="2"/>
      <c r="BP31" s="2"/>
      <c r="BQ31" s="2"/>
      <c r="BR31" s="2"/>
      <c r="BS31" s="2"/>
      <c r="BT31" s="2">
        <v>851</v>
      </c>
      <c r="BU31" s="2">
        <v>1022</v>
      </c>
      <c r="BV31" s="2">
        <v>1109</v>
      </c>
      <c r="BW31" s="2">
        <v>1196</v>
      </c>
      <c r="BX31" s="2">
        <v>1368</v>
      </c>
      <c r="BY31" s="2">
        <v>60.3</v>
      </c>
      <c r="BZ31" s="2">
        <v>10.4</v>
      </c>
      <c r="CA31" s="2">
        <v>3</v>
      </c>
      <c r="CB31" s="2">
        <v>3.9668810545194099E-12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51.35</v>
      </c>
      <c r="AX32" s="2" t="s">
        <v>310</v>
      </c>
      <c r="AY32" s="130">
        <v>34.1</v>
      </c>
      <c r="AZ32" s="2">
        <v>18.7</v>
      </c>
      <c r="BA32" s="2">
        <v>53</v>
      </c>
      <c r="BB32" s="2">
        <v>52</v>
      </c>
      <c r="BC32" s="2">
        <v>3</v>
      </c>
      <c r="BD32" s="2">
        <v>1.9</v>
      </c>
      <c r="BE32" s="2">
        <v>13.8</v>
      </c>
      <c r="BF32" s="2">
        <v>16.899999999999999</v>
      </c>
      <c r="BG32" s="2">
        <v>40.200000000000003</v>
      </c>
      <c r="BH32" s="2">
        <v>112.5</v>
      </c>
      <c r="BI32" s="2">
        <v>667</v>
      </c>
      <c r="BJ32" s="2">
        <v>753</v>
      </c>
      <c r="BK32" s="2">
        <v>796</v>
      </c>
      <c r="BL32" s="2">
        <v>840</v>
      </c>
      <c r="BM32" s="2">
        <v>926</v>
      </c>
      <c r="BN32" s="2"/>
      <c r="BO32" s="2"/>
      <c r="BP32" s="2"/>
      <c r="BQ32" s="2"/>
      <c r="BR32" s="2"/>
      <c r="BS32" s="2"/>
      <c r="BT32" s="2">
        <v>909</v>
      </c>
      <c r="BU32" s="2">
        <v>1081</v>
      </c>
      <c r="BV32" s="2">
        <v>1168</v>
      </c>
      <c r="BW32" s="2">
        <v>1255</v>
      </c>
      <c r="BX32" s="2">
        <v>1427</v>
      </c>
      <c r="BY32" s="2">
        <v>73.5</v>
      </c>
      <c r="BZ32" s="2">
        <v>10.199999999999999</v>
      </c>
      <c r="CA32" s="2">
        <v>3</v>
      </c>
      <c r="CB32" s="2">
        <v>4.1538472763262001E-12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71.040000000000006</v>
      </c>
      <c r="AX33" s="2" t="s">
        <v>310</v>
      </c>
      <c r="AY33" s="130">
        <v>34.1</v>
      </c>
      <c r="AZ33" s="2">
        <v>18.7</v>
      </c>
      <c r="BA33" s="2">
        <v>53</v>
      </c>
      <c r="BB33" s="2">
        <v>52</v>
      </c>
      <c r="BC33" s="2">
        <v>3</v>
      </c>
      <c r="BD33" s="2">
        <v>7</v>
      </c>
      <c r="BE33" s="2">
        <v>18.899999999999999</v>
      </c>
      <c r="BF33" s="2">
        <v>22</v>
      </c>
      <c r="BG33" s="2">
        <v>45.3</v>
      </c>
      <c r="BH33" s="2">
        <v>117.6</v>
      </c>
      <c r="BI33" s="2">
        <v>905</v>
      </c>
      <c r="BJ33" s="2">
        <v>991</v>
      </c>
      <c r="BK33" s="2">
        <v>1034</v>
      </c>
      <c r="BL33" s="2">
        <v>1078</v>
      </c>
      <c r="BM33" s="2">
        <v>1164</v>
      </c>
      <c r="BN33" s="2"/>
      <c r="BO33" s="2"/>
      <c r="BP33" s="2"/>
      <c r="BQ33" s="2"/>
      <c r="BR33" s="2"/>
      <c r="BS33" s="2"/>
      <c r="BT33" s="2">
        <v>1368</v>
      </c>
      <c r="BU33" s="2">
        <v>1540</v>
      </c>
      <c r="BV33" s="2">
        <v>1627</v>
      </c>
      <c r="BW33" s="2">
        <v>1714</v>
      </c>
      <c r="BX33" s="2">
        <v>1886</v>
      </c>
      <c r="BY33" s="2">
        <v>73.5</v>
      </c>
      <c r="BZ33" s="2">
        <v>10.199999999999999</v>
      </c>
      <c r="CA33" s="2">
        <v>3</v>
      </c>
      <c r="CB33" s="2">
        <v>4.1538472763262001E-12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71.040000000000006</v>
      </c>
      <c r="AX34" s="2" t="s">
        <v>318</v>
      </c>
      <c r="AY34" s="130">
        <v>28.8</v>
      </c>
      <c r="AZ34" s="2">
        <v>19.7</v>
      </c>
      <c r="BA34" s="2">
        <v>47</v>
      </c>
      <c r="BB34" s="2">
        <v>53</v>
      </c>
      <c r="BC34" s="2">
        <v>3</v>
      </c>
      <c r="BD34" s="2">
        <v>2.6</v>
      </c>
      <c r="BE34" s="2">
        <v>16.2</v>
      </c>
      <c r="BF34" s="2">
        <v>22.6</v>
      </c>
      <c r="BG34" s="2">
        <v>49.4</v>
      </c>
      <c r="BH34" s="2">
        <v>132.5</v>
      </c>
      <c r="BI34" s="2">
        <v>932</v>
      </c>
      <c r="BJ34" s="2">
        <v>1018</v>
      </c>
      <c r="BK34" s="2">
        <v>1061</v>
      </c>
      <c r="BL34" s="2">
        <v>1105</v>
      </c>
      <c r="BM34" s="2">
        <v>1191</v>
      </c>
      <c r="BN34" s="2"/>
      <c r="BO34" s="2"/>
      <c r="BP34" s="2"/>
      <c r="BQ34" s="2"/>
      <c r="BR34" s="2"/>
      <c r="BS34" s="2"/>
      <c r="BT34" s="2">
        <v>1513</v>
      </c>
      <c r="BU34" s="2">
        <v>1685</v>
      </c>
      <c r="BV34" s="2">
        <v>1772</v>
      </c>
      <c r="BW34" s="2">
        <v>1858</v>
      </c>
      <c r="BX34" s="2">
        <v>2030</v>
      </c>
      <c r="BY34" s="2">
        <v>88.8</v>
      </c>
      <c r="BZ34" s="2">
        <v>9.9</v>
      </c>
      <c r="CA34" s="2">
        <v>3</v>
      </c>
      <c r="CB34" s="2">
        <v>4.3173178636243396E-12</v>
      </c>
      <c r="CC34" s="2">
        <v>1.8</v>
      </c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80</v>
      </c>
      <c r="AX35" s="2" t="s">
        <v>318</v>
      </c>
      <c r="AY35" s="130">
        <v>28.8</v>
      </c>
      <c r="AZ35" s="2">
        <v>19.7</v>
      </c>
      <c r="BA35" s="2">
        <v>47</v>
      </c>
      <c r="BB35" s="2">
        <v>53</v>
      </c>
      <c r="BC35" s="2">
        <v>3</v>
      </c>
      <c r="BD35" s="2">
        <v>4.5999999999999996</v>
      </c>
      <c r="BE35" s="2">
        <v>18.2</v>
      </c>
      <c r="BF35" s="2">
        <v>24.6</v>
      </c>
      <c r="BG35" s="2">
        <v>51.4</v>
      </c>
      <c r="BH35" s="2">
        <v>134.5</v>
      </c>
      <c r="BI35" s="2">
        <v>1024</v>
      </c>
      <c r="BJ35" s="2">
        <v>1110</v>
      </c>
      <c r="BK35" s="2">
        <v>1153</v>
      </c>
      <c r="BL35" s="2">
        <v>1197</v>
      </c>
      <c r="BM35" s="2">
        <v>1283</v>
      </c>
      <c r="BN35" s="2"/>
      <c r="BO35" s="2"/>
      <c r="BP35" s="2"/>
      <c r="BQ35" s="2"/>
      <c r="BR35" s="2"/>
      <c r="BS35" s="2"/>
      <c r="BT35" s="2">
        <v>1710</v>
      </c>
      <c r="BU35" s="2">
        <v>1882</v>
      </c>
      <c r="BV35" s="2">
        <v>1969</v>
      </c>
      <c r="BW35" s="2">
        <v>2056</v>
      </c>
      <c r="BX35" s="2">
        <v>2227</v>
      </c>
      <c r="BY35" s="2">
        <v>88.8</v>
      </c>
      <c r="BZ35" s="2">
        <v>9.9</v>
      </c>
      <c r="CA35" s="2">
        <v>3</v>
      </c>
      <c r="CB35" s="2">
        <v>4.3173178636243396E-12</v>
      </c>
      <c r="CC35" s="2">
        <v>1.8</v>
      </c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739" priority="12">
      <formula>$L32="API sand"</formula>
    </cfRule>
  </conditionalFormatting>
  <conditionalFormatting sqref="R32:S36 AB32:AB35 AJ32:AL36 Z32:Z36 N32:N36">
    <cfRule type="expression" dxfId="2738" priority="11">
      <formula>$M32="API sand"</formula>
    </cfRule>
  </conditionalFormatting>
  <conditionalFormatting sqref="R32:T36 Z32:AB35 AK32:AL36 N32:N36">
    <cfRule type="expression" dxfId="2737" priority="10">
      <formula>$M32="API clay"</formula>
    </cfRule>
  </conditionalFormatting>
  <conditionalFormatting sqref="U32:W36 AM32:AP36 N32:P36">
    <cfRule type="expression" dxfId="2736" priority="7">
      <formula>$L32="Stiff clay w/o free water"</formula>
    </cfRule>
    <cfRule type="expression" dxfId="2735" priority="9">
      <formula>$L32="API clay"</formula>
    </cfRule>
  </conditionalFormatting>
  <conditionalFormatting sqref="U32:Y36 AM32:AP36 N32:P36">
    <cfRule type="expression" dxfId="2734" priority="8">
      <formula>$L32="Kirsch soft clay"</formula>
    </cfRule>
  </conditionalFormatting>
  <conditionalFormatting sqref="U32:Y36 AM32:AP36 N32:P36">
    <cfRule type="expression" dxfId="2733" priority="6">
      <formula>$L32="Kirsch stiff clay"</formula>
    </cfRule>
  </conditionalFormatting>
  <conditionalFormatting sqref="AM32:AP36 Q32:Q36 X32:Y36 N32:N36">
    <cfRule type="expression" dxfId="2732" priority="5">
      <formula>$L32="Kirsch sand"</formula>
    </cfRule>
  </conditionalFormatting>
  <conditionalFormatting sqref="AC32:AD36 AI32:AI36 AM32:AP36 N32:N36">
    <cfRule type="expression" dxfId="2731" priority="4">
      <formula>$L32="Modified Weak rock"</formula>
    </cfRule>
  </conditionalFormatting>
  <conditionalFormatting sqref="AM32:AP36 N32:P36 U32:V36">
    <cfRule type="expression" dxfId="2730" priority="3">
      <formula>$L32="Reese stiff clay"</formula>
    </cfRule>
  </conditionalFormatting>
  <conditionalFormatting sqref="AB36">
    <cfRule type="expression" dxfId="2729" priority="2">
      <formula>$M36="API sand"</formula>
    </cfRule>
  </conditionalFormatting>
  <conditionalFormatting sqref="Z36:AB36">
    <cfRule type="expression" dxfId="2728" priority="1">
      <formula>$M36="API clay"</formula>
    </cfRule>
  </conditionalFormatting>
  <conditionalFormatting sqref="AE37:AH37">
    <cfRule type="expression" dxfId="2727" priority="13">
      <formula>#REF!="Modified Weak rock"</formula>
    </cfRule>
  </conditionalFormatting>
  <dataValidations count="4">
    <dataValidation type="list" showInputMessage="1" showErrorMessage="1" sqref="M32:M36" xr:uid="{A2FDFA11-6568-4257-B9E6-12DA87280611}">
      <formula1>"',API sand,API clay"</formula1>
    </dataValidation>
    <dataValidation type="list" showInputMessage="1" showErrorMessage="1" sqref="L32:L255" xr:uid="{E517D4E2-2E25-44A3-8F56-D2E36D29AF10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39768E7E-AAA2-46A6-AD2E-622EBBBDB6E3}"/>
    <dataValidation type="textLength" showInputMessage="1" showErrorMessage="1" sqref="M27:M31" xr:uid="{B304A414-D55C-4417-BF8F-F43E4BD040BB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986A9-CC84-4D3F-A703-60607D4DDE09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Ak_Pisa_WTG7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EW_sand_Ruled_52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29</v>
      </c>
      <c r="R6" s="47">
        <f t="shared" ref="R6:R26" ca="1" si="7">IF(I6="","",IF(Q6&lt;&gt;0,Q6-5,NA()))</f>
        <v>24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1300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78.199999999999974</v>
      </c>
      <c r="AA6" s="47">
        <f t="shared" ref="AA6:AA26" ca="1" si="16">IF(I6="","",1)</f>
        <v>1</v>
      </c>
      <c r="AB6" s="47">
        <f t="shared" ref="AB6:AB26" ca="1" si="17">IF(I6="","",VLOOKUP(R6,$AE$39:$AG$59,3))</f>
        <v>4420</v>
      </c>
      <c r="AC6" s="63">
        <f t="shared" ref="AC6:AC26" ca="1" si="18">IF(I6="","",IF(OFFSET($BV$6,(ROW()-6)*2,0)=0,0,OFFSET($BV$6,(ROW()-6)*2,0)*1000))</f>
        <v>4000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20000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18.400000000000006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52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0.2</v>
      </c>
      <c r="BG6" s="2">
        <v>0.4</v>
      </c>
      <c r="BH6" s="2">
        <v>0.8</v>
      </c>
      <c r="BI6" s="2"/>
      <c r="BJ6" s="2"/>
      <c r="BK6" s="2"/>
      <c r="BL6" s="2"/>
      <c r="BM6" s="2"/>
      <c r="BN6" s="2">
        <v>52</v>
      </c>
      <c r="BO6" s="2">
        <v>20</v>
      </c>
      <c r="BP6" s="2">
        <v>29</v>
      </c>
      <c r="BQ6" s="2">
        <v>32</v>
      </c>
      <c r="BR6" s="2">
        <v>35</v>
      </c>
      <c r="BS6" s="2">
        <v>45</v>
      </c>
      <c r="BT6" s="2">
        <v>0</v>
      </c>
      <c r="BU6" s="2">
        <v>2</v>
      </c>
      <c r="BV6" s="2">
        <v>4</v>
      </c>
      <c r="BW6" s="2">
        <v>7</v>
      </c>
      <c r="BX6" s="2">
        <v>13</v>
      </c>
      <c r="BY6" s="2">
        <v>1.3</v>
      </c>
      <c r="BZ6" s="2">
        <v>1</v>
      </c>
      <c r="CA6" s="2">
        <v>0.5</v>
      </c>
      <c r="CB6" s="2">
        <v>4.1767849595061602E-5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-0.5</v>
      </c>
      <c r="L7" s="116" t="str">
        <f t="shared" ca="1" si="1"/>
        <v>EW_sand_Ruled_100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43</v>
      </c>
      <c r="R7" s="47">
        <f t="shared" ca="1" si="7"/>
        <v>38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46500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34000</v>
      </c>
      <c r="AD7" s="63">
        <f t="shared" ca="1" si="19"/>
        <v>13076.923076923076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100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0.3</v>
      </c>
      <c r="BE7" s="2">
        <v>0.4</v>
      </c>
      <c r="BF7" s="2">
        <v>0.5</v>
      </c>
      <c r="BG7" s="2">
        <v>0.7</v>
      </c>
      <c r="BH7" s="2">
        <v>1.1000000000000001</v>
      </c>
      <c r="BI7" s="2"/>
      <c r="BJ7" s="2"/>
      <c r="BK7" s="2"/>
      <c r="BL7" s="2"/>
      <c r="BM7" s="2"/>
      <c r="BN7" s="2">
        <v>52</v>
      </c>
      <c r="BO7" s="2">
        <v>20</v>
      </c>
      <c r="BP7" s="2">
        <v>29</v>
      </c>
      <c r="BQ7" s="2">
        <v>32</v>
      </c>
      <c r="BR7" s="2">
        <v>35</v>
      </c>
      <c r="BS7" s="2">
        <v>45</v>
      </c>
      <c r="BT7" s="2">
        <v>6</v>
      </c>
      <c r="BU7" s="2">
        <v>11</v>
      </c>
      <c r="BV7" s="2">
        <v>14</v>
      </c>
      <c r="BW7" s="2">
        <v>17</v>
      </c>
      <c r="BX7" s="2">
        <v>23</v>
      </c>
      <c r="BY7" s="2">
        <v>1.3</v>
      </c>
      <c r="BZ7" s="2">
        <v>1</v>
      </c>
      <c r="CA7" s="2">
        <v>0.5</v>
      </c>
      <c r="CB7" s="2">
        <v>4.1767849595061602E-5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-1.8</v>
      </c>
      <c r="L8" s="116" t="str">
        <f t="shared" ca="1" si="1"/>
        <v>EW_sand_Ruled_85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40</v>
      </c>
      <c r="R8" s="47">
        <f t="shared" ca="1" si="7"/>
        <v>35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38500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55000</v>
      </c>
      <c r="AD8" s="63">
        <f t="shared" ca="1" si="19"/>
        <v>-15714.285714285716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85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7.1</v>
      </c>
      <c r="BE8" s="2">
        <v>8.8000000000000007</v>
      </c>
      <c r="BF8" s="2">
        <v>9.3000000000000007</v>
      </c>
      <c r="BG8" s="2">
        <v>9.9</v>
      </c>
      <c r="BH8" s="2">
        <v>11.7</v>
      </c>
      <c r="BI8" s="2"/>
      <c r="BJ8" s="2"/>
      <c r="BK8" s="2"/>
      <c r="BL8" s="2"/>
      <c r="BM8" s="2"/>
      <c r="BN8" s="2">
        <v>100</v>
      </c>
      <c r="BO8" s="2">
        <v>36</v>
      </c>
      <c r="BP8" s="2">
        <v>43</v>
      </c>
      <c r="BQ8" s="2">
        <v>46</v>
      </c>
      <c r="BR8" s="2">
        <v>49</v>
      </c>
      <c r="BS8" s="2">
        <v>54</v>
      </c>
      <c r="BT8" s="2">
        <v>0</v>
      </c>
      <c r="BU8" s="2">
        <v>23</v>
      </c>
      <c r="BV8" s="2">
        <v>34</v>
      </c>
      <c r="BW8" s="2">
        <v>44</v>
      </c>
      <c r="BX8" s="2">
        <v>69</v>
      </c>
      <c r="BY8" s="2">
        <v>46.5</v>
      </c>
      <c r="BZ8" s="2">
        <v>1</v>
      </c>
      <c r="CA8" s="2">
        <v>0.5</v>
      </c>
      <c r="CB8" s="2">
        <v>2.4488173368325598E-4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21c</v>
      </c>
      <c r="J9" s="47">
        <f t="shared" ca="1" si="35"/>
        <v>4</v>
      </c>
      <c r="K9" s="19">
        <f t="shared" ca="1" si="36"/>
        <v>-2.5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9.3000000000000007</v>
      </c>
      <c r="O9" s="63">
        <f t="shared" ca="1" si="4"/>
        <v>53</v>
      </c>
      <c r="P9" s="63">
        <f t="shared" ca="1" si="5"/>
        <v>-15.454545454545453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4200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45000</v>
      </c>
      <c r="AD9" s="63">
        <f t="shared" ca="1" si="19"/>
        <v>-11818.181818181816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1.8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13.9</v>
      </c>
      <c r="BE9" s="2">
        <v>15.6</v>
      </c>
      <c r="BF9" s="2">
        <v>16.100000000000001</v>
      </c>
      <c r="BG9" s="2">
        <v>16.7</v>
      </c>
      <c r="BH9" s="2">
        <v>18.5</v>
      </c>
      <c r="BI9" s="2"/>
      <c r="BJ9" s="2"/>
      <c r="BK9" s="2"/>
      <c r="BL9" s="2"/>
      <c r="BM9" s="2"/>
      <c r="BN9" s="2">
        <v>100</v>
      </c>
      <c r="BO9" s="2">
        <v>36</v>
      </c>
      <c r="BP9" s="2">
        <v>43</v>
      </c>
      <c r="BQ9" s="2">
        <v>46</v>
      </c>
      <c r="BR9" s="2">
        <v>49</v>
      </c>
      <c r="BS9" s="2">
        <v>54</v>
      </c>
      <c r="BT9" s="2">
        <v>16</v>
      </c>
      <c r="BU9" s="2">
        <v>41</v>
      </c>
      <c r="BV9" s="2">
        <v>51</v>
      </c>
      <c r="BW9" s="2">
        <v>62</v>
      </c>
      <c r="BX9" s="2">
        <v>86</v>
      </c>
      <c r="BY9" s="2">
        <v>46.5</v>
      </c>
      <c r="BZ9" s="2">
        <v>1</v>
      </c>
      <c r="CA9" s="2">
        <v>0.5</v>
      </c>
      <c r="CB9" s="2">
        <v>2.4488173368325598E-4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23i</v>
      </c>
      <c r="J10" s="47">
        <f t="shared" ca="1" si="35"/>
        <v>5</v>
      </c>
      <c r="K10" s="19">
        <f t="shared" ca="1" si="36"/>
        <v>-3.6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8.3000000000000007</v>
      </c>
      <c r="O10" s="63">
        <f t="shared" ca="1" si="4"/>
        <v>26</v>
      </c>
      <c r="P10" s="63">
        <f t="shared" ca="1" si="5"/>
        <v>12.261904761904761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0.5</v>
      </c>
      <c r="X10" s="47">
        <f t="shared" ca="1" si="13"/>
        <v>7300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28000</v>
      </c>
      <c r="AD10" s="63">
        <f t="shared" ca="1" si="19"/>
        <v>12738.095238095237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1.8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13.3</v>
      </c>
      <c r="BE10" s="2">
        <v>14</v>
      </c>
      <c r="BF10" s="2">
        <v>14.3</v>
      </c>
      <c r="BG10" s="2">
        <v>14.6</v>
      </c>
      <c r="BH10" s="2">
        <v>15.3</v>
      </c>
      <c r="BI10" s="2"/>
      <c r="BJ10" s="2"/>
      <c r="BK10" s="2"/>
      <c r="BL10" s="2"/>
      <c r="BM10" s="2"/>
      <c r="BN10" s="2">
        <v>85</v>
      </c>
      <c r="BO10" s="2">
        <v>34</v>
      </c>
      <c r="BP10" s="2">
        <v>40</v>
      </c>
      <c r="BQ10" s="2">
        <v>43</v>
      </c>
      <c r="BR10" s="2">
        <v>46</v>
      </c>
      <c r="BS10" s="2">
        <v>52</v>
      </c>
      <c r="BT10" s="2">
        <v>14</v>
      </c>
      <c r="BU10" s="2">
        <v>43</v>
      </c>
      <c r="BV10" s="2">
        <v>55</v>
      </c>
      <c r="BW10" s="2">
        <v>67</v>
      </c>
      <c r="BX10" s="2">
        <v>96</v>
      </c>
      <c r="BY10" s="2">
        <v>38.5</v>
      </c>
      <c r="BZ10" s="2">
        <v>1</v>
      </c>
      <c r="CA10" s="2">
        <v>0.5</v>
      </c>
      <c r="CB10" s="2">
        <v>1.7677522738668798E-5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23k</v>
      </c>
      <c r="J11" s="47">
        <f t="shared" ca="1" si="35"/>
        <v>6</v>
      </c>
      <c r="K11" s="19">
        <f t="shared" ca="1" si="36"/>
        <v>-12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8.5</v>
      </c>
      <c r="O11" s="63">
        <f t="shared" ca="1" si="4"/>
        <v>135</v>
      </c>
      <c r="P11" s="63">
        <f t="shared" ca="1" si="5"/>
        <v>-13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0.5</v>
      </c>
      <c r="X11" s="47">
        <f t="shared" ca="1" si="13"/>
        <v>12100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158000</v>
      </c>
      <c r="AD11" s="63">
        <f t="shared" ca="1" si="19"/>
        <v>-14000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2.5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3.3</v>
      </c>
      <c r="BE11" s="2">
        <v>4.0999999999999996</v>
      </c>
      <c r="BF11" s="2">
        <v>4.4000000000000004</v>
      </c>
      <c r="BG11" s="2">
        <v>4.7</v>
      </c>
      <c r="BH11" s="2">
        <v>10</v>
      </c>
      <c r="BI11" s="2"/>
      <c r="BJ11" s="2"/>
      <c r="BK11" s="2"/>
      <c r="BL11" s="2"/>
      <c r="BM11" s="2"/>
      <c r="BN11" s="2">
        <v>85</v>
      </c>
      <c r="BO11" s="2">
        <v>34</v>
      </c>
      <c r="BP11" s="2">
        <v>40</v>
      </c>
      <c r="BQ11" s="2">
        <v>43</v>
      </c>
      <c r="BR11" s="2">
        <v>46</v>
      </c>
      <c r="BS11" s="2">
        <v>52</v>
      </c>
      <c r="BT11" s="2">
        <v>3</v>
      </c>
      <c r="BU11" s="2">
        <v>32</v>
      </c>
      <c r="BV11" s="2">
        <v>44</v>
      </c>
      <c r="BW11" s="2">
        <v>56</v>
      </c>
      <c r="BX11" s="2">
        <v>85</v>
      </c>
      <c r="BY11" s="2">
        <v>38.5</v>
      </c>
      <c r="BZ11" s="2">
        <v>1</v>
      </c>
      <c r="CA11" s="2">
        <v>0.5</v>
      </c>
      <c r="CB11" s="2">
        <v>1.7677522738668798E-5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23l</v>
      </c>
      <c r="J12" s="47">
        <f t="shared" ca="1" si="35"/>
        <v>7</v>
      </c>
      <c r="K12" s="19">
        <f t="shared" ca="1" si="36"/>
        <v>-14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8.8000000000000007</v>
      </c>
      <c r="O12" s="63">
        <f t="shared" ca="1" si="4"/>
        <v>134</v>
      </c>
      <c r="P12" s="63">
        <f t="shared" ca="1" si="5"/>
        <v>23.166666666666668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0.5</v>
      </c>
      <c r="X12" s="47">
        <f t="shared" ca="1" si="13"/>
        <v>18400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147000</v>
      </c>
      <c r="AD12" s="63">
        <f t="shared" ca="1" si="19"/>
        <v>36666.666666666664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2.5</v>
      </c>
      <c r="AX12" s="2" t="s">
        <v>216</v>
      </c>
      <c r="AY12" s="130">
        <v>31.7</v>
      </c>
      <c r="AZ12" s="2">
        <v>19.3</v>
      </c>
      <c r="BA12" s="2">
        <v>20</v>
      </c>
      <c r="BB12" s="2">
        <v>45</v>
      </c>
      <c r="BC12" s="2">
        <v>4</v>
      </c>
      <c r="BD12" s="2">
        <v>1</v>
      </c>
      <c r="BE12" s="2">
        <v>1.1000000000000001</v>
      </c>
      <c r="BF12" s="2">
        <v>1.2</v>
      </c>
      <c r="BG12" s="2">
        <v>1.3</v>
      </c>
      <c r="BH12" s="2">
        <v>10</v>
      </c>
      <c r="BI12" s="2">
        <v>26</v>
      </c>
      <c r="BJ12" s="2">
        <v>53</v>
      </c>
      <c r="BK12" s="2">
        <v>65</v>
      </c>
      <c r="BL12" s="2">
        <v>79</v>
      </c>
      <c r="BM12" s="2">
        <v>106</v>
      </c>
      <c r="BN12" s="2"/>
      <c r="BO12" s="2"/>
      <c r="BP12" s="2"/>
      <c r="BQ12" s="2"/>
      <c r="BR12" s="2"/>
      <c r="BS12" s="2"/>
      <c r="BT12" s="2">
        <v>16</v>
      </c>
      <c r="BU12" s="2">
        <v>31</v>
      </c>
      <c r="BV12" s="2">
        <v>45</v>
      </c>
      <c r="BW12" s="2">
        <v>60</v>
      </c>
      <c r="BX12" s="2">
        <v>88</v>
      </c>
      <c r="BY12" s="2">
        <v>4.2</v>
      </c>
      <c r="BZ12" s="2">
        <v>10.199999999999999</v>
      </c>
      <c r="CA12" s="2">
        <v>3</v>
      </c>
      <c r="CB12" s="2">
        <v>1.81763587286976E-10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23l</v>
      </c>
      <c r="J13" s="47">
        <f t="shared" ca="1" si="35"/>
        <v>8</v>
      </c>
      <c r="K13" s="19">
        <f t="shared" ca="1" si="36"/>
        <v>-20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8.8000000000000007</v>
      </c>
      <c r="O13" s="63">
        <f t="shared" ca="1" si="4"/>
        <v>253</v>
      </c>
      <c r="P13" s="63">
        <f t="shared" ca="1" si="5"/>
        <v>-3.6363636363636362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22300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344000</v>
      </c>
      <c r="AD13" s="63">
        <f t="shared" ca="1" si="19"/>
        <v>-3454.5454545454545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3.6</v>
      </c>
      <c r="AX13" s="2" t="s">
        <v>216</v>
      </c>
      <c r="AY13" s="130">
        <v>31.7</v>
      </c>
      <c r="AZ13" s="2">
        <v>19.3</v>
      </c>
      <c r="BA13" s="2">
        <v>20</v>
      </c>
      <c r="BB13" s="2">
        <v>45</v>
      </c>
      <c r="BC13" s="2">
        <v>4</v>
      </c>
      <c r="BD13" s="2">
        <v>0.7</v>
      </c>
      <c r="BE13" s="2">
        <v>0.8</v>
      </c>
      <c r="BF13" s="2">
        <v>0.9</v>
      </c>
      <c r="BG13" s="2">
        <v>1.1000000000000001</v>
      </c>
      <c r="BH13" s="2">
        <v>9</v>
      </c>
      <c r="BI13" s="2">
        <v>9</v>
      </c>
      <c r="BJ13" s="2">
        <v>36</v>
      </c>
      <c r="BK13" s="2">
        <v>48</v>
      </c>
      <c r="BL13" s="2">
        <v>62</v>
      </c>
      <c r="BM13" s="2">
        <v>89</v>
      </c>
      <c r="BN13" s="2"/>
      <c r="BO13" s="2"/>
      <c r="BP13" s="2"/>
      <c r="BQ13" s="2"/>
      <c r="BR13" s="2"/>
      <c r="BS13" s="2"/>
      <c r="BT13" s="2">
        <v>3</v>
      </c>
      <c r="BU13" s="2">
        <v>18</v>
      </c>
      <c r="BV13" s="2">
        <v>32</v>
      </c>
      <c r="BW13" s="2">
        <v>46</v>
      </c>
      <c r="BX13" s="2">
        <v>74</v>
      </c>
      <c r="BY13" s="2">
        <v>4.2</v>
      </c>
      <c r="BZ13" s="2">
        <v>10.199999999999999</v>
      </c>
      <c r="CA13" s="2">
        <v>3</v>
      </c>
      <c r="CB13" s="2">
        <v>1.81763587286976E-10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23l</v>
      </c>
      <c r="J14" s="47">
        <f t="shared" ca="1" si="35"/>
        <v>9</v>
      </c>
      <c r="K14" s="19">
        <f t="shared" ca="1" si="36"/>
        <v>-25.5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8.8000000000000007</v>
      </c>
      <c r="O14" s="63">
        <f t="shared" ca="1" si="4"/>
        <v>415</v>
      </c>
      <c r="P14" s="63">
        <f t="shared" ca="1" si="5"/>
        <v>228.8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60800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580000</v>
      </c>
      <c r="AD14" s="63">
        <f t="shared" ca="1" si="19"/>
        <v>414400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3.6</v>
      </c>
      <c r="AX14" s="2" t="s">
        <v>218</v>
      </c>
      <c r="AY14" s="130">
        <v>37</v>
      </c>
      <c r="AZ14" s="2">
        <v>18.3</v>
      </c>
      <c r="BA14" s="2">
        <v>59</v>
      </c>
      <c r="BB14" s="2">
        <v>77</v>
      </c>
      <c r="BC14" s="2">
        <v>3</v>
      </c>
      <c r="BD14" s="2">
        <v>0.6</v>
      </c>
      <c r="BE14" s="2">
        <v>0.9</v>
      </c>
      <c r="BF14" s="2">
        <v>0.9</v>
      </c>
      <c r="BG14" s="2">
        <v>1</v>
      </c>
      <c r="BH14" s="2">
        <v>1.4</v>
      </c>
      <c r="BI14" s="2">
        <v>5</v>
      </c>
      <c r="BJ14" s="2">
        <v>26</v>
      </c>
      <c r="BK14" s="2">
        <v>43</v>
      </c>
      <c r="BL14" s="2">
        <v>60</v>
      </c>
      <c r="BM14" s="2">
        <v>95</v>
      </c>
      <c r="BN14" s="2"/>
      <c r="BO14" s="2"/>
      <c r="BP14" s="2"/>
      <c r="BQ14" s="2"/>
      <c r="BR14" s="2"/>
      <c r="BS14" s="2"/>
      <c r="BT14" s="2">
        <v>3</v>
      </c>
      <c r="BU14" s="2">
        <v>20</v>
      </c>
      <c r="BV14" s="2">
        <v>28</v>
      </c>
      <c r="BW14" s="2">
        <v>57</v>
      </c>
      <c r="BX14" s="2">
        <v>115</v>
      </c>
      <c r="BY14" s="2">
        <v>7.3</v>
      </c>
      <c r="BZ14" s="2">
        <v>8.1</v>
      </c>
      <c r="CA14" s="2">
        <v>3</v>
      </c>
      <c r="CB14" s="2">
        <v>1.63796806588742E-10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23l</v>
      </c>
      <c r="J15" s="47">
        <f t="shared" ca="1" si="35"/>
        <v>10</v>
      </c>
      <c r="K15" s="19">
        <f t="shared" ca="1" si="36"/>
        <v>-28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8.8000000000000007</v>
      </c>
      <c r="O15" s="63">
        <f t="shared" ca="1" si="4"/>
        <v>377</v>
      </c>
      <c r="P15" s="63">
        <f t="shared" ca="1" si="5"/>
        <v>11.75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35700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530000</v>
      </c>
      <c r="AD15" s="63">
        <f t="shared" ca="1" si="19"/>
        <v>18500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12</v>
      </c>
      <c r="AX15" s="2" t="s">
        <v>218</v>
      </c>
      <c r="AY15" s="130">
        <v>37</v>
      </c>
      <c r="AZ15" s="2">
        <v>18.3</v>
      </c>
      <c r="BA15" s="2">
        <v>59</v>
      </c>
      <c r="BB15" s="2">
        <v>77</v>
      </c>
      <c r="BC15" s="2">
        <v>3</v>
      </c>
      <c r="BD15" s="2">
        <v>2.8</v>
      </c>
      <c r="BE15" s="2">
        <v>3.1</v>
      </c>
      <c r="BF15" s="2">
        <v>3.1</v>
      </c>
      <c r="BG15" s="2">
        <v>3.2</v>
      </c>
      <c r="BH15" s="2">
        <v>3.6</v>
      </c>
      <c r="BI15" s="2">
        <v>108</v>
      </c>
      <c r="BJ15" s="2">
        <v>129</v>
      </c>
      <c r="BK15" s="2">
        <v>146</v>
      </c>
      <c r="BL15" s="2">
        <v>163</v>
      </c>
      <c r="BM15" s="2">
        <v>198</v>
      </c>
      <c r="BN15" s="2"/>
      <c r="BO15" s="2"/>
      <c r="BP15" s="2"/>
      <c r="BQ15" s="2"/>
      <c r="BR15" s="2"/>
      <c r="BS15" s="2"/>
      <c r="BT15" s="2">
        <v>110</v>
      </c>
      <c r="BU15" s="2">
        <v>127</v>
      </c>
      <c r="BV15" s="2">
        <v>135</v>
      </c>
      <c r="BW15" s="2">
        <v>163</v>
      </c>
      <c r="BX15" s="2">
        <v>222</v>
      </c>
      <c r="BY15" s="2">
        <v>7.3</v>
      </c>
      <c r="BZ15" s="2">
        <v>8.1</v>
      </c>
      <c r="CA15" s="2">
        <v>3</v>
      </c>
      <c r="CB15" s="2">
        <v>1.63796806588742E-10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23m</v>
      </c>
      <c r="J16" s="47">
        <f t="shared" ca="1" si="35"/>
        <v>11</v>
      </c>
      <c r="K16" s="19">
        <f t="shared" ca="1" si="36"/>
        <v>-32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8.5</v>
      </c>
      <c r="O16" s="63">
        <f t="shared" ca="1" si="4"/>
        <v>69</v>
      </c>
      <c r="P16" s="63">
        <f t="shared" ca="1" si="5"/>
        <v>1.6326530612244894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0.7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0.5</v>
      </c>
      <c r="X16" s="47">
        <f t="shared" ca="1" si="13"/>
        <v>7500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96000</v>
      </c>
      <c r="AD16" s="63">
        <f t="shared" ca="1" si="19"/>
        <v>2448.9795918367345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12</v>
      </c>
      <c r="AX16" s="2" t="s">
        <v>219</v>
      </c>
      <c r="AY16" s="130">
        <v>37</v>
      </c>
      <c r="AZ16" s="2">
        <v>18.5</v>
      </c>
      <c r="BA16" s="2">
        <v>42</v>
      </c>
      <c r="BB16" s="2">
        <v>63</v>
      </c>
      <c r="BC16" s="2">
        <v>3</v>
      </c>
      <c r="BD16" s="2">
        <v>3.1</v>
      </c>
      <c r="BE16" s="2">
        <v>3.3</v>
      </c>
      <c r="BF16" s="2">
        <v>3.5</v>
      </c>
      <c r="BG16" s="2">
        <v>3.6</v>
      </c>
      <c r="BH16" s="2">
        <v>4.0999999999999996</v>
      </c>
      <c r="BI16" s="2">
        <v>82</v>
      </c>
      <c r="BJ16" s="2">
        <v>135</v>
      </c>
      <c r="BK16" s="2">
        <v>161</v>
      </c>
      <c r="BL16" s="2">
        <v>188</v>
      </c>
      <c r="BM16" s="2">
        <v>245</v>
      </c>
      <c r="BN16" s="2"/>
      <c r="BO16" s="2"/>
      <c r="BP16" s="2"/>
      <c r="BQ16" s="2"/>
      <c r="BR16" s="2"/>
      <c r="BS16" s="2"/>
      <c r="BT16" s="2">
        <v>42</v>
      </c>
      <c r="BU16" s="2">
        <v>108</v>
      </c>
      <c r="BV16" s="2">
        <v>158</v>
      </c>
      <c r="BW16" s="2">
        <v>208</v>
      </c>
      <c r="BX16" s="2">
        <v>311</v>
      </c>
      <c r="BY16" s="2">
        <v>12.1</v>
      </c>
      <c r="BZ16" s="2">
        <v>8.1</v>
      </c>
      <c r="CA16" s="2">
        <v>3</v>
      </c>
      <c r="CB16" s="2">
        <v>1.9421158008304999E-10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23n</v>
      </c>
      <c r="J17" s="47">
        <f t="shared" ca="1" si="35"/>
        <v>12</v>
      </c>
      <c r="K17" s="19">
        <f t="shared" ca="1" si="36"/>
        <v>-39.35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8.1000000000000014</v>
      </c>
      <c r="O17" s="63">
        <f t="shared" ca="1" si="4"/>
        <v>383</v>
      </c>
      <c r="P17" s="63">
        <f t="shared" ca="1" si="5"/>
        <v>5.7603686635944706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2.8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39000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586000</v>
      </c>
      <c r="AD17" s="63">
        <f t="shared" ca="1" si="19"/>
        <v>9677.4193548387102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14</v>
      </c>
      <c r="AX17" s="2" t="s">
        <v>219</v>
      </c>
      <c r="AY17" s="130">
        <v>37</v>
      </c>
      <c r="AZ17" s="2">
        <v>18.5</v>
      </c>
      <c r="BA17" s="2">
        <v>42</v>
      </c>
      <c r="BB17" s="2">
        <v>63</v>
      </c>
      <c r="BC17" s="2">
        <v>3</v>
      </c>
      <c r="BD17" s="2">
        <v>2.6</v>
      </c>
      <c r="BE17" s="2">
        <v>2.8</v>
      </c>
      <c r="BF17" s="2">
        <v>3</v>
      </c>
      <c r="BG17" s="2">
        <v>3.1</v>
      </c>
      <c r="BH17" s="2">
        <v>3.6</v>
      </c>
      <c r="BI17" s="2">
        <v>56</v>
      </c>
      <c r="BJ17" s="2">
        <v>109</v>
      </c>
      <c r="BK17" s="2">
        <v>134</v>
      </c>
      <c r="BL17" s="2">
        <v>162</v>
      </c>
      <c r="BM17" s="2">
        <v>218</v>
      </c>
      <c r="BN17" s="2"/>
      <c r="BO17" s="2"/>
      <c r="BP17" s="2"/>
      <c r="BQ17" s="2"/>
      <c r="BR17" s="2"/>
      <c r="BS17" s="2"/>
      <c r="BT17" s="2">
        <v>14</v>
      </c>
      <c r="BU17" s="2">
        <v>80</v>
      </c>
      <c r="BV17" s="2">
        <v>130</v>
      </c>
      <c r="BW17" s="2">
        <v>180</v>
      </c>
      <c r="BX17" s="2">
        <v>283</v>
      </c>
      <c r="BY17" s="2">
        <v>12.1</v>
      </c>
      <c r="BZ17" s="2">
        <v>8.1</v>
      </c>
      <c r="CA17" s="2">
        <v>3</v>
      </c>
      <c r="CB17" s="2">
        <v>1.9421158008304999E-10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23o</v>
      </c>
      <c r="J18" s="47">
        <f t="shared" ca="1" si="35"/>
        <v>13</v>
      </c>
      <c r="K18" s="19">
        <f t="shared" ca="1" si="36"/>
        <v>-48.03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8.6999999999999993</v>
      </c>
      <c r="O18" s="63">
        <f t="shared" ca="1" si="4"/>
        <v>473</v>
      </c>
      <c r="P18" s="63">
        <f t="shared" ca="1" si="5"/>
        <v>1.4787430683918665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2.2999999999999998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0.25</v>
      </c>
      <c r="X18" s="47">
        <f t="shared" ca="1" si="13"/>
        <v>42500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702000</v>
      </c>
      <c r="AD18" s="63">
        <f t="shared" ca="1" si="19"/>
        <v>3512.0147874306831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14</v>
      </c>
      <c r="AX18" s="2" t="s">
        <v>220</v>
      </c>
      <c r="AY18" s="130">
        <v>29.5</v>
      </c>
      <c r="AZ18" s="2">
        <v>18.8</v>
      </c>
      <c r="BA18" s="2">
        <v>48</v>
      </c>
      <c r="BB18" s="2">
        <v>77</v>
      </c>
      <c r="BC18" s="2">
        <v>3</v>
      </c>
      <c r="BD18" s="2">
        <v>0.8</v>
      </c>
      <c r="BE18" s="2">
        <v>3.5</v>
      </c>
      <c r="BF18" s="2">
        <v>3.9</v>
      </c>
      <c r="BG18" s="2">
        <v>4.5</v>
      </c>
      <c r="BH18" s="2">
        <v>10.1</v>
      </c>
      <c r="BI18" s="2">
        <v>19</v>
      </c>
      <c r="BJ18" s="2">
        <v>134</v>
      </c>
      <c r="BK18" s="2">
        <v>180</v>
      </c>
      <c r="BL18" s="2">
        <v>233</v>
      </c>
      <c r="BM18" s="2">
        <v>514</v>
      </c>
      <c r="BN18" s="2"/>
      <c r="BO18" s="2"/>
      <c r="BP18" s="2"/>
      <c r="BQ18" s="2"/>
      <c r="BR18" s="2"/>
      <c r="BS18" s="2"/>
      <c r="BT18" s="2">
        <v>14</v>
      </c>
      <c r="BU18" s="2">
        <v>56</v>
      </c>
      <c r="BV18" s="2">
        <v>147</v>
      </c>
      <c r="BW18" s="2">
        <v>246</v>
      </c>
      <c r="BX18" s="2">
        <v>678</v>
      </c>
      <c r="BY18" s="2">
        <v>18.399999999999999</v>
      </c>
      <c r="BZ18" s="2">
        <v>9.1999999999999993</v>
      </c>
      <c r="CA18" s="2">
        <v>3</v>
      </c>
      <c r="CB18" s="2">
        <v>4.5798040059371899E-10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23q</v>
      </c>
      <c r="J19" s="47">
        <f t="shared" ca="1" si="35"/>
        <v>14</v>
      </c>
      <c r="K19" s="19">
        <f t="shared" ca="1" si="36"/>
        <v>-64.260000000000005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9.6999999999999993</v>
      </c>
      <c r="O19" s="63">
        <f t="shared" ca="1" si="4"/>
        <v>135</v>
      </c>
      <c r="P19" s="63">
        <f t="shared" ca="1" si="5"/>
        <v>2.2236340533672179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0.6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0.5</v>
      </c>
      <c r="X19" s="47">
        <f t="shared" ca="1" si="13"/>
        <v>15000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238000</v>
      </c>
      <c r="AD19" s="63">
        <f t="shared" ca="1" si="19"/>
        <v>4193.1385006353257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20</v>
      </c>
      <c r="AX19" s="2" t="s">
        <v>220</v>
      </c>
      <c r="AY19" s="130">
        <v>29.5</v>
      </c>
      <c r="AZ19" s="2">
        <v>18.8</v>
      </c>
      <c r="BA19" s="2">
        <v>48</v>
      </c>
      <c r="BB19" s="2">
        <v>77</v>
      </c>
      <c r="BC19" s="2">
        <v>3</v>
      </c>
      <c r="BD19" s="2">
        <v>3.6</v>
      </c>
      <c r="BE19" s="2">
        <v>6.4</v>
      </c>
      <c r="BF19" s="2">
        <v>6.8</v>
      </c>
      <c r="BG19" s="2">
        <v>7.4</v>
      </c>
      <c r="BH19" s="2">
        <v>12.9</v>
      </c>
      <c r="BI19" s="2">
        <v>158</v>
      </c>
      <c r="BJ19" s="2">
        <v>273</v>
      </c>
      <c r="BK19" s="2">
        <v>319</v>
      </c>
      <c r="BL19" s="2">
        <v>372</v>
      </c>
      <c r="BM19" s="2">
        <v>652</v>
      </c>
      <c r="BN19" s="2"/>
      <c r="BO19" s="2"/>
      <c r="BP19" s="2"/>
      <c r="BQ19" s="2"/>
      <c r="BR19" s="2"/>
      <c r="BS19" s="2"/>
      <c r="BT19" s="2">
        <v>234</v>
      </c>
      <c r="BU19" s="2">
        <v>276</v>
      </c>
      <c r="BV19" s="2">
        <v>367</v>
      </c>
      <c r="BW19" s="2">
        <v>467</v>
      </c>
      <c r="BX19" s="2">
        <v>898</v>
      </c>
      <c r="BY19" s="2">
        <v>18.399999999999999</v>
      </c>
      <c r="BZ19" s="2">
        <v>9.1999999999999993</v>
      </c>
      <c r="CA19" s="2">
        <v>3</v>
      </c>
      <c r="CB19" s="2">
        <v>4.5798040059371899E-10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20</v>
      </c>
      <c r="AX20" s="2" t="s">
        <v>220</v>
      </c>
      <c r="AY20" s="130">
        <v>29.5</v>
      </c>
      <c r="AZ20" s="2">
        <v>18.8</v>
      </c>
      <c r="BA20" s="2">
        <v>48</v>
      </c>
      <c r="BB20" s="2">
        <v>77</v>
      </c>
      <c r="BC20" s="2">
        <v>3</v>
      </c>
      <c r="BD20" s="2">
        <v>4.0999999999999996</v>
      </c>
      <c r="BE20" s="2">
        <v>6.1</v>
      </c>
      <c r="BF20" s="2">
        <v>6.4</v>
      </c>
      <c r="BG20" s="2">
        <v>6.9</v>
      </c>
      <c r="BH20" s="2">
        <v>10.6</v>
      </c>
      <c r="BI20" s="2">
        <v>122</v>
      </c>
      <c r="BJ20" s="2">
        <v>253</v>
      </c>
      <c r="BK20" s="2">
        <v>300</v>
      </c>
      <c r="BL20" s="2">
        <v>351</v>
      </c>
      <c r="BM20" s="2">
        <v>550</v>
      </c>
      <c r="BN20" s="2"/>
      <c r="BO20" s="2"/>
      <c r="BP20" s="2"/>
      <c r="BQ20" s="2"/>
      <c r="BR20" s="2"/>
      <c r="BS20" s="2"/>
      <c r="BT20" s="2">
        <v>44</v>
      </c>
      <c r="BU20" s="2">
        <v>252</v>
      </c>
      <c r="BV20" s="2">
        <v>344</v>
      </c>
      <c r="BW20" s="2">
        <v>442</v>
      </c>
      <c r="BX20" s="2">
        <v>764</v>
      </c>
      <c r="BY20" s="2">
        <v>22.3</v>
      </c>
      <c r="BZ20" s="2">
        <v>8.4</v>
      </c>
      <c r="CA20" s="2">
        <v>3</v>
      </c>
      <c r="CB20" s="2">
        <v>4.0988062053410401E-10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25.5</v>
      </c>
      <c r="AX21" s="2" t="s">
        <v>220</v>
      </c>
      <c r="AY21" s="130">
        <v>29.5</v>
      </c>
      <c r="AZ21" s="2">
        <v>18.8</v>
      </c>
      <c r="BA21" s="2">
        <v>48</v>
      </c>
      <c r="BB21" s="2">
        <v>77</v>
      </c>
      <c r="BC21" s="2">
        <v>3</v>
      </c>
      <c r="BD21" s="2">
        <v>3.7</v>
      </c>
      <c r="BE21" s="2">
        <v>5.8</v>
      </c>
      <c r="BF21" s="2">
        <v>6.1</v>
      </c>
      <c r="BG21" s="2">
        <v>6.6</v>
      </c>
      <c r="BH21" s="2">
        <v>10.3</v>
      </c>
      <c r="BI21" s="2">
        <v>103</v>
      </c>
      <c r="BJ21" s="2">
        <v>233</v>
      </c>
      <c r="BK21" s="2">
        <v>280</v>
      </c>
      <c r="BL21" s="2">
        <v>332</v>
      </c>
      <c r="BM21" s="2">
        <v>531</v>
      </c>
      <c r="BN21" s="2"/>
      <c r="BO21" s="2"/>
      <c r="BP21" s="2"/>
      <c r="BQ21" s="2"/>
      <c r="BR21" s="2"/>
      <c r="BS21" s="2"/>
      <c r="BT21" s="2">
        <v>25</v>
      </c>
      <c r="BU21" s="2">
        <v>233</v>
      </c>
      <c r="BV21" s="2">
        <v>325</v>
      </c>
      <c r="BW21" s="2">
        <v>423</v>
      </c>
      <c r="BX21" s="2">
        <v>745</v>
      </c>
      <c r="BY21" s="2">
        <v>22.3</v>
      </c>
      <c r="BZ21" s="2">
        <v>8.4</v>
      </c>
      <c r="CA21" s="2">
        <v>3</v>
      </c>
      <c r="CB21" s="2">
        <v>4.0988062053410401E-10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25.5</v>
      </c>
      <c r="AX22" s="2" t="s">
        <v>220</v>
      </c>
      <c r="AY22" s="130">
        <v>29.5</v>
      </c>
      <c r="AZ22" s="2">
        <v>18.8</v>
      </c>
      <c r="BA22" s="2">
        <v>48</v>
      </c>
      <c r="BB22" s="2">
        <v>77</v>
      </c>
      <c r="BC22" s="2">
        <v>3</v>
      </c>
      <c r="BD22" s="2">
        <v>3.8</v>
      </c>
      <c r="BE22" s="2">
        <v>9</v>
      </c>
      <c r="BF22" s="2">
        <v>10.3</v>
      </c>
      <c r="BG22" s="2">
        <v>11.5</v>
      </c>
      <c r="BH22" s="2">
        <v>16.399999999999999</v>
      </c>
      <c r="BI22" s="2">
        <v>143</v>
      </c>
      <c r="BJ22" s="2">
        <v>415</v>
      </c>
      <c r="BK22" s="2">
        <v>490</v>
      </c>
      <c r="BL22" s="2">
        <v>564</v>
      </c>
      <c r="BM22" s="2">
        <v>822</v>
      </c>
      <c r="BN22" s="2"/>
      <c r="BO22" s="2"/>
      <c r="BP22" s="2"/>
      <c r="BQ22" s="2"/>
      <c r="BR22" s="2"/>
      <c r="BS22" s="2"/>
      <c r="BT22" s="2">
        <v>40</v>
      </c>
      <c r="BU22" s="2">
        <v>455</v>
      </c>
      <c r="BV22" s="2">
        <v>580</v>
      </c>
      <c r="BW22" s="2">
        <v>713</v>
      </c>
      <c r="BX22" s="2">
        <v>1164</v>
      </c>
      <c r="BY22" s="2">
        <v>60.8</v>
      </c>
      <c r="BZ22" s="2">
        <v>19.899999999999999</v>
      </c>
      <c r="CA22" s="2">
        <v>3</v>
      </c>
      <c r="CB22" s="2">
        <v>9.09742907123757E-9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28</v>
      </c>
      <c r="AX23" s="2" t="s">
        <v>220</v>
      </c>
      <c r="AY23" s="130">
        <v>29.5</v>
      </c>
      <c r="AZ23" s="2">
        <v>18.8</v>
      </c>
      <c r="BA23" s="2">
        <v>48</v>
      </c>
      <c r="BB23" s="2">
        <v>77</v>
      </c>
      <c r="BC23" s="2">
        <v>3</v>
      </c>
      <c r="BD23" s="2">
        <v>15.3</v>
      </c>
      <c r="BE23" s="2">
        <v>20.5</v>
      </c>
      <c r="BF23" s="2">
        <v>21.8</v>
      </c>
      <c r="BG23" s="2">
        <v>23</v>
      </c>
      <c r="BH23" s="2">
        <v>27.9</v>
      </c>
      <c r="BI23" s="2">
        <v>715</v>
      </c>
      <c r="BJ23" s="2">
        <v>987</v>
      </c>
      <c r="BK23" s="2">
        <v>1062</v>
      </c>
      <c r="BL23" s="2">
        <v>1136</v>
      </c>
      <c r="BM23" s="2">
        <v>1394</v>
      </c>
      <c r="BN23" s="2"/>
      <c r="BO23" s="2"/>
      <c r="BP23" s="2"/>
      <c r="BQ23" s="2"/>
      <c r="BR23" s="2"/>
      <c r="BS23" s="2"/>
      <c r="BT23" s="2">
        <v>1076</v>
      </c>
      <c r="BU23" s="2">
        <v>1490</v>
      </c>
      <c r="BV23" s="2">
        <v>1616</v>
      </c>
      <c r="BW23" s="2">
        <v>1749</v>
      </c>
      <c r="BX23" s="2">
        <v>2200</v>
      </c>
      <c r="BY23" s="2">
        <v>60.8</v>
      </c>
      <c r="BZ23" s="2">
        <v>19.899999999999999</v>
      </c>
      <c r="CA23" s="2">
        <v>3</v>
      </c>
      <c r="CB23" s="2">
        <v>9.09742907123757E-9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28</v>
      </c>
      <c r="AX24" s="2" t="s">
        <v>220</v>
      </c>
      <c r="AY24" s="130">
        <v>29.5</v>
      </c>
      <c r="AZ24" s="2">
        <v>18.8</v>
      </c>
      <c r="BA24" s="2">
        <v>48</v>
      </c>
      <c r="BB24" s="2">
        <v>77</v>
      </c>
      <c r="BC24" s="2">
        <v>3</v>
      </c>
      <c r="BD24" s="2">
        <v>1</v>
      </c>
      <c r="BE24" s="2">
        <v>6.5</v>
      </c>
      <c r="BF24" s="2">
        <v>9</v>
      </c>
      <c r="BG24" s="2">
        <v>19</v>
      </c>
      <c r="BH24" s="2">
        <v>50</v>
      </c>
      <c r="BI24" s="2">
        <v>291</v>
      </c>
      <c r="BJ24" s="2">
        <v>377</v>
      </c>
      <c r="BK24" s="2">
        <v>420</v>
      </c>
      <c r="BL24" s="2">
        <v>464</v>
      </c>
      <c r="BM24" s="2">
        <v>550</v>
      </c>
      <c r="BN24" s="2"/>
      <c r="BO24" s="2"/>
      <c r="BP24" s="2"/>
      <c r="BQ24" s="2"/>
      <c r="BR24" s="2"/>
      <c r="BS24" s="2"/>
      <c r="BT24" s="2">
        <v>271</v>
      </c>
      <c r="BU24" s="2">
        <v>443</v>
      </c>
      <c r="BV24" s="2">
        <v>530</v>
      </c>
      <c r="BW24" s="2">
        <v>617</v>
      </c>
      <c r="BX24" s="2">
        <v>789</v>
      </c>
      <c r="BY24" s="2">
        <v>35.700000000000003</v>
      </c>
      <c r="BZ24" s="2">
        <v>10.1</v>
      </c>
      <c r="CA24" s="2">
        <v>3</v>
      </c>
      <c r="CB24" s="2">
        <v>2.8005660685093599E-12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32</v>
      </c>
      <c r="AX25" s="2" t="s">
        <v>220</v>
      </c>
      <c r="AY25" s="130">
        <v>29.5</v>
      </c>
      <c r="AZ25" s="2">
        <v>18.8</v>
      </c>
      <c r="BA25" s="2">
        <v>48</v>
      </c>
      <c r="BB25" s="2">
        <v>77</v>
      </c>
      <c r="BC25" s="2">
        <v>3</v>
      </c>
      <c r="BD25" s="2">
        <v>2</v>
      </c>
      <c r="BE25" s="2">
        <v>7.5</v>
      </c>
      <c r="BF25" s="2">
        <v>9.9</v>
      </c>
      <c r="BG25" s="2">
        <v>20</v>
      </c>
      <c r="BH25" s="2">
        <v>51</v>
      </c>
      <c r="BI25" s="2">
        <v>338</v>
      </c>
      <c r="BJ25" s="2">
        <v>424</v>
      </c>
      <c r="BK25" s="2">
        <v>467</v>
      </c>
      <c r="BL25" s="2">
        <v>511</v>
      </c>
      <c r="BM25" s="2">
        <v>597</v>
      </c>
      <c r="BN25" s="2"/>
      <c r="BO25" s="2"/>
      <c r="BP25" s="2"/>
      <c r="BQ25" s="2"/>
      <c r="BR25" s="2"/>
      <c r="BS25" s="2"/>
      <c r="BT25" s="2">
        <v>345</v>
      </c>
      <c r="BU25" s="2">
        <v>517</v>
      </c>
      <c r="BV25" s="2">
        <v>604</v>
      </c>
      <c r="BW25" s="2">
        <v>690</v>
      </c>
      <c r="BX25" s="2">
        <v>862</v>
      </c>
      <c r="BY25" s="2">
        <v>35.700000000000003</v>
      </c>
      <c r="BZ25" s="2">
        <v>10.1</v>
      </c>
      <c r="CA25" s="2">
        <v>3</v>
      </c>
      <c r="CB25" s="2">
        <v>2.8005660685093599E-12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32</v>
      </c>
      <c r="AX26" s="2" t="s">
        <v>221</v>
      </c>
      <c r="AY26" s="130">
        <v>36.1</v>
      </c>
      <c r="AZ26" s="2">
        <v>18.5</v>
      </c>
      <c r="BA26" s="2">
        <v>21</v>
      </c>
      <c r="BB26" s="2">
        <v>72</v>
      </c>
      <c r="BC26" s="2">
        <v>3</v>
      </c>
      <c r="BD26" s="2">
        <v>1.2</v>
      </c>
      <c r="BE26" s="2">
        <v>2</v>
      </c>
      <c r="BF26" s="2">
        <v>2.2999999999999998</v>
      </c>
      <c r="BG26" s="2">
        <v>8.5</v>
      </c>
      <c r="BH26" s="2">
        <v>27.4</v>
      </c>
      <c r="BI26" s="2">
        <v>44</v>
      </c>
      <c r="BJ26" s="2">
        <v>69</v>
      </c>
      <c r="BK26" s="2">
        <v>84</v>
      </c>
      <c r="BL26" s="2">
        <v>101</v>
      </c>
      <c r="BM26" s="2">
        <v>132</v>
      </c>
      <c r="BN26" s="2"/>
      <c r="BO26" s="2"/>
      <c r="BP26" s="2"/>
      <c r="BQ26" s="2"/>
      <c r="BR26" s="2"/>
      <c r="BS26" s="2"/>
      <c r="BT26" s="2">
        <v>32</v>
      </c>
      <c r="BU26" s="2">
        <v>59</v>
      </c>
      <c r="BV26" s="2">
        <v>96</v>
      </c>
      <c r="BW26" s="2">
        <v>132</v>
      </c>
      <c r="BX26" s="2">
        <v>205</v>
      </c>
      <c r="BY26" s="2">
        <v>7.5</v>
      </c>
      <c r="BZ26" s="2">
        <v>1.8</v>
      </c>
      <c r="CA26" s="2">
        <v>0.7</v>
      </c>
      <c r="CB26" s="2">
        <v>1.2544193257787901E-13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39.35</v>
      </c>
      <c r="AX27" s="2" t="s">
        <v>221</v>
      </c>
      <c r="AY27" s="130">
        <v>36.1</v>
      </c>
      <c r="AZ27" s="2">
        <v>18.5</v>
      </c>
      <c r="BA27" s="2">
        <v>21</v>
      </c>
      <c r="BB27" s="2">
        <v>72</v>
      </c>
      <c r="BC27" s="2">
        <v>3</v>
      </c>
      <c r="BD27" s="2">
        <v>1.5</v>
      </c>
      <c r="BE27" s="2">
        <v>2.2000000000000002</v>
      </c>
      <c r="BF27" s="2">
        <v>2.7</v>
      </c>
      <c r="BG27" s="2">
        <v>8.8000000000000007</v>
      </c>
      <c r="BH27" s="2">
        <v>27.7</v>
      </c>
      <c r="BI27" s="2">
        <v>57</v>
      </c>
      <c r="BJ27" s="2">
        <v>81</v>
      </c>
      <c r="BK27" s="2">
        <v>97</v>
      </c>
      <c r="BL27" s="2">
        <v>114</v>
      </c>
      <c r="BM27" s="2">
        <v>145</v>
      </c>
      <c r="BN27" s="2"/>
      <c r="BO27" s="2"/>
      <c r="BP27" s="2"/>
      <c r="BQ27" s="2"/>
      <c r="BR27" s="2"/>
      <c r="BS27" s="2"/>
      <c r="BT27" s="2">
        <v>50</v>
      </c>
      <c r="BU27" s="2">
        <v>77</v>
      </c>
      <c r="BV27" s="2">
        <v>114</v>
      </c>
      <c r="BW27" s="2">
        <v>151</v>
      </c>
      <c r="BX27" s="2">
        <v>223</v>
      </c>
      <c r="BY27" s="2">
        <v>7.5</v>
      </c>
      <c r="BZ27" s="2">
        <v>1.8</v>
      </c>
      <c r="CA27" s="2">
        <v>0.7</v>
      </c>
      <c r="CB27" s="2">
        <v>1.2544193257787901E-13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39.35</v>
      </c>
      <c r="AX28" s="2" t="s">
        <v>306</v>
      </c>
      <c r="AY28" s="130">
        <v>38.4</v>
      </c>
      <c r="AZ28" s="2">
        <v>18.100000000000001</v>
      </c>
      <c r="BA28" s="2">
        <v>34</v>
      </c>
      <c r="BB28" s="2">
        <v>77</v>
      </c>
      <c r="BC28" s="2">
        <v>3</v>
      </c>
      <c r="BD28" s="2">
        <v>1.4</v>
      </c>
      <c r="BE28" s="2">
        <v>7.6</v>
      </c>
      <c r="BF28" s="2">
        <v>10</v>
      </c>
      <c r="BG28" s="2">
        <v>22.9</v>
      </c>
      <c r="BH28" s="2">
        <v>63</v>
      </c>
      <c r="BI28" s="2">
        <v>216</v>
      </c>
      <c r="BJ28" s="2">
        <v>383</v>
      </c>
      <c r="BK28" s="2">
        <v>462</v>
      </c>
      <c r="BL28" s="2">
        <v>511</v>
      </c>
      <c r="BM28" s="2">
        <v>608</v>
      </c>
      <c r="BN28" s="2"/>
      <c r="BO28" s="2"/>
      <c r="BP28" s="2"/>
      <c r="BQ28" s="2"/>
      <c r="BR28" s="2"/>
      <c r="BS28" s="2"/>
      <c r="BT28" s="2">
        <v>294</v>
      </c>
      <c r="BU28" s="2">
        <v>489</v>
      </c>
      <c r="BV28" s="2">
        <v>586</v>
      </c>
      <c r="BW28" s="2">
        <v>678</v>
      </c>
      <c r="BX28" s="2">
        <v>862</v>
      </c>
      <c r="BY28" s="2">
        <v>39</v>
      </c>
      <c r="BZ28" s="2">
        <v>7.7</v>
      </c>
      <c r="CA28" s="2">
        <v>2.8</v>
      </c>
      <c r="CB28" s="2">
        <v>2.08464832643364E-12</v>
      </c>
      <c r="CC28" s="2">
        <v>1.8</v>
      </c>
    </row>
    <row r="29" spans="1:81" x14ac:dyDescent="0.25">
      <c r="A29" s="66"/>
      <c r="B29" s="66"/>
      <c r="C29" s="67"/>
      <c r="D29" s="35"/>
      <c r="AW29" s="2">
        <v>48.03</v>
      </c>
      <c r="AX29" s="2" t="s">
        <v>306</v>
      </c>
      <c r="AY29" s="130">
        <v>38.4</v>
      </c>
      <c r="AZ29" s="2">
        <v>18.100000000000001</v>
      </c>
      <c r="BA29" s="2">
        <v>34</v>
      </c>
      <c r="BB29" s="2">
        <v>77</v>
      </c>
      <c r="BC29" s="2">
        <v>3</v>
      </c>
      <c r="BD29" s="2">
        <v>2.5</v>
      </c>
      <c r="BE29" s="2">
        <v>8.6999999999999993</v>
      </c>
      <c r="BF29" s="2">
        <v>11.1</v>
      </c>
      <c r="BG29" s="2">
        <v>24.1</v>
      </c>
      <c r="BH29" s="2">
        <v>64.099999999999994</v>
      </c>
      <c r="BI29" s="2">
        <v>266</v>
      </c>
      <c r="BJ29" s="2">
        <v>433</v>
      </c>
      <c r="BK29" s="2">
        <v>512</v>
      </c>
      <c r="BL29" s="2">
        <v>561</v>
      </c>
      <c r="BM29" s="2">
        <v>658</v>
      </c>
      <c r="BN29" s="2"/>
      <c r="BO29" s="2"/>
      <c r="BP29" s="2"/>
      <c r="BQ29" s="2"/>
      <c r="BR29" s="2"/>
      <c r="BS29" s="2"/>
      <c r="BT29" s="2">
        <v>377</v>
      </c>
      <c r="BU29" s="2">
        <v>573</v>
      </c>
      <c r="BV29" s="2">
        <v>670</v>
      </c>
      <c r="BW29" s="2">
        <v>762</v>
      </c>
      <c r="BX29" s="2">
        <v>946</v>
      </c>
      <c r="BY29" s="2">
        <v>39</v>
      </c>
      <c r="BZ29" s="2">
        <v>7.7</v>
      </c>
      <c r="CA29" s="2">
        <v>2.8</v>
      </c>
      <c r="CB29" s="2">
        <v>2.08464832643364E-12</v>
      </c>
      <c r="CC29" s="2">
        <v>1.8</v>
      </c>
    </row>
    <row r="30" spans="1:81" x14ac:dyDescent="0.25">
      <c r="A30" s="66"/>
      <c r="B30" s="66"/>
      <c r="C30" s="67"/>
      <c r="D30" s="35"/>
      <c r="AW30" s="2">
        <v>48.03</v>
      </c>
      <c r="AX30" s="2" t="s">
        <v>310</v>
      </c>
      <c r="AY30" s="130">
        <v>34.1</v>
      </c>
      <c r="AZ30" s="2">
        <v>18.7</v>
      </c>
      <c r="BA30" s="2">
        <v>53</v>
      </c>
      <c r="BB30" s="2">
        <v>52</v>
      </c>
      <c r="BC30" s="2">
        <v>3</v>
      </c>
      <c r="BD30" s="2">
        <v>1.8</v>
      </c>
      <c r="BE30" s="2">
        <v>8.6</v>
      </c>
      <c r="BF30" s="2">
        <v>11.3</v>
      </c>
      <c r="BG30" s="2">
        <v>25.3</v>
      </c>
      <c r="BH30" s="2">
        <v>68.7</v>
      </c>
      <c r="BI30" s="2">
        <v>387</v>
      </c>
      <c r="BJ30" s="2">
        <v>473</v>
      </c>
      <c r="BK30" s="2">
        <v>516</v>
      </c>
      <c r="BL30" s="2">
        <v>560</v>
      </c>
      <c r="BM30" s="2">
        <v>646</v>
      </c>
      <c r="BN30" s="2"/>
      <c r="BO30" s="2"/>
      <c r="BP30" s="2"/>
      <c r="BQ30" s="2"/>
      <c r="BR30" s="2"/>
      <c r="BS30" s="2"/>
      <c r="BT30" s="2">
        <v>444</v>
      </c>
      <c r="BU30" s="2">
        <v>615</v>
      </c>
      <c r="BV30" s="2">
        <v>702</v>
      </c>
      <c r="BW30" s="2">
        <v>789</v>
      </c>
      <c r="BX30" s="2">
        <v>961</v>
      </c>
      <c r="BY30" s="2">
        <v>42.5</v>
      </c>
      <c r="BZ30" s="2">
        <v>6.6</v>
      </c>
      <c r="CA30" s="2">
        <v>2.2999999999999998</v>
      </c>
      <c r="CB30" s="2">
        <v>1.72003283017399E-12</v>
      </c>
      <c r="CC30" s="2">
        <v>1.8</v>
      </c>
    </row>
    <row r="31" spans="1:81" x14ac:dyDescent="0.25">
      <c r="A31" s="66"/>
      <c r="B31" s="66"/>
      <c r="C31" s="67"/>
      <c r="D31" s="35"/>
      <c r="AW31" s="2">
        <v>64.260000000000005</v>
      </c>
      <c r="AX31" s="2" t="s">
        <v>310</v>
      </c>
      <c r="AY31" s="130">
        <v>34.1</v>
      </c>
      <c r="AZ31" s="2">
        <v>18.7</v>
      </c>
      <c r="BA31" s="2">
        <v>53</v>
      </c>
      <c r="BB31" s="2">
        <v>52</v>
      </c>
      <c r="BC31" s="2">
        <v>3</v>
      </c>
      <c r="BD31" s="2">
        <v>2.5</v>
      </c>
      <c r="BE31" s="2">
        <v>9.4</v>
      </c>
      <c r="BF31" s="2">
        <v>12</v>
      </c>
      <c r="BG31" s="2">
        <v>26</v>
      </c>
      <c r="BH31" s="2">
        <v>69.400000000000006</v>
      </c>
      <c r="BI31" s="2">
        <v>411</v>
      </c>
      <c r="BJ31" s="2">
        <v>497</v>
      </c>
      <c r="BK31" s="2">
        <v>540</v>
      </c>
      <c r="BL31" s="2">
        <v>584</v>
      </c>
      <c r="BM31" s="2">
        <v>670</v>
      </c>
      <c r="BN31" s="2"/>
      <c r="BO31" s="2"/>
      <c r="BP31" s="2"/>
      <c r="BQ31" s="2"/>
      <c r="BR31" s="2"/>
      <c r="BS31" s="2"/>
      <c r="BT31" s="2">
        <v>501</v>
      </c>
      <c r="BU31" s="2">
        <v>673</v>
      </c>
      <c r="BV31" s="2">
        <v>759</v>
      </c>
      <c r="BW31" s="2">
        <v>846</v>
      </c>
      <c r="BX31" s="2">
        <v>1018</v>
      </c>
      <c r="BY31" s="2">
        <v>42.5</v>
      </c>
      <c r="BZ31" s="2">
        <v>6.6</v>
      </c>
      <c r="CA31" s="2">
        <v>2.2999999999999998</v>
      </c>
      <c r="CB31" s="2">
        <v>1.72003283017399E-12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64.260000000000005</v>
      </c>
      <c r="AX32" s="2" t="s">
        <v>318</v>
      </c>
      <c r="AY32" s="130">
        <v>28.8</v>
      </c>
      <c r="AZ32" s="2">
        <v>19.7</v>
      </c>
      <c r="BA32" s="2">
        <v>47</v>
      </c>
      <c r="BB32" s="2">
        <v>53</v>
      </c>
      <c r="BC32" s="2">
        <v>3</v>
      </c>
      <c r="BD32" s="2">
        <v>2.4</v>
      </c>
      <c r="BE32" s="2">
        <v>4</v>
      </c>
      <c r="BF32" s="2">
        <v>4.5999999999999996</v>
      </c>
      <c r="BG32" s="2">
        <v>10.6</v>
      </c>
      <c r="BH32" s="2">
        <v>29.1</v>
      </c>
      <c r="BI32" s="2">
        <v>89</v>
      </c>
      <c r="BJ32" s="2">
        <v>135</v>
      </c>
      <c r="BK32" s="2">
        <v>167</v>
      </c>
      <c r="BL32" s="2">
        <v>200</v>
      </c>
      <c r="BM32" s="2">
        <v>264</v>
      </c>
      <c r="BN32" s="2"/>
      <c r="BO32" s="2"/>
      <c r="BP32" s="2"/>
      <c r="BQ32" s="2"/>
      <c r="BR32" s="2"/>
      <c r="BS32" s="2"/>
      <c r="BT32" s="2">
        <v>64</v>
      </c>
      <c r="BU32" s="2">
        <v>152</v>
      </c>
      <c r="BV32" s="2">
        <v>238</v>
      </c>
      <c r="BW32" s="2">
        <v>325</v>
      </c>
      <c r="BX32" s="2">
        <v>497</v>
      </c>
      <c r="BY32" s="2">
        <v>15</v>
      </c>
      <c r="BZ32" s="2">
        <v>1.8</v>
      </c>
      <c r="CA32" s="2">
        <v>0.6</v>
      </c>
      <c r="CB32" s="2">
        <v>1.7248311650524699E-13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80</v>
      </c>
      <c r="AX33" s="2" t="s">
        <v>318</v>
      </c>
      <c r="AY33" s="130">
        <v>28.8</v>
      </c>
      <c r="AZ33" s="2">
        <v>19.7</v>
      </c>
      <c r="BA33" s="2">
        <v>47</v>
      </c>
      <c r="BB33" s="2">
        <v>53</v>
      </c>
      <c r="BC33" s="2">
        <v>3</v>
      </c>
      <c r="BD33" s="2">
        <v>3.3</v>
      </c>
      <c r="BE33" s="2">
        <v>5</v>
      </c>
      <c r="BF33" s="2">
        <v>5.5</v>
      </c>
      <c r="BG33" s="2">
        <v>11.6</v>
      </c>
      <c r="BH33" s="2">
        <v>30.1</v>
      </c>
      <c r="BI33" s="2">
        <v>125</v>
      </c>
      <c r="BJ33" s="2">
        <v>170</v>
      </c>
      <c r="BK33" s="2">
        <v>202</v>
      </c>
      <c r="BL33" s="2">
        <v>235</v>
      </c>
      <c r="BM33" s="2">
        <v>299</v>
      </c>
      <c r="BN33" s="2"/>
      <c r="BO33" s="2"/>
      <c r="BP33" s="2"/>
      <c r="BQ33" s="2"/>
      <c r="BR33" s="2"/>
      <c r="BS33" s="2"/>
      <c r="BT33" s="2">
        <v>129</v>
      </c>
      <c r="BU33" s="2">
        <v>217</v>
      </c>
      <c r="BV33" s="2">
        <v>304</v>
      </c>
      <c r="BW33" s="2">
        <v>391</v>
      </c>
      <c r="BX33" s="2">
        <v>563</v>
      </c>
      <c r="BY33" s="2">
        <v>15</v>
      </c>
      <c r="BZ33" s="2">
        <v>1.8</v>
      </c>
      <c r="CA33" s="2">
        <v>0.6</v>
      </c>
      <c r="CB33" s="2">
        <v>1.7248311650524699E-13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726" priority="12">
      <formula>$L32="API sand"</formula>
    </cfRule>
  </conditionalFormatting>
  <conditionalFormatting sqref="R32:S36 AB32:AB35 AJ32:AL36 Z32:Z36 N32:N36">
    <cfRule type="expression" dxfId="2725" priority="11">
      <formula>$M32="API sand"</formula>
    </cfRule>
  </conditionalFormatting>
  <conditionalFormatting sqref="R32:T36 Z32:AB35 AK32:AL36 N32:N36">
    <cfRule type="expression" dxfId="2724" priority="10">
      <formula>$M32="API clay"</formula>
    </cfRule>
  </conditionalFormatting>
  <conditionalFormatting sqref="U32:W36 AM32:AP36 N32:P36">
    <cfRule type="expression" dxfId="2723" priority="7">
      <formula>$L32="Stiff clay w/o free water"</formula>
    </cfRule>
    <cfRule type="expression" dxfId="2722" priority="9">
      <formula>$L32="API clay"</formula>
    </cfRule>
  </conditionalFormatting>
  <conditionalFormatting sqref="U32:Y36 AM32:AP36 N32:P36">
    <cfRule type="expression" dxfId="2721" priority="8">
      <formula>$L32="Kirsch soft clay"</formula>
    </cfRule>
  </conditionalFormatting>
  <conditionalFormatting sqref="U32:Y36 AM32:AP36 N32:P36">
    <cfRule type="expression" dxfId="2720" priority="6">
      <formula>$L32="Kirsch stiff clay"</formula>
    </cfRule>
  </conditionalFormatting>
  <conditionalFormatting sqref="AM32:AP36 Q32:Q36 X32:Y36 N32:N36">
    <cfRule type="expression" dxfId="2719" priority="5">
      <formula>$L32="Kirsch sand"</formula>
    </cfRule>
  </conditionalFormatting>
  <conditionalFormatting sqref="AC32:AD36 AI32:AI36 AM32:AP36 N32:N36">
    <cfRule type="expression" dxfId="2718" priority="4">
      <formula>$L32="Modified Weak rock"</formula>
    </cfRule>
  </conditionalFormatting>
  <conditionalFormatting sqref="AM32:AP36 N32:P36 U32:V36">
    <cfRule type="expression" dxfId="2717" priority="3">
      <formula>$L32="Reese stiff clay"</formula>
    </cfRule>
  </conditionalFormatting>
  <conditionalFormatting sqref="AB36">
    <cfRule type="expression" dxfId="2716" priority="2">
      <formula>$M36="API sand"</formula>
    </cfRule>
  </conditionalFormatting>
  <conditionalFormatting sqref="Z36:AB36">
    <cfRule type="expression" dxfId="2715" priority="1">
      <formula>$M36="API clay"</formula>
    </cfRule>
  </conditionalFormatting>
  <conditionalFormatting sqref="AE37:AH37">
    <cfRule type="expression" dxfId="2714" priority="13">
      <formula>#REF!="Modified Weak rock"</formula>
    </cfRule>
  </conditionalFormatting>
  <dataValidations count="4">
    <dataValidation type="textLength" showInputMessage="1" showErrorMessage="1" sqref="M27:M31" xr:uid="{C1266F90-6347-4FE5-B5D6-1199EEC07BCD}">
      <formula1>0</formula1>
      <formula2>100</formula2>
    </dataValidation>
    <dataValidation showInputMessage="1" showErrorMessage="1" sqref="L6:M26" xr:uid="{535A4DE9-B18A-487C-B622-DF98CF75CD5A}"/>
    <dataValidation type="list" showInputMessage="1" showErrorMessage="1" sqref="L32:L255" xr:uid="{A7F79AA2-C557-412C-AC6C-ECA40BCE1645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50559642-C9D9-436D-975C-6AEDA0270266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2C60D-C19F-4986-B484-376EC4CEBEC7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Ak_Pisa_WTG9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13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EW_sand_Ruled_65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32</v>
      </c>
      <c r="R6" s="47">
        <f t="shared" ref="R6:R26" ca="1" si="7">IF(I6="","",IF(Q6&lt;&gt;0,Q6-5,NA()))</f>
        <v>27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2400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86.999999999999972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6720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28.000000000000007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65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0.2</v>
      </c>
      <c r="BF6" s="2">
        <v>0.3</v>
      </c>
      <c r="BG6" s="2">
        <v>0.5</v>
      </c>
      <c r="BH6" s="2">
        <v>0.8</v>
      </c>
      <c r="BI6" s="2"/>
      <c r="BJ6" s="2"/>
      <c r="BK6" s="2"/>
      <c r="BL6" s="2"/>
      <c r="BM6" s="2"/>
      <c r="BN6" s="2">
        <v>65</v>
      </c>
      <c r="BO6" s="2">
        <v>21</v>
      </c>
      <c r="BP6" s="2">
        <v>32</v>
      </c>
      <c r="BQ6" s="2">
        <v>35</v>
      </c>
      <c r="BR6" s="2">
        <v>38</v>
      </c>
      <c r="BS6" s="2">
        <v>46</v>
      </c>
      <c r="BT6" s="2">
        <v>0</v>
      </c>
      <c r="BU6" s="2">
        <v>2</v>
      </c>
      <c r="BV6" s="2">
        <v>5</v>
      </c>
      <c r="BW6" s="2">
        <v>8</v>
      </c>
      <c r="BX6" s="2">
        <v>14</v>
      </c>
      <c r="BY6" s="2">
        <v>2.4</v>
      </c>
      <c r="BZ6" s="2">
        <v>1</v>
      </c>
      <c r="CA6" s="2">
        <v>0.5</v>
      </c>
      <c r="CB6" s="2">
        <v>2.1599420772871801E-5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-0.5</v>
      </c>
      <c r="L7" s="116" t="str">
        <f t="shared" ca="1" si="1"/>
        <v>EW_sand_Ruled_61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35</v>
      </c>
      <c r="R7" s="47">
        <f t="shared" ca="1" si="7"/>
        <v>30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6600</v>
      </c>
      <c r="Y7" s="47">
        <f t="shared" ca="1" si="14"/>
        <v>0</v>
      </c>
      <c r="Z7" s="47">
        <f t="shared" ca="1" si="15"/>
        <v>95.999999999999972</v>
      </c>
      <c r="AA7" s="47">
        <f t="shared" ca="1" si="16"/>
        <v>1</v>
      </c>
      <c r="AB7" s="47">
        <f t="shared" ca="1" si="17"/>
        <v>9600</v>
      </c>
      <c r="AC7" s="63">
        <f t="shared" ca="1" si="18"/>
        <v>17000</v>
      </c>
      <c r="AD7" s="63">
        <f t="shared" ca="1" si="19"/>
        <v>25000.000000000007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40.000000000000007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61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0.6</v>
      </c>
      <c r="BE7" s="2">
        <v>0.7</v>
      </c>
      <c r="BF7" s="2">
        <v>0.8</v>
      </c>
      <c r="BG7" s="2">
        <v>1</v>
      </c>
      <c r="BH7" s="2">
        <v>1.3</v>
      </c>
      <c r="BI7" s="2"/>
      <c r="BJ7" s="2"/>
      <c r="BK7" s="2"/>
      <c r="BL7" s="2"/>
      <c r="BM7" s="2"/>
      <c r="BN7" s="2">
        <v>65</v>
      </c>
      <c r="BO7" s="2">
        <v>21</v>
      </c>
      <c r="BP7" s="2">
        <v>32</v>
      </c>
      <c r="BQ7" s="2">
        <v>35</v>
      </c>
      <c r="BR7" s="2">
        <v>38</v>
      </c>
      <c r="BS7" s="2">
        <v>46</v>
      </c>
      <c r="BT7" s="2">
        <v>7</v>
      </c>
      <c r="BU7" s="2">
        <v>13</v>
      </c>
      <c r="BV7" s="2">
        <v>16</v>
      </c>
      <c r="BW7" s="2">
        <v>19</v>
      </c>
      <c r="BX7" s="2">
        <v>25</v>
      </c>
      <c r="BY7" s="2">
        <v>2.4</v>
      </c>
      <c r="BZ7" s="2">
        <v>1</v>
      </c>
      <c r="CA7" s="2">
        <v>0.5</v>
      </c>
      <c r="CB7" s="2">
        <v>2.1599420772871801E-5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21c</v>
      </c>
      <c r="J8" s="47">
        <f t="shared" ca="1" si="35"/>
        <v>3</v>
      </c>
      <c r="K8" s="19">
        <f t="shared" ca="1" si="36"/>
        <v>-0.7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9.3000000000000007</v>
      </c>
      <c r="O8" s="63">
        <f t="shared" ca="1" si="4"/>
        <v>37</v>
      </c>
      <c r="P8" s="63">
        <f t="shared" ca="1" si="5"/>
        <v>-19.999999999999996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2900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30000</v>
      </c>
      <c r="AD8" s="63">
        <f t="shared" ca="1" si="19"/>
        <v>-21666.666666666664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0.4</v>
      </c>
      <c r="BE8" s="2">
        <v>1</v>
      </c>
      <c r="BF8" s="2">
        <v>1.4</v>
      </c>
      <c r="BG8" s="2">
        <v>1.7</v>
      </c>
      <c r="BH8" s="2">
        <v>2.5</v>
      </c>
      <c r="BI8" s="2"/>
      <c r="BJ8" s="2"/>
      <c r="BK8" s="2"/>
      <c r="BL8" s="2"/>
      <c r="BM8" s="2"/>
      <c r="BN8" s="2">
        <v>61</v>
      </c>
      <c r="BO8" s="2">
        <v>30</v>
      </c>
      <c r="BP8" s="2">
        <v>35</v>
      </c>
      <c r="BQ8" s="2">
        <v>38</v>
      </c>
      <c r="BR8" s="2">
        <v>41</v>
      </c>
      <c r="BS8" s="2">
        <v>46</v>
      </c>
      <c r="BT8" s="2">
        <v>0</v>
      </c>
      <c r="BU8" s="2">
        <v>12</v>
      </c>
      <c r="BV8" s="2">
        <v>17</v>
      </c>
      <c r="BW8" s="2">
        <v>22</v>
      </c>
      <c r="BX8" s="2">
        <v>34</v>
      </c>
      <c r="BY8" s="2">
        <v>6.6</v>
      </c>
      <c r="BZ8" s="2">
        <v>1</v>
      </c>
      <c r="CA8" s="2">
        <v>0.5</v>
      </c>
      <c r="CB8" s="2">
        <v>4.6542063688083003E-6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21d</v>
      </c>
      <c r="J9" s="47">
        <f t="shared" ca="1" si="35"/>
        <v>4</v>
      </c>
      <c r="K9" s="19">
        <f t="shared" ca="1" si="36"/>
        <v>-1.3</v>
      </c>
      <c r="L9" s="116" t="str">
        <f t="shared" ca="1" si="1"/>
        <v>EW_sand_Ruled_37</v>
      </c>
      <c r="M9" s="105" t="str">
        <f t="shared" ca="1" si="2"/>
        <v>API sand</v>
      </c>
      <c r="N9" s="47">
        <f t="shared" ca="1" si="3"/>
        <v>10</v>
      </c>
      <c r="O9" s="63">
        <f t="shared" ca="1" si="4"/>
        <v>0</v>
      </c>
      <c r="P9" s="63">
        <f t="shared" ca="1" si="5"/>
        <v>0</v>
      </c>
      <c r="Q9" s="47">
        <f t="shared" ca="1" si="6"/>
        <v>26</v>
      </c>
      <c r="R9" s="47">
        <f t="shared" ca="1" si="7"/>
        <v>21</v>
      </c>
      <c r="S9" s="47">
        <f t="shared" ca="1" si="8"/>
        <v>2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3700</v>
      </c>
      <c r="Y9" s="47">
        <f t="shared" ca="1" si="14"/>
        <v>0</v>
      </c>
      <c r="Z9" s="47">
        <f t="shared" ca="1" si="15"/>
        <v>69.799999999999983</v>
      </c>
      <c r="AA9" s="47">
        <f t="shared" ca="1" si="16"/>
        <v>1</v>
      </c>
      <c r="AB9" s="47">
        <f t="shared" ca="1" si="17"/>
        <v>3280</v>
      </c>
      <c r="AC9" s="63">
        <f t="shared" ca="1" si="18"/>
        <v>30000</v>
      </c>
      <c r="AD9" s="63">
        <f t="shared" ca="1" si="19"/>
        <v>7777.7777777777765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13.600000000000003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37</v>
      </c>
      <c r="AS9" s="33">
        <f t="shared" ca="1" si="34"/>
        <v>0.4</v>
      </c>
      <c r="AW9" s="2">
        <v>0.7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0.8</v>
      </c>
      <c r="BE9" s="2">
        <v>1.4</v>
      </c>
      <c r="BF9" s="2">
        <v>1.8</v>
      </c>
      <c r="BG9" s="2">
        <v>2.2000000000000002</v>
      </c>
      <c r="BH9" s="2">
        <v>2.9</v>
      </c>
      <c r="BI9" s="2"/>
      <c r="BJ9" s="2"/>
      <c r="BK9" s="2"/>
      <c r="BL9" s="2"/>
      <c r="BM9" s="2"/>
      <c r="BN9" s="2">
        <v>61</v>
      </c>
      <c r="BO9" s="2">
        <v>30</v>
      </c>
      <c r="BP9" s="2">
        <v>35</v>
      </c>
      <c r="BQ9" s="2">
        <v>38</v>
      </c>
      <c r="BR9" s="2">
        <v>41</v>
      </c>
      <c r="BS9" s="2">
        <v>46</v>
      </c>
      <c r="BT9" s="2">
        <v>5</v>
      </c>
      <c r="BU9" s="2">
        <v>17</v>
      </c>
      <c r="BV9" s="2">
        <v>22</v>
      </c>
      <c r="BW9" s="2">
        <v>27</v>
      </c>
      <c r="BX9" s="2">
        <v>39</v>
      </c>
      <c r="BY9" s="2">
        <v>6.6</v>
      </c>
      <c r="BZ9" s="2">
        <v>1</v>
      </c>
      <c r="CA9" s="2">
        <v>0.5</v>
      </c>
      <c r="CB9" s="2">
        <v>4.6542063688083003E-6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23i</v>
      </c>
      <c r="J10" s="47">
        <f t="shared" ca="1" si="35"/>
        <v>5</v>
      </c>
      <c r="K10" s="19">
        <f t="shared" ca="1" si="36"/>
        <v>-2.2000000000000002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8.3000000000000007</v>
      </c>
      <c r="O10" s="63">
        <f t="shared" ca="1" si="4"/>
        <v>68</v>
      </c>
      <c r="P10" s="63">
        <f t="shared" ca="1" si="5"/>
        <v>7.8260869565217384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0.5</v>
      </c>
      <c r="X10" s="47">
        <f t="shared" ca="1" si="13"/>
        <v>11600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74000</v>
      </c>
      <c r="AD10" s="63">
        <f t="shared" ca="1" si="19"/>
        <v>9492.7536231884042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0.7</v>
      </c>
      <c r="AX10" s="2" t="s">
        <v>216</v>
      </c>
      <c r="AY10" s="130">
        <v>31.7</v>
      </c>
      <c r="AZ10" s="2">
        <v>19.3</v>
      </c>
      <c r="BA10" s="2">
        <v>20</v>
      </c>
      <c r="BB10" s="2">
        <v>45</v>
      </c>
      <c r="BC10" s="2">
        <v>4</v>
      </c>
      <c r="BD10" s="2">
        <v>0.7</v>
      </c>
      <c r="BE10" s="2">
        <v>0.8</v>
      </c>
      <c r="BF10" s="2">
        <v>0.8</v>
      </c>
      <c r="BG10" s="2">
        <v>1</v>
      </c>
      <c r="BH10" s="2">
        <v>1.3</v>
      </c>
      <c r="BI10" s="2">
        <v>19</v>
      </c>
      <c r="BJ10" s="2">
        <v>37</v>
      </c>
      <c r="BK10" s="2">
        <v>45</v>
      </c>
      <c r="BL10" s="2">
        <v>57</v>
      </c>
      <c r="BM10" s="2">
        <v>80</v>
      </c>
      <c r="BN10" s="2"/>
      <c r="BO10" s="2"/>
      <c r="BP10" s="2"/>
      <c r="BQ10" s="2"/>
      <c r="BR10" s="2"/>
      <c r="BS10" s="2"/>
      <c r="BT10" s="2">
        <v>13</v>
      </c>
      <c r="BU10" s="2">
        <v>21</v>
      </c>
      <c r="BV10" s="2">
        <v>30</v>
      </c>
      <c r="BW10" s="2">
        <v>40</v>
      </c>
      <c r="BX10" s="2">
        <v>61</v>
      </c>
      <c r="BY10" s="2">
        <v>2.9</v>
      </c>
      <c r="BZ10" s="2">
        <v>22.5</v>
      </c>
      <c r="CA10" s="2">
        <v>3</v>
      </c>
      <c r="CB10" s="2">
        <v>3.23225472615773E-9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23j</v>
      </c>
      <c r="J11" s="47">
        <f t="shared" ca="1" si="35"/>
        <v>6</v>
      </c>
      <c r="K11" s="19">
        <f t="shared" ca="1" si="36"/>
        <v>-16</v>
      </c>
      <c r="L11" s="116" t="str">
        <f t="shared" ca="1" si="1"/>
        <v>EW_sand_Ruled_58</v>
      </c>
      <c r="M11" s="105" t="str">
        <f t="shared" ca="1" si="2"/>
        <v>API sand</v>
      </c>
      <c r="N11" s="47">
        <f t="shared" ca="1" si="3"/>
        <v>9.1000000000000014</v>
      </c>
      <c r="O11" s="63">
        <f t="shared" ca="1" si="4"/>
        <v>0</v>
      </c>
      <c r="P11" s="63">
        <f t="shared" ca="1" si="5"/>
        <v>0</v>
      </c>
      <c r="Q11" s="47">
        <f t="shared" ca="1" si="6"/>
        <v>26</v>
      </c>
      <c r="R11" s="47">
        <f t="shared" ca="1" si="7"/>
        <v>21</v>
      </c>
      <c r="S11" s="47">
        <f t="shared" ca="1" si="8"/>
        <v>0.8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11600</v>
      </c>
      <c r="Y11" s="47">
        <f t="shared" ca="1" si="14"/>
        <v>0</v>
      </c>
      <c r="Z11" s="47">
        <f t="shared" ca="1" si="15"/>
        <v>69.799999999999983</v>
      </c>
      <c r="AA11" s="47">
        <f t="shared" ca="1" si="16"/>
        <v>1</v>
      </c>
      <c r="AB11" s="47">
        <f t="shared" ca="1" si="17"/>
        <v>3280</v>
      </c>
      <c r="AC11" s="63">
        <f t="shared" ca="1" si="18"/>
        <v>85000</v>
      </c>
      <c r="AD11" s="63">
        <f t="shared" ca="1" si="19"/>
        <v>18000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13.600000000000003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58</v>
      </c>
      <c r="AS11" s="33">
        <f t="shared" ca="1" si="34"/>
        <v>0.4</v>
      </c>
      <c r="AW11" s="2">
        <v>1.3</v>
      </c>
      <c r="AX11" s="2" t="s">
        <v>216</v>
      </c>
      <c r="AY11" s="130">
        <v>31.7</v>
      </c>
      <c r="AZ11" s="2">
        <v>19.3</v>
      </c>
      <c r="BA11" s="2">
        <v>20</v>
      </c>
      <c r="BB11" s="2">
        <v>45</v>
      </c>
      <c r="BC11" s="2">
        <v>4</v>
      </c>
      <c r="BD11" s="2">
        <v>0.5</v>
      </c>
      <c r="BE11" s="2">
        <v>0.6</v>
      </c>
      <c r="BF11" s="2">
        <v>0.6</v>
      </c>
      <c r="BG11" s="2">
        <v>0.8</v>
      </c>
      <c r="BH11" s="2">
        <v>1.1000000000000001</v>
      </c>
      <c r="BI11" s="2">
        <v>7</v>
      </c>
      <c r="BJ11" s="2">
        <v>25</v>
      </c>
      <c r="BK11" s="2">
        <v>33</v>
      </c>
      <c r="BL11" s="2">
        <v>45</v>
      </c>
      <c r="BM11" s="2">
        <v>68</v>
      </c>
      <c r="BN11" s="2"/>
      <c r="BO11" s="2"/>
      <c r="BP11" s="2"/>
      <c r="BQ11" s="2"/>
      <c r="BR11" s="2"/>
      <c r="BS11" s="2"/>
      <c r="BT11" s="2">
        <v>1</v>
      </c>
      <c r="BU11" s="2">
        <v>9</v>
      </c>
      <c r="BV11" s="2">
        <v>17</v>
      </c>
      <c r="BW11" s="2">
        <v>27</v>
      </c>
      <c r="BX11" s="2">
        <v>49</v>
      </c>
      <c r="BY11" s="2">
        <v>2.9</v>
      </c>
      <c r="BZ11" s="2">
        <v>22.5</v>
      </c>
      <c r="CA11" s="2">
        <v>3</v>
      </c>
      <c r="CB11" s="2">
        <v>3.23225472615773E-9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23k</v>
      </c>
      <c r="J12" s="47">
        <f t="shared" ca="1" si="35"/>
        <v>7</v>
      </c>
      <c r="K12" s="19">
        <f t="shared" ca="1" si="36"/>
        <v>-17.5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8.5</v>
      </c>
      <c r="O12" s="63">
        <f t="shared" ca="1" si="4"/>
        <v>126</v>
      </c>
      <c r="P12" s="63">
        <f t="shared" ca="1" si="5"/>
        <v>118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0.5</v>
      </c>
      <c r="X12" s="47">
        <f t="shared" ca="1" si="13"/>
        <v>20300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179000</v>
      </c>
      <c r="AD12" s="63">
        <f t="shared" ca="1" si="19"/>
        <v>156000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1.3</v>
      </c>
      <c r="AX12" s="2" t="s">
        <v>217</v>
      </c>
      <c r="AY12" s="130">
        <v>23.6</v>
      </c>
      <c r="AZ12" s="2">
        <v>20</v>
      </c>
      <c r="BA12" s="2"/>
      <c r="BB12" s="2">
        <v>18</v>
      </c>
      <c r="BC12" s="2"/>
      <c r="BD12" s="2">
        <v>1.6</v>
      </c>
      <c r="BE12" s="2">
        <v>1.8</v>
      </c>
      <c r="BF12" s="2">
        <v>2</v>
      </c>
      <c r="BG12" s="2">
        <v>2.2000000000000002</v>
      </c>
      <c r="BH12" s="2">
        <v>2.9</v>
      </c>
      <c r="BI12" s="2"/>
      <c r="BJ12" s="2"/>
      <c r="BK12" s="2"/>
      <c r="BL12" s="2"/>
      <c r="BM12" s="2"/>
      <c r="BN12" s="2">
        <v>37</v>
      </c>
      <c r="BO12" s="2">
        <v>26</v>
      </c>
      <c r="BP12" s="2">
        <v>26</v>
      </c>
      <c r="BQ12" s="2">
        <v>28</v>
      </c>
      <c r="BR12" s="2">
        <v>31</v>
      </c>
      <c r="BS12" s="2">
        <v>34</v>
      </c>
      <c r="BT12" s="2">
        <v>2</v>
      </c>
      <c r="BU12" s="2">
        <v>21</v>
      </c>
      <c r="BV12" s="2">
        <v>30</v>
      </c>
      <c r="BW12" s="2">
        <v>38</v>
      </c>
      <c r="BX12" s="2">
        <v>57</v>
      </c>
      <c r="BY12" s="2">
        <v>3.7</v>
      </c>
      <c r="BZ12" s="2">
        <v>10</v>
      </c>
      <c r="CA12" s="2">
        <v>2</v>
      </c>
      <c r="CB12" s="2">
        <v>3.1760466431720402E-8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23l</v>
      </c>
      <c r="J13" s="47">
        <f t="shared" ca="1" si="35"/>
        <v>8</v>
      </c>
      <c r="K13" s="19">
        <f t="shared" ca="1" si="36"/>
        <v>-19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8.8000000000000007</v>
      </c>
      <c r="O13" s="63">
        <f t="shared" ca="1" si="4"/>
        <v>411</v>
      </c>
      <c r="P13" s="63">
        <f t="shared" ca="1" si="5"/>
        <v>113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48400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584000</v>
      </c>
      <c r="AD13" s="63">
        <f t="shared" ca="1" si="19"/>
        <v>214000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2.2000000000000002</v>
      </c>
      <c r="AX13" s="2" t="s">
        <v>217</v>
      </c>
      <c r="AY13" s="130">
        <v>23.6</v>
      </c>
      <c r="AZ13" s="2">
        <v>20</v>
      </c>
      <c r="BA13" s="2"/>
      <c r="BB13" s="2">
        <v>18</v>
      </c>
      <c r="BC13" s="2"/>
      <c r="BD13" s="2">
        <v>2.6</v>
      </c>
      <c r="BE13" s="2">
        <v>2.9</v>
      </c>
      <c r="BF13" s="2">
        <v>3</v>
      </c>
      <c r="BG13" s="2">
        <v>3.2</v>
      </c>
      <c r="BH13" s="2">
        <v>3.9</v>
      </c>
      <c r="BI13" s="2"/>
      <c r="BJ13" s="2"/>
      <c r="BK13" s="2"/>
      <c r="BL13" s="2"/>
      <c r="BM13" s="2"/>
      <c r="BN13" s="2">
        <v>37</v>
      </c>
      <c r="BO13" s="2">
        <v>26</v>
      </c>
      <c r="BP13" s="2">
        <v>26</v>
      </c>
      <c r="BQ13" s="2">
        <v>28</v>
      </c>
      <c r="BR13" s="2">
        <v>31</v>
      </c>
      <c r="BS13" s="2">
        <v>34</v>
      </c>
      <c r="BT13" s="2">
        <v>10</v>
      </c>
      <c r="BU13" s="2">
        <v>29</v>
      </c>
      <c r="BV13" s="2">
        <v>37</v>
      </c>
      <c r="BW13" s="2">
        <v>46</v>
      </c>
      <c r="BX13" s="2">
        <v>65</v>
      </c>
      <c r="BY13" s="2">
        <v>3.7</v>
      </c>
      <c r="BZ13" s="2">
        <v>10</v>
      </c>
      <c r="CA13" s="2">
        <v>2</v>
      </c>
      <c r="CB13" s="2">
        <v>3.1760466431720402E-8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23l</v>
      </c>
      <c r="J14" s="47">
        <f t="shared" ca="1" si="35"/>
        <v>9</v>
      </c>
      <c r="K14" s="19">
        <f t="shared" ca="1" si="36"/>
        <v>-21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8.8000000000000007</v>
      </c>
      <c r="O14" s="63">
        <f t="shared" ca="1" si="4"/>
        <v>759</v>
      </c>
      <c r="P14" s="63">
        <f t="shared" ca="1" si="5"/>
        <v>-293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39900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1109000</v>
      </c>
      <c r="AD14" s="63">
        <f t="shared" ca="1" si="19"/>
        <v>-432500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2.2000000000000002</v>
      </c>
      <c r="AX14" s="2" t="s">
        <v>218</v>
      </c>
      <c r="AY14" s="130">
        <v>37</v>
      </c>
      <c r="AZ14" s="2">
        <v>18.3</v>
      </c>
      <c r="BA14" s="2">
        <v>59</v>
      </c>
      <c r="BB14" s="2">
        <v>77</v>
      </c>
      <c r="BC14" s="2">
        <v>3</v>
      </c>
      <c r="BD14" s="2">
        <v>1.4</v>
      </c>
      <c r="BE14" s="2">
        <v>1.8</v>
      </c>
      <c r="BF14" s="2">
        <v>1.9</v>
      </c>
      <c r="BG14" s="2">
        <v>2</v>
      </c>
      <c r="BH14" s="2">
        <v>2.7</v>
      </c>
      <c r="BI14" s="2">
        <v>14</v>
      </c>
      <c r="BJ14" s="2">
        <v>68</v>
      </c>
      <c r="BK14" s="2">
        <v>93</v>
      </c>
      <c r="BL14" s="2">
        <v>120</v>
      </c>
      <c r="BM14" s="2">
        <v>179</v>
      </c>
      <c r="BN14" s="2"/>
      <c r="BO14" s="2"/>
      <c r="BP14" s="2"/>
      <c r="BQ14" s="2"/>
      <c r="BR14" s="2"/>
      <c r="BS14" s="2"/>
      <c r="BT14" s="2">
        <v>2</v>
      </c>
      <c r="BU14" s="2">
        <v>26</v>
      </c>
      <c r="BV14" s="2">
        <v>74</v>
      </c>
      <c r="BW14" s="2">
        <v>122</v>
      </c>
      <c r="BX14" s="2">
        <v>223</v>
      </c>
      <c r="BY14" s="2">
        <v>11.6</v>
      </c>
      <c r="BZ14" s="2">
        <v>11.6</v>
      </c>
      <c r="CA14" s="2">
        <v>3</v>
      </c>
      <c r="CB14" s="2">
        <v>8.6335360996473003E-10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23l</v>
      </c>
      <c r="J15" s="47">
        <f t="shared" ca="1" si="35"/>
        <v>10</v>
      </c>
      <c r="K15" s="19">
        <f t="shared" ca="1" si="36"/>
        <v>-23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8.8000000000000007</v>
      </c>
      <c r="O15" s="63">
        <f t="shared" ca="1" si="4"/>
        <v>208</v>
      </c>
      <c r="P15" s="63">
        <f t="shared" ca="1" si="5"/>
        <v>10.416666666666666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0.5</v>
      </c>
      <c r="X15" s="47">
        <f t="shared" ca="1" si="13"/>
        <v>23700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288000</v>
      </c>
      <c r="AD15" s="63">
        <f t="shared" ca="1" si="19"/>
        <v>15083.333333333334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16</v>
      </c>
      <c r="AX15" s="2" t="s">
        <v>218</v>
      </c>
      <c r="AY15" s="130">
        <v>37</v>
      </c>
      <c r="AZ15" s="2">
        <v>18.3</v>
      </c>
      <c r="BA15" s="2">
        <v>59</v>
      </c>
      <c r="BB15" s="2">
        <v>77</v>
      </c>
      <c r="BC15" s="2">
        <v>3</v>
      </c>
      <c r="BD15" s="2">
        <v>3.8</v>
      </c>
      <c r="BE15" s="2">
        <v>4.2</v>
      </c>
      <c r="BF15" s="2">
        <v>4.3</v>
      </c>
      <c r="BG15" s="2">
        <v>4.4000000000000004</v>
      </c>
      <c r="BH15" s="2">
        <v>5.0999999999999996</v>
      </c>
      <c r="BI15" s="2">
        <v>121</v>
      </c>
      <c r="BJ15" s="2">
        <v>176</v>
      </c>
      <c r="BK15" s="2">
        <v>201</v>
      </c>
      <c r="BL15" s="2">
        <v>227</v>
      </c>
      <c r="BM15" s="2">
        <v>287</v>
      </c>
      <c r="BN15" s="2"/>
      <c r="BO15" s="2"/>
      <c r="BP15" s="2"/>
      <c r="BQ15" s="2"/>
      <c r="BR15" s="2"/>
      <c r="BS15" s="2"/>
      <c r="BT15" s="2">
        <v>133</v>
      </c>
      <c r="BU15" s="2">
        <v>157</v>
      </c>
      <c r="BV15" s="2">
        <v>205</v>
      </c>
      <c r="BW15" s="2">
        <v>253</v>
      </c>
      <c r="BX15" s="2">
        <v>354</v>
      </c>
      <c r="BY15" s="2">
        <v>11.6</v>
      </c>
      <c r="BZ15" s="2">
        <v>11.6</v>
      </c>
      <c r="CA15" s="2">
        <v>3</v>
      </c>
      <c r="CB15" s="2">
        <v>8.6335360996473003E-10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23m</v>
      </c>
      <c r="J16" s="47">
        <f t="shared" ca="1" si="35"/>
        <v>11</v>
      </c>
      <c r="K16" s="19">
        <f t="shared" ca="1" si="36"/>
        <v>-35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8.5</v>
      </c>
      <c r="O16" s="63">
        <f t="shared" ca="1" si="4"/>
        <v>74</v>
      </c>
      <c r="P16" s="63">
        <f t="shared" ca="1" si="5"/>
        <v>2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0.6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0.5</v>
      </c>
      <c r="X16" s="47">
        <f t="shared" ca="1" si="13"/>
        <v>7900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104000</v>
      </c>
      <c r="AD16" s="63">
        <f t="shared" ca="1" si="19"/>
        <v>3166.6666666666665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16</v>
      </c>
      <c r="AX16" s="2" t="s">
        <v>309</v>
      </c>
      <c r="AY16" s="130">
        <v>25</v>
      </c>
      <c r="AZ16" s="2">
        <v>19.100000000000001</v>
      </c>
      <c r="BA16" s="2"/>
      <c r="BB16" s="2"/>
      <c r="BC16" s="2"/>
      <c r="BD16" s="2">
        <v>2.4</v>
      </c>
      <c r="BE16" s="2">
        <v>3.6</v>
      </c>
      <c r="BF16" s="2">
        <v>4</v>
      </c>
      <c r="BG16" s="2">
        <v>4.5</v>
      </c>
      <c r="BH16" s="2">
        <v>6.1</v>
      </c>
      <c r="BI16" s="2"/>
      <c r="BJ16" s="2"/>
      <c r="BK16" s="2"/>
      <c r="BL16" s="2"/>
      <c r="BM16" s="2"/>
      <c r="BN16" s="2">
        <v>58</v>
      </c>
      <c r="BO16" s="2">
        <v>26</v>
      </c>
      <c r="BP16" s="2">
        <v>26</v>
      </c>
      <c r="BQ16" s="2">
        <v>28</v>
      </c>
      <c r="BR16" s="2">
        <v>30</v>
      </c>
      <c r="BS16" s="2">
        <v>34</v>
      </c>
      <c r="BT16" s="2">
        <v>16</v>
      </c>
      <c r="BU16" s="2">
        <v>62</v>
      </c>
      <c r="BV16" s="2">
        <v>85</v>
      </c>
      <c r="BW16" s="2">
        <v>109</v>
      </c>
      <c r="BX16" s="2">
        <v>166</v>
      </c>
      <c r="BY16" s="2">
        <v>11.6</v>
      </c>
      <c r="BZ16" s="2">
        <v>2.2999999999999998</v>
      </c>
      <c r="CA16" s="2">
        <v>0.8</v>
      </c>
      <c r="CB16" s="2">
        <v>1.7386809095184499E-9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23o</v>
      </c>
      <c r="J17" s="47">
        <f t="shared" ca="1" si="35"/>
        <v>12</v>
      </c>
      <c r="K17" s="19">
        <f t="shared" ca="1" si="36"/>
        <v>-41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8.6999999999999993</v>
      </c>
      <c r="O17" s="63">
        <f t="shared" ca="1" si="4"/>
        <v>507</v>
      </c>
      <c r="P17" s="63">
        <f t="shared" ca="1" si="5"/>
        <v>1.8333333333333333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2.6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45900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744000</v>
      </c>
      <c r="AD17" s="63">
        <f t="shared" ca="1" si="19"/>
        <v>4375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17.5</v>
      </c>
      <c r="AX17" s="2" t="s">
        <v>309</v>
      </c>
      <c r="AY17" s="130">
        <v>25</v>
      </c>
      <c r="AZ17" s="2">
        <v>19.100000000000001</v>
      </c>
      <c r="BA17" s="2"/>
      <c r="BB17" s="2"/>
      <c r="BC17" s="2"/>
      <c r="BD17" s="2">
        <v>8.8000000000000007</v>
      </c>
      <c r="BE17" s="2">
        <v>9.9</v>
      </c>
      <c r="BF17" s="2">
        <v>10.3</v>
      </c>
      <c r="BG17" s="2">
        <v>10.8</v>
      </c>
      <c r="BH17" s="2">
        <v>12.5</v>
      </c>
      <c r="BI17" s="2"/>
      <c r="BJ17" s="2"/>
      <c r="BK17" s="2"/>
      <c r="BL17" s="2"/>
      <c r="BM17" s="2"/>
      <c r="BN17" s="2">
        <v>58</v>
      </c>
      <c r="BO17" s="2">
        <v>26</v>
      </c>
      <c r="BP17" s="2">
        <v>26</v>
      </c>
      <c r="BQ17" s="2">
        <v>28</v>
      </c>
      <c r="BR17" s="2">
        <v>30</v>
      </c>
      <c r="BS17" s="2">
        <v>34</v>
      </c>
      <c r="BT17" s="2">
        <v>42</v>
      </c>
      <c r="BU17" s="2">
        <v>89</v>
      </c>
      <c r="BV17" s="2">
        <v>112</v>
      </c>
      <c r="BW17" s="2">
        <v>135</v>
      </c>
      <c r="BX17" s="2">
        <v>192</v>
      </c>
      <c r="BY17" s="2">
        <v>11.6</v>
      </c>
      <c r="BZ17" s="2">
        <v>2.2999999999999998</v>
      </c>
      <c r="CA17" s="2">
        <v>0.8</v>
      </c>
      <c r="CB17" s="2">
        <v>1.7386809095184499E-9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23q</v>
      </c>
      <c r="J18" s="47">
        <f t="shared" ca="1" si="35"/>
        <v>13</v>
      </c>
      <c r="K18" s="19">
        <f t="shared" ca="1" si="36"/>
        <v>-65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9.6999999999999993</v>
      </c>
      <c r="O18" s="63">
        <f t="shared" ca="1" si="4"/>
        <v>135</v>
      </c>
      <c r="P18" s="63">
        <f t="shared" ca="1" si="5"/>
        <v>2.0769230769230771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0.6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0.5</v>
      </c>
      <c r="X18" s="47">
        <f t="shared" ca="1" si="13"/>
        <v>14900</v>
      </c>
      <c r="Y18" s="47">
        <f t="shared" ca="1" si="14"/>
        <v>229.23076923076923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239000</v>
      </c>
      <c r="AD18" s="63">
        <f t="shared" ca="1" si="19"/>
        <v>3676.9230769230767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17.5</v>
      </c>
      <c r="AX18" s="2" t="s">
        <v>219</v>
      </c>
      <c r="AY18" s="130">
        <v>37</v>
      </c>
      <c r="AZ18" s="2">
        <v>18.5</v>
      </c>
      <c r="BA18" s="2">
        <v>42</v>
      </c>
      <c r="BB18" s="2">
        <v>63</v>
      </c>
      <c r="BC18" s="2">
        <v>3</v>
      </c>
      <c r="BD18" s="2">
        <v>1.4</v>
      </c>
      <c r="BE18" s="2">
        <v>3.3</v>
      </c>
      <c r="BF18" s="2">
        <v>3.9</v>
      </c>
      <c r="BG18" s="2">
        <v>4.5</v>
      </c>
      <c r="BH18" s="2">
        <v>6.6</v>
      </c>
      <c r="BI18" s="2">
        <v>24</v>
      </c>
      <c r="BJ18" s="2">
        <v>126</v>
      </c>
      <c r="BK18" s="2">
        <v>178</v>
      </c>
      <c r="BL18" s="2">
        <v>233</v>
      </c>
      <c r="BM18" s="2">
        <v>370</v>
      </c>
      <c r="BN18" s="2"/>
      <c r="BO18" s="2"/>
      <c r="BP18" s="2"/>
      <c r="BQ18" s="2"/>
      <c r="BR18" s="2"/>
      <c r="BS18" s="2"/>
      <c r="BT18" s="2">
        <v>17</v>
      </c>
      <c r="BU18" s="2">
        <v>81</v>
      </c>
      <c r="BV18" s="2">
        <v>179</v>
      </c>
      <c r="BW18" s="2">
        <v>280</v>
      </c>
      <c r="BX18" s="2">
        <v>511</v>
      </c>
      <c r="BY18" s="2">
        <v>20.3</v>
      </c>
      <c r="BZ18" s="2">
        <v>9.8000000000000007</v>
      </c>
      <c r="CA18" s="2">
        <v>3</v>
      </c>
      <c r="CB18" s="2">
        <v>6.5786750084603201E-10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19</v>
      </c>
      <c r="AX19" s="2" t="s">
        <v>219</v>
      </c>
      <c r="AY19" s="130">
        <v>37</v>
      </c>
      <c r="AZ19" s="2">
        <v>18.5</v>
      </c>
      <c r="BA19" s="2">
        <v>42</v>
      </c>
      <c r="BB19" s="2">
        <v>63</v>
      </c>
      <c r="BC19" s="2">
        <v>3</v>
      </c>
      <c r="BD19" s="2">
        <v>5</v>
      </c>
      <c r="BE19" s="2">
        <v>6.9</v>
      </c>
      <c r="BF19" s="2">
        <v>7.5</v>
      </c>
      <c r="BG19" s="2">
        <v>8.1</v>
      </c>
      <c r="BH19" s="2">
        <v>10.199999999999999</v>
      </c>
      <c r="BI19" s="2">
        <v>201</v>
      </c>
      <c r="BJ19" s="2">
        <v>303</v>
      </c>
      <c r="BK19" s="2">
        <v>355</v>
      </c>
      <c r="BL19" s="2">
        <v>409</v>
      </c>
      <c r="BM19" s="2">
        <v>546</v>
      </c>
      <c r="BN19" s="2"/>
      <c r="BO19" s="2"/>
      <c r="BP19" s="2"/>
      <c r="BQ19" s="2"/>
      <c r="BR19" s="2"/>
      <c r="BS19" s="2"/>
      <c r="BT19" s="2">
        <v>251</v>
      </c>
      <c r="BU19" s="2">
        <v>315</v>
      </c>
      <c r="BV19" s="2">
        <v>413</v>
      </c>
      <c r="BW19" s="2">
        <v>514</v>
      </c>
      <c r="BX19" s="2">
        <v>746</v>
      </c>
      <c r="BY19" s="2">
        <v>20.3</v>
      </c>
      <c r="BZ19" s="2">
        <v>9.8000000000000007</v>
      </c>
      <c r="CA19" s="2">
        <v>3</v>
      </c>
      <c r="CB19" s="2">
        <v>6.5786750084603201E-10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19</v>
      </c>
      <c r="AX20" s="2" t="s">
        <v>220</v>
      </c>
      <c r="AY20" s="130">
        <v>29.5</v>
      </c>
      <c r="AZ20" s="2">
        <v>18.8</v>
      </c>
      <c r="BA20" s="2">
        <v>48</v>
      </c>
      <c r="BB20" s="2">
        <v>77</v>
      </c>
      <c r="BC20" s="2">
        <v>3</v>
      </c>
      <c r="BD20" s="2">
        <v>2.2999999999999998</v>
      </c>
      <c r="BE20" s="2">
        <v>8.8000000000000007</v>
      </c>
      <c r="BF20" s="2">
        <v>10.3</v>
      </c>
      <c r="BG20" s="2">
        <v>12.1</v>
      </c>
      <c r="BH20" s="2">
        <v>19.899999999999999</v>
      </c>
      <c r="BI20" s="2">
        <v>77</v>
      </c>
      <c r="BJ20" s="2">
        <v>411</v>
      </c>
      <c r="BK20" s="2">
        <v>496</v>
      </c>
      <c r="BL20" s="2">
        <v>595</v>
      </c>
      <c r="BM20" s="2">
        <v>992</v>
      </c>
      <c r="BN20" s="2"/>
      <c r="BO20" s="2"/>
      <c r="BP20" s="2"/>
      <c r="BQ20" s="2"/>
      <c r="BR20" s="2"/>
      <c r="BS20" s="2"/>
      <c r="BT20" s="2">
        <v>19</v>
      </c>
      <c r="BU20" s="2">
        <v>442</v>
      </c>
      <c r="BV20" s="2">
        <v>584</v>
      </c>
      <c r="BW20" s="2">
        <v>755</v>
      </c>
      <c r="BX20" s="2">
        <v>1417</v>
      </c>
      <c r="BY20" s="2">
        <v>48.4</v>
      </c>
      <c r="BZ20" s="2">
        <v>20.8</v>
      </c>
      <c r="CA20" s="2">
        <v>3</v>
      </c>
      <c r="CB20" s="2">
        <v>6.8318374081021397E-9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21</v>
      </c>
      <c r="AX21" s="2" t="s">
        <v>220</v>
      </c>
      <c r="AY21" s="130">
        <v>29.5</v>
      </c>
      <c r="AZ21" s="2">
        <v>18.8</v>
      </c>
      <c r="BA21" s="2">
        <v>48</v>
      </c>
      <c r="BB21" s="2">
        <v>77</v>
      </c>
      <c r="BC21" s="2">
        <v>3</v>
      </c>
      <c r="BD21" s="2">
        <v>6.8</v>
      </c>
      <c r="BE21" s="2">
        <v>13.3</v>
      </c>
      <c r="BF21" s="2">
        <v>14.8</v>
      </c>
      <c r="BG21" s="2">
        <v>16.7</v>
      </c>
      <c r="BH21" s="2">
        <v>24.4</v>
      </c>
      <c r="BI21" s="2">
        <v>304</v>
      </c>
      <c r="BJ21" s="2">
        <v>637</v>
      </c>
      <c r="BK21" s="2">
        <v>723</v>
      </c>
      <c r="BL21" s="2">
        <v>822</v>
      </c>
      <c r="BM21" s="2">
        <v>1219</v>
      </c>
      <c r="BN21" s="2"/>
      <c r="BO21" s="2"/>
      <c r="BP21" s="2"/>
      <c r="BQ21" s="2"/>
      <c r="BR21" s="2"/>
      <c r="BS21" s="2"/>
      <c r="BT21" s="2">
        <v>446</v>
      </c>
      <c r="BU21" s="2">
        <v>870</v>
      </c>
      <c r="BV21" s="2">
        <v>1012</v>
      </c>
      <c r="BW21" s="2">
        <v>1183</v>
      </c>
      <c r="BX21" s="2">
        <v>1845</v>
      </c>
      <c r="BY21" s="2">
        <v>48.4</v>
      </c>
      <c r="BZ21" s="2">
        <v>20.8</v>
      </c>
      <c r="CA21" s="2">
        <v>3</v>
      </c>
      <c r="CB21" s="2">
        <v>6.8318374081021397E-9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21</v>
      </c>
      <c r="AX22" s="2" t="s">
        <v>220</v>
      </c>
      <c r="AY22" s="130">
        <v>29.5</v>
      </c>
      <c r="AZ22" s="2">
        <v>18.8</v>
      </c>
      <c r="BA22" s="2">
        <v>48</v>
      </c>
      <c r="BB22" s="2">
        <v>77</v>
      </c>
      <c r="BC22" s="2">
        <v>3</v>
      </c>
      <c r="BD22" s="2">
        <v>13.3</v>
      </c>
      <c r="BE22" s="2">
        <v>16</v>
      </c>
      <c r="BF22" s="2">
        <v>16.7</v>
      </c>
      <c r="BG22" s="2">
        <v>18</v>
      </c>
      <c r="BH22" s="2">
        <v>23.3</v>
      </c>
      <c r="BI22" s="2">
        <v>617</v>
      </c>
      <c r="BJ22" s="2">
        <v>759</v>
      </c>
      <c r="BK22" s="2">
        <v>813</v>
      </c>
      <c r="BL22" s="2">
        <v>890</v>
      </c>
      <c r="BM22" s="2">
        <v>1171</v>
      </c>
      <c r="BN22" s="2"/>
      <c r="BO22" s="2"/>
      <c r="BP22" s="2"/>
      <c r="BQ22" s="2"/>
      <c r="BR22" s="2"/>
      <c r="BS22" s="2"/>
      <c r="BT22" s="2">
        <v>887</v>
      </c>
      <c r="BU22" s="2">
        <v>1009</v>
      </c>
      <c r="BV22" s="2">
        <v>1109</v>
      </c>
      <c r="BW22" s="2">
        <v>1252</v>
      </c>
      <c r="BX22" s="2">
        <v>1758</v>
      </c>
      <c r="BY22" s="2">
        <v>39.9</v>
      </c>
      <c r="BZ22" s="2">
        <v>15.7</v>
      </c>
      <c r="CA22" s="2">
        <v>3</v>
      </c>
      <c r="CB22" s="2">
        <v>5.1590339626896497E-9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23</v>
      </c>
      <c r="AX23" s="2" t="s">
        <v>220</v>
      </c>
      <c r="AY23" s="130">
        <v>29.5</v>
      </c>
      <c r="AZ23" s="2">
        <v>18.8</v>
      </c>
      <c r="BA23" s="2">
        <v>48</v>
      </c>
      <c r="BB23" s="2">
        <v>77</v>
      </c>
      <c r="BC23" s="2">
        <v>3</v>
      </c>
      <c r="BD23" s="2">
        <v>1.6</v>
      </c>
      <c r="BE23" s="2">
        <v>4.3</v>
      </c>
      <c r="BF23" s="2">
        <v>5</v>
      </c>
      <c r="BG23" s="2">
        <v>6.3</v>
      </c>
      <c r="BH23" s="2">
        <v>11.7</v>
      </c>
      <c r="BI23" s="2">
        <v>32</v>
      </c>
      <c r="BJ23" s="2">
        <v>173</v>
      </c>
      <c r="BK23" s="2">
        <v>227</v>
      </c>
      <c r="BL23" s="2">
        <v>305</v>
      </c>
      <c r="BM23" s="2">
        <v>586</v>
      </c>
      <c r="BN23" s="2"/>
      <c r="BO23" s="2"/>
      <c r="BP23" s="2"/>
      <c r="BQ23" s="2"/>
      <c r="BR23" s="2"/>
      <c r="BS23" s="2"/>
      <c r="BT23" s="2">
        <v>22</v>
      </c>
      <c r="BU23" s="2">
        <v>144</v>
      </c>
      <c r="BV23" s="2">
        <v>244</v>
      </c>
      <c r="BW23" s="2">
        <v>387</v>
      </c>
      <c r="BX23" s="2">
        <v>893</v>
      </c>
      <c r="BY23" s="2">
        <v>39.9</v>
      </c>
      <c r="BZ23" s="2">
        <v>15.7</v>
      </c>
      <c r="CA23" s="2">
        <v>3</v>
      </c>
      <c r="CB23" s="2">
        <v>5.1590339626896497E-9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23</v>
      </c>
      <c r="AX24" s="2" t="s">
        <v>220</v>
      </c>
      <c r="AY24" s="130">
        <v>29.5</v>
      </c>
      <c r="AZ24" s="2">
        <v>18.8</v>
      </c>
      <c r="BA24" s="2">
        <v>48</v>
      </c>
      <c r="BB24" s="2">
        <v>77</v>
      </c>
      <c r="BC24" s="2">
        <v>3</v>
      </c>
      <c r="BD24" s="2">
        <f>4.5-3</f>
        <v>1.5</v>
      </c>
      <c r="BE24" s="2">
        <f>5.3-1</f>
        <v>4.3</v>
      </c>
      <c r="BF24" s="2">
        <v>5.5</v>
      </c>
      <c r="BG24" s="2">
        <f>5.8+1</f>
        <v>6.8</v>
      </c>
      <c r="BH24" s="2">
        <f>7+10</f>
        <v>17</v>
      </c>
      <c r="BI24" s="2">
        <v>108</v>
      </c>
      <c r="BJ24" s="2">
        <v>208</v>
      </c>
      <c r="BK24" s="2">
        <v>255</v>
      </c>
      <c r="BL24" s="2">
        <v>303</v>
      </c>
      <c r="BM24" s="2">
        <v>410</v>
      </c>
      <c r="BN24" s="2"/>
      <c r="BO24" s="2"/>
      <c r="BP24" s="2"/>
      <c r="BQ24" s="2"/>
      <c r="BR24" s="2"/>
      <c r="BS24" s="2"/>
      <c r="BT24" s="2">
        <v>23</v>
      </c>
      <c r="BU24" s="2">
        <v>194</v>
      </c>
      <c r="BV24" s="2">
        <v>288</v>
      </c>
      <c r="BW24" s="2">
        <v>383</v>
      </c>
      <c r="BX24" s="2">
        <v>586</v>
      </c>
      <c r="BY24" s="2">
        <v>23.7</v>
      </c>
      <c r="BZ24" s="2">
        <v>8.4</v>
      </c>
      <c r="CA24" s="2">
        <v>3</v>
      </c>
      <c r="CB24" s="2">
        <v>5.1869084673217104E-10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35</v>
      </c>
      <c r="AX25" s="2" t="s">
        <v>220</v>
      </c>
      <c r="AY25" s="130">
        <v>29.5</v>
      </c>
      <c r="AZ25" s="2">
        <v>18.8</v>
      </c>
      <c r="BA25" s="2">
        <v>48</v>
      </c>
      <c r="BB25" s="2">
        <v>77</v>
      </c>
      <c r="BC25" s="2">
        <v>3</v>
      </c>
      <c r="BD25" s="2">
        <f>7-3</f>
        <v>4</v>
      </c>
      <c r="BE25" s="2">
        <f>7.9-1</f>
        <v>6.9</v>
      </c>
      <c r="BF25" s="2">
        <v>8.1</v>
      </c>
      <c r="BG25" s="2">
        <f>8.3+1</f>
        <v>9.3000000000000007</v>
      </c>
      <c r="BH25" s="2">
        <f>9.5+10</f>
        <v>19.5</v>
      </c>
      <c r="BI25" s="2">
        <v>233</v>
      </c>
      <c r="BJ25" s="2">
        <v>333</v>
      </c>
      <c r="BK25" s="2">
        <v>379</v>
      </c>
      <c r="BL25" s="2">
        <v>427</v>
      </c>
      <c r="BM25" s="2">
        <v>534</v>
      </c>
      <c r="BN25" s="2"/>
      <c r="BO25" s="2"/>
      <c r="BP25" s="2"/>
      <c r="BQ25" s="2"/>
      <c r="BR25" s="2"/>
      <c r="BS25" s="2"/>
      <c r="BT25" s="2">
        <v>204</v>
      </c>
      <c r="BU25" s="2">
        <v>375</v>
      </c>
      <c r="BV25" s="2">
        <v>469</v>
      </c>
      <c r="BW25" s="2">
        <v>564</v>
      </c>
      <c r="BX25" s="2">
        <v>767</v>
      </c>
      <c r="BY25" s="2">
        <v>23.7</v>
      </c>
      <c r="BZ25" s="2">
        <v>8.4</v>
      </c>
      <c r="CA25" s="2">
        <v>3</v>
      </c>
      <c r="CB25" s="2">
        <v>5.1869084673217104E-10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35</v>
      </c>
      <c r="AX26" s="2" t="s">
        <v>221</v>
      </c>
      <c r="AY26" s="130">
        <v>36.1</v>
      </c>
      <c r="AZ26" s="2">
        <v>18.5</v>
      </c>
      <c r="BA26" s="2">
        <v>21</v>
      </c>
      <c r="BB26" s="2">
        <v>72</v>
      </c>
      <c r="BC26" s="2">
        <v>3</v>
      </c>
      <c r="BD26" s="2">
        <v>1.3</v>
      </c>
      <c r="BE26" s="2">
        <v>3.4</v>
      </c>
      <c r="BF26" s="2">
        <v>6</v>
      </c>
      <c r="BG26" s="2">
        <v>7.5</v>
      </c>
      <c r="BH26" s="2">
        <v>23.1</v>
      </c>
      <c r="BI26" s="2">
        <v>49</v>
      </c>
      <c r="BJ26" s="2">
        <v>74</v>
      </c>
      <c r="BK26" s="2">
        <v>90</v>
      </c>
      <c r="BL26" s="2">
        <v>108</v>
      </c>
      <c r="BM26" s="2">
        <v>142</v>
      </c>
      <c r="BN26" s="2"/>
      <c r="BO26" s="2"/>
      <c r="BP26" s="2"/>
      <c r="BQ26" s="2"/>
      <c r="BR26" s="2"/>
      <c r="BS26" s="2"/>
      <c r="BT26" s="2">
        <v>35</v>
      </c>
      <c r="BU26" s="2">
        <v>64</v>
      </c>
      <c r="BV26" s="2">
        <v>104</v>
      </c>
      <c r="BW26" s="2">
        <v>144</v>
      </c>
      <c r="BX26" s="2">
        <v>223</v>
      </c>
      <c r="BY26" s="2">
        <v>7.9</v>
      </c>
      <c r="BZ26" s="2">
        <v>1.8</v>
      </c>
      <c r="CA26" s="2">
        <v>0.6</v>
      </c>
      <c r="CB26" s="2">
        <v>1.3179236935052201E-13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41</v>
      </c>
      <c r="AX27" s="2" t="s">
        <v>221</v>
      </c>
      <c r="AY27" s="130">
        <v>36.1</v>
      </c>
      <c r="AZ27" s="2">
        <v>18.5</v>
      </c>
      <c r="BA27" s="2">
        <v>21</v>
      </c>
      <c r="BB27" s="2">
        <v>72</v>
      </c>
      <c r="BC27" s="2">
        <v>3</v>
      </c>
      <c r="BD27" s="2">
        <v>1.6</v>
      </c>
      <c r="BE27" s="2">
        <v>3.7</v>
      </c>
      <c r="BF27" s="2">
        <v>6.1</v>
      </c>
      <c r="BG27" s="2">
        <v>7.9</v>
      </c>
      <c r="BH27" s="2">
        <v>23.4</v>
      </c>
      <c r="BI27" s="2">
        <v>61</v>
      </c>
      <c r="BJ27" s="2">
        <v>86</v>
      </c>
      <c r="BK27" s="2">
        <v>103</v>
      </c>
      <c r="BL27" s="2">
        <v>121</v>
      </c>
      <c r="BM27" s="2">
        <v>155</v>
      </c>
      <c r="BN27" s="2"/>
      <c r="BO27" s="2"/>
      <c r="BP27" s="2"/>
      <c r="BQ27" s="2"/>
      <c r="BR27" s="2"/>
      <c r="BS27" s="2"/>
      <c r="BT27" s="2">
        <v>53</v>
      </c>
      <c r="BU27" s="2">
        <v>83</v>
      </c>
      <c r="BV27" s="2">
        <v>123</v>
      </c>
      <c r="BW27" s="2">
        <v>163</v>
      </c>
      <c r="BX27" s="2">
        <v>241</v>
      </c>
      <c r="BY27" s="2">
        <v>7.9</v>
      </c>
      <c r="BZ27" s="2">
        <v>1.8</v>
      </c>
      <c r="CA27" s="2">
        <v>0.6</v>
      </c>
      <c r="CB27" s="2">
        <v>1.3179236935052201E-13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41</v>
      </c>
      <c r="AX28" s="2" t="s">
        <v>310</v>
      </c>
      <c r="AY28" s="130">
        <v>34.1</v>
      </c>
      <c r="AZ28" s="2">
        <v>18.7</v>
      </c>
      <c r="BA28" s="2">
        <v>53</v>
      </c>
      <c r="BB28" s="2">
        <v>52</v>
      </c>
      <c r="BC28" s="2">
        <v>3</v>
      </c>
      <c r="BD28" s="2">
        <v>1.5</v>
      </c>
      <c r="BE28" s="2">
        <v>8.8000000000000007</v>
      </c>
      <c r="BF28" s="2">
        <v>10.8</v>
      </c>
      <c r="BG28" s="2">
        <v>25.5</v>
      </c>
      <c r="BH28" s="2">
        <v>71.2</v>
      </c>
      <c r="BI28" s="2">
        <v>421</v>
      </c>
      <c r="BJ28" s="2">
        <v>507</v>
      </c>
      <c r="BK28" s="2">
        <v>550</v>
      </c>
      <c r="BL28" s="2">
        <v>594</v>
      </c>
      <c r="BM28" s="2">
        <v>680</v>
      </c>
      <c r="BN28" s="2"/>
      <c r="BO28" s="2"/>
      <c r="BP28" s="2"/>
      <c r="BQ28" s="2"/>
      <c r="BR28" s="2"/>
      <c r="BS28" s="2"/>
      <c r="BT28" s="2">
        <v>485</v>
      </c>
      <c r="BU28" s="2">
        <v>657</v>
      </c>
      <c r="BV28" s="2">
        <v>744</v>
      </c>
      <c r="BW28" s="2">
        <v>831</v>
      </c>
      <c r="BX28" s="2">
        <v>1002</v>
      </c>
      <c r="BY28" s="2">
        <v>45.9</v>
      </c>
      <c r="BZ28" s="2">
        <v>7.5</v>
      </c>
      <c r="CA28" s="2">
        <v>2.6</v>
      </c>
      <c r="CB28" s="2">
        <v>2.1637760718692099E-12</v>
      </c>
      <c r="CC28" s="2">
        <v>1.8</v>
      </c>
    </row>
    <row r="29" spans="1:81" x14ac:dyDescent="0.25">
      <c r="A29" s="66"/>
      <c r="B29" s="66"/>
      <c r="C29" s="67"/>
      <c r="D29" s="35"/>
      <c r="AW29" s="2">
        <v>65</v>
      </c>
      <c r="AX29" s="2" t="s">
        <v>310</v>
      </c>
      <c r="AY29" s="130">
        <v>34.1</v>
      </c>
      <c r="AZ29" s="2">
        <v>18.7</v>
      </c>
      <c r="BA29" s="2">
        <v>53</v>
      </c>
      <c r="BB29" s="2">
        <v>52</v>
      </c>
      <c r="BC29" s="2">
        <v>3</v>
      </c>
      <c r="BD29" s="2">
        <v>3.8</v>
      </c>
      <c r="BE29" s="2">
        <v>11.1</v>
      </c>
      <c r="BF29" s="2">
        <v>13.1</v>
      </c>
      <c r="BG29" s="2">
        <v>27.9</v>
      </c>
      <c r="BH29" s="2">
        <v>73.599999999999994</v>
      </c>
      <c r="BI29" s="2">
        <v>465</v>
      </c>
      <c r="BJ29" s="2">
        <v>551</v>
      </c>
      <c r="BK29" s="2">
        <v>594</v>
      </c>
      <c r="BL29" s="2">
        <v>638</v>
      </c>
      <c r="BM29" s="2">
        <v>724</v>
      </c>
      <c r="BN29" s="2"/>
      <c r="BO29" s="2"/>
      <c r="BP29" s="2"/>
      <c r="BQ29" s="2"/>
      <c r="BR29" s="2"/>
      <c r="BS29" s="2"/>
      <c r="BT29" s="2">
        <v>590</v>
      </c>
      <c r="BU29" s="2">
        <v>762</v>
      </c>
      <c r="BV29" s="2">
        <v>849</v>
      </c>
      <c r="BW29" s="2">
        <v>935</v>
      </c>
      <c r="BX29" s="2">
        <v>1107</v>
      </c>
      <c r="BY29" s="2">
        <v>45.9</v>
      </c>
      <c r="BZ29" s="2">
        <v>7.5</v>
      </c>
      <c r="CA29" s="2">
        <v>2.6</v>
      </c>
      <c r="CB29" s="2">
        <v>2.1637760718692099E-12</v>
      </c>
      <c r="CC29" s="2">
        <v>1.8</v>
      </c>
    </row>
    <row r="30" spans="1:81" x14ac:dyDescent="0.25">
      <c r="A30" s="66"/>
      <c r="B30" s="66"/>
      <c r="C30" s="67"/>
      <c r="D30" s="35"/>
      <c r="AW30" s="2">
        <v>65</v>
      </c>
      <c r="AX30" s="2" t="s">
        <v>318</v>
      </c>
      <c r="AY30" s="130">
        <v>28.8</v>
      </c>
      <c r="AZ30" s="2">
        <v>19.7</v>
      </c>
      <c r="BA30" s="2">
        <v>47</v>
      </c>
      <c r="BB30" s="2">
        <v>53</v>
      </c>
      <c r="BC30" s="2">
        <v>3</v>
      </c>
      <c r="BD30" s="2">
        <v>2.4</v>
      </c>
      <c r="BE30" s="2">
        <v>3</v>
      </c>
      <c r="BF30" s="2">
        <v>4.5999999999999996</v>
      </c>
      <c r="BG30" s="2">
        <v>10.6</v>
      </c>
      <c r="BH30" s="2">
        <v>29.2</v>
      </c>
      <c r="BI30" s="2">
        <v>91</v>
      </c>
      <c r="BJ30" s="2">
        <v>135</v>
      </c>
      <c r="BK30" s="2">
        <v>167</v>
      </c>
      <c r="BL30" s="2">
        <v>200</v>
      </c>
      <c r="BM30" s="2">
        <v>264</v>
      </c>
      <c r="BN30" s="2"/>
      <c r="BO30" s="2"/>
      <c r="BP30" s="2"/>
      <c r="BQ30" s="2"/>
      <c r="BR30" s="2"/>
      <c r="BS30" s="2"/>
      <c r="BT30" s="2">
        <v>65</v>
      </c>
      <c r="BU30" s="2">
        <v>153</v>
      </c>
      <c r="BV30" s="2">
        <v>239</v>
      </c>
      <c r="BW30" s="2">
        <v>326</v>
      </c>
      <c r="BX30" s="2">
        <v>498</v>
      </c>
      <c r="BY30" s="2">
        <v>14.9</v>
      </c>
      <c r="BZ30" s="2">
        <v>1.8</v>
      </c>
      <c r="CA30" s="2">
        <v>0.6</v>
      </c>
      <c r="CB30" s="2">
        <v>1.7270681567126199E-13</v>
      </c>
      <c r="CC30" s="2">
        <v>1.8</v>
      </c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713" priority="12">
      <formula>$L32="API sand"</formula>
    </cfRule>
  </conditionalFormatting>
  <conditionalFormatting sqref="R32:S36 AB32:AB35 AJ32:AL36 Z32:Z36 N32:N36">
    <cfRule type="expression" dxfId="2712" priority="11">
      <formula>$M32="API sand"</formula>
    </cfRule>
  </conditionalFormatting>
  <conditionalFormatting sqref="R32:T36 Z32:AB35 AK32:AL36 N32:N36">
    <cfRule type="expression" dxfId="2711" priority="10">
      <formula>$M32="API clay"</formula>
    </cfRule>
  </conditionalFormatting>
  <conditionalFormatting sqref="U32:W36 AM32:AP36 N32:P36">
    <cfRule type="expression" dxfId="2710" priority="7">
      <formula>$L32="Stiff clay w/o free water"</formula>
    </cfRule>
    <cfRule type="expression" dxfId="2709" priority="9">
      <formula>$L32="API clay"</formula>
    </cfRule>
  </conditionalFormatting>
  <conditionalFormatting sqref="U32:Y36 AM32:AP36 N32:P36">
    <cfRule type="expression" dxfId="2708" priority="8">
      <formula>$L32="Kirsch soft clay"</formula>
    </cfRule>
  </conditionalFormatting>
  <conditionalFormatting sqref="U32:Y36 AM32:AP36 N32:P36">
    <cfRule type="expression" dxfId="2707" priority="6">
      <formula>$L32="Kirsch stiff clay"</formula>
    </cfRule>
  </conditionalFormatting>
  <conditionalFormatting sqref="AM32:AP36 Q32:Q36 X32:Y36 N32:N36">
    <cfRule type="expression" dxfId="2706" priority="5">
      <formula>$L32="Kirsch sand"</formula>
    </cfRule>
  </conditionalFormatting>
  <conditionalFormatting sqref="AC32:AD36 AI32:AI36 AM32:AP36 N32:N36">
    <cfRule type="expression" dxfId="2705" priority="4">
      <formula>$L32="Modified Weak rock"</formula>
    </cfRule>
  </conditionalFormatting>
  <conditionalFormatting sqref="AM32:AP36 N32:P36 U32:V36">
    <cfRule type="expression" dxfId="2704" priority="3">
      <formula>$L32="Reese stiff clay"</formula>
    </cfRule>
  </conditionalFormatting>
  <conditionalFormatting sqref="AB36">
    <cfRule type="expression" dxfId="2703" priority="2">
      <formula>$M36="API sand"</formula>
    </cfRule>
  </conditionalFormatting>
  <conditionalFormatting sqref="Z36:AB36">
    <cfRule type="expression" dxfId="2702" priority="1">
      <formula>$M36="API clay"</formula>
    </cfRule>
  </conditionalFormatting>
  <conditionalFormatting sqref="AE37:AH37">
    <cfRule type="expression" dxfId="2701" priority="13">
      <formula>#REF!="Modified Weak rock"</formula>
    </cfRule>
  </conditionalFormatting>
  <dataValidations count="4">
    <dataValidation type="list" showInputMessage="1" showErrorMessage="1" sqref="M32:M36" xr:uid="{543CDAC3-8D7C-4DCD-8B32-E1C1916D5FCF}">
      <formula1>"',API sand,API clay"</formula1>
    </dataValidation>
    <dataValidation type="list" showInputMessage="1" showErrorMessage="1" sqref="L32:L255" xr:uid="{C9351B79-2803-4573-AB70-809FAF618AB5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F32AD7E7-5F0F-4961-9E58-F0E544FD54BF}"/>
    <dataValidation type="textLength" showInputMessage="1" showErrorMessage="1" sqref="M27:M31" xr:uid="{F8C033FA-15D3-4C9B-B4CB-B5082EE1A77D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EBBE2-1A2A-4B86-8FCA-379E24615C52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Ak_Pisa_WTG10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EW_sand_Ruled_56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32</v>
      </c>
      <c r="R6" s="47">
        <f t="shared" ref="R6:R26" ca="1" si="7">IF(I6="","",IF(Q6&lt;&gt;0,Q6-5,NA()))</f>
        <v>27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3000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86.999999999999972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6720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26250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28.000000000000007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56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</v>
      </c>
      <c r="BF6" s="2">
        <v>0.5</v>
      </c>
      <c r="BG6" s="2">
        <v>1</v>
      </c>
      <c r="BH6" s="2">
        <v>2.2999999999999998</v>
      </c>
      <c r="BI6" s="2"/>
      <c r="BJ6" s="2"/>
      <c r="BK6" s="2"/>
      <c r="BL6" s="2"/>
      <c r="BM6" s="2"/>
      <c r="BN6" s="2">
        <v>56</v>
      </c>
      <c r="BO6" s="2">
        <v>23</v>
      </c>
      <c r="BP6" s="2">
        <v>32</v>
      </c>
      <c r="BQ6" s="2">
        <v>35</v>
      </c>
      <c r="BR6" s="2">
        <v>38</v>
      </c>
      <c r="BS6" s="2">
        <v>47</v>
      </c>
      <c r="BT6" s="2">
        <v>0</v>
      </c>
      <c r="BU6" s="2">
        <v>0</v>
      </c>
      <c r="BV6" s="2">
        <v>5</v>
      </c>
      <c r="BW6" s="2">
        <v>9</v>
      </c>
      <c r="BX6" s="2">
        <v>18</v>
      </c>
      <c r="BY6" s="2">
        <v>3</v>
      </c>
      <c r="BZ6" s="2">
        <v>1</v>
      </c>
      <c r="CA6" s="2">
        <v>0.5</v>
      </c>
      <c r="CB6" s="2">
        <v>3.4481347991217698E-7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21c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-0.8</v>
      </c>
      <c r="L7" s="116" t="str">
        <f t="shared" ca="1" si="1"/>
        <v>Cowden Clay</v>
      </c>
      <c r="M7" s="105" t="str">
        <f t="shared" ca="1" si="2"/>
        <v>API clay</v>
      </c>
      <c r="N7" s="47">
        <f t="shared" ca="1" si="3"/>
        <v>9.3000000000000007</v>
      </c>
      <c r="O7" s="63">
        <f t="shared" ca="1" si="4"/>
        <v>16</v>
      </c>
      <c r="P7" s="63">
        <f t="shared" ca="1" si="5"/>
        <v>17.857142857142854</v>
      </c>
      <c r="Q7" s="47">
        <f t="shared" ca="1" si="6"/>
        <v>0</v>
      </c>
      <c r="R7" s="47" t="e">
        <f t="shared" ca="1" si="7"/>
        <v>#N/A</v>
      </c>
      <c r="S7" s="47">
        <f t="shared" ca="1" si="8"/>
        <v>3</v>
      </c>
      <c r="T7" s="47">
        <f t="shared" ca="1" si="9"/>
        <v>0</v>
      </c>
      <c r="U7" s="75">
        <f t="shared" ca="1" si="10"/>
        <v>1.7999999999999999E-2</v>
      </c>
      <c r="V7" s="75">
        <f t="shared" ca="1" si="11"/>
        <v>0</v>
      </c>
      <c r="W7" s="47">
        <f t="shared" ca="1" si="12"/>
        <v>0.5</v>
      </c>
      <c r="X7" s="47">
        <f t="shared" ca="1" si="13"/>
        <v>2600</v>
      </c>
      <c r="Y7" s="47">
        <f t="shared" ca="1" si="14"/>
        <v>0</v>
      </c>
      <c r="Z7" s="47" t="e">
        <f t="shared" ca="1" si="15"/>
        <v>#N/A</v>
      </c>
      <c r="AA7" s="47">
        <f t="shared" ca="1" si="16"/>
        <v>1</v>
      </c>
      <c r="AB7" s="47" t="e">
        <f t="shared" ca="1" si="17"/>
        <v>#N/A</v>
      </c>
      <c r="AC7" s="63">
        <f t="shared" ca="1" si="18"/>
        <v>14000</v>
      </c>
      <c r="AD7" s="63">
        <f t="shared" ca="1" si="19"/>
        <v>12142.857142857143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 t="e">
        <f t="shared" ca="1" si="25"/>
        <v>#N/A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0</v>
      </c>
      <c r="AS7" s="33">
        <f t="shared" ca="1" si="34"/>
        <v>0.4</v>
      </c>
      <c r="AW7" s="2">
        <v>0.8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0.8</v>
      </c>
      <c r="BE7" s="2">
        <v>2.2999999999999998</v>
      </c>
      <c r="BF7" s="2">
        <v>2.8</v>
      </c>
      <c r="BG7" s="2">
        <v>3.3</v>
      </c>
      <c r="BH7" s="2">
        <v>4.5999999999999996</v>
      </c>
      <c r="BI7" s="2"/>
      <c r="BJ7" s="2"/>
      <c r="BK7" s="2"/>
      <c r="BL7" s="2"/>
      <c r="BM7" s="2"/>
      <c r="BN7" s="2">
        <v>56</v>
      </c>
      <c r="BO7" s="2">
        <v>23</v>
      </c>
      <c r="BP7" s="2">
        <v>32</v>
      </c>
      <c r="BQ7" s="2">
        <v>35</v>
      </c>
      <c r="BR7" s="2">
        <v>38</v>
      </c>
      <c r="BS7" s="2">
        <v>47</v>
      </c>
      <c r="BT7" s="2">
        <v>13</v>
      </c>
      <c r="BU7" s="2">
        <v>22</v>
      </c>
      <c r="BV7" s="2">
        <v>26</v>
      </c>
      <c r="BW7" s="2">
        <v>30</v>
      </c>
      <c r="BX7" s="2">
        <v>39</v>
      </c>
      <c r="BY7" s="2">
        <v>3</v>
      </c>
      <c r="BZ7" s="2">
        <v>1</v>
      </c>
      <c r="CA7" s="2">
        <v>0.5</v>
      </c>
      <c r="CB7" s="2">
        <v>3.4481347991217698E-7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21d</v>
      </c>
      <c r="J8" s="47">
        <f t="shared" ca="1" si="35"/>
        <v>3</v>
      </c>
      <c r="K8" s="19">
        <f t="shared" ca="1" si="36"/>
        <v>-2.2000000000000002</v>
      </c>
      <c r="L8" s="116" t="str">
        <f t="shared" ca="1" si="1"/>
        <v>EW_sand_Ruled_57</v>
      </c>
      <c r="M8" s="105" t="str">
        <f t="shared" ca="1" si="2"/>
        <v>API sand</v>
      </c>
      <c r="N8" s="47">
        <f t="shared" ca="1" si="3"/>
        <v>10</v>
      </c>
      <c r="O8" s="63">
        <f t="shared" ca="1" si="4"/>
        <v>0</v>
      </c>
      <c r="P8" s="63">
        <f t="shared" ca="1" si="5"/>
        <v>0</v>
      </c>
      <c r="Q8" s="47">
        <f t="shared" ca="1" si="6"/>
        <v>28</v>
      </c>
      <c r="R8" s="47">
        <f t="shared" ca="1" si="7"/>
        <v>23</v>
      </c>
      <c r="S8" s="47">
        <f t="shared" ca="1" si="8"/>
        <v>2.1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12000</v>
      </c>
      <c r="Y8" s="47">
        <f t="shared" ca="1" si="14"/>
        <v>0</v>
      </c>
      <c r="Z8" s="47">
        <f t="shared" ca="1" si="15"/>
        <v>75.399999999999977</v>
      </c>
      <c r="AA8" s="47">
        <f t="shared" ca="1" si="16"/>
        <v>1</v>
      </c>
      <c r="AB8" s="47">
        <f t="shared" ca="1" si="17"/>
        <v>4040</v>
      </c>
      <c r="AC8" s="63">
        <f t="shared" ca="1" si="18"/>
        <v>48000</v>
      </c>
      <c r="AD8" s="63">
        <f t="shared" ca="1" si="19"/>
        <v>6315.7894736842109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16.800000000000004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57</v>
      </c>
      <c r="AS8" s="33">
        <f t="shared" ca="1" si="34"/>
        <v>0.4</v>
      </c>
      <c r="AW8" s="2">
        <v>0.8</v>
      </c>
      <c r="AX8" s="2" t="s">
        <v>216</v>
      </c>
      <c r="AY8" s="130">
        <v>31.7</v>
      </c>
      <c r="AZ8" s="2">
        <v>19.3</v>
      </c>
      <c r="BA8" s="2">
        <v>20</v>
      </c>
      <c r="BB8" s="2">
        <v>45</v>
      </c>
      <c r="BC8" s="2">
        <v>4</v>
      </c>
      <c r="BD8" s="2">
        <v>0.1</v>
      </c>
      <c r="BE8" s="2">
        <v>0.4</v>
      </c>
      <c r="BF8" s="2">
        <v>0.5</v>
      </c>
      <c r="BG8" s="2">
        <v>0.7</v>
      </c>
      <c r="BH8" s="2">
        <v>1.2</v>
      </c>
      <c r="BI8" s="2">
        <v>1</v>
      </c>
      <c r="BJ8" s="2">
        <v>16</v>
      </c>
      <c r="BK8" s="2">
        <v>25</v>
      </c>
      <c r="BL8" s="2">
        <v>37</v>
      </c>
      <c r="BM8" s="2">
        <v>69</v>
      </c>
      <c r="BN8" s="2"/>
      <c r="BO8" s="2"/>
      <c r="BP8" s="2"/>
      <c r="BQ8" s="2"/>
      <c r="BR8" s="2"/>
      <c r="BS8" s="2"/>
      <c r="BT8" s="2">
        <v>0</v>
      </c>
      <c r="BU8" s="2">
        <v>5</v>
      </c>
      <c r="BV8" s="2">
        <v>14</v>
      </c>
      <c r="BW8" s="2">
        <v>24</v>
      </c>
      <c r="BX8" s="2">
        <v>50</v>
      </c>
      <c r="BY8" s="2">
        <v>2.6</v>
      </c>
      <c r="BZ8" s="2">
        <v>14.3</v>
      </c>
      <c r="CA8" s="2">
        <v>3</v>
      </c>
      <c r="CB8" s="2">
        <v>1.1060836418078099E-9</v>
      </c>
      <c r="CC8" s="2">
        <v>1.8</v>
      </c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21d</v>
      </c>
      <c r="J9" s="47">
        <f t="shared" ca="1" si="35"/>
        <v>4</v>
      </c>
      <c r="K9" s="19">
        <f t="shared" ca="1" si="36"/>
        <v>-6</v>
      </c>
      <c r="L9" s="116" t="str">
        <f t="shared" ca="1" si="1"/>
        <v>EW_sand_Ruled_66</v>
      </c>
      <c r="M9" s="105" t="str">
        <f t="shared" ca="1" si="2"/>
        <v>API sand</v>
      </c>
      <c r="N9" s="47">
        <f t="shared" ca="1" si="3"/>
        <v>10</v>
      </c>
      <c r="O9" s="63">
        <f t="shared" ca="1" si="4"/>
        <v>0</v>
      </c>
      <c r="P9" s="63">
        <f t="shared" ca="1" si="5"/>
        <v>0</v>
      </c>
      <c r="Q9" s="47">
        <f t="shared" ca="1" si="6"/>
        <v>28</v>
      </c>
      <c r="R9" s="47">
        <f t="shared" ca="1" si="7"/>
        <v>23</v>
      </c>
      <c r="S9" s="47">
        <f t="shared" ca="1" si="8"/>
        <v>1.5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21100</v>
      </c>
      <c r="Y9" s="47">
        <f t="shared" ca="1" si="14"/>
        <v>0</v>
      </c>
      <c r="Z9" s="47">
        <f t="shared" ca="1" si="15"/>
        <v>75.399999999999977</v>
      </c>
      <c r="AA9" s="47">
        <f t="shared" ca="1" si="16"/>
        <v>1</v>
      </c>
      <c r="AB9" s="47">
        <f t="shared" ca="1" si="17"/>
        <v>4040</v>
      </c>
      <c r="AC9" s="63">
        <f t="shared" ca="1" si="18"/>
        <v>78000</v>
      </c>
      <c r="AD9" s="63">
        <f t="shared" ca="1" si="19"/>
        <v>0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16.800000000000004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66</v>
      </c>
      <c r="AS9" s="33">
        <f t="shared" ca="1" si="34"/>
        <v>0.4</v>
      </c>
      <c r="AW9" s="2">
        <v>2.2000000000000002</v>
      </c>
      <c r="AX9" s="2" t="s">
        <v>216</v>
      </c>
      <c r="AY9" s="130">
        <v>31.7</v>
      </c>
      <c r="AZ9" s="2">
        <v>19.3</v>
      </c>
      <c r="BA9" s="2">
        <v>20</v>
      </c>
      <c r="BB9" s="2">
        <v>45</v>
      </c>
      <c r="BC9" s="2">
        <v>4</v>
      </c>
      <c r="BD9" s="2">
        <v>0.6</v>
      </c>
      <c r="BE9" s="2">
        <v>0.8</v>
      </c>
      <c r="BF9" s="2">
        <v>0.9</v>
      </c>
      <c r="BG9" s="2">
        <v>1.1000000000000001</v>
      </c>
      <c r="BH9" s="2">
        <v>1.6</v>
      </c>
      <c r="BI9" s="2">
        <v>26</v>
      </c>
      <c r="BJ9" s="2">
        <v>41</v>
      </c>
      <c r="BK9" s="2">
        <v>50</v>
      </c>
      <c r="BL9" s="2">
        <v>62</v>
      </c>
      <c r="BM9" s="2">
        <v>95</v>
      </c>
      <c r="BN9" s="2"/>
      <c r="BO9" s="2"/>
      <c r="BP9" s="2"/>
      <c r="BQ9" s="2"/>
      <c r="BR9" s="2"/>
      <c r="BS9" s="2"/>
      <c r="BT9" s="2">
        <v>17</v>
      </c>
      <c r="BU9" s="2">
        <v>22</v>
      </c>
      <c r="BV9" s="2">
        <v>31</v>
      </c>
      <c r="BW9" s="2">
        <v>41</v>
      </c>
      <c r="BX9" s="2">
        <v>67</v>
      </c>
      <c r="BY9" s="2">
        <v>2.6</v>
      </c>
      <c r="BZ9" s="2">
        <v>14.3</v>
      </c>
      <c r="CA9" s="2">
        <v>3</v>
      </c>
      <c r="CB9" s="2">
        <v>1.1060836418078099E-9</v>
      </c>
      <c r="CC9" s="2">
        <v>1.8</v>
      </c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21d</v>
      </c>
      <c r="J10" s="47">
        <f t="shared" ca="1" si="35"/>
        <v>5</v>
      </c>
      <c r="K10" s="19">
        <f t="shared" ca="1" si="36"/>
        <v>-15.5</v>
      </c>
      <c r="L10" s="116" t="str">
        <f t="shared" ca="1" si="1"/>
        <v>EW_sand_Ruled_66</v>
      </c>
      <c r="M10" s="105" t="str">
        <f t="shared" ca="1" si="2"/>
        <v>API sand</v>
      </c>
      <c r="N10" s="47">
        <f t="shared" ca="1" si="3"/>
        <v>10</v>
      </c>
      <c r="O10" s="63">
        <f t="shared" ca="1" si="4"/>
        <v>0</v>
      </c>
      <c r="P10" s="63">
        <f t="shared" ca="1" si="5"/>
        <v>0</v>
      </c>
      <c r="Q10" s="47">
        <f t="shared" ca="1" si="6"/>
        <v>28</v>
      </c>
      <c r="R10" s="47">
        <f t="shared" ca="1" si="7"/>
        <v>23</v>
      </c>
      <c r="S10" s="47">
        <f t="shared" ca="1" si="8"/>
        <v>1.5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21100</v>
      </c>
      <c r="Y10" s="47">
        <f t="shared" ca="1" si="14"/>
        <v>0</v>
      </c>
      <c r="Z10" s="47">
        <f t="shared" ca="1" si="15"/>
        <v>75.399999999999977</v>
      </c>
      <c r="AA10" s="47">
        <f t="shared" ca="1" si="16"/>
        <v>1</v>
      </c>
      <c r="AB10" s="47">
        <f t="shared" ca="1" si="17"/>
        <v>4040</v>
      </c>
      <c r="AC10" s="63">
        <f t="shared" ca="1" si="18"/>
        <v>78000</v>
      </c>
      <c r="AD10" s="63">
        <f t="shared" ca="1" si="19"/>
        <v>28636.363636363647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16.800000000000004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66</v>
      </c>
      <c r="AS10" s="33">
        <f t="shared" ca="1" si="34"/>
        <v>0.4</v>
      </c>
      <c r="AW10" s="2">
        <v>2.2000000000000002</v>
      </c>
      <c r="AX10" s="2" t="s">
        <v>217</v>
      </c>
      <c r="AY10" s="130">
        <v>23.6</v>
      </c>
      <c r="AZ10" s="2">
        <v>20</v>
      </c>
      <c r="BA10" s="2"/>
      <c r="BB10" s="2">
        <v>18</v>
      </c>
      <c r="BC10" s="2"/>
      <c r="BD10" s="2">
        <v>1.9</v>
      </c>
      <c r="BE10" s="2">
        <v>5</v>
      </c>
      <c r="BF10" s="2">
        <v>5.5</v>
      </c>
      <c r="BG10" s="2">
        <v>6.2</v>
      </c>
      <c r="BH10" s="2">
        <v>10.5</v>
      </c>
      <c r="BI10" s="2"/>
      <c r="BJ10" s="2"/>
      <c r="BK10" s="2"/>
      <c r="BL10" s="2"/>
      <c r="BM10" s="2"/>
      <c r="BN10" s="2">
        <v>57</v>
      </c>
      <c r="BO10" s="2">
        <v>26</v>
      </c>
      <c r="BP10" s="2">
        <v>28</v>
      </c>
      <c r="BQ10" s="2">
        <v>30</v>
      </c>
      <c r="BR10" s="2">
        <v>32</v>
      </c>
      <c r="BS10" s="2">
        <v>37</v>
      </c>
      <c r="BT10" s="2">
        <v>2</v>
      </c>
      <c r="BU10" s="2">
        <v>33</v>
      </c>
      <c r="BV10" s="2">
        <v>48</v>
      </c>
      <c r="BW10" s="2">
        <v>62</v>
      </c>
      <c r="BX10" s="2">
        <v>98</v>
      </c>
      <c r="BY10" s="2">
        <v>12</v>
      </c>
      <c r="BZ10" s="2">
        <v>11</v>
      </c>
      <c r="CA10" s="2">
        <v>2.1</v>
      </c>
      <c r="CB10" s="2">
        <v>4.3266190125340299E-6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23i</v>
      </c>
      <c r="J11" s="47">
        <f t="shared" ca="1" si="35"/>
        <v>6</v>
      </c>
      <c r="K11" s="19">
        <f t="shared" ca="1" si="36"/>
        <v>-17.7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8.3000000000000007</v>
      </c>
      <c r="O11" s="63">
        <f t="shared" ca="1" si="4"/>
        <v>263</v>
      </c>
      <c r="P11" s="63">
        <f t="shared" ca="1" si="5"/>
        <v>-32.6086956521739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0.25</v>
      </c>
      <c r="X11" s="47">
        <f t="shared" ca="1" si="13"/>
        <v>21500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347000</v>
      </c>
      <c r="AD11" s="63">
        <f t="shared" ca="1" si="19"/>
        <v>-41304.347826086945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6</v>
      </c>
      <c r="AX11" s="2" t="s">
        <v>217</v>
      </c>
      <c r="AY11" s="130">
        <v>23.6</v>
      </c>
      <c r="AZ11" s="2">
        <v>20</v>
      </c>
      <c r="BA11" s="2"/>
      <c r="BB11" s="2">
        <v>18</v>
      </c>
      <c r="BC11" s="2"/>
      <c r="BD11" s="2">
        <v>5</v>
      </c>
      <c r="BE11" s="2">
        <v>8.1</v>
      </c>
      <c r="BF11" s="2">
        <v>8.6</v>
      </c>
      <c r="BG11" s="2">
        <v>9.3000000000000007</v>
      </c>
      <c r="BH11" s="2">
        <v>13.7</v>
      </c>
      <c r="BI11" s="2"/>
      <c r="BJ11" s="2"/>
      <c r="BK11" s="2"/>
      <c r="BL11" s="2"/>
      <c r="BM11" s="2"/>
      <c r="BN11" s="2">
        <v>57</v>
      </c>
      <c r="BO11" s="2">
        <v>26</v>
      </c>
      <c r="BP11" s="2">
        <v>28</v>
      </c>
      <c r="BQ11" s="2">
        <v>30</v>
      </c>
      <c r="BR11" s="2">
        <v>32</v>
      </c>
      <c r="BS11" s="2">
        <v>37</v>
      </c>
      <c r="BT11" s="2">
        <v>26</v>
      </c>
      <c r="BU11" s="2">
        <v>58</v>
      </c>
      <c r="BV11" s="2">
        <v>72</v>
      </c>
      <c r="BW11" s="2">
        <v>87</v>
      </c>
      <c r="BX11" s="2">
        <v>122</v>
      </c>
      <c r="BY11" s="2">
        <v>12</v>
      </c>
      <c r="BZ11" s="2">
        <v>11</v>
      </c>
      <c r="CA11" s="2">
        <v>2.1</v>
      </c>
      <c r="CB11" s="2">
        <v>4.3266190125340299E-6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23i</v>
      </c>
      <c r="J12" s="47">
        <f t="shared" ca="1" si="35"/>
        <v>7</v>
      </c>
      <c r="K12" s="19">
        <f t="shared" ca="1" si="36"/>
        <v>-20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8.3000000000000007</v>
      </c>
      <c r="O12" s="63">
        <f t="shared" ca="1" si="4"/>
        <v>160</v>
      </c>
      <c r="P12" s="63">
        <f t="shared" ca="1" si="5"/>
        <v>6.4444444444444446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2.4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0.5</v>
      </c>
      <c r="X12" s="47">
        <f t="shared" ca="1" si="13"/>
        <v>20800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216000</v>
      </c>
      <c r="AD12" s="63">
        <f t="shared" ca="1" si="19"/>
        <v>9055.5555555555547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6</v>
      </c>
      <c r="AX12" s="2" t="s">
        <v>217</v>
      </c>
      <c r="AY12" s="130">
        <v>23.6</v>
      </c>
      <c r="AZ12" s="2">
        <v>20</v>
      </c>
      <c r="BA12" s="2"/>
      <c r="BB12" s="2">
        <v>18</v>
      </c>
      <c r="BC12" s="2"/>
      <c r="BD12" s="2">
        <v>4.5999999999999996</v>
      </c>
      <c r="BE12" s="2">
        <v>9.8000000000000007</v>
      </c>
      <c r="BF12" s="2">
        <v>10.199999999999999</v>
      </c>
      <c r="BG12" s="2">
        <v>10.6</v>
      </c>
      <c r="BH12" s="2">
        <v>14.7</v>
      </c>
      <c r="BI12" s="2"/>
      <c r="BJ12" s="2"/>
      <c r="BK12" s="2"/>
      <c r="BL12" s="2"/>
      <c r="BM12" s="2"/>
      <c r="BN12" s="2">
        <v>66</v>
      </c>
      <c r="BO12" s="2">
        <v>26</v>
      </c>
      <c r="BP12" s="2">
        <v>28</v>
      </c>
      <c r="BQ12" s="2">
        <v>31</v>
      </c>
      <c r="BR12" s="2">
        <v>33</v>
      </c>
      <c r="BS12" s="2">
        <v>37</v>
      </c>
      <c r="BT12" s="2">
        <v>6</v>
      </c>
      <c r="BU12" s="2">
        <v>53</v>
      </c>
      <c r="BV12" s="2">
        <v>78</v>
      </c>
      <c r="BW12" s="2">
        <v>104</v>
      </c>
      <c r="BX12" s="2">
        <v>167</v>
      </c>
      <c r="BY12" s="2">
        <v>21.1</v>
      </c>
      <c r="BZ12" s="2">
        <v>6.3</v>
      </c>
      <c r="CA12" s="2">
        <v>1.5</v>
      </c>
      <c r="CB12" s="2">
        <v>1.60497762370551E-6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23k</v>
      </c>
      <c r="J13" s="47">
        <f t="shared" ca="1" si="35"/>
        <v>8</v>
      </c>
      <c r="K13" s="19">
        <f t="shared" ca="1" si="36"/>
        <v>-38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8.5</v>
      </c>
      <c r="O13" s="63">
        <f t="shared" ca="1" si="4"/>
        <v>294</v>
      </c>
      <c r="P13" s="63">
        <f t="shared" ca="1" si="5"/>
        <v>8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2.2000000000000002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27800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436000</v>
      </c>
      <c r="AD13" s="63">
        <f t="shared" ca="1" si="19"/>
        <v>2500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15.5</v>
      </c>
      <c r="AX13" s="2" t="s">
        <v>217</v>
      </c>
      <c r="AY13" s="130">
        <v>23.6</v>
      </c>
      <c r="AZ13" s="2">
        <v>20</v>
      </c>
      <c r="BA13" s="2"/>
      <c r="BB13" s="2">
        <v>18</v>
      </c>
      <c r="BC13" s="2"/>
      <c r="BD13" s="2">
        <v>16.5</v>
      </c>
      <c r="BE13" s="2">
        <v>21.7</v>
      </c>
      <c r="BF13" s="2">
        <v>22.1</v>
      </c>
      <c r="BG13" s="2">
        <v>22.5</v>
      </c>
      <c r="BH13" s="2">
        <v>26.6</v>
      </c>
      <c r="BI13" s="2"/>
      <c r="BJ13" s="2"/>
      <c r="BK13" s="2"/>
      <c r="BL13" s="2"/>
      <c r="BM13" s="2"/>
      <c r="BN13" s="2">
        <v>66</v>
      </c>
      <c r="BO13" s="2">
        <v>26</v>
      </c>
      <c r="BP13" s="2">
        <v>28</v>
      </c>
      <c r="BQ13" s="2">
        <v>31</v>
      </c>
      <c r="BR13" s="2">
        <v>33</v>
      </c>
      <c r="BS13" s="2">
        <v>37</v>
      </c>
      <c r="BT13" s="2">
        <v>6</v>
      </c>
      <c r="BU13" s="2">
        <v>53</v>
      </c>
      <c r="BV13" s="2">
        <v>78</v>
      </c>
      <c r="BW13" s="2">
        <v>104</v>
      </c>
      <c r="BX13" s="2">
        <v>167</v>
      </c>
      <c r="BY13" s="2">
        <v>21.1</v>
      </c>
      <c r="BZ13" s="2">
        <v>6.3</v>
      </c>
      <c r="CA13" s="2">
        <v>1.5</v>
      </c>
      <c r="CB13" s="2">
        <v>1.60497762370551E-6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23l</v>
      </c>
      <c r="J14" s="47">
        <f t="shared" ca="1" si="35"/>
        <v>9</v>
      </c>
      <c r="K14" s="19">
        <f t="shared" ca="1" si="36"/>
        <v>-40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8.8000000000000007</v>
      </c>
      <c r="O14" s="63">
        <f t="shared" ca="1" si="4"/>
        <v>732</v>
      </c>
      <c r="P14" s="63">
        <f t="shared" ca="1" si="5"/>
        <v>20.818181818181817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71400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1120000</v>
      </c>
      <c r="AD14" s="63">
        <f t="shared" ca="1" si="19"/>
        <v>38818.181818181823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15.5</v>
      </c>
      <c r="AX14" s="2" t="s">
        <v>217</v>
      </c>
      <c r="AY14" s="130">
        <v>23.6</v>
      </c>
      <c r="AZ14" s="2">
        <v>20</v>
      </c>
      <c r="BA14" s="2"/>
      <c r="BB14" s="2">
        <v>18</v>
      </c>
      <c r="BC14" s="2"/>
      <c r="BD14" s="2">
        <v>5</v>
      </c>
      <c r="BE14" s="2">
        <v>21.7</v>
      </c>
      <c r="BF14" s="2">
        <v>22.1</v>
      </c>
      <c r="BG14" s="2">
        <v>22.5</v>
      </c>
      <c r="BH14" s="2">
        <v>32</v>
      </c>
      <c r="BI14" s="2"/>
      <c r="BJ14" s="2"/>
      <c r="BK14" s="2"/>
      <c r="BL14" s="2"/>
      <c r="BM14" s="2"/>
      <c r="BN14" s="2">
        <v>66</v>
      </c>
      <c r="BO14" s="2">
        <v>26</v>
      </c>
      <c r="BP14" s="2">
        <v>28</v>
      </c>
      <c r="BQ14" s="2">
        <v>31</v>
      </c>
      <c r="BR14" s="2">
        <v>33</v>
      </c>
      <c r="BS14" s="2">
        <v>37</v>
      </c>
      <c r="BT14" s="2">
        <v>6</v>
      </c>
      <c r="BU14" s="2">
        <v>53</v>
      </c>
      <c r="BV14" s="2">
        <v>78</v>
      </c>
      <c r="BW14" s="2">
        <v>104</v>
      </c>
      <c r="BX14" s="2">
        <v>167</v>
      </c>
      <c r="BY14" s="2">
        <v>21.1</v>
      </c>
      <c r="BZ14" s="2">
        <v>6.3</v>
      </c>
      <c r="CA14" s="2">
        <v>1.5</v>
      </c>
      <c r="CB14" s="2">
        <v>1.60497762370551E-6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23m</v>
      </c>
      <c r="J15" s="47">
        <f t="shared" ca="1" si="35"/>
        <v>10</v>
      </c>
      <c r="K15" s="19">
        <f t="shared" ca="1" si="36"/>
        <v>-51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8.5</v>
      </c>
      <c r="O15" s="63">
        <f t="shared" ca="1" si="4"/>
        <v>908</v>
      </c>
      <c r="P15" s="63">
        <f t="shared" ca="1" si="5"/>
        <v>13.6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79000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1430000</v>
      </c>
      <c r="AD15" s="63">
        <f t="shared" ca="1" si="19"/>
        <v>26000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17.7</v>
      </c>
      <c r="AX15" s="2" t="s">
        <v>217</v>
      </c>
      <c r="AY15" s="130">
        <v>23.6</v>
      </c>
      <c r="AZ15" s="2">
        <v>20</v>
      </c>
      <c r="BA15" s="2"/>
      <c r="BB15" s="2">
        <v>18</v>
      </c>
      <c r="BC15" s="2"/>
      <c r="BD15" s="2">
        <v>5</v>
      </c>
      <c r="BE15" s="2">
        <v>21.7</v>
      </c>
      <c r="BF15" s="2">
        <v>22.1</v>
      </c>
      <c r="BG15" s="2">
        <v>22.5</v>
      </c>
      <c r="BH15" s="2">
        <v>32</v>
      </c>
      <c r="BI15" s="2"/>
      <c r="BJ15" s="2"/>
      <c r="BK15" s="2"/>
      <c r="BL15" s="2"/>
      <c r="BM15" s="2"/>
      <c r="BN15" s="2">
        <v>66</v>
      </c>
      <c r="BO15" s="2">
        <v>26</v>
      </c>
      <c r="BP15" s="2">
        <v>28</v>
      </c>
      <c r="BQ15" s="2">
        <v>31</v>
      </c>
      <c r="BR15" s="2">
        <v>33</v>
      </c>
      <c r="BS15" s="2">
        <v>37</v>
      </c>
      <c r="BT15" s="2">
        <v>68</v>
      </c>
      <c r="BU15" s="2">
        <v>115</v>
      </c>
      <c r="BV15" s="2">
        <v>141</v>
      </c>
      <c r="BW15" s="2">
        <v>166</v>
      </c>
      <c r="BX15" s="2">
        <v>230</v>
      </c>
      <c r="BY15" s="2">
        <v>21.1</v>
      </c>
      <c r="BZ15" s="2">
        <v>6.3</v>
      </c>
      <c r="CA15" s="2">
        <v>1.5</v>
      </c>
      <c r="CB15" s="2">
        <v>1.60497762370551E-6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23o</v>
      </c>
      <c r="J16" s="47">
        <f t="shared" ca="1" si="35"/>
        <v>11</v>
      </c>
      <c r="K16" s="19">
        <f t="shared" ca="1" si="36"/>
        <v>-56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8.6999999999999993</v>
      </c>
      <c r="O16" s="63">
        <f t="shared" ca="1" si="4"/>
        <v>138</v>
      </c>
      <c r="P16" s="63">
        <f t="shared" ca="1" si="5"/>
        <v>1.2083333333333333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0.8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0.5</v>
      </c>
      <c r="X16" s="47">
        <f t="shared" ca="1" si="13"/>
        <v>18500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328000</v>
      </c>
      <c r="AD16" s="63">
        <f t="shared" ca="1" si="19"/>
        <v>-1500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17.7</v>
      </c>
      <c r="AX16" s="2" t="s">
        <v>218</v>
      </c>
      <c r="AY16" s="130">
        <v>37</v>
      </c>
      <c r="AZ16" s="2">
        <v>18.3</v>
      </c>
      <c r="BA16" s="2">
        <v>59</v>
      </c>
      <c r="BB16" s="2">
        <v>77</v>
      </c>
      <c r="BC16" s="2">
        <v>3</v>
      </c>
      <c r="BD16" s="2">
        <v>5.3</v>
      </c>
      <c r="BE16" s="2">
        <v>6.3</v>
      </c>
      <c r="BF16" s="2">
        <v>6.5</v>
      </c>
      <c r="BG16" s="2">
        <v>6.9</v>
      </c>
      <c r="BH16" s="2">
        <v>8.5</v>
      </c>
      <c r="BI16" s="2">
        <v>163</v>
      </c>
      <c r="BJ16" s="2">
        <v>263</v>
      </c>
      <c r="BK16" s="2">
        <v>308</v>
      </c>
      <c r="BL16" s="2">
        <v>356</v>
      </c>
      <c r="BM16" s="2">
        <v>471</v>
      </c>
      <c r="BN16" s="2"/>
      <c r="BO16" s="2"/>
      <c r="BP16" s="2"/>
      <c r="BQ16" s="2"/>
      <c r="BR16" s="2"/>
      <c r="BS16" s="2"/>
      <c r="BT16" s="2">
        <v>114</v>
      </c>
      <c r="BU16" s="2">
        <v>257</v>
      </c>
      <c r="BV16" s="2">
        <v>347</v>
      </c>
      <c r="BW16" s="2">
        <v>438</v>
      </c>
      <c r="BX16" s="2">
        <v>639</v>
      </c>
      <c r="BY16" s="2">
        <v>21.5</v>
      </c>
      <c r="BZ16" s="2">
        <v>8.6999999999999993</v>
      </c>
      <c r="CA16" s="2">
        <v>3</v>
      </c>
      <c r="CB16" s="2">
        <v>6.8260108323628795E-10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20</v>
      </c>
      <c r="AX17" s="2" t="s">
        <v>218</v>
      </c>
      <c r="AY17" s="130">
        <v>37</v>
      </c>
      <c r="AZ17" s="2">
        <v>18.3</v>
      </c>
      <c r="BA17" s="2">
        <v>59</v>
      </c>
      <c r="BB17" s="2">
        <v>77</v>
      </c>
      <c r="BC17" s="2">
        <v>3</v>
      </c>
      <c r="BD17" s="2">
        <v>3.8</v>
      </c>
      <c r="BE17" s="2">
        <v>4.8</v>
      </c>
      <c r="BF17" s="2">
        <v>5.0999999999999996</v>
      </c>
      <c r="BG17" s="2">
        <v>5.4</v>
      </c>
      <c r="BH17" s="2">
        <v>7</v>
      </c>
      <c r="BI17" s="2">
        <v>88</v>
      </c>
      <c r="BJ17" s="2">
        <v>188</v>
      </c>
      <c r="BK17" s="2">
        <v>233</v>
      </c>
      <c r="BL17" s="2">
        <v>281</v>
      </c>
      <c r="BM17" s="2">
        <v>395</v>
      </c>
      <c r="BN17" s="2"/>
      <c r="BO17" s="2"/>
      <c r="BP17" s="2"/>
      <c r="BQ17" s="2"/>
      <c r="BR17" s="2"/>
      <c r="BS17" s="2"/>
      <c r="BT17" s="2">
        <v>19</v>
      </c>
      <c r="BU17" s="2">
        <v>163</v>
      </c>
      <c r="BV17" s="2">
        <v>252</v>
      </c>
      <c r="BW17" s="2">
        <v>343</v>
      </c>
      <c r="BX17" s="2">
        <v>544</v>
      </c>
      <c r="BY17" s="2">
        <v>21.5</v>
      </c>
      <c r="BZ17" s="2">
        <v>8.6999999999999993</v>
      </c>
      <c r="CA17" s="2">
        <v>3</v>
      </c>
      <c r="CB17" s="2">
        <v>6.8260108323628795E-10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20</v>
      </c>
      <c r="AX18" s="2" t="s">
        <v>218</v>
      </c>
      <c r="AY18" s="130">
        <v>37</v>
      </c>
      <c r="AZ18" s="2">
        <v>18.3</v>
      </c>
      <c r="BA18" s="2">
        <v>59</v>
      </c>
      <c r="BB18" s="2">
        <v>77</v>
      </c>
      <c r="BC18" s="2">
        <v>3</v>
      </c>
      <c r="BD18" s="2">
        <v>3.8</v>
      </c>
      <c r="BE18" s="2">
        <v>4.4000000000000004</v>
      </c>
      <c r="BF18" s="2">
        <v>4.5</v>
      </c>
      <c r="BG18" s="2">
        <v>4.5999999999999996</v>
      </c>
      <c r="BH18" s="2">
        <v>5.2</v>
      </c>
      <c r="BI18" s="2">
        <v>71</v>
      </c>
      <c r="BJ18" s="2">
        <v>160</v>
      </c>
      <c r="BK18" s="2">
        <v>203</v>
      </c>
      <c r="BL18" s="2">
        <v>248</v>
      </c>
      <c r="BM18" s="2">
        <v>337</v>
      </c>
      <c r="BN18" s="2"/>
      <c r="BO18" s="2"/>
      <c r="BP18" s="2"/>
      <c r="BQ18" s="2"/>
      <c r="BR18" s="2"/>
      <c r="BS18" s="2"/>
      <c r="BT18" s="2">
        <v>20</v>
      </c>
      <c r="BU18" s="2">
        <v>129</v>
      </c>
      <c r="BV18" s="2">
        <v>216</v>
      </c>
      <c r="BW18" s="2">
        <v>303</v>
      </c>
      <c r="BX18" s="2">
        <v>479</v>
      </c>
      <c r="BY18" s="2">
        <v>20.8</v>
      </c>
      <c r="BZ18" s="2">
        <v>6.1</v>
      </c>
      <c r="CA18" s="2">
        <v>2.4</v>
      </c>
      <c r="CB18" s="2">
        <v>2.1854104147088399E-10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38</v>
      </c>
      <c r="AX19" s="2" t="s">
        <v>218</v>
      </c>
      <c r="AY19" s="130">
        <v>37</v>
      </c>
      <c r="AZ19" s="2">
        <v>18.3</v>
      </c>
      <c r="BA19" s="2">
        <v>59</v>
      </c>
      <c r="BB19" s="2">
        <v>77</v>
      </c>
      <c r="BC19" s="2">
        <v>3</v>
      </c>
      <c r="BD19" s="2">
        <v>6.4</v>
      </c>
      <c r="BE19" s="2">
        <v>7</v>
      </c>
      <c r="BF19" s="2">
        <v>7.1</v>
      </c>
      <c r="BG19" s="2">
        <v>7.2</v>
      </c>
      <c r="BH19" s="2">
        <v>7.7</v>
      </c>
      <c r="BI19" s="2">
        <v>186</v>
      </c>
      <c r="BJ19" s="2">
        <v>276</v>
      </c>
      <c r="BK19" s="2">
        <v>319</v>
      </c>
      <c r="BL19" s="2">
        <v>363</v>
      </c>
      <c r="BM19" s="2">
        <v>453</v>
      </c>
      <c r="BN19" s="2"/>
      <c r="BO19" s="2"/>
      <c r="BP19" s="2"/>
      <c r="BQ19" s="2"/>
      <c r="BR19" s="2"/>
      <c r="BS19" s="2"/>
      <c r="BT19" s="2">
        <v>182</v>
      </c>
      <c r="BU19" s="2">
        <v>291</v>
      </c>
      <c r="BV19" s="2">
        <v>379</v>
      </c>
      <c r="BW19" s="2">
        <v>466</v>
      </c>
      <c r="BX19" s="2">
        <v>642</v>
      </c>
      <c r="BY19" s="2">
        <v>20.8</v>
      </c>
      <c r="BZ19" s="2">
        <v>6.1</v>
      </c>
      <c r="CA19" s="2">
        <v>2.4</v>
      </c>
      <c r="CB19" s="2">
        <v>2.1854104147088399E-10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38</v>
      </c>
      <c r="AX20" s="2" t="s">
        <v>219</v>
      </c>
      <c r="AY20" s="130">
        <v>37</v>
      </c>
      <c r="AZ20" s="2">
        <v>18.5</v>
      </c>
      <c r="BA20" s="2">
        <v>42</v>
      </c>
      <c r="BB20" s="2">
        <v>63</v>
      </c>
      <c r="BC20" s="2">
        <v>3</v>
      </c>
      <c r="BD20" s="2">
        <v>1.4</v>
      </c>
      <c r="BE20" s="2">
        <v>6</v>
      </c>
      <c r="BF20" s="2">
        <v>7.5</v>
      </c>
      <c r="BG20" s="2">
        <v>15.3</v>
      </c>
      <c r="BH20" s="2">
        <v>39.299999999999997</v>
      </c>
      <c r="BI20" s="2">
        <v>208</v>
      </c>
      <c r="BJ20" s="2">
        <v>294</v>
      </c>
      <c r="BK20" s="2">
        <v>337</v>
      </c>
      <c r="BL20" s="2">
        <v>381</v>
      </c>
      <c r="BM20" s="2">
        <v>467</v>
      </c>
      <c r="BN20" s="2"/>
      <c r="BO20" s="2"/>
      <c r="BP20" s="2"/>
      <c r="BQ20" s="2"/>
      <c r="BR20" s="2"/>
      <c r="BS20" s="2"/>
      <c r="BT20" s="2">
        <v>38</v>
      </c>
      <c r="BU20" s="2">
        <v>311</v>
      </c>
      <c r="BV20" s="2">
        <v>436</v>
      </c>
      <c r="BW20" s="2">
        <v>535</v>
      </c>
      <c r="BX20" s="2">
        <v>809</v>
      </c>
      <c r="BY20" s="2">
        <v>27.8</v>
      </c>
      <c r="BZ20" s="2">
        <v>5.9</v>
      </c>
      <c r="CA20" s="2">
        <v>2.2000000000000002</v>
      </c>
      <c r="CB20" s="2">
        <v>1.6797581160688601E-12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40</v>
      </c>
      <c r="AX21" s="2" t="s">
        <v>219</v>
      </c>
      <c r="AY21" s="130">
        <v>37</v>
      </c>
      <c r="AZ21" s="2">
        <v>18.5</v>
      </c>
      <c r="BA21" s="2">
        <v>42</v>
      </c>
      <c r="BB21" s="2">
        <v>63</v>
      </c>
      <c r="BC21" s="2">
        <v>3</v>
      </c>
      <c r="BD21" s="2">
        <v>1.7</v>
      </c>
      <c r="BE21" s="2">
        <v>6.4</v>
      </c>
      <c r="BF21" s="2">
        <v>7.8</v>
      </c>
      <c r="BG21" s="2">
        <v>15.6</v>
      </c>
      <c r="BH21" s="2">
        <v>39.700000000000003</v>
      </c>
      <c r="BI21" s="2">
        <v>225</v>
      </c>
      <c r="BJ21" s="2">
        <v>310</v>
      </c>
      <c r="BK21" s="2">
        <v>354</v>
      </c>
      <c r="BL21" s="2">
        <v>398</v>
      </c>
      <c r="BM21" s="2">
        <v>484</v>
      </c>
      <c r="BN21" s="2"/>
      <c r="BO21" s="2"/>
      <c r="BP21" s="2"/>
      <c r="BQ21" s="2"/>
      <c r="BR21" s="2"/>
      <c r="BS21" s="2"/>
      <c r="BT21" s="2">
        <v>43</v>
      </c>
      <c r="BU21" s="2">
        <v>316</v>
      </c>
      <c r="BV21" s="2">
        <v>441</v>
      </c>
      <c r="BW21" s="2">
        <v>540</v>
      </c>
      <c r="BX21" s="2">
        <v>815</v>
      </c>
      <c r="BY21" s="2">
        <v>27.8</v>
      </c>
      <c r="BZ21" s="2">
        <v>5.9</v>
      </c>
      <c r="CA21" s="2">
        <v>2.2000000000000002</v>
      </c>
      <c r="CB21" s="2">
        <v>1.6797581160688601E-12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40</v>
      </c>
      <c r="AX22" s="2" t="s">
        <v>220</v>
      </c>
      <c r="AY22" s="130">
        <v>29.5</v>
      </c>
      <c r="AZ22" s="2">
        <v>18.8</v>
      </c>
      <c r="BA22" s="2">
        <v>48</v>
      </c>
      <c r="BB22" s="2">
        <v>77</v>
      </c>
      <c r="BC22" s="2">
        <v>3</v>
      </c>
      <c r="BD22" s="2">
        <v>1.5</v>
      </c>
      <c r="BE22" s="2">
        <v>12.7</v>
      </c>
      <c r="BF22" s="2">
        <v>16.3</v>
      </c>
      <c r="BG22" s="2">
        <v>36.299999999999997</v>
      </c>
      <c r="BH22" s="2">
        <v>98.5</v>
      </c>
      <c r="BI22" s="2">
        <v>646</v>
      </c>
      <c r="BJ22" s="2">
        <v>732</v>
      </c>
      <c r="BK22" s="2">
        <v>775</v>
      </c>
      <c r="BL22" s="2">
        <v>819</v>
      </c>
      <c r="BM22" s="2">
        <v>905</v>
      </c>
      <c r="BN22" s="2"/>
      <c r="BO22" s="2"/>
      <c r="BP22" s="2"/>
      <c r="BQ22" s="2"/>
      <c r="BR22" s="2"/>
      <c r="BS22" s="2"/>
      <c r="BT22" s="2">
        <v>862</v>
      </c>
      <c r="BU22" s="2">
        <v>1034</v>
      </c>
      <c r="BV22" s="2">
        <v>1120</v>
      </c>
      <c r="BW22" s="2">
        <v>1207</v>
      </c>
      <c r="BX22" s="2">
        <v>1379</v>
      </c>
      <c r="BY22" s="2">
        <v>71.400000000000006</v>
      </c>
      <c r="BZ22" s="2">
        <v>13</v>
      </c>
      <c r="CA22" s="2">
        <v>3</v>
      </c>
      <c r="CB22" s="2">
        <v>5.8374592490262901E-12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51</v>
      </c>
      <c r="AX23" s="2" t="s">
        <v>220</v>
      </c>
      <c r="AY23" s="130">
        <v>29.5</v>
      </c>
      <c r="AZ23" s="2">
        <v>18.8</v>
      </c>
      <c r="BA23" s="2">
        <v>48</v>
      </c>
      <c r="BB23" s="2">
        <v>77</v>
      </c>
      <c r="BC23" s="2">
        <v>3</v>
      </c>
      <c r="BD23" s="2">
        <v>6.2</v>
      </c>
      <c r="BE23" s="2">
        <v>17.5</v>
      </c>
      <c r="BF23" s="2">
        <v>21.1</v>
      </c>
      <c r="BG23" s="2">
        <v>41.1</v>
      </c>
      <c r="BH23" s="2">
        <v>103.3</v>
      </c>
      <c r="BI23" s="2">
        <v>876</v>
      </c>
      <c r="BJ23" s="2">
        <v>961</v>
      </c>
      <c r="BK23" s="2">
        <v>1005</v>
      </c>
      <c r="BL23" s="2">
        <v>1049</v>
      </c>
      <c r="BM23" s="2">
        <v>1135</v>
      </c>
      <c r="BN23" s="2"/>
      <c r="BO23" s="2"/>
      <c r="BP23" s="2"/>
      <c r="BQ23" s="2"/>
      <c r="BR23" s="2"/>
      <c r="BS23" s="2"/>
      <c r="BT23" s="2">
        <v>1289</v>
      </c>
      <c r="BU23" s="2">
        <v>1461</v>
      </c>
      <c r="BV23" s="2">
        <v>1547</v>
      </c>
      <c r="BW23" s="2">
        <v>1634</v>
      </c>
      <c r="BX23" s="2">
        <v>1806</v>
      </c>
      <c r="BY23" s="2">
        <v>71.400000000000006</v>
      </c>
      <c r="BZ23" s="2">
        <v>13</v>
      </c>
      <c r="CA23" s="2">
        <v>3</v>
      </c>
      <c r="CB23" s="2">
        <v>5.8374592490262901E-12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51</v>
      </c>
      <c r="AX24" s="2" t="s">
        <v>221</v>
      </c>
      <c r="AY24" s="130">
        <v>36.1</v>
      </c>
      <c r="AZ24" s="2">
        <v>18.5</v>
      </c>
      <c r="BA24" s="2">
        <v>21</v>
      </c>
      <c r="BB24" s="2">
        <v>72</v>
      </c>
      <c r="BC24" s="2">
        <v>3</v>
      </c>
      <c r="BD24" s="2">
        <v>1.9</v>
      </c>
      <c r="BE24" s="2">
        <v>13.5</v>
      </c>
      <c r="BF24" s="2">
        <v>20</v>
      </c>
      <c r="BG24" s="2">
        <v>42.2</v>
      </c>
      <c r="BH24" s="2">
        <v>111.2</v>
      </c>
      <c r="BI24" s="2">
        <v>822</v>
      </c>
      <c r="BJ24" s="2">
        <v>908</v>
      </c>
      <c r="BK24" s="2">
        <v>951</v>
      </c>
      <c r="BL24" s="2">
        <v>995</v>
      </c>
      <c r="BM24" s="2">
        <v>1081</v>
      </c>
      <c r="BN24" s="2"/>
      <c r="BO24" s="2"/>
      <c r="BP24" s="2"/>
      <c r="BQ24" s="2"/>
      <c r="BR24" s="2"/>
      <c r="BS24" s="2"/>
      <c r="BT24" s="2">
        <v>1171</v>
      </c>
      <c r="BU24" s="2">
        <v>1343</v>
      </c>
      <c r="BV24" s="2">
        <v>1430</v>
      </c>
      <c r="BW24" s="2">
        <v>1517</v>
      </c>
      <c r="BX24" s="2">
        <v>1689</v>
      </c>
      <c r="BY24" s="2">
        <v>79</v>
      </c>
      <c r="BZ24" s="2">
        <v>12.3</v>
      </c>
      <c r="CA24" s="2">
        <v>3</v>
      </c>
      <c r="CB24" s="2">
        <v>5.6559771762241803E-12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56</v>
      </c>
      <c r="AX25" s="2" t="s">
        <v>221</v>
      </c>
      <c r="AY25" s="130">
        <v>36.1</v>
      </c>
      <c r="AZ25" s="2">
        <v>18.5</v>
      </c>
      <c r="BA25" s="2">
        <v>21</v>
      </c>
      <c r="BB25" s="2">
        <v>72</v>
      </c>
      <c r="BC25" s="2">
        <v>3</v>
      </c>
      <c r="BD25" s="2">
        <v>3.3</v>
      </c>
      <c r="BE25" s="2">
        <v>15</v>
      </c>
      <c r="BF25" s="2">
        <v>21.5</v>
      </c>
      <c r="BG25" s="2">
        <v>43.7</v>
      </c>
      <c r="BH25" s="2">
        <v>112.6</v>
      </c>
      <c r="BI25" s="2">
        <v>890</v>
      </c>
      <c r="BJ25" s="2">
        <v>976</v>
      </c>
      <c r="BK25" s="2">
        <v>1019</v>
      </c>
      <c r="BL25" s="2">
        <v>1063</v>
      </c>
      <c r="BM25" s="2">
        <v>1149</v>
      </c>
      <c r="BN25" s="2"/>
      <c r="BO25" s="2"/>
      <c r="BP25" s="2"/>
      <c r="BQ25" s="2"/>
      <c r="BR25" s="2"/>
      <c r="BS25" s="2"/>
      <c r="BT25" s="2">
        <v>1302</v>
      </c>
      <c r="BU25" s="2">
        <v>1474</v>
      </c>
      <c r="BV25" s="2">
        <v>1560</v>
      </c>
      <c r="BW25" s="2">
        <v>1647</v>
      </c>
      <c r="BX25" s="2">
        <v>1819</v>
      </c>
      <c r="BY25" s="2">
        <v>79</v>
      </c>
      <c r="BZ25" s="2">
        <v>12.3</v>
      </c>
      <c r="CA25" s="2">
        <v>3</v>
      </c>
      <c r="CB25" s="2">
        <v>5.6559771762241803E-12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56</v>
      </c>
      <c r="AX26" s="2" t="s">
        <v>310</v>
      </c>
      <c r="AY26" s="130">
        <v>34.1</v>
      </c>
      <c r="AZ26" s="2">
        <v>18.7</v>
      </c>
      <c r="BA26" s="2">
        <v>53</v>
      </c>
      <c r="BB26" s="2">
        <v>52</v>
      </c>
      <c r="BC26" s="2">
        <v>3</v>
      </c>
      <c r="BD26" s="2">
        <v>3.5</v>
      </c>
      <c r="BE26" s="2">
        <v>5.5</v>
      </c>
      <c r="BF26" s="2">
        <v>6.1</v>
      </c>
      <c r="BG26" s="2">
        <v>21</v>
      </c>
      <c r="BH26" s="2">
        <v>67.3</v>
      </c>
      <c r="BI26" s="2">
        <v>82</v>
      </c>
      <c r="BJ26" s="2">
        <v>138</v>
      </c>
      <c r="BK26" s="2">
        <v>175</v>
      </c>
      <c r="BL26" s="2">
        <v>221</v>
      </c>
      <c r="BM26" s="2">
        <v>330</v>
      </c>
      <c r="BN26" s="2"/>
      <c r="BO26" s="2"/>
      <c r="BP26" s="2"/>
      <c r="BQ26" s="2"/>
      <c r="BR26" s="2"/>
      <c r="BS26" s="2"/>
      <c r="BT26" s="2">
        <v>115</v>
      </c>
      <c r="BU26" s="2">
        <v>241</v>
      </c>
      <c r="BV26" s="2">
        <v>328</v>
      </c>
      <c r="BW26" s="2">
        <v>414</v>
      </c>
      <c r="BX26" s="2">
        <v>586</v>
      </c>
      <c r="BY26" s="2">
        <v>18.5</v>
      </c>
      <c r="BZ26" s="2">
        <v>2.2000000000000002</v>
      </c>
      <c r="CA26" s="2">
        <v>0.8</v>
      </c>
      <c r="CB26" s="2">
        <v>2.7977444358616499E-13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80</v>
      </c>
      <c r="AX27" s="2" t="s">
        <v>310</v>
      </c>
      <c r="AY27" s="130">
        <v>34.1</v>
      </c>
      <c r="AZ27" s="2">
        <v>18.7</v>
      </c>
      <c r="BA27" s="2">
        <v>53</v>
      </c>
      <c r="BB27" s="2">
        <v>52</v>
      </c>
      <c r="BC27" s="2">
        <v>3</v>
      </c>
      <c r="BD27" s="2">
        <v>3</v>
      </c>
      <c r="BE27" s="2">
        <v>5</v>
      </c>
      <c r="BF27" s="2">
        <v>5.6</v>
      </c>
      <c r="BG27" s="2">
        <v>20.5</v>
      </c>
      <c r="BH27" s="2">
        <v>66.7</v>
      </c>
      <c r="BI27" s="2">
        <v>112</v>
      </c>
      <c r="BJ27" s="2">
        <v>167</v>
      </c>
      <c r="BK27" s="2">
        <v>204</v>
      </c>
      <c r="BL27" s="2">
        <v>251</v>
      </c>
      <c r="BM27" s="2">
        <v>360</v>
      </c>
      <c r="BN27" s="2"/>
      <c r="BO27" s="2"/>
      <c r="BP27" s="2"/>
      <c r="BQ27" s="2"/>
      <c r="BR27" s="2"/>
      <c r="BS27" s="2"/>
      <c r="BT27" s="2">
        <v>80</v>
      </c>
      <c r="BU27" s="2">
        <v>206</v>
      </c>
      <c r="BV27" s="2">
        <v>292</v>
      </c>
      <c r="BW27" s="2">
        <v>379</v>
      </c>
      <c r="BX27" s="2">
        <v>551</v>
      </c>
      <c r="BY27" s="2">
        <v>18.5</v>
      </c>
      <c r="BZ27" s="2">
        <v>2.2000000000000002</v>
      </c>
      <c r="CA27" s="2">
        <v>0.8</v>
      </c>
      <c r="CB27" s="2">
        <v>2.7977444358616499E-13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700" priority="12">
      <formula>$L32="API sand"</formula>
    </cfRule>
  </conditionalFormatting>
  <conditionalFormatting sqref="R32:S36 AB32:AB35 AJ32:AL36 Z32:Z36 N32:N36">
    <cfRule type="expression" dxfId="2699" priority="11">
      <formula>$M32="API sand"</formula>
    </cfRule>
  </conditionalFormatting>
  <conditionalFormatting sqref="R32:T36 Z32:AB35 AK32:AL36 N32:N36">
    <cfRule type="expression" dxfId="2698" priority="10">
      <formula>$M32="API clay"</formula>
    </cfRule>
  </conditionalFormatting>
  <conditionalFormatting sqref="U32:W36 AM32:AP36 N32:P36">
    <cfRule type="expression" dxfId="2697" priority="7">
      <formula>$L32="Stiff clay w/o free water"</formula>
    </cfRule>
    <cfRule type="expression" dxfId="2696" priority="9">
      <formula>$L32="API clay"</formula>
    </cfRule>
  </conditionalFormatting>
  <conditionalFormatting sqref="U32:Y36 AM32:AP36 N32:P36">
    <cfRule type="expression" dxfId="2695" priority="8">
      <formula>$L32="Kirsch soft clay"</formula>
    </cfRule>
  </conditionalFormatting>
  <conditionalFormatting sqref="U32:Y36 AM32:AP36 N32:P36">
    <cfRule type="expression" dxfId="2694" priority="6">
      <formula>$L32="Kirsch stiff clay"</formula>
    </cfRule>
  </conditionalFormatting>
  <conditionalFormatting sqref="AM32:AP36 Q32:Q36 X32:Y36 N32:N36">
    <cfRule type="expression" dxfId="2693" priority="5">
      <formula>$L32="Kirsch sand"</formula>
    </cfRule>
  </conditionalFormatting>
  <conditionalFormatting sqref="AC32:AD36 AI32:AI36 AM32:AP36 N32:N36">
    <cfRule type="expression" dxfId="2692" priority="4">
      <formula>$L32="Modified Weak rock"</formula>
    </cfRule>
  </conditionalFormatting>
  <conditionalFormatting sqref="AM32:AP36 N32:P36 U32:V36">
    <cfRule type="expression" dxfId="2691" priority="3">
      <formula>$L32="Reese stiff clay"</formula>
    </cfRule>
  </conditionalFormatting>
  <conditionalFormatting sqref="AB36">
    <cfRule type="expression" dxfId="2690" priority="2">
      <formula>$M36="API sand"</formula>
    </cfRule>
  </conditionalFormatting>
  <conditionalFormatting sqref="Z36:AB36">
    <cfRule type="expression" dxfId="2689" priority="1">
      <formula>$M36="API clay"</formula>
    </cfRule>
  </conditionalFormatting>
  <conditionalFormatting sqref="AE37:AH37">
    <cfRule type="expression" dxfId="2688" priority="13">
      <formula>#REF!="Modified Weak rock"</formula>
    </cfRule>
  </conditionalFormatting>
  <dataValidations count="4">
    <dataValidation type="textLength" showInputMessage="1" showErrorMessage="1" sqref="M27:M31" xr:uid="{72007C4A-1ED0-4B09-A9EA-837FBC22EC08}">
      <formula1>0</formula1>
      <formula2>100</formula2>
    </dataValidation>
    <dataValidation showInputMessage="1" showErrorMessage="1" sqref="L6:M26" xr:uid="{71EA721C-AC53-47FC-8987-ECDAE46EBD0E}"/>
    <dataValidation type="list" showInputMessage="1" showErrorMessage="1" sqref="L32:L255" xr:uid="{0C217054-2083-4053-9CDC-1089C724E3A9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B50B06DB-60DA-402F-8A17-B6FD4A13CF5E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0D742-A002-4BAB-BA8F-4ADDCEED56DC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Ak_Pisa_WTG13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15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EW_sand_Ruled_79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37</v>
      </c>
      <c r="R6" s="47">
        <f t="shared" ref="R6:R26" ca="1" si="7">IF(I6="","",IF(Q6&lt;&gt;0,Q6-5,NA()))</f>
        <v>32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10600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103.59999999999997</v>
      </c>
      <c r="AA6" s="47">
        <f t="shared" ref="AA6:AA26" ca="1" si="16">IF(I6="","",1)</f>
        <v>1</v>
      </c>
      <c r="AB6" s="47">
        <f t="shared" ref="AB6:AB26" ca="1" si="17">IF(I6="","",VLOOKUP(R6,$AE$39:$AG$59,3))</f>
        <v>10560</v>
      </c>
      <c r="AC6" s="63">
        <f t="shared" ref="AC6:AC26" ca="1" si="18">IF(I6="","",IF(OFFSET($BV$6,(ROW()-6)*2,0)=0,0,OFFSET($BV$6,(ROW()-6)*2,0)*1000))</f>
        <v>11000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20000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44.000000000000007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79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0.9</v>
      </c>
      <c r="BF6" s="2">
        <v>1.4</v>
      </c>
      <c r="BG6" s="2">
        <v>1.8</v>
      </c>
      <c r="BH6" s="2">
        <v>3</v>
      </c>
      <c r="BI6" s="2"/>
      <c r="BJ6" s="2"/>
      <c r="BK6" s="2"/>
      <c r="BL6" s="2"/>
      <c r="BM6" s="2"/>
      <c r="BN6" s="2">
        <v>79</v>
      </c>
      <c r="BO6" s="2">
        <v>29</v>
      </c>
      <c r="BP6" s="2">
        <v>37</v>
      </c>
      <c r="BQ6" s="2">
        <v>41</v>
      </c>
      <c r="BR6" s="2">
        <v>44</v>
      </c>
      <c r="BS6" s="2">
        <v>51</v>
      </c>
      <c r="BT6" s="2">
        <v>0</v>
      </c>
      <c r="BU6" s="2">
        <v>5</v>
      </c>
      <c r="BV6" s="2">
        <v>11</v>
      </c>
      <c r="BW6" s="2">
        <v>16</v>
      </c>
      <c r="BX6" s="2">
        <v>28</v>
      </c>
      <c r="BY6" s="2">
        <v>10.6</v>
      </c>
      <c r="BZ6" s="2">
        <v>1</v>
      </c>
      <c r="CA6" s="2">
        <v>0.5</v>
      </c>
      <c r="CB6" s="2">
        <v>2.5851480179390301E-6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-1</v>
      </c>
      <c r="L7" s="116" t="str">
        <f t="shared" ca="1" si="1"/>
        <v>EW_sand_Ruled_96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41</v>
      </c>
      <c r="R7" s="47">
        <f t="shared" ca="1" si="7"/>
        <v>36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45000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44000</v>
      </c>
      <c r="AD7" s="63">
        <f t="shared" ca="1" si="19"/>
        <v>7916.666666666667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96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2.2000000000000002</v>
      </c>
      <c r="BE7" s="2">
        <v>3.4</v>
      </c>
      <c r="BF7" s="2">
        <v>3.9</v>
      </c>
      <c r="BG7" s="2">
        <v>4.4000000000000004</v>
      </c>
      <c r="BH7" s="2">
        <v>5.6</v>
      </c>
      <c r="BI7" s="2"/>
      <c r="BJ7" s="2"/>
      <c r="BK7" s="2"/>
      <c r="BL7" s="2"/>
      <c r="BM7" s="2"/>
      <c r="BN7" s="2">
        <v>79</v>
      </c>
      <c r="BO7" s="2">
        <v>29</v>
      </c>
      <c r="BP7" s="2">
        <v>37</v>
      </c>
      <c r="BQ7" s="2">
        <v>41</v>
      </c>
      <c r="BR7" s="2">
        <v>44</v>
      </c>
      <c r="BS7" s="2">
        <v>51</v>
      </c>
      <c r="BT7" s="2">
        <v>13</v>
      </c>
      <c r="BU7" s="2">
        <v>25</v>
      </c>
      <c r="BV7" s="2">
        <v>31</v>
      </c>
      <c r="BW7" s="2">
        <v>36</v>
      </c>
      <c r="BX7" s="2">
        <v>48</v>
      </c>
      <c r="BY7" s="2">
        <v>10.6</v>
      </c>
      <c r="BZ7" s="2">
        <v>1</v>
      </c>
      <c r="CA7" s="2">
        <v>0.5</v>
      </c>
      <c r="CB7" s="2">
        <v>2.5851480179390301E-6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02a</v>
      </c>
      <c r="J8" s="47">
        <f t="shared" ca="1" si="35"/>
        <v>3</v>
      </c>
      <c r="K8" s="19">
        <f t="shared" ca="1" si="36"/>
        <v>-3.4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10.199999999999999</v>
      </c>
      <c r="O8" s="63">
        <f t="shared" ca="1" si="4"/>
        <v>58</v>
      </c>
      <c r="P8" s="63">
        <f t="shared" ca="1" si="5"/>
        <v>15.555555555555557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13100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58000</v>
      </c>
      <c r="AD8" s="63">
        <f t="shared" ca="1" si="19"/>
        <v>15555.555555555557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8.6999999999999993</v>
      </c>
      <c r="BE8" s="2">
        <v>11.1</v>
      </c>
      <c r="BF8" s="2">
        <v>11.7</v>
      </c>
      <c r="BG8" s="2">
        <v>12.2</v>
      </c>
      <c r="BH8" s="2">
        <v>14.7</v>
      </c>
      <c r="BI8" s="2"/>
      <c r="BJ8" s="2"/>
      <c r="BK8" s="2"/>
      <c r="BL8" s="2"/>
      <c r="BM8" s="2"/>
      <c r="BN8" s="2">
        <v>96</v>
      </c>
      <c r="BO8" s="2">
        <v>35</v>
      </c>
      <c r="BP8" s="2">
        <v>41</v>
      </c>
      <c r="BQ8" s="2">
        <v>45</v>
      </c>
      <c r="BR8" s="2">
        <v>48</v>
      </c>
      <c r="BS8" s="2">
        <v>54</v>
      </c>
      <c r="BT8" s="2">
        <v>1</v>
      </c>
      <c r="BU8" s="2">
        <v>31</v>
      </c>
      <c r="BV8" s="2">
        <v>44</v>
      </c>
      <c r="BW8" s="2">
        <v>57</v>
      </c>
      <c r="BX8" s="2">
        <v>88</v>
      </c>
      <c r="BY8" s="2">
        <v>45</v>
      </c>
      <c r="BZ8" s="2">
        <v>1</v>
      </c>
      <c r="CA8" s="2">
        <v>0.5</v>
      </c>
      <c r="CB8" s="2">
        <v>4.89286228183617E-5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02a</v>
      </c>
      <c r="J9" s="47">
        <f t="shared" ca="1" si="35"/>
        <v>4</v>
      </c>
      <c r="K9" s="19">
        <f t="shared" ca="1" si="36"/>
        <v>-4.3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10.199999999999999</v>
      </c>
      <c r="O9" s="63">
        <f t="shared" ca="1" si="4"/>
        <v>73</v>
      </c>
      <c r="P9" s="63">
        <f t="shared" ca="1" si="5"/>
        <v>-11.111111111111107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13200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73000</v>
      </c>
      <c r="AD9" s="63">
        <f t="shared" ca="1" si="19"/>
        <v>-9999.9999999999964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3.4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10</v>
      </c>
      <c r="BE9" s="2">
        <v>12.5</v>
      </c>
      <c r="BF9" s="2">
        <v>13</v>
      </c>
      <c r="BG9" s="2">
        <v>13.5</v>
      </c>
      <c r="BH9" s="2">
        <v>16</v>
      </c>
      <c r="BI9" s="2"/>
      <c r="BJ9" s="2"/>
      <c r="BK9" s="2"/>
      <c r="BL9" s="2"/>
      <c r="BM9" s="2"/>
      <c r="BN9" s="2">
        <v>96</v>
      </c>
      <c r="BO9" s="2">
        <v>35</v>
      </c>
      <c r="BP9" s="2">
        <v>41</v>
      </c>
      <c r="BQ9" s="2">
        <v>45</v>
      </c>
      <c r="BR9" s="2">
        <v>48</v>
      </c>
      <c r="BS9" s="2">
        <v>54</v>
      </c>
      <c r="BT9" s="2">
        <v>19</v>
      </c>
      <c r="BU9" s="2">
        <v>50</v>
      </c>
      <c r="BV9" s="2">
        <v>63</v>
      </c>
      <c r="BW9" s="2">
        <v>76</v>
      </c>
      <c r="BX9" s="2">
        <v>107</v>
      </c>
      <c r="BY9" s="2">
        <v>45</v>
      </c>
      <c r="BZ9" s="2">
        <v>1</v>
      </c>
      <c r="CA9" s="2">
        <v>0.5</v>
      </c>
      <c r="CB9" s="2">
        <v>4.89286228183617E-5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21a</v>
      </c>
      <c r="J10" s="47">
        <f t="shared" ca="1" si="35"/>
        <v>5</v>
      </c>
      <c r="K10" s="19">
        <f t="shared" ca="1" si="36"/>
        <v>-5.2</v>
      </c>
      <c r="L10" s="116" t="str">
        <f t="shared" ca="1" si="1"/>
        <v>EW_sand_Ruled_74</v>
      </c>
      <c r="M10" s="105" t="str">
        <f t="shared" ca="1" si="2"/>
        <v>API sand</v>
      </c>
      <c r="N10" s="47">
        <f t="shared" ca="1" si="3"/>
        <v>9.8000000000000007</v>
      </c>
      <c r="O10" s="63">
        <f t="shared" ca="1" si="4"/>
        <v>0</v>
      </c>
      <c r="P10" s="63">
        <f t="shared" ca="1" si="5"/>
        <v>0</v>
      </c>
      <c r="Q10" s="47">
        <f t="shared" ca="1" si="6"/>
        <v>29</v>
      </c>
      <c r="R10" s="47">
        <f t="shared" ca="1" si="7"/>
        <v>24</v>
      </c>
      <c r="S10" s="47">
        <f t="shared" ca="1" si="8"/>
        <v>2.2000000000000002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28400</v>
      </c>
      <c r="Y10" s="47">
        <f t="shared" ca="1" si="14"/>
        <v>0</v>
      </c>
      <c r="Z10" s="47">
        <f t="shared" ca="1" si="15"/>
        <v>78.199999999999974</v>
      </c>
      <c r="AA10" s="47">
        <f t="shared" ca="1" si="16"/>
        <v>1</v>
      </c>
      <c r="AB10" s="47">
        <f t="shared" ca="1" si="17"/>
        <v>4420</v>
      </c>
      <c r="AC10" s="63">
        <f t="shared" ca="1" si="18"/>
        <v>84000</v>
      </c>
      <c r="AD10" s="63">
        <f t="shared" ca="1" si="19"/>
        <v>5000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18.400000000000006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74</v>
      </c>
      <c r="AS10" s="33">
        <f t="shared" ca="1" si="34"/>
        <v>0.2</v>
      </c>
      <c r="AW10" s="2">
        <v>3.4</v>
      </c>
      <c r="AX10" s="2" t="s">
        <v>255</v>
      </c>
      <c r="AY10" s="130">
        <v>23.1</v>
      </c>
      <c r="AZ10" s="2">
        <v>20.2</v>
      </c>
      <c r="BA10" s="2">
        <v>18</v>
      </c>
      <c r="BB10" s="2">
        <v>28</v>
      </c>
      <c r="BC10" s="2">
        <v>5</v>
      </c>
      <c r="BD10" s="2">
        <v>0.1</v>
      </c>
      <c r="BE10" s="2">
        <v>0.9</v>
      </c>
      <c r="BF10" s="2">
        <v>1.4</v>
      </c>
      <c r="BG10" s="2">
        <v>2</v>
      </c>
      <c r="BH10" s="2">
        <v>3.5</v>
      </c>
      <c r="BI10" s="2">
        <v>17</v>
      </c>
      <c r="BJ10" s="2">
        <v>58</v>
      </c>
      <c r="BK10" s="2">
        <v>76</v>
      </c>
      <c r="BL10" s="2">
        <v>95</v>
      </c>
      <c r="BM10" s="2">
        <v>134</v>
      </c>
      <c r="BN10" s="2"/>
      <c r="BO10" s="2"/>
      <c r="BP10" s="2"/>
      <c r="BQ10" s="2"/>
      <c r="BR10" s="2"/>
      <c r="BS10" s="2"/>
      <c r="BT10" s="2">
        <v>3</v>
      </c>
      <c r="BU10" s="2">
        <v>34</v>
      </c>
      <c r="BV10" s="2">
        <v>58</v>
      </c>
      <c r="BW10" s="2">
        <v>81</v>
      </c>
      <c r="BX10" s="2">
        <v>127</v>
      </c>
      <c r="BY10" s="2">
        <v>13.1</v>
      </c>
      <c r="BZ10" s="2">
        <v>8.1</v>
      </c>
      <c r="CA10" s="2">
        <v>3</v>
      </c>
      <c r="CB10" s="2">
        <v>3.8181036415723198E-9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21a</v>
      </c>
      <c r="J11" s="47">
        <f t="shared" ca="1" si="35"/>
        <v>6</v>
      </c>
      <c r="K11" s="19">
        <f t="shared" ca="1" si="36"/>
        <v>-9</v>
      </c>
      <c r="L11" s="116" t="str">
        <f t="shared" ca="1" si="1"/>
        <v>EW_sand_Ruled_70</v>
      </c>
      <c r="M11" s="105" t="str">
        <f t="shared" ca="1" si="2"/>
        <v>API sand</v>
      </c>
      <c r="N11" s="47">
        <f t="shared" ca="1" si="3"/>
        <v>9.8000000000000007</v>
      </c>
      <c r="O11" s="63">
        <f t="shared" ca="1" si="4"/>
        <v>0</v>
      </c>
      <c r="P11" s="63">
        <f t="shared" ca="1" si="5"/>
        <v>0</v>
      </c>
      <c r="Q11" s="47">
        <f t="shared" ca="1" si="6"/>
        <v>29</v>
      </c>
      <c r="R11" s="47">
        <f t="shared" ca="1" si="7"/>
        <v>24</v>
      </c>
      <c r="S11" s="47">
        <f t="shared" ca="1" si="8"/>
        <v>1.8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28000</v>
      </c>
      <c r="Y11" s="47">
        <f t="shared" ca="1" si="14"/>
        <v>0</v>
      </c>
      <c r="Z11" s="47">
        <f t="shared" ca="1" si="15"/>
        <v>78.199999999999974</v>
      </c>
      <c r="AA11" s="47">
        <f t="shared" ca="1" si="16"/>
        <v>1</v>
      </c>
      <c r="AB11" s="47">
        <f t="shared" ca="1" si="17"/>
        <v>4420</v>
      </c>
      <c r="AC11" s="63">
        <f t="shared" ca="1" si="18"/>
        <v>104000</v>
      </c>
      <c r="AD11" s="63">
        <f t="shared" ca="1" si="19"/>
        <v>2333.3333333333335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18.400000000000006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70</v>
      </c>
      <c r="AS11" s="33">
        <f t="shared" ca="1" si="34"/>
        <v>0.2</v>
      </c>
      <c r="AW11" s="2">
        <v>4.3</v>
      </c>
      <c r="AX11" s="2" t="s">
        <v>255</v>
      </c>
      <c r="AY11" s="130">
        <v>23.1</v>
      </c>
      <c r="AZ11" s="2">
        <v>20.2</v>
      </c>
      <c r="BA11" s="2">
        <v>18</v>
      </c>
      <c r="BB11" s="2">
        <v>28</v>
      </c>
      <c r="BC11" s="2">
        <v>5</v>
      </c>
      <c r="BD11" s="2">
        <v>0.3</v>
      </c>
      <c r="BE11" s="2">
        <v>1.2</v>
      </c>
      <c r="BF11" s="2">
        <v>1.7</v>
      </c>
      <c r="BG11" s="2">
        <v>2.2999999999999998</v>
      </c>
      <c r="BH11" s="2">
        <v>3.8</v>
      </c>
      <c r="BI11" s="2">
        <v>32</v>
      </c>
      <c r="BJ11" s="2">
        <v>72</v>
      </c>
      <c r="BK11" s="2">
        <v>90</v>
      </c>
      <c r="BL11" s="2">
        <v>109</v>
      </c>
      <c r="BM11" s="2">
        <v>148</v>
      </c>
      <c r="BN11" s="2"/>
      <c r="BO11" s="2"/>
      <c r="BP11" s="2"/>
      <c r="BQ11" s="2"/>
      <c r="BR11" s="2"/>
      <c r="BS11" s="2"/>
      <c r="BT11" s="2">
        <v>17</v>
      </c>
      <c r="BU11" s="2">
        <v>48</v>
      </c>
      <c r="BV11" s="2">
        <v>72</v>
      </c>
      <c r="BW11" s="2">
        <v>95</v>
      </c>
      <c r="BX11" s="2">
        <v>141</v>
      </c>
      <c r="BY11" s="2">
        <v>13.1</v>
      </c>
      <c r="BZ11" s="2">
        <v>8.1</v>
      </c>
      <c r="CA11" s="2">
        <v>3</v>
      </c>
      <c r="CB11" s="2">
        <v>3.8181036415723198E-9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21a</v>
      </c>
      <c r="J12" s="47">
        <f t="shared" ca="1" si="35"/>
        <v>7</v>
      </c>
      <c r="K12" s="19">
        <f t="shared" ca="1" si="36"/>
        <v>-12</v>
      </c>
      <c r="L12" s="116" t="str">
        <f t="shared" ca="1" si="1"/>
        <v>EW_sand_Ruled_72</v>
      </c>
      <c r="M12" s="105" t="str">
        <f t="shared" ca="1" si="2"/>
        <v>API sand</v>
      </c>
      <c r="N12" s="47">
        <f t="shared" ca="1" si="3"/>
        <v>9.8000000000000007</v>
      </c>
      <c r="O12" s="63">
        <f t="shared" ca="1" si="4"/>
        <v>0</v>
      </c>
      <c r="P12" s="63">
        <f t="shared" ca="1" si="5"/>
        <v>0</v>
      </c>
      <c r="Q12" s="47">
        <f t="shared" ca="1" si="6"/>
        <v>29</v>
      </c>
      <c r="R12" s="47">
        <f t="shared" ca="1" si="7"/>
        <v>24</v>
      </c>
      <c r="S12" s="47">
        <f t="shared" ca="1" si="8"/>
        <v>1.7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32000</v>
      </c>
      <c r="Y12" s="47">
        <f t="shared" ca="1" si="14"/>
        <v>0</v>
      </c>
      <c r="Z12" s="47">
        <f t="shared" ca="1" si="15"/>
        <v>78.199999999999974</v>
      </c>
      <c r="AA12" s="47">
        <f t="shared" ca="1" si="16"/>
        <v>1</v>
      </c>
      <c r="AB12" s="47">
        <f t="shared" ca="1" si="17"/>
        <v>4420</v>
      </c>
      <c r="AC12" s="63">
        <f t="shared" ca="1" si="18"/>
        <v>112000</v>
      </c>
      <c r="AD12" s="63">
        <f t="shared" ca="1" si="19"/>
        <v>8666.6666666666661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18.400000000000006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72</v>
      </c>
      <c r="AS12" s="33">
        <f t="shared" ca="1" si="34"/>
        <v>0.2</v>
      </c>
      <c r="AW12" s="2">
        <v>4.3</v>
      </c>
      <c r="AX12" s="2" t="s">
        <v>255</v>
      </c>
      <c r="AY12" s="130">
        <v>23.1</v>
      </c>
      <c r="AZ12" s="2">
        <v>20.2</v>
      </c>
      <c r="BA12" s="2">
        <v>18</v>
      </c>
      <c r="BB12" s="2">
        <v>28</v>
      </c>
      <c r="BC12" s="2">
        <v>5</v>
      </c>
      <c r="BD12" s="2">
        <v>0.3</v>
      </c>
      <c r="BE12" s="2">
        <v>1.2</v>
      </c>
      <c r="BF12" s="2">
        <v>1.7</v>
      </c>
      <c r="BG12" s="2">
        <v>2.2999999999999998</v>
      </c>
      <c r="BH12" s="2">
        <v>22</v>
      </c>
      <c r="BI12" s="2">
        <v>34</v>
      </c>
      <c r="BJ12" s="2">
        <v>73</v>
      </c>
      <c r="BK12" s="2">
        <v>91</v>
      </c>
      <c r="BL12" s="2">
        <v>110</v>
      </c>
      <c r="BM12" s="2">
        <v>149</v>
      </c>
      <c r="BN12" s="2"/>
      <c r="BO12" s="2"/>
      <c r="BP12" s="2"/>
      <c r="BQ12" s="2"/>
      <c r="BR12" s="2"/>
      <c r="BS12" s="2"/>
      <c r="BT12" s="2">
        <v>13</v>
      </c>
      <c r="BU12" s="2">
        <v>48</v>
      </c>
      <c r="BV12" s="2">
        <v>73</v>
      </c>
      <c r="BW12" s="2">
        <v>97</v>
      </c>
      <c r="BX12" s="2">
        <v>144</v>
      </c>
      <c r="BY12" s="2">
        <v>13.2</v>
      </c>
      <c r="BZ12" s="2">
        <v>6.9</v>
      </c>
      <c r="CA12" s="2">
        <v>3</v>
      </c>
      <c r="CB12" s="2">
        <v>1.4935272837886599E-10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21a</v>
      </c>
      <c r="J13" s="47">
        <f t="shared" ca="1" si="35"/>
        <v>8</v>
      </c>
      <c r="K13" s="19">
        <f t="shared" ca="1" si="36"/>
        <v>-15</v>
      </c>
      <c r="L13" s="116" t="str">
        <f t="shared" ca="1" si="1"/>
        <v>EW_sand_Ruled_43</v>
      </c>
      <c r="M13" s="105" t="str">
        <f t="shared" ca="1" si="2"/>
        <v>API sand</v>
      </c>
      <c r="N13" s="47">
        <f t="shared" ca="1" si="3"/>
        <v>9.8000000000000007</v>
      </c>
      <c r="O13" s="63">
        <f t="shared" ca="1" si="4"/>
        <v>0</v>
      </c>
      <c r="P13" s="63">
        <f t="shared" ca="1" si="5"/>
        <v>0</v>
      </c>
      <c r="Q13" s="47">
        <f t="shared" ca="1" si="6"/>
        <v>26</v>
      </c>
      <c r="R13" s="47">
        <f t="shared" ca="1" si="7"/>
        <v>21</v>
      </c>
      <c r="S13" s="47">
        <f t="shared" ca="1" si="8"/>
        <v>0.9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12800</v>
      </c>
      <c r="Y13" s="47">
        <f t="shared" ca="1" si="14"/>
        <v>0</v>
      </c>
      <c r="Z13" s="47">
        <f t="shared" ca="1" si="15"/>
        <v>69.799999999999983</v>
      </c>
      <c r="AA13" s="47">
        <f t="shared" ca="1" si="16"/>
        <v>1</v>
      </c>
      <c r="AB13" s="47">
        <f t="shared" ca="1" si="17"/>
        <v>3280</v>
      </c>
      <c r="AC13" s="63">
        <f t="shared" ca="1" si="18"/>
        <v>121000</v>
      </c>
      <c r="AD13" s="63">
        <f t="shared" ca="1" si="19"/>
        <v>-23846.153846153833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13.600000000000003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43</v>
      </c>
      <c r="AS13" s="33">
        <f t="shared" ca="1" si="34"/>
        <v>0.2</v>
      </c>
      <c r="AW13" s="2">
        <v>5.2</v>
      </c>
      <c r="AX13" s="2" t="s">
        <v>255</v>
      </c>
      <c r="AY13" s="130">
        <v>23.1</v>
      </c>
      <c r="AZ13" s="2">
        <v>20.2</v>
      </c>
      <c r="BA13" s="2">
        <v>18</v>
      </c>
      <c r="BB13" s="2">
        <v>28</v>
      </c>
      <c r="BC13" s="2">
        <v>5</v>
      </c>
      <c r="BD13" s="2">
        <v>0.1</v>
      </c>
      <c r="BE13" s="2">
        <v>1</v>
      </c>
      <c r="BF13" s="2">
        <v>1.6</v>
      </c>
      <c r="BG13" s="2">
        <v>2.1</v>
      </c>
      <c r="BH13" s="2">
        <v>22</v>
      </c>
      <c r="BI13" s="2">
        <v>24</v>
      </c>
      <c r="BJ13" s="2">
        <v>63</v>
      </c>
      <c r="BK13" s="2">
        <v>81</v>
      </c>
      <c r="BL13" s="2">
        <v>100</v>
      </c>
      <c r="BM13" s="2">
        <v>139</v>
      </c>
      <c r="BN13" s="2"/>
      <c r="BO13" s="2"/>
      <c r="BP13" s="2"/>
      <c r="BQ13" s="2"/>
      <c r="BR13" s="2"/>
      <c r="BS13" s="2"/>
      <c r="BT13" s="2">
        <v>5</v>
      </c>
      <c r="BU13" s="2">
        <v>40</v>
      </c>
      <c r="BV13" s="2">
        <v>64</v>
      </c>
      <c r="BW13" s="2">
        <v>88</v>
      </c>
      <c r="BX13" s="2">
        <v>136</v>
      </c>
      <c r="BY13" s="2">
        <v>13.2</v>
      </c>
      <c r="BZ13" s="2">
        <v>6.9</v>
      </c>
      <c r="CA13" s="2">
        <v>3</v>
      </c>
      <c r="CB13" s="2">
        <v>1.4935272837886599E-10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21c</v>
      </c>
      <c r="J14" s="47">
        <f t="shared" ca="1" si="35"/>
        <v>9</v>
      </c>
      <c r="K14" s="19">
        <f t="shared" ca="1" si="36"/>
        <v>-16.3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9.3000000000000007</v>
      </c>
      <c r="O14" s="63">
        <f t="shared" ca="1" si="4"/>
        <v>137</v>
      </c>
      <c r="P14" s="63">
        <f t="shared" ca="1" si="5"/>
        <v>-42.142857142857189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2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0.5</v>
      </c>
      <c r="X14" s="47">
        <f t="shared" ca="1" si="13"/>
        <v>10200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158000</v>
      </c>
      <c r="AD14" s="63">
        <f t="shared" ca="1" si="19"/>
        <v>-46428.571428571471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5.2</v>
      </c>
      <c r="AX14" s="2" t="s">
        <v>271</v>
      </c>
      <c r="AY14" s="130">
        <v>24.7</v>
      </c>
      <c r="AZ14" s="2">
        <v>19.8</v>
      </c>
      <c r="BA14" s="2"/>
      <c r="BB14" s="2">
        <v>11</v>
      </c>
      <c r="BC14" s="2"/>
      <c r="BD14" s="2">
        <v>12.9</v>
      </c>
      <c r="BE14" s="2">
        <v>17.100000000000001</v>
      </c>
      <c r="BF14" s="2">
        <v>17.8</v>
      </c>
      <c r="BG14" s="2">
        <v>18.399999999999999</v>
      </c>
      <c r="BH14" s="2">
        <v>22</v>
      </c>
      <c r="BI14" s="2"/>
      <c r="BJ14" s="2"/>
      <c r="BK14" s="2"/>
      <c r="BL14" s="2"/>
      <c r="BM14" s="2"/>
      <c r="BN14" s="2">
        <v>74</v>
      </c>
      <c r="BO14" s="2">
        <v>26</v>
      </c>
      <c r="BP14" s="2">
        <v>29</v>
      </c>
      <c r="BQ14" s="2">
        <v>32</v>
      </c>
      <c r="BR14" s="2">
        <v>34</v>
      </c>
      <c r="BS14" s="2">
        <v>38</v>
      </c>
      <c r="BT14" s="2">
        <v>8</v>
      </c>
      <c r="BU14" s="2">
        <v>62</v>
      </c>
      <c r="BV14" s="2">
        <v>84</v>
      </c>
      <c r="BW14" s="2">
        <v>107</v>
      </c>
      <c r="BX14" s="2">
        <v>161</v>
      </c>
      <c r="BY14" s="2">
        <v>28.4</v>
      </c>
      <c r="BZ14" s="2">
        <v>12</v>
      </c>
      <c r="CA14" s="2">
        <v>2.2000000000000002</v>
      </c>
      <c r="CB14" s="2">
        <v>1.0671262754836299E-5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23i</v>
      </c>
      <c r="J15" s="47">
        <f t="shared" ca="1" si="35"/>
        <v>10</v>
      </c>
      <c r="K15" s="19">
        <f t="shared" ca="1" si="36"/>
        <v>-17.7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8.3000000000000007</v>
      </c>
      <c r="O15" s="63">
        <f t="shared" ca="1" si="4"/>
        <v>151</v>
      </c>
      <c r="P15" s="63">
        <f t="shared" ca="1" si="5"/>
        <v>21.249999999999982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2.9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0.5</v>
      </c>
      <c r="X15" s="47">
        <f t="shared" ca="1" si="13"/>
        <v>16200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191000</v>
      </c>
      <c r="AD15" s="63">
        <f t="shared" ca="1" si="19"/>
        <v>26249.999999999975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9</v>
      </c>
      <c r="AX15" s="2" t="s">
        <v>271</v>
      </c>
      <c r="AY15" s="130">
        <v>24.7</v>
      </c>
      <c r="AZ15" s="2">
        <v>19.8</v>
      </c>
      <c r="BA15" s="2"/>
      <c r="BB15" s="2">
        <v>11</v>
      </c>
      <c r="BC15" s="2"/>
      <c r="BD15" s="2">
        <v>15.3</v>
      </c>
      <c r="BE15" s="2">
        <v>19.5</v>
      </c>
      <c r="BF15" s="2">
        <v>20.2</v>
      </c>
      <c r="BG15" s="2">
        <v>20.8</v>
      </c>
      <c r="BH15" s="2">
        <v>24.4</v>
      </c>
      <c r="BI15" s="2"/>
      <c r="BJ15" s="2"/>
      <c r="BK15" s="2"/>
      <c r="BL15" s="2"/>
      <c r="BM15" s="2"/>
      <c r="BN15" s="2">
        <v>74</v>
      </c>
      <c r="BO15" s="2">
        <v>26</v>
      </c>
      <c r="BP15" s="2">
        <v>29</v>
      </c>
      <c r="BQ15" s="2">
        <v>32</v>
      </c>
      <c r="BR15" s="2">
        <v>34</v>
      </c>
      <c r="BS15" s="2">
        <v>38</v>
      </c>
      <c r="BT15" s="2">
        <v>26</v>
      </c>
      <c r="BU15" s="2">
        <v>81</v>
      </c>
      <c r="BV15" s="2">
        <v>103</v>
      </c>
      <c r="BW15" s="2">
        <v>125</v>
      </c>
      <c r="BX15" s="2">
        <v>180</v>
      </c>
      <c r="BY15" s="2">
        <v>28.4</v>
      </c>
      <c r="BZ15" s="2">
        <v>12</v>
      </c>
      <c r="CA15" s="2">
        <v>2.2000000000000002</v>
      </c>
      <c r="CB15" s="2">
        <v>1.0671262754836299E-5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23i</v>
      </c>
      <c r="J16" s="47">
        <f t="shared" ca="1" si="35"/>
        <v>11</v>
      </c>
      <c r="K16" s="19">
        <f t="shared" ca="1" si="36"/>
        <v>-18.5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8.3000000000000007</v>
      </c>
      <c r="O16" s="63">
        <f t="shared" ca="1" si="4"/>
        <v>192</v>
      </c>
      <c r="P16" s="63">
        <f t="shared" ca="1" si="5"/>
        <v>15.739130434782609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3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0.5</v>
      </c>
      <c r="X16" s="47">
        <f t="shared" ca="1" si="13"/>
        <v>26800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247000</v>
      </c>
      <c r="AD16" s="63">
        <f t="shared" ca="1" si="19"/>
        <v>22695.652173913044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9</v>
      </c>
      <c r="AX16" s="2" t="s">
        <v>271</v>
      </c>
      <c r="AY16" s="130">
        <v>24.7</v>
      </c>
      <c r="AZ16" s="2">
        <v>19.8</v>
      </c>
      <c r="BA16" s="2"/>
      <c r="BB16" s="2">
        <v>11</v>
      </c>
      <c r="BC16" s="2"/>
      <c r="BD16" s="2">
        <v>17.399999999999999</v>
      </c>
      <c r="BE16" s="2">
        <v>19</v>
      </c>
      <c r="BF16" s="2">
        <v>19.3</v>
      </c>
      <c r="BG16" s="2">
        <v>19.8</v>
      </c>
      <c r="BH16" s="2">
        <v>22.2</v>
      </c>
      <c r="BI16" s="2"/>
      <c r="BJ16" s="2"/>
      <c r="BK16" s="2"/>
      <c r="BL16" s="2"/>
      <c r="BM16" s="2"/>
      <c r="BN16" s="2">
        <v>70</v>
      </c>
      <c r="BO16" s="2">
        <v>26</v>
      </c>
      <c r="BP16" s="2">
        <v>29</v>
      </c>
      <c r="BQ16" s="2">
        <v>31</v>
      </c>
      <c r="BR16" s="2">
        <v>34</v>
      </c>
      <c r="BS16" s="2">
        <v>38</v>
      </c>
      <c r="BT16" s="2">
        <v>17</v>
      </c>
      <c r="BU16" s="2">
        <v>79</v>
      </c>
      <c r="BV16" s="2">
        <v>104</v>
      </c>
      <c r="BW16" s="2">
        <v>130</v>
      </c>
      <c r="BX16" s="2">
        <v>192</v>
      </c>
      <c r="BY16" s="2">
        <v>28</v>
      </c>
      <c r="BZ16" s="2">
        <v>8.3000000000000007</v>
      </c>
      <c r="CA16" s="2">
        <v>1.8</v>
      </c>
      <c r="CB16" s="2">
        <v>3.5191522728406499E-6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23k</v>
      </c>
      <c r="J17" s="47">
        <f t="shared" ca="1" si="35"/>
        <v>12</v>
      </c>
      <c r="K17" s="19">
        <f t="shared" ca="1" si="36"/>
        <v>-30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8.5</v>
      </c>
      <c r="O17" s="63">
        <f t="shared" ca="1" si="4"/>
        <v>407</v>
      </c>
      <c r="P17" s="63">
        <f t="shared" ca="1" si="5"/>
        <v>35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3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38700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572000</v>
      </c>
      <c r="AD17" s="63">
        <f t="shared" ca="1" si="19"/>
        <v>53500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12</v>
      </c>
      <c r="AX17" s="2" t="s">
        <v>271</v>
      </c>
      <c r="AY17" s="130">
        <v>24.7</v>
      </c>
      <c r="AZ17" s="2">
        <v>19.8</v>
      </c>
      <c r="BA17" s="2"/>
      <c r="BB17" s="2">
        <v>11</v>
      </c>
      <c r="BC17" s="2"/>
      <c r="BD17" s="2">
        <v>15.3</v>
      </c>
      <c r="BE17" s="2">
        <v>16.899999999999999</v>
      </c>
      <c r="BF17" s="2">
        <v>17.2</v>
      </c>
      <c r="BG17" s="2">
        <v>17.7</v>
      </c>
      <c r="BH17" s="2">
        <v>20.100000000000001</v>
      </c>
      <c r="BI17" s="2"/>
      <c r="BJ17" s="2"/>
      <c r="BK17" s="2"/>
      <c r="BL17" s="2"/>
      <c r="BM17" s="2"/>
      <c r="BN17" s="2">
        <v>70</v>
      </c>
      <c r="BO17" s="2">
        <v>26</v>
      </c>
      <c r="BP17" s="2">
        <v>29</v>
      </c>
      <c r="BQ17" s="2">
        <v>31</v>
      </c>
      <c r="BR17" s="2">
        <v>34</v>
      </c>
      <c r="BS17" s="2">
        <v>38</v>
      </c>
      <c r="BT17" s="2">
        <v>23</v>
      </c>
      <c r="BU17" s="2">
        <v>86</v>
      </c>
      <c r="BV17" s="2">
        <v>111</v>
      </c>
      <c r="BW17" s="2">
        <v>136</v>
      </c>
      <c r="BX17" s="2">
        <v>199</v>
      </c>
      <c r="BY17" s="2">
        <v>28</v>
      </c>
      <c r="BZ17" s="2">
        <v>8.3000000000000007</v>
      </c>
      <c r="CA17" s="2">
        <v>1.8</v>
      </c>
      <c r="CB17" s="2">
        <v>3.5191522728406499E-6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23l</v>
      </c>
      <c r="J18" s="47">
        <f t="shared" ca="1" si="35"/>
        <v>13</v>
      </c>
      <c r="K18" s="19">
        <f t="shared" ca="1" si="36"/>
        <v>-32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8.8000000000000007</v>
      </c>
      <c r="O18" s="63">
        <f t="shared" ca="1" si="4"/>
        <v>502</v>
      </c>
      <c r="P18" s="63">
        <f t="shared" ca="1" si="5"/>
        <v>11.5625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3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0.25</v>
      </c>
      <c r="X18" s="47">
        <f t="shared" ca="1" si="13"/>
        <v>51300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727000</v>
      </c>
      <c r="AD18" s="63">
        <f t="shared" ca="1" si="19"/>
        <v>20437.5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12</v>
      </c>
      <c r="AX18" s="2" t="s">
        <v>271</v>
      </c>
      <c r="AY18" s="130">
        <v>24.7</v>
      </c>
      <c r="AZ18" s="2">
        <v>19.8</v>
      </c>
      <c r="BA18" s="2"/>
      <c r="BB18" s="2">
        <v>11</v>
      </c>
      <c r="BC18" s="2"/>
      <c r="BD18" s="2">
        <v>14</v>
      </c>
      <c r="BE18" s="2">
        <v>16.5</v>
      </c>
      <c r="BF18" s="2">
        <v>17</v>
      </c>
      <c r="BG18" s="2">
        <v>17.8</v>
      </c>
      <c r="BH18" s="2">
        <f>21.9+20</f>
        <v>41.9</v>
      </c>
      <c r="BI18" s="2"/>
      <c r="BJ18" s="2"/>
      <c r="BK18" s="2"/>
      <c r="BL18" s="2"/>
      <c r="BM18" s="2"/>
      <c r="BN18" s="2">
        <v>72</v>
      </c>
      <c r="BO18" s="2">
        <v>26</v>
      </c>
      <c r="BP18" s="2">
        <v>29</v>
      </c>
      <c r="BQ18" s="2">
        <v>31</v>
      </c>
      <c r="BR18" s="2">
        <v>34</v>
      </c>
      <c r="BS18" s="2">
        <v>38</v>
      </c>
      <c r="BT18" s="2">
        <v>12</v>
      </c>
      <c r="BU18" s="2">
        <v>82</v>
      </c>
      <c r="BV18" s="2">
        <v>112</v>
      </c>
      <c r="BW18" s="2">
        <v>141</v>
      </c>
      <c r="BX18" s="2">
        <v>213</v>
      </c>
      <c r="BY18" s="2">
        <v>32</v>
      </c>
      <c r="BZ18" s="2">
        <v>7.3</v>
      </c>
      <c r="CA18" s="2">
        <v>1.7</v>
      </c>
      <c r="CB18" s="2">
        <v>1.7802284598135799E-6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23m</v>
      </c>
      <c r="J19" s="47">
        <f t="shared" ca="1" si="35"/>
        <v>14</v>
      </c>
      <c r="K19" s="19">
        <f t="shared" ca="1" si="36"/>
        <v>-48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8.5</v>
      </c>
      <c r="O19" s="63">
        <f t="shared" ca="1" si="4"/>
        <v>731</v>
      </c>
      <c r="P19" s="63">
        <f t="shared" ca="1" si="5"/>
        <v>5.4285714285714288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3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0.25</v>
      </c>
      <c r="X19" s="47">
        <f t="shared" ca="1" si="13"/>
        <v>63500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1086000</v>
      </c>
      <c r="AD19" s="63">
        <f t="shared" ca="1" si="19"/>
        <v>17428.571428571428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15</v>
      </c>
      <c r="AX19" s="2" t="s">
        <v>271</v>
      </c>
      <c r="AY19" s="130">
        <v>24.7</v>
      </c>
      <c r="AZ19" s="2">
        <v>19.8</v>
      </c>
      <c r="BA19" s="2"/>
      <c r="BB19" s="2">
        <v>11</v>
      </c>
      <c r="BC19" s="2"/>
      <c r="BD19" s="2">
        <v>25.5</v>
      </c>
      <c r="BE19" s="2">
        <v>28</v>
      </c>
      <c r="BF19" s="2">
        <v>28.5</v>
      </c>
      <c r="BG19" s="2">
        <v>29.3</v>
      </c>
      <c r="BH19" s="2">
        <f>33.3+20</f>
        <v>53.3</v>
      </c>
      <c r="BI19" s="2"/>
      <c r="BJ19" s="2"/>
      <c r="BK19" s="2"/>
      <c r="BL19" s="2"/>
      <c r="BM19" s="2"/>
      <c r="BN19" s="2">
        <v>72</v>
      </c>
      <c r="BO19" s="2">
        <v>26</v>
      </c>
      <c r="BP19" s="2">
        <v>29</v>
      </c>
      <c r="BQ19" s="2">
        <v>31</v>
      </c>
      <c r="BR19" s="2">
        <v>34</v>
      </c>
      <c r="BS19" s="2">
        <v>38</v>
      </c>
      <c r="BT19" s="2">
        <v>38</v>
      </c>
      <c r="BU19" s="2">
        <v>109</v>
      </c>
      <c r="BV19" s="2">
        <v>138</v>
      </c>
      <c r="BW19" s="2">
        <v>167</v>
      </c>
      <c r="BX19" s="2">
        <v>239</v>
      </c>
      <c r="BY19" s="2">
        <v>32</v>
      </c>
      <c r="BZ19" s="2">
        <v>7.3</v>
      </c>
      <c r="CA19" s="2">
        <v>1.7</v>
      </c>
      <c r="CB19" s="2">
        <v>1.7802284598135799E-6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23o</v>
      </c>
      <c r="J20" s="47">
        <f t="shared" ca="1" si="35"/>
        <v>15</v>
      </c>
      <c r="K20" s="19">
        <f t="shared" ca="1" si="36"/>
        <v>-55</v>
      </c>
      <c r="L20" s="116" t="str">
        <f t="shared" ca="1" si="1"/>
        <v>Cowden Clay</v>
      </c>
      <c r="M20" s="105" t="str">
        <f t="shared" ca="1" si="2"/>
        <v>API clay</v>
      </c>
      <c r="N20" s="47">
        <f t="shared" ca="1" si="3"/>
        <v>8.6999999999999993</v>
      </c>
      <c r="O20" s="63">
        <f t="shared" ca="1" si="4"/>
        <v>806</v>
      </c>
      <c r="P20" s="63">
        <f t="shared" ca="1" si="5"/>
        <v>12.2</v>
      </c>
      <c r="Q20" s="47">
        <f t="shared" ca="1" si="6"/>
        <v>0</v>
      </c>
      <c r="R20" s="47" t="e">
        <f t="shared" ca="1" si="7"/>
        <v>#N/A</v>
      </c>
      <c r="S20" s="47">
        <f t="shared" ca="1" si="8"/>
        <v>3</v>
      </c>
      <c r="T20" s="47">
        <f t="shared" ca="1" si="9"/>
        <v>0</v>
      </c>
      <c r="U20" s="75">
        <f t="shared" ca="1" si="10"/>
        <v>1.7999999999999999E-2</v>
      </c>
      <c r="V20" s="75">
        <f t="shared" ca="1" si="11"/>
        <v>0</v>
      </c>
      <c r="W20" s="47">
        <f t="shared" ca="1" si="12"/>
        <v>0.25</v>
      </c>
      <c r="X20" s="47">
        <f t="shared" ca="1" si="13"/>
        <v>80400</v>
      </c>
      <c r="Y20" s="47">
        <f t="shared" ca="1" si="14"/>
        <v>0</v>
      </c>
      <c r="Z20" s="47" t="e">
        <f t="shared" ca="1" si="15"/>
        <v>#N/A</v>
      </c>
      <c r="AA20" s="47">
        <f t="shared" ca="1" si="16"/>
        <v>1</v>
      </c>
      <c r="AB20" s="47" t="e">
        <f t="shared" ca="1" si="17"/>
        <v>#N/A</v>
      </c>
      <c r="AC20" s="63">
        <f t="shared" ca="1" si="18"/>
        <v>1267000</v>
      </c>
      <c r="AD20" s="63">
        <f t="shared" ca="1" si="19"/>
        <v>23960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 t="e">
        <f t="shared" ca="1" si="25"/>
        <v>#N/A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0</v>
      </c>
      <c r="AS20" s="33">
        <f t="shared" ca="1" si="34"/>
        <v>0.4</v>
      </c>
      <c r="AW20" s="2">
        <v>15</v>
      </c>
      <c r="AX20" s="2" t="s">
        <v>271</v>
      </c>
      <c r="AY20" s="130">
        <v>24.7</v>
      </c>
      <c r="AZ20" s="2">
        <v>19.8</v>
      </c>
      <c r="BA20" s="2"/>
      <c r="BB20" s="2">
        <v>11</v>
      </c>
      <c r="BC20" s="2"/>
      <c r="BD20" s="2">
        <v>13.6</v>
      </c>
      <c r="BE20" s="2">
        <v>15.1</v>
      </c>
      <c r="BF20" s="2">
        <v>15.6</v>
      </c>
      <c r="BG20" s="2">
        <v>16.899999999999999</v>
      </c>
      <c r="BH20" s="2">
        <f>21.1+30</f>
        <v>51.1</v>
      </c>
      <c r="BI20" s="2"/>
      <c r="BJ20" s="2"/>
      <c r="BK20" s="2"/>
      <c r="BL20" s="2"/>
      <c r="BM20" s="2"/>
      <c r="BN20" s="2">
        <v>43</v>
      </c>
      <c r="BO20" s="2">
        <v>26</v>
      </c>
      <c r="BP20" s="2">
        <v>26</v>
      </c>
      <c r="BQ20" s="2">
        <v>29</v>
      </c>
      <c r="BR20" s="2">
        <v>31</v>
      </c>
      <c r="BS20" s="2">
        <v>35</v>
      </c>
      <c r="BT20" s="2">
        <v>47</v>
      </c>
      <c r="BU20" s="2">
        <v>96</v>
      </c>
      <c r="BV20" s="2">
        <v>121</v>
      </c>
      <c r="BW20" s="2">
        <v>146</v>
      </c>
      <c r="BX20" s="2">
        <v>208</v>
      </c>
      <c r="BY20" s="2">
        <v>12.8</v>
      </c>
      <c r="BZ20" s="2">
        <v>2.8</v>
      </c>
      <c r="CA20" s="2">
        <v>0.9</v>
      </c>
      <c r="CB20" s="2">
        <v>1.2120439114763101E-8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16.3</v>
      </c>
      <c r="AX21" s="2" t="s">
        <v>271</v>
      </c>
      <c r="AY21" s="130">
        <v>24.7</v>
      </c>
      <c r="AZ21" s="2">
        <v>19.8</v>
      </c>
      <c r="BA21" s="2"/>
      <c r="BB21" s="2">
        <v>11</v>
      </c>
      <c r="BC21" s="2"/>
      <c r="BD21" s="2">
        <v>1.4</v>
      </c>
      <c r="BE21" s="2">
        <v>2.9</v>
      </c>
      <c r="BF21" s="2">
        <v>3.4</v>
      </c>
      <c r="BG21" s="2">
        <v>4.7</v>
      </c>
      <c r="BH21" s="2">
        <f>8.9+30</f>
        <v>38.9</v>
      </c>
      <c r="BI21" s="2"/>
      <c r="BJ21" s="2"/>
      <c r="BK21" s="2"/>
      <c r="BL21" s="2"/>
      <c r="BM21" s="2"/>
      <c r="BN21" s="2">
        <v>43</v>
      </c>
      <c r="BO21" s="2">
        <v>26</v>
      </c>
      <c r="BP21" s="2">
        <v>26</v>
      </c>
      <c r="BQ21" s="2">
        <v>29</v>
      </c>
      <c r="BR21" s="2">
        <v>31</v>
      </c>
      <c r="BS21" s="2">
        <v>35</v>
      </c>
      <c r="BT21" s="2">
        <v>16</v>
      </c>
      <c r="BU21" s="2">
        <v>65</v>
      </c>
      <c r="BV21" s="2">
        <v>90</v>
      </c>
      <c r="BW21" s="2">
        <v>115</v>
      </c>
      <c r="BX21" s="2">
        <v>177</v>
      </c>
      <c r="BY21" s="2">
        <v>12.8</v>
      </c>
      <c r="BZ21" s="2">
        <v>2.8</v>
      </c>
      <c r="CA21" s="2">
        <v>0.9</v>
      </c>
      <c r="CB21" s="2">
        <v>1.2120439114763101E-8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16.3</v>
      </c>
      <c r="AX22" s="2" t="s">
        <v>216</v>
      </c>
      <c r="AY22" s="130">
        <v>31.7</v>
      </c>
      <c r="AZ22" s="2">
        <v>19.3</v>
      </c>
      <c r="BA22" s="2">
        <v>20</v>
      </c>
      <c r="BB22" s="2">
        <v>45</v>
      </c>
      <c r="BC22" s="2">
        <v>4</v>
      </c>
      <c r="BD22" s="2">
        <v>2.7</v>
      </c>
      <c r="BE22" s="2">
        <v>3.2</v>
      </c>
      <c r="BF22" s="2">
        <v>3.3</v>
      </c>
      <c r="BG22" s="2">
        <v>3.6</v>
      </c>
      <c r="BH22" s="2">
        <v>4.2</v>
      </c>
      <c r="BI22" s="2">
        <v>84</v>
      </c>
      <c r="BJ22" s="2">
        <v>137</v>
      </c>
      <c r="BK22" s="2">
        <v>167</v>
      </c>
      <c r="BL22" s="2">
        <v>197</v>
      </c>
      <c r="BM22" s="2">
        <v>267</v>
      </c>
      <c r="BN22" s="2"/>
      <c r="BO22" s="2"/>
      <c r="BP22" s="2"/>
      <c r="BQ22" s="2"/>
      <c r="BR22" s="2"/>
      <c r="BS22" s="2"/>
      <c r="BT22" s="2">
        <v>83</v>
      </c>
      <c r="BU22" s="2">
        <v>114</v>
      </c>
      <c r="BV22" s="2">
        <v>158</v>
      </c>
      <c r="BW22" s="2">
        <v>203</v>
      </c>
      <c r="BX22" s="2">
        <v>297</v>
      </c>
      <c r="BY22" s="2">
        <v>10.199999999999999</v>
      </c>
      <c r="BZ22" s="2">
        <v>4.5</v>
      </c>
      <c r="CA22" s="2">
        <v>2</v>
      </c>
      <c r="CB22" s="2">
        <v>1.2503432326419399E-10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17.7</v>
      </c>
      <c r="AX23" s="2" t="s">
        <v>216</v>
      </c>
      <c r="AY23" s="130">
        <v>31.7</v>
      </c>
      <c r="AZ23" s="2">
        <v>19.3</v>
      </c>
      <c r="BA23" s="2">
        <v>20</v>
      </c>
      <c r="BB23" s="2">
        <v>45</v>
      </c>
      <c r="BC23" s="2">
        <v>4</v>
      </c>
      <c r="BD23" s="2">
        <v>1.6</v>
      </c>
      <c r="BE23" s="2">
        <v>2.1</v>
      </c>
      <c r="BF23" s="2">
        <v>2.2999999999999998</v>
      </c>
      <c r="BG23" s="2">
        <v>2.5</v>
      </c>
      <c r="BH23" s="2">
        <v>3.1</v>
      </c>
      <c r="BI23" s="2">
        <v>24</v>
      </c>
      <c r="BJ23" s="2">
        <v>78</v>
      </c>
      <c r="BK23" s="2">
        <v>107</v>
      </c>
      <c r="BL23" s="2">
        <v>138</v>
      </c>
      <c r="BM23" s="2">
        <v>208</v>
      </c>
      <c r="BN23" s="2"/>
      <c r="BO23" s="2"/>
      <c r="BP23" s="2"/>
      <c r="BQ23" s="2"/>
      <c r="BR23" s="2"/>
      <c r="BS23" s="2"/>
      <c r="BT23" s="2">
        <v>17</v>
      </c>
      <c r="BU23" s="2">
        <v>48</v>
      </c>
      <c r="BV23" s="2">
        <v>93</v>
      </c>
      <c r="BW23" s="2">
        <v>138</v>
      </c>
      <c r="BX23" s="2">
        <v>231</v>
      </c>
      <c r="BY23" s="2">
        <v>10.199999999999999</v>
      </c>
      <c r="BZ23" s="2">
        <v>4.5</v>
      </c>
      <c r="CA23" s="2">
        <v>2</v>
      </c>
      <c r="CB23" s="2">
        <v>1.2503432326419399E-10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17.7</v>
      </c>
      <c r="AX24" s="2" t="s">
        <v>218</v>
      </c>
      <c r="AY24" s="130">
        <v>37</v>
      </c>
      <c r="AZ24" s="2">
        <v>18.3</v>
      </c>
      <c r="BA24" s="2">
        <v>59</v>
      </c>
      <c r="BB24" s="2">
        <v>77</v>
      </c>
      <c r="BC24" s="2">
        <v>3</v>
      </c>
      <c r="BD24" s="2">
        <v>3.5</v>
      </c>
      <c r="BE24" s="2">
        <v>3.9</v>
      </c>
      <c r="BF24" s="2">
        <v>4.0999999999999996</v>
      </c>
      <c r="BG24" s="2">
        <v>4.2</v>
      </c>
      <c r="BH24" s="2">
        <v>20</v>
      </c>
      <c r="BI24" s="2">
        <v>82</v>
      </c>
      <c r="BJ24" s="2">
        <v>151</v>
      </c>
      <c r="BK24" s="2">
        <v>185</v>
      </c>
      <c r="BL24" s="2">
        <v>219</v>
      </c>
      <c r="BM24" s="2">
        <v>288</v>
      </c>
      <c r="BN24" s="2"/>
      <c r="BO24" s="2"/>
      <c r="BP24" s="2"/>
      <c r="BQ24" s="2"/>
      <c r="BR24" s="2"/>
      <c r="BS24" s="2"/>
      <c r="BT24" s="2">
        <v>17</v>
      </c>
      <c r="BU24" s="2">
        <v>121</v>
      </c>
      <c r="BV24" s="2">
        <v>191</v>
      </c>
      <c r="BW24" s="2">
        <v>261</v>
      </c>
      <c r="BX24" s="2">
        <v>401</v>
      </c>
      <c r="BY24" s="2">
        <v>16.2</v>
      </c>
      <c r="BZ24" s="2">
        <v>6.8</v>
      </c>
      <c r="CA24" s="2">
        <v>2.9</v>
      </c>
      <c r="CB24" s="2">
        <v>3.9239366634270301E-10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18.5</v>
      </c>
      <c r="AX25" s="2" t="s">
        <v>218</v>
      </c>
      <c r="AY25" s="130">
        <v>37</v>
      </c>
      <c r="AZ25" s="2">
        <v>18.3</v>
      </c>
      <c r="BA25" s="2">
        <v>59</v>
      </c>
      <c r="BB25" s="2">
        <v>77</v>
      </c>
      <c r="BC25" s="2">
        <v>3</v>
      </c>
      <c r="BD25" s="2">
        <v>3.9</v>
      </c>
      <c r="BE25" s="2">
        <v>4.2</v>
      </c>
      <c r="BF25" s="2">
        <v>4.4000000000000004</v>
      </c>
      <c r="BG25" s="2">
        <v>4.5999999999999996</v>
      </c>
      <c r="BH25" s="2">
        <v>20</v>
      </c>
      <c r="BI25" s="2">
        <v>99</v>
      </c>
      <c r="BJ25" s="2">
        <v>168</v>
      </c>
      <c r="BK25" s="2">
        <v>202</v>
      </c>
      <c r="BL25" s="2">
        <v>237</v>
      </c>
      <c r="BM25" s="2">
        <v>305</v>
      </c>
      <c r="BN25" s="2"/>
      <c r="BO25" s="2"/>
      <c r="BP25" s="2"/>
      <c r="BQ25" s="2"/>
      <c r="BR25" s="2"/>
      <c r="BS25" s="2"/>
      <c r="BT25" s="2">
        <v>38</v>
      </c>
      <c r="BU25" s="2">
        <v>142</v>
      </c>
      <c r="BV25" s="2">
        <v>212</v>
      </c>
      <c r="BW25" s="2">
        <v>282</v>
      </c>
      <c r="BX25" s="2">
        <v>422</v>
      </c>
      <c r="BY25" s="2">
        <v>16.2</v>
      </c>
      <c r="BZ25" s="2">
        <v>6.8</v>
      </c>
      <c r="CA25" s="2">
        <v>2.9</v>
      </c>
      <c r="CB25" s="2">
        <v>3.9239366634270301E-10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18.5</v>
      </c>
      <c r="AX26" s="2" t="s">
        <v>218</v>
      </c>
      <c r="AY26" s="130">
        <v>37</v>
      </c>
      <c r="AZ26" s="2">
        <v>18.3</v>
      </c>
      <c r="BA26" s="2">
        <v>59</v>
      </c>
      <c r="BB26" s="2">
        <v>77</v>
      </c>
      <c r="BC26" s="2">
        <v>3</v>
      </c>
      <c r="BD26" s="2">
        <v>4</v>
      </c>
      <c r="BE26" s="2">
        <v>4.9000000000000004</v>
      </c>
      <c r="BF26" s="2">
        <v>5.0999999999999996</v>
      </c>
      <c r="BG26" s="2">
        <v>5.2</v>
      </c>
      <c r="BH26" s="2">
        <v>6</v>
      </c>
      <c r="BI26" s="2">
        <v>99</v>
      </c>
      <c r="BJ26" s="2">
        <v>192</v>
      </c>
      <c r="BK26" s="2">
        <v>234</v>
      </c>
      <c r="BL26" s="2">
        <v>277</v>
      </c>
      <c r="BM26" s="2">
        <v>369</v>
      </c>
      <c r="BN26" s="2"/>
      <c r="BO26" s="2"/>
      <c r="BP26" s="2"/>
      <c r="BQ26" s="2"/>
      <c r="BR26" s="2"/>
      <c r="BS26" s="2"/>
      <c r="BT26" s="2">
        <v>18</v>
      </c>
      <c r="BU26" s="2">
        <v>162</v>
      </c>
      <c r="BV26" s="2">
        <v>247</v>
      </c>
      <c r="BW26" s="2">
        <v>332</v>
      </c>
      <c r="BX26" s="2">
        <v>507</v>
      </c>
      <c r="BY26" s="2">
        <v>26.8</v>
      </c>
      <c r="BZ26" s="2">
        <v>8.4</v>
      </c>
      <c r="CA26" s="2">
        <v>3</v>
      </c>
      <c r="CB26" s="2">
        <v>6.7089238539735505E-10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30</v>
      </c>
      <c r="AX27" s="2" t="s">
        <v>218</v>
      </c>
      <c r="AY27" s="130">
        <v>37</v>
      </c>
      <c r="AZ27" s="2">
        <v>18.3</v>
      </c>
      <c r="BA27" s="2">
        <v>59</v>
      </c>
      <c r="BB27" s="2">
        <v>77</v>
      </c>
      <c r="BC27" s="2">
        <v>3</v>
      </c>
      <c r="BD27" s="2">
        <v>7.9</v>
      </c>
      <c r="BE27" s="2">
        <v>8.8000000000000007</v>
      </c>
      <c r="BF27" s="2">
        <v>8.9</v>
      </c>
      <c r="BG27" s="2">
        <v>9</v>
      </c>
      <c r="BH27" s="2">
        <v>9.8000000000000007</v>
      </c>
      <c r="BI27" s="2">
        <v>280</v>
      </c>
      <c r="BJ27" s="2">
        <v>373</v>
      </c>
      <c r="BK27" s="2">
        <v>415</v>
      </c>
      <c r="BL27" s="2">
        <v>458</v>
      </c>
      <c r="BM27" s="2">
        <v>550</v>
      </c>
      <c r="BN27" s="2"/>
      <c r="BO27" s="2"/>
      <c r="BP27" s="2"/>
      <c r="BQ27" s="2"/>
      <c r="BR27" s="2"/>
      <c r="BS27" s="2"/>
      <c r="BT27" s="2">
        <v>279</v>
      </c>
      <c r="BU27" s="2">
        <v>423</v>
      </c>
      <c r="BV27" s="2">
        <v>508</v>
      </c>
      <c r="BW27" s="2">
        <v>592</v>
      </c>
      <c r="BX27" s="2">
        <v>768</v>
      </c>
      <c r="BY27" s="2">
        <v>26.8</v>
      </c>
      <c r="BZ27" s="2">
        <v>8.4</v>
      </c>
      <c r="CA27" s="2">
        <v>3</v>
      </c>
      <c r="CB27" s="2">
        <v>6.7089238539735505E-10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30</v>
      </c>
      <c r="AX28" s="2" t="s">
        <v>219</v>
      </c>
      <c r="AY28" s="130">
        <v>37</v>
      </c>
      <c r="AZ28" s="2">
        <v>18.5</v>
      </c>
      <c r="BA28" s="2">
        <v>42</v>
      </c>
      <c r="BB28" s="2">
        <v>63</v>
      </c>
      <c r="BC28" s="2">
        <v>3</v>
      </c>
      <c r="BD28" s="2">
        <v>8.3000000000000007</v>
      </c>
      <c r="BE28" s="2">
        <v>9.4</v>
      </c>
      <c r="BF28" s="2">
        <v>9.6</v>
      </c>
      <c r="BG28" s="2">
        <v>10</v>
      </c>
      <c r="BH28" s="2">
        <v>11.1</v>
      </c>
      <c r="BI28" s="2">
        <v>308</v>
      </c>
      <c r="BJ28" s="2">
        <v>407</v>
      </c>
      <c r="BK28" s="2">
        <v>452</v>
      </c>
      <c r="BL28" s="2">
        <v>499</v>
      </c>
      <c r="BM28" s="2">
        <v>602</v>
      </c>
      <c r="BN28" s="2"/>
      <c r="BO28" s="2"/>
      <c r="BP28" s="2"/>
      <c r="BQ28" s="2"/>
      <c r="BR28" s="2"/>
      <c r="BS28" s="2"/>
      <c r="BT28" s="2">
        <v>293</v>
      </c>
      <c r="BU28" s="2">
        <v>482</v>
      </c>
      <c r="BV28" s="2">
        <v>572</v>
      </c>
      <c r="BW28" s="2">
        <v>662</v>
      </c>
      <c r="BX28" s="2">
        <v>857</v>
      </c>
      <c r="BY28" s="2">
        <v>38.700000000000003</v>
      </c>
      <c r="BZ28" s="2">
        <v>10.199999999999999</v>
      </c>
      <c r="CA28" s="2">
        <v>3</v>
      </c>
      <c r="CB28" s="2">
        <v>1.2875664019672601E-9</v>
      </c>
      <c r="CC28" s="2">
        <v>1.8</v>
      </c>
    </row>
    <row r="29" spans="1:81" x14ac:dyDescent="0.25">
      <c r="A29" s="66"/>
      <c r="B29" s="66"/>
      <c r="C29" s="67"/>
      <c r="D29" s="35"/>
      <c r="AW29" s="2">
        <v>32</v>
      </c>
      <c r="AX29" s="2" t="s">
        <v>219</v>
      </c>
      <c r="AY29" s="130">
        <v>37</v>
      </c>
      <c r="AZ29" s="2">
        <v>18.5</v>
      </c>
      <c r="BA29" s="2">
        <v>42</v>
      </c>
      <c r="BB29" s="2">
        <v>63</v>
      </c>
      <c r="BC29" s="2">
        <v>3</v>
      </c>
      <c r="BD29" s="2">
        <v>9.8000000000000007</v>
      </c>
      <c r="BE29" s="2">
        <v>10.8</v>
      </c>
      <c r="BF29" s="2">
        <v>11.1</v>
      </c>
      <c r="BG29" s="2">
        <v>11.4</v>
      </c>
      <c r="BH29" s="2">
        <v>12.5</v>
      </c>
      <c r="BI29" s="2">
        <v>377</v>
      </c>
      <c r="BJ29" s="2">
        <v>477</v>
      </c>
      <c r="BK29" s="2">
        <v>522</v>
      </c>
      <c r="BL29" s="2">
        <v>569</v>
      </c>
      <c r="BM29" s="2">
        <v>672</v>
      </c>
      <c r="BN29" s="2"/>
      <c r="BO29" s="2"/>
      <c r="BP29" s="2"/>
      <c r="BQ29" s="2"/>
      <c r="BR29" s="2"/>
      <c r="BS29" s="2"/>
      <c r="BT29" s="2">
        <v>400</v>
      </c>
      <c r="BU29" s="2">
        <v>590</v>
      </c>
      <c r="BV29" s="2">
        <v>679</v>
      </c>
      <c r="BW29" s="2">
        <v>770</v>
      </c>
      <c r="BX29" s="2">
        <v>964</v>
      </c>
      <c r="BY29" s="2">
        <v>38.700000000000003</v>
      </c>
      <c r="BZ29" s="2">
        <v>10.199999999999999</v>
      </c>
      <c r="CA29" s="2">
        <v>3</v>
      </c>
      <c r="CB29" s="2">
        <v>1.2875664019672601E-9</v>
      </c>
      <c r="CC29" s="2">
        <v>1.8</v>
      </c>
    </row>
    <row r="30" spans="1:81" x14ac:dyDescent="0.25">
      <c r="A30" s="66"/>
      <c r="B30" s="66"/>
      <c r="C30" s="67"/>
      <c r="D30" s="35"/>
      <c r="AW30" s="2">
        <v>32</v>
      </c>
      <c r="AX30" s="2" t="s">
        <v>220</v>
      </c>
      <c r="AY30" s="130">
        <v>29.5</v>
      </c>
      <c r="AZ30" s="2">
        <v>18.8</v>
      </c>
      <c r="BA30" s="2">
        <v>48</v>
      </c>
      <c r="BB30" s="2">
        <v>77</v>
      </c>
      <c r="BC30" s="2">
        <v>3</v>
      </c>
      <c r="BD30" s="2">
        <v>1.2</v>
      </c>
      <c r="BE30" s="2">
        <v>9.5</v>
      </c>
      <c r="BF30" s="2">
        <v>11.5</v>
      </c>
      <c r="BG30" s="2">
        <v>27.8</v>
      </c>
      <c r="BH30" s="2">
        <v>78</v>
      </c>
      <c r="BI30" s="2">
        <v>416</v>
      </c>
      <c r="BJ30" s="2">
        <v>502</v>
      </c>
      <c r="BK30" s="2">
        <v>545</v>
      </c>
      <c r="BL30" s="2">
        <v>589</v>
      </c>
      <c r="BM30" s="2">
        <v>675</v>
      </c>
      <c r="BN30" s="2"/>
      <c r="BO30" s="2"/>
      <c r="BP30" s="2"/>
      <c r="BQ30" s="2"/>
      <c r="BR30" s="2"/>
      <c r="BS30" s="2"/>
      <c r="BT30" s="2">
        <v>468</v>
      </c>
      <c r="BU30" s="2">
        <v>640</v>
      </c>
      <c r="BV30" s="2">
        <v>727</v>
      </c>
      <c r="BW30" s="2">
        <v>814</v>
      </c>
      <c r="BX30" s="2">
        <v>986</v>
      </c>
      <c r="BY30" s="2">
        <v>51.3</v>
      </c>
      <c r="BZ30" s="2">
        <v>10.6</v>
      </c>
      <c r="CA30" s="2">
        <v>3</v>
      </c>
      <c r="CB30" s="2">
        <v>3.8048418598435099E-12</v>
      </c>
      <c r="CC30" s="2">
        <v>1.8</v>
      </c>
    </row>
    <row r="31" spans="1:81" x14ac:dyDescent="0.25">
      <c r="A31" s="66"/>
      <c r="B31" s="66"/>
      <c r="C31" s="67"/>
      <c r="D31" s="35"/>
      <c r="AW31" s="2">
        <v>48</v>
      </c>
      <c r="AX31" s="2" t="s">
        <v>220</v>
      </c>
      <c r="AY31" s="130">
        <v>29.5</v>
      </c>
      <c r="AZ31" s="2">
        <v>18.8</v>
      </c>
      <c r="BA31" s="2">
        <v>48</v>
      </c>
      <c r="BB31" s="2">
        <v>77</v>
      </c>
      <c r="BC31" s="2">
        <v>3</v>
      </c>
      <c r="BD31" s="2">
        <v>5.0999999999999996</v>
      </c>
      <c r="BE31" s="2">
        <v>13.5</v>
      </c>
      <c r="BF31" s="2">
        <v>15.5</v>
      </c>
      <c r="BG31" s="2">
        <v>31.7</v>
      </c>
      <c r="BH31" s="2">
        <v>82</v>
      </c>
      <c r="BI31" s="2">
        <v>601</v>
      </c>
      <c r="BJ31" s="2">
        <v>687</v>
      </c>
      <c r="BK31" s="2">
        <v>730</v>
      </c>
      <c r="BL31" s="2">
        <v>774</v>
      </c>
      <c r="BM31" s="2">
        <v>860</v>
      </c>
      <c r="BN31" s="2"/>
      <c r="BO31" s="2"/>
      <c r="BP31" s="2"/>
      <c r="BQ31" s="2"/>
      <c r="BR31" s="2"/>
      <c r="BS31" s="2"/>
      <c r="BT31" s="2">
        <v>795</v>
      </c>
      <c r="BU31" s="2">
        <v>967</v>
      </c>
      <c r="BV31" s="2">
        <v>1054</v>
      </c>
      <c r="BW31" s="2">
        <v>1141</v>
      </c>
      <c r="BX31" s="2">
        <v>1313</v>
      </c>
      <c r="BY31" s="2">
        <v>51.3</v>
      </c>
      <c r="BZ31" s="2">
        <v>10.6</v>
      </c>
      <c r="CA31" s="2">
        <v>3</v>
      </c>
      <c r="CB31" s="2">
        <v>3.8048418598435099E-12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48</v>
      </c>
      <c r="AX32" s="2" t="s">
        <v>221</v>
      </c>
      <c r="AY32" s="130">
        <v>36.1</v>
      </c>
      <c r="AZ32" s="2">
        <v>18.5</v>
      </c>
      <c r="BA32" s="2">
        <v>21</v>
      </c>
      <c r="BB32" s="2">
        <v>72</v>
      </c>
      <c r="BC32" s="2">
        <v>3</v>
      </c>
      <c r="BD32" s="2">
        <v>1.8</v>
      </c>
      <c r="BE32" s="2">
        <v>11.4</v>
      </c>
      <c r="BF32" s="2">
        <v>16.100000000000001</v>
      </c>
      <c r="BG32" s="2">
        <v>34.9</v>
      </c>
      <c r="BH32" s="2">
        <v>93</v>
      </c>
      <c r="BI32" s="2">
        <v>620</v>
      </c>
      <c r="BJ32" s="2">
        <v>731</v>
      </c>
      <c r="BK32" s="2">
        <v>785</v>
      </c>
      <c r="BL32" s="2">
        <v>832</v>
      </c>
      <c r="BM32" s="2">
        <v>927</v>
      </c>
      <c r="BN32" s="2"/>
      <c r="BO32" s="2"/>
      <c r="BP32" s="2"/>
      <c r="BQ32" s="2"/>
      <c r="BR32" s="2"/>
      <c r="BS32" s="2"/>
      <c r="BT32" s="2">
        <v>828</v>
      </c>
      <c r="BU32" s="2">
        <v>1000</v>
      </c>
      <c r="BV32" s="2">
        <v>1086</v>
      </c>
      <c r="BW32" s="2">
        <v>1173</v>
      </c>
      <c r="BX32" s="2">
        <v>1345</v>
      </c>
      <c r="BY32" s="2">
        <v>63.5</v>
      </c>
      <c r="BZ32" s="2">
        <v>10.199999999999999</v>
      </c>
      <c r="CA32" s="2">
        <v>3</v>
      </c>
      <c r="CB32" s="2">
        <v>4.0173282142754604E-12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55</v>
      </c>
      <c r="AX33" s="2" t="s">
        <v>221</v>
      </c>
      <c r="AY33" s="130">
        <v>36.1</v>
      </c>
      <c r="AZ33" s="2">
        <v>18.5</v>
      </c>
      <c r="BA33" s="2">
        <v>21</v>
      </c>
      <c r="BB33" s="2">
        <v>72</v>
      </c>
      <c r="BC33" s="2">
        <v>3</v>
      </c>
      <c r="BD33" s="2">
        <v>3.2</v>
      </c>
      <c r="BE33" s="2">
        <v>12.8</v>
      </c>
      <c r="BF33" s="2">
        <v>17.5</v>
      </c>
      <c r="BG33" s="2">
        <v>36.299999999999997</v>
      </c>
      <c r="BH33" s="2">
        <v>94.4</v>
      </c>
      <c r="BI33" s="2">
        <v>658</v>
      </c>
      <c r="BJ33" s="2">
        <v>769</v>
      </c>
      <c r="BK33" s="2">
        <v>823</v>
      </c>
      <c r="BL33" s="2">
        <v>870</v>
      </c>
      <c r="BM33" s="2">
        <v>965</v>
      </c>
      <c r="BN33" s="2"/>
      <c r="BO33" s="2"/>
      <c r="BP33" s="2"/>
      <c r="BQ33" s="2"/>
      <c r="BR33" s="2"/>
      <c r="BS33" s="2"/>
      <c r="BT33" s="2">
        <v>949</v>
      </c>
      <c r="BU33" s="2">
        <v>1121</v>
      </c>
      <c r="BV33" s="2">
        <v>1208</v>
      </c>
      <c r="BW33" s="2">
        <v>1294</v>
      </c>
      <c r="BX33" s="2">
        <v>1466</v>
      </c>
      <c r="BY33" s="2">
        <v>63.5</v>
      </c>
      <c r="BZ33" s="2">
        <v>10.199999999999999</v>
      </c>
      <c r="CA33" s="2">
        <v>3</v>
      </c>
      <c r="CB33" s="2">
        <v>4.0173282142754604E-12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55</v>
      </c>
      <c r="AX34" s="2" t="s">
        <v>310</v>
      </c>
      <c r="AY34" s="130">
        <v>34.1</v>
      </c>
      <c r="AZ34" s="2">
        <v>18.7</v>
      </c>
      <c r="BA34" s="2">
        <v>53</v>
      </c>
      <c r="BB34" s="2">
        <v>52</v>
      </c>
      <c r="BC34" s="2">
        <v>3</v>
      </c>
      <c r="BD34" s="2">
        <v>2</v>
      </c>
      <c r="BE34" s="2">
        <v>15.3</v>
      </c>
      <c r="BF34" s="2">
        <v>18.100000000000001</v>
      </c>
      <c r="BG34" s="2">
        <v>43.8</v>
      </c>
      <c r="BH34" s="2">
        <v>123.5</v>
      </c>
      <c r="BI34" s="2">
        <v>720</v>
      </c>
      <c r="BJ34" s="2">
        <v>806</v>
      </c>
      <c r="BK34" s="2">
        <v>849</v>
      </c>
      <c r="BL34" s="2">
        <v>893</v>
      </c>
      <c r="BM34" s="2">
        <v>979</v>
      </c>
      <c r="BN34" s="2"/>
      <c r="BO34" s="2"/>
      <c r="BP34" s="2"/>
      <c r="BQ34" s="2"/>
      <c r="BR34" s="2"/>
      <c r="BS34" s="2"/>
      <c r="BT34" s="2">
        <v>1008</v>
      </c>
      <c r="BU34" s="2">
        <v>1180</v>
      </c>
      <c r="BV34" s="2">
        <v>1267</v>
      </c>
      <c r="BW34" s="2">
        <v>1354</v>
      </c>
      <c r="BX34" s="2">
        <v>1526</v>
      </c>
      <c r="BY34" s="2">
        <v>80.400000000000006</v>
      </c>
      <c r="BZ34" s="2">
        <v>10</v>
      </c>
      <c r="CA34" s="2">
        <v>3</v>
      </c>
      <c r="CB34" s="2">
        <v>4.23334633437418E-12</v>
      </c>
      <c r="CC34" s="2">
        <v>1.8</v>
      </c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80</v>
      </c>
      <c r="AX35" s="2" t="s">
        <v>310</v>
      </c>
      <c r="AY35" s="130">
        <v>34.1</v>
      </c>
      <c r="AZ35" s="2">
        <v>18.7</v>
      </c>
      <c r="BA35" s="2">
        <v>53</v>
      </c>
      <c r="BB35" s="2">
        <v>52</v>
      </c>
      <c r="BC35" s="2">
        <v>3</v>
      </c>
      <c r="BD35" s="2">
        <v>8.5</v>
      </c>
      <c r="BE35" s="2">
        <v>21.8</v>
      </c>
      <c r="BF35" s="2">
        <v>24.6</v>
      </c>
      <c r="BG35" s="2">
        <v>50.3</v>
      </c>
      <c r="BH35" s="2">
        <v>130</v>
      </c>
      <c r="BI35" s="2">
        <v>1025</v>
      </c>
      <c r="BJ35" s="2">
        <v>1111</v>
      </c>
      <c r="BK35" s="2">
        <v>1154</v>
      </c>
      <c r="BL35" s="2">
        <v>1198</v>
      </c>
      <c r="BM35" s="2">
        <v>1284</v>
      </c>
      <c r="BN35" s="2"/>
      <c r="BO35" s="2"/>
      <c r="BP35" s="2"/>
      <c r="BQ35" s="2"/>
      <c r="BR35" s="2"/>
      <c r="BS35" s="2"/>
      <c r="BT35" s="2">
        <v>1608</v>
      </c>
      <c r="BU35" s="2">
        <v>1780</v>
      </c>
      <c r="BV35" s="2">
        <v>1866</v>
      </c>
      <c r="BW35" s="2">
        <v>1953</v>
      </c>
      <c r="BX35" s="2">
        <v>2125</v>
      </c>
      <c r="BY35" s="2">
        <v>80.400000000000006</v>
      </c>
      <c r="BZ35" s="2">
        <v>10</v>
      </c>
      <c r="CA35" s="2">
        <v>3</v>
      </c>
      <c r="CB35" s="2">
        <v>4.23334633437418E-12</v>
      </c>
      <c r="CC35" s="2">
        <v>1.8</v>
      </c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687" priority="12">
      <formula>$L32="API sand"</formula>
    </cfRule>
  </conditionalFormatting>
  <conditionalFormatting sqref="R32:S36 AB32:AB35 AJ32:AL36 Z32:Z36 N32:N36">
    <cfRule type="expression" dxfId="2686" priority="11">
      <formula>$M32="API sand"</formula>
    </cfRule>
  </conditionalFormatting>
  <conditionalFormatting sqref="R32:T36 Z32:AB35 AK32:AL36 N32:N36">
    <cfRule type="expression" dxfId="2685" priority="10">
      <formula>$M32="API clay"</formula>
    </cfRule>
  </conditionalFormatting>
  <conditionalFormatting sqref="U32:W36 AM32:AP36 N32:P36">
    <cfRule type="expression" dxfId="2684" priority="7">
      <formula>$L32="Stiff clay w/o free water"</formula>
    </cfRule>
    <cfRule type="expression" dxfId="2683" priority="9">
      <formula>$L32="API clay"</formula>
    </cfRule>
  </conditionalFormatting>
  <conditionalFormatting sqref="U32:Y36 AM32:AP36 N32:P36">
    <cfRule type="expression" dxfId="2682" priority="8">
      <formula>$L32="Kirsch soft clay"</formula>
    </cfRule>
  </conditionalFormatting>
  <conditionalFormatting sqref="U32:Y36 AM32:AP36 N32:P36">
    <cfRule type="expression" dxfId="2681" priority="6">
      <formula>$L32="Kirsch stiff clay"</formula>
    </cfRule>
  </conditionalFormatting>
  <conditionalFormatting sqref="AM32:AP36 Q32:Q36 X32:Y36 N32:N36">
    <cfRule type="expression" dxfId="2680" priority="5">
      <formula>$L32="Kirsch sand"</formula>
    </cfRule>
  </conditionalFormatting>
  <conditionalFormatting sqref="AC32:AD36 AI32:AI36 AM32:AP36 N32:N36">
    <cfRule type="expression" dxfId="2679" priority="4">
      <formula>$L32="Modified Weak rock"</formula>
    </cfRule>
  </conditionalFormatting>
  <conditionalFormatting sqref="AM32:AP36 N32:P36 U32:V36">
    <cfRule type="expression" dxfId="2678" priority="3">
      <formula>$L32="Reese stiff clay"</formula>
    </cfRule>
  </conditionalFormatting>
  <conditionalFormatting sqref="AB36">
    <cfRule type="expression" dxfId="2677" priority="2">
      <formula>$M36="API sand"</formula>
    </cfRule>
  </conditionalFormatting>
  <conditionalFormatting sqref="Z36:AB36">
    <cfRule type="expression" dxfId="2676" priority="1">
      <formula>$M36="API clay"</formula>
    </cfRule>
  </conditionalFormatting>
  <conditionalFormatting sqref="AE37:AH37">
    <cfRule type="expression" dxfId="2675" priority="13">
      <formula>#REF!="Modified Weak rock"</formula>
    </cfRule>
  </conditionalFormatting>
  <dataValidations count="4">
    <dataValidation type="list" showInputMessage="1" showErrorMessage="1" sqref="M32:M36" xr:uid="{E4AEE4A5-45E7-4D51-8A4C-ED6899B9AB49}">
      <formula1>"',API sand,API clay"</formula1>
    </dataValidation>
    <dataValidation type="list" showInputMessage="1" showErrorMessage="1" sqref="L32:L255" xr:uid="{A8663B2D-E1FA-4B8E-9E9B-8AC9A179DC07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3C0B0306-0D57-44B1-9EB1-8561FFE5757D}"/>
    <dataValidation type="textLength" showInputMessage="1" showErrorMessage="1" sqref="M27:M31" xr:uid="{7CC084F6-98FD-4D43-B33F-943174B8AFB2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1218-ECA5-4016-B96B-B83274E948BA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Ak_Pisa_WTG14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10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EW_sand_Ruled_47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29</v>
      </c>
      <c r="R6" s="47">
        <f t="shared" ref="R6:R26" ca="1" si="7">IF(I6="","",IF(Q6&lt;&gt;0,Q6-5,NA()))</f>
        <v>24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1200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78.199999999999974</v>
      </c>
      <c r="AA6" s="47">
        <f t="shared" ref="AA6:AA26" ca="1" si="16">IF(I6="","",1)</f>
        <v>1</v>
      </c>
      <c r="AB6" s="47">
        <f t="shared" ref="AB6:AB26" ca="1" si="17">IF(I6="","",VLOOKUP(R6,$AE$39:$AG$59,3))</f>
        <v>4420</v>
      </c>
      <c r="AC6" s="63">
        <f t="shared" ref="AC6:AC26" ca="1" si="18">IF(I6="","",IF(OFFSET($BV$6,(ROW()-6)*2,0)=0,0,OFFSET($BV$6,(ROW()-6)*2,0)*1000))</f>
        <v>4000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18000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18.400000000000006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47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0.2</v>
      </c>
      <c r="BG6" s="2">
        <v>0.2</v>
      </c>
      <c r="BH6" s="2">
        <v>0.3</v>
      </c>
      <c r="BI6" s="2"/>
      <c r="BJ6" s="2"/>
      <c r="BK6" s="2"/>
      <c r="BL6" s="2"/>
      <c r="BM6" s="2"/>
      <c r="BN6" s="2">
        <v>47</v>
      </c>
      <c r="BO6" s="2">
        <v>21</v>
      </c>
      <c r="BP6" s="2">
        <v>29</v>
      </c>
      <c r="BQ6" s="2">
        <v>32</v>
      </c>
      <c r="BR6" s="2">
        <v>35</v>
      </c>
      <c r="BS6" s="2">
        <v>40</v>
      </c>
      <c r="BT6" s="2">
        <v>0</v>
      </c>
      <c r="BU6" s="2">
        <v>2</v>
      </c>
      <c r="BV6" s="2">
        <v>4</v>
      </c>
      <c r="BW6" s="2">
        <v>7</v>
      </c>
      <c r="BX6" s="2">
        <v>13</v>
      </c>
      <c r="BY6" s="2">
        <v>1.2</v>
      </c>
      <c r="BZ6" s="2">
        <v>1</v>
      </c>
      <c r="CA6" s="2">
        <v>0.5</v>
      </c>
      <c r="CB6" s="2">
        <v>4.89286228183617E-5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21c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-0.5</v>
      </c>
      <c r="L7" s="116" t="str">
        <f t="shared" ca="1" si="1"/>
        <v>Cowden Clay</v>
      </c>
      <c r="M7" s="105" t="str">
        <f t="shared" ca="1" si="2"/>
        <v>API clay</v>
      </c>
      <c r="N7" s="47">
        <f t="shared" ca="1" si="3"/>
        <v>9.3000000000000007</v>
      </c>
      <c r="O7" s="63">
        <f t="shared" ca="1" si="4"/>
        <v>14</v>
      </c>
      <c r="P7" s="63">
        <f t="shared" ca="1" si="5"/>
        <v>6.6666666666666661</v>
      </c>
      <c r="Q7" s="47">
        <f t="shared" ca="1" si="6"/>
        <v>0</v>
      </c>
      <c r="R7" s="47" t="e">
        <f t="shared" ca="1" si="7"/>
        <v>#N/A</v>
      </c>
      <c r="S7" s="47">
        <f t="shared" ca="1" si="8"/>
        <v>3</v>
      </c>
      <c r="T7" s="47">
        <f t="shared" ca="1" si="9"/>
        <v>0</v>
      </c>
      <c r="U7" s="75">
        <f t="shared" ca="1" si="10"/>
        <v>1.7999999999999999E-2</v>
      </c>
      <c r="V7" s="75">
        <f t="shared" ca="1" si="11"/>
        <v>0</v>
      </c>
      <c r="W7" s="47">
        <f t="shared" ca="1" si="12"/>
        <v>0.5</v>
      </c>
      <c r="X7" s="47">
        <f t="shared" ca="1" si="13"/>
        <v>1500</v>
      </c>
      <c r="Y7" s="47">
        <f t="shared" ca="1" si="14"/>
        <v>0</v>
      </c>
      <c r="Z7" s="47" t="e">
        <f t="shared" ca="1" si="15"/>
        <v>#N/A</v>
      </c>
      <c r="AA7" s="47">
        <f t="shared" ca="1" si="16"/>
        <v>1</v>
      </c>
      <c r="AB7" s="47" t="e">
        <f t="shared" ca="1" si="17"/>
        <v>#N/A</v>
      </c>
      <c r="AC7" s="63">
        <f t="shared" ca="1" si="18"/>
        <v>10000</v>
      </c>
      <c r="AD7" s="63">
        <f t="shared" ca="1" si="19"/>
        <v>3333.333333333333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 t="e">
        <f t="shared" ca="1" si="25"/>
        <v>#N/A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0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0.4</v>
      </c>
      <c r="BE7" s="2">
        <v>0.4</v>
      </c>
      <c r="BF7" s="2">
        <v>0.5</v>
      </c>
      <c r="BG7" s="2">
        <v>0.6</v>
      </c>
      <c r="BH7" s="2">
        <v>0.6</v>
      </c>
      <c r="BI7" s="2"/>
      <c r="BJ7" s="2"/>
      <c r="BK7" s="2"/>
      <c r="BL7" s="2"/>
      <c r="BM7" s="2"/>
      <c r="BN7" s="2">
        <v>47</v>
      </c>
      <c r="BO7" s="2">
        <v>21</v>
      </c>
      <c r="BP7" s="2">
        <v>29</v>
      </c>
      <c r="BQ7" s="2">
        <v>32</v>
      </c>
      <c r="BR7" s="2">
        <v>35</v>
      </c>
      <c r="BS7" s="2">
        <v>40</v>
      </c>
      <c r="BT7" s="2">
        <v>5</v>
      </c>
      <c r="BU7" s="2">
        <v>11</v>
      </c>
      <c r="BV7" s="2">
        <v>13</v>
      </c>
      <c r="BW7" s="2">
        <v>16</v>
      </c>
      <c r="BX7" s="2">
        <v>22</v>
      </c>
      <c r="BY7" s="2">
        <v>1.2</v>
      </c>
      <c r="BZ7" s="2">
        <v>1</v>
      </c>
      <c r="CA7" s="2">
        <v>0.5</v>
      </c>
      <c r="CB7" s="2">
        <v>4.89286228183617E-5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21d</v>
      </c>
      <c r="J8" s="47">
        <f t="shared" ca="1" si="35"/>
        <v>3</v>
      </c>
      <c r="K8" s="19">
        <f t="shared" ca="1" si="36"/>
        <v>-0.8</v>
      </c>
      <c r="L8" s="116" t="str">
        <f t="shared" ca="1" si="1"/>
        <v>EW_sand_Ruled_61</v>
      </c>
      <c r="M8" s="105" t="str">
        <f t="shared" ca="1" si="2"/>
        <v>API sand</v>
      </c>
      <c r="N8" s="47">
        <f t="shared" ca="1" si="3"/>
        <v>10</v>
      </c>
      <c r="O8" s="63">
        <f t="shared" ca="1" si="4"/>
        <v>0</v>
      </c>
      <c r="P8" s="63">
        <f t="shared" ca="1" si="5"/>
        <v>0</v>
      </c>
      <c r="Q8" s="47">
        <f t="shared" ca="1" si="6"/>
        <v>28</v>
      </c>
      <c r="R8" s="47">
        <f t="shared" ca="1" si="7"/>
        <v>23</v>
      </c>
      <c r="S8" s="47">
        <f t="shared" ca="1" si="8"/>
        <v>2.4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12000</v>
      </c>
      <c r="Y8" s="47">
        <f t="shared" ca="1" si="14"/>
        <v>0</v>
      </c>
      <c r="Z8" s="47">
        <f t="shared" ca="1" si="15"/>
        <v>75.399999999999977</v>
      </c>
      <c r="AA8" s="47">
        <f t="shared" ca="1" si="16"/>
        <v>1</v>
      </c>
      <c r="AB8" s="47">
        <f t="shared" ca="1" si="17"/>
        <v>4040</v>
      </c>
      <c r="AC8" s="63">
        <f t="shared" ca="1" si="18"/>
        <v>36000</v>
      </c>
      <c r="AD8" s="63">
        <f t="shared" ca="1" si="19"/>
        <v>8269.2307692307677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16.800000000000004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61</v>
      </c>
      <c r="AS8" s="33">
        <f t="shared" ca="1" si="34"/>
        <v>0.4</v>
      </c>
      <c r="AW8" s="2">
        <v>0.5</v>
      </c>
      <c r="AX8" s="2" t="s">
        <v>216</v>
      </c>
      <c r="AY8" s="130">
        <v>31.7</v>
      </c>
      <c r="AZ8" s="2">
        <v>19.3</v>
      </c>
      <c r="BA8" s="2">
        <v>20</v>
      </c>
      <c r="BB8" s="2">
        <v>45</v>
      </c>
      <c r="BC8" s="2">
        <v>4</v>
      </c>
      <c r="BD8" s="2">
        <v>0.1</v>
      </c>
      <c r="BE8" s="2">
        <v>0.3</v>
      </c>
      <c r="BF8" s="2">
        <v>0.4</v>
      </c>
      <c r="BG8" s="2">
        <v>0.5</v>
      </c>
      <c r="BH8" s="2">
        <v>0.8</v>
      </c>
      <c r="BI8" s="2">
        <v>0</v>
      </c>
      <c r="BJ8" s="2">
        <v>14</v>
      </c>
      <c r="BK8" s="2">
        <v>19</v>
      </c>
      <c r="BL8" s="2">
        <v>25</v>
      </c>
      <c r="BM8" s="2">
        <v>46</v>
      </c>
      <c r="BN8" s="2"/>
      <c r="BO8" s="2"/>
      <c r="BP8" s="2"/>
      <c r="BQ8" s="2"/>
      <c r="BR8" s="2"/>
      <c r="BS8" s="2"/>
      <c r="BT8" s="2">
        <v>0</v>
      </c>
      <c r="BU8" s="2">
        <v>5</v>
      </c>
      <c r="BV8" s="2">
        <v>10</v>
      </c>
      <c r="BW8" s="2">
        <v>14</v>
      </c>
      <c r="BX8" s="2">
        <v>28</v>
      </c>
      <c r="BY8" s="2">
        <v>1.5</v>
      </c>
      <c r="BZ8" s="2">
        <v>19.5</v>
      </c>
      <c r="CA8" s="2">
        <v>3</v>
      </c>
      <c r="CB8" s="2">
        <v>2.3942012731405198E-8</v>
      </c>
      <c r="CC8" s="2">
        <v>1.8</v>
      </c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21d</v>
      </c>
      <c r="J9" s="47">
        <f t="shared" ca="1" si="35"/>
        <v>4</v>
      </c>
      <c r="K9" s="19">
        <f t="shared" ca="1" si="36"/>
        <v>-6</v>
      </c>
      <c r="L9" s="116" t="str">
        <f t="shared" ca="1" si="1"/>
        <v>EW_sand_Ruled_66</v>
      </c>
      <c r="M9" s="105" t="str">
        <f t="shared" ca="1" si="2"/>
        <v>API sand</v>
      </c>
      <c r="N9" s="47">
        <f t="shared" ca="1" si="3"/>
        <v>10</v>
      </c>
      <c r="O9" s="63">
        <f t="shared" ca="1" si="4"/>
        <v>0</v>
      </c>
      <c r="P9" s="63">
        <f t="shared" ca="1" si="5"/>
        <v>0</v>
      </c>
      <c r="Q9" s="47">
        <f t="shared" ca="1" si="6"/>
        <v>28</v>
      </c>
      <c r="R9" s="47">
        <f t="shared" ca="1" si="7"/>
        <v>23</v>
      </c>
      <c r="S9" s="47">
        <f t="shared" ca="1" si="8"/>
        <v>1.8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18600</v>
      </c>
      <c r="Y9" s="47">
        <f t="shared" ca="1" si="14"/>
        <v>0</v>
      </c>
      <c r="Z9" s="47">
        <f t="shared" ca="1" si="15"/>
        <v>75.399999999999977</v>
      </c>
      <c r="AA9" s="47">
        <f t="shared" ca="1" si="16"/>
        <v>1</v>
      </c>
      <c r="AB9" s="47">
        <f t="shared" ca="1" si="17"/>
        <v>4040</v>
      </c>
      <c r="AC9" s="63">
        <f t="shared" ca="1" si="18"/>
        <v>73000</v>
      </c>
      <c r="AD9" s="63">
        <f t="shared" ca="1" si="19"/>
        <v>9142.8571428571431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16.800000000000004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66</v>
      </c>
      <c r="AS9" s="33">
        <f t="shared" ca="1" si="34"/>
        <v>0.4</v>
      </c>
      <c r="AW9" s="2">
        <v>0.8</v>
      </c>
      <c r="AX9" s="2" t="s">
        <v>216</v>
      </c>
      <c r="AY9" s="130">
        <v>31.7</v>
      </c>
      <c r="AZ9" s="2">
        <v>19.3</v>
      </c>
      <c r="BA9" s="2">
        <v>20</v>
      </c>
      <c r="BB9" s="2">
        <v>45</v>
      </c>
      <c r="BC9" s="2">
        <v>4</v>
      </c>
      <c r="BD9" s="2">
        <v>0.1</v>
      </c>
      <c r="BE9" s="2">
        <v>0.3</v>
      </c>
      <c r="BF9" s="2">
        <v>0.4</v>
      </c>
      <c r="BG9" s="2">
        <v>0.5</v>
      </c>
      <c r="BH9" s="2">
        <v>0.8</v>
      </c>
      <c r="BI9" s="2">
        <v>1</v>
      </c>
      <c r="BJ9" s="2">
        <v>16</v>
      </c>
      <c r="BK9" s="2">
        <v>21</v>
      </c>
      <c r="BL9" s="2">
        <v>27</v>
      </c>
      <c r="BM9" s="2">
        <v>48</v>
      </c>
      <c r="BN9" s="2"/>
      <c r="BO9" s="2"/>
      <c r="BP9" s="2"/>
      <c r="BQ9" s="2"/>
      <c r="BR9" s="2"/>
      <c r="BS9" s="2"/>
      <c r="BT9" s="2">
        <v>0</v>
      </c>
      <c r="BU9" s="2">
        <v>6</v>
      </c>
      <c r="BV9" s="2">
        <v>11</v>
      </c>
      <c r="BW9" s="2">
        <v>15</v>
      </c>
      <c r="BX9" s="2">
        <v>29</v>
      </c>
      <c r="BY9" s="2">
        <v>1.5</v>
      </c>
      <c r="BZ9" s="2">
        <v>19.5</v>
      </c>
      <c r="CA9" s="2">
        <v>3</v>
      </c>
      <c r="CB9" s="2">
        <v>2.3942012731405198E-8</v>
      </c>
      <c r="CC9" s="2">
        <v>1.8</v>
      </c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21d</v>
      </c>
      <c r="J10" s="47">
        <f t="shared" ca="1" si="35"/>
        <v>5</v>
      </c>
      <c r="K10" s="19">
        <f t="shared" ca="1" si="36"/>
        <v>-9.5</v>
      </c>
      <c r="L10" s="116" t="str">
        <f t="shared" ca="1" si="1"/>
        <v>EW_sand_Ruled_62</v>
      </c>
      <c r="M10" s="105" t="str">
        <f t="shared" ca="1" si="2"/>
        <v>API sand</v>
      </c>
      <c r="N10" s="47">
        <f t="shared" ca="1" si="3"/>
        <v>10</v>
      </c>
      <c r="O10" s="63">
        <f t="shared" ca="1" si="4"/>
        <v>0</v>
      </c>
      <c r="P10" s="63">
        <f t="shared" ca="1" si="5"/>
        <v>0</v>
      </c>
      <c r="Q10" s="47">
        <f t="shared" ca="1" si="6"/>
        <v>28</v>
      </c>
      <c r="R10" s="47">
        <f t="shared" ca="1" si="7"/>
        <v>23</v>
      </c>
      <c r="S10" s="47">
        <f t="shared" ca="1" si="8"/>
        <v>1.4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18700</v>
      </c>
      <c r="Y10" s="47">
        <f t="shared" ca="1" si="14"/>
        <v>0</v>
      </c>
      <c r="Z10" s="47">
        <f t="shared" ca="1" si="15"/>
        <v>75.399999999999977</v>
      </c>
      <c r="AA10" s="47">
        <f t="shared" ca="1" si="16"/>
        <v>1</v>
      </c>
      <c r="AB10" s="47">
        <f t="shared" ca="1" si="17"/>
        <v>4040</v>
      </c>
      <c r="AC10" s="63">
        <f t="shared" ca="1" si="18"/>
        <v>99000</v>
      </c>
      <c r="AD10" s="63">
        <f t="shared" ca="1" si="19"/>
        <v>600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16.800000000000004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62</v>
      </c>
      <c r="AS10" s="33">
        <f t="shared" ca="1" si="34"/>
        <v>0.4</v>
      </c>
      <c r="AW10" s="2">
        <v>0.8</v>
      </c>
      <c r="AX10" s="2" t="s">
        <v>217</v>
      </c>
      <c r="AY10" s="130">
        <v>23.6</v>
      </c>
      <c r="AZ10" s="2">
        <v>20</v>
      </c>
      <c r="BA10" s="2"/>
      <c r="BB10" s="2">
        <v>18</v>
      </c>
      <c r="BC10" s="2"/>
      <c r="BD10" s="2">
        <v>3.5</v>
      </c>
      <c r="BE10" s="2">
        <v>5.3</v>
      </c>
      <c r="BF10" s="2">
        <v>5.5</v>
      </c>
      <c r="BG10" s="2">
        <v>5.9</v>
      </c>
      <c r="BH10" s="2">
        <v>8.4</v>
      </c>
      <c r="BI10" s="2"/>
      <c r="BJ10" s="2"/>
      <c r="BK10" s="2"/>
      <c r="BL10" s="2"/>
      <c r="BM10" s="2"/>
      <c r="BN10" s="2">
        <v>61</v>
      </c>
      <c r="BO10" s="2">
        <v>26</v>
      </c>
      <c r="BP10" s="2">
        <v>28</v>
      </c>
      <c r="BQ10" s="2">
        <v>31</v>
      </c>
      <c r="BR10" s="2">
        <v>33</v>
      </c>
      <c r="BS10" s="2">
        <v>37</v>
      </c>
      <c r="BT10" s="2">
        <v>0</v>
      </c>
      <c r="BU10" s="2">
        <v>22</v>
      </c>
      <c r="BV10" s="2">
        <v>36</v>
      </c>
      <c r="BW10" s="2">
        <v>49</v>
      </c>
      <c r="BX10" s="2">
        <v>83</v>
      </c>
      <c r="BY10" s="2">
        <v>12</v>
      </c>
      <c r="BZ10" s="2">
        <v>13.3</v>
      </c>
      <c r="CA10" s="2">
        <v>2.4</v>
      </c>
      <c r="CB10" s="2">
        <v>8.8746827403729092E-6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23d</v>
      </c>
      <c r="J11" s="47">
        <f t="shared" ca="1" si="35"/>
        <v>6</v>
      </c>
      <c r="K11" s="19">
        <f t="shared" ca="1" si="36"/>
        <v>-14.5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8.8999999999999986</v>
      </c>
      <c r="O11" s="63">
        <f t="shared" ca="1" si="4"/>
        <v>139</v>
      </c>
      <c r="P11" s="63">
        <f t="shared" ca="1" si="5"/>
        <v>7.3043478260869561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2.5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0.5</v>
      </c>
      <c r="X11" s="47">
        <f t="shared" ca="1" si="13"/>
        <v>17500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184000</v>
      </c>
      <c r="AD11" s="63">
        <f t="shared" ca="1" si="19"/>
        <v>10434.782608695652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6</v>
      </c>
      <c r="AX11" s="2" t="s">
        <v>217</v>
      </c>
      <c r="AY11" s="130">
        <v>23.6</v>
      </c>
      <c r="AZ11" s="2">
        <v>20</v>
      </c>
      <c r="BA11" s="2"/>
      <c r="BB11" s="2">
        <v>18</v>
      </c>
      <c r="BC11" s="2"/>
      <c r="BD11" s="2">
        <v>8.8000000000000007</v>
      </c>
      <c r="BE11" s="2">
        <v>10.6</v>
      </c>
      <c r="BF11" s="2">
        <v>10.8</v>
      </c>
      <c r="BG11" s="2">
        <v>11.2</v>
      </c>
      <c r="BH11" s="2">
        <v>13.7</v>
      </c>
      <c r="BI11" s="2"/>
      <c r="BJ11" s="2"/>
      <c r="BK11" s="2"/>
      <c r="BL11" s="2"/>
      <c r="BM11" s="2"/>
      <c r="BN11" s="2">
        <v>61</v>
      </c>
      <c r="BO11" s="2">
        <v>26</v>
      </c>
      <c r="BP11" s="2">
        <v>28</v>
      </c>
      <c r="BQ11" s="2">
        <v>31</v>
      </c>
      <c r="BR11" s="2">
        <v>33</v>
      </c>
      <c r="BS11" s="2">
        <v>37</v>
      </c>
      <c r="BT11" s="2">
        <v>43</v>
      </c>
      <c r="BU11" s="2">
        <v>65</v>
      </c>
      <c r="BV11" s="2">
        <v>79</v>
      </c>
      <c r="BW11" s="2">
        <v>92</v>
      </c>
      <c r="BX11" s="2">
        <v>126</v>
      </c>
      <c r="BY11" s="2">
        <v>12</v>
      </c>
      <c r="BZ11" s="2">
        <v>13.3</v>
      </c>
      <c r="CA11" s="2">
        <v>2.4</v>
      </c>
      <c r="CB11" s="2">
        <v>8.8746827403729092E-6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23d</v>
      </c>
      <c r="J12" s="47">
        <f t="shared" ca="1" si="35"/>
        <v>7</v>
      </c>
      <c r="K12" s="19">
        <f t="shared" ca="1" si="36"/>
        <v>-26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8.8999999999999986</v>
      </c>
      <c r="O12" s="63">
        <f t="shared" ca="1" si="4"/>
        <v>468</v>
      </c>
      <c r="P12" s="63">
        <f t="shared" ca="1" si="5"/>
        <v>146.33333333333334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0.25</v>
      </c>
      <c r="X12" s="47">
        <f t="shared" ca="1" si="13"/>
        <v>58900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744000</v>
      </c>
      <c r="AD12" s="63">
        <f t="shared" ca="1" si="19"/>
        <v>221333.33333333334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6</v>
      </c>
      <c r="AX12" s="2" t="s">
        <v>217</v>
      </c>
      <c r="AY12" s="130">
        <v>23.6</v>
      </c>
      <c r="AZ12" s="2">
        <v>20</v>
      </c>
      <c r="BA12" s="2"/>
      <c r="BB12" s="2">
        <v>18</v>
      </c>
      <c r="BC12" s="2"/>
      <c r="BD12" s="2">
        <v>5.8</v>
      </c>
      <c r="BE12" s="2">
        <v>7.1</v>
      </c>
      <c r="BF12" s="2">
        <v>7.4</v>
      </c>
      <c r="BG12" s="2">
        <v>7.7</v>
      </c>
      <c r="BH12" s="2">
        <v>9.3000000000000007</v>
      </c>
      <c r="BI12" s="2"/>
      <c r="BJ12" s="2"/>
      <c r="BK12" s="2"/>
      <c r="BL12" s="2"/>
      <c r="BM12" s="2"/>
      <c r="BN12" s="2">
        <v>66</v>
      </c>
      <c r="BO12" s="2">
        <v>26</v>
      </c>
      <c r="BP12" s="2">
        <v>28</v>
      </c>
      <c r="BQ12" s="2">
        <v>31</v>
      </c>
      <c r="BR12" s="2">
        <v>33</v>
      </c>
      <c r="BS12" s="2">
        <v>37</v>
      </c>
      <c r="BT12" s="2">
        <v>6</v>
      </c>
      <c r="BU12" s="2">
        <v>52</v>
      </c>
      <c r="BV12" s="2">
        <v>73</v>
      </c>
      <c r="BW12" s="2">
        <v>94</v>
      </c>
      <c r="BX12" s="2">
        <v>146</v>
      </c>
      <c r="BY12" s="2">
        <v>18.600000000000001</v>
      </c>
      <c r="BZ12" s="2">
        <v>8.4</v>
      </c>
      <c r="CA12" s="2">
        <v>1.8</v>
      </c>
      <c r="CB12" s="2">
        <v>2.8207831029780902E-6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23e</v>
      </c>
      <c r="J13" s="47">
        <f t="shared" ca="1" si="35"/>
        <v>8</v>
      </c>
      <c r="K13" s="19">
        <f t="shared" ca="1" si="36"/>
        <v>-29</v>
      </c>
      <c r="L13" s="116" t="str">
        <f t="shared" ca="1" si="1"/>
        <v>EW_sand_Ruled_69</v>
      </c>
      <c r="M13" s="105" t="str">
        <f t="shared" ca="1" si="2"/>
        <v>API sand</v>
      </c>
      <c r="N13" s="47">
        <f t="shared" ca="1" si="3"/>
        <v>9</v>
      </c>
      <c r="O13" s="63">
        <f t="shared" ca="1" si="4"/>
        <v>0</v>
      </c>
      <c r="P13" s="63">
        <f t="shared" ca="1" si="5"/>
        <v>0</v>
      </c>
      <c r="Q13" s="47">
        <f t="shared" ca="1" si="6"/>
        <v>28</v>
      </c>
      <c r="R13" s="47">
        <f t="shared" ca="1" si="7"/>
        <v>23</v>
      </c>
      <c r="S13" s="47">
        <f t="shared" ca="1" si="8"/>
        <v>1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42200</v>
      </c>
      <c r="Y13" s="47">
        <f t="shared" ca="1" si="14"/>
        <v>0</v>
      </c>
      <c r="Z13" s="47">
        <f t="shared" ca="1" si="15"/>
        <v>75.399999999999977</v>
      </c>
      <c r="AA13" s="47">
        <f t="shared" ca="1" si="16"/>
        <v>1</v>
      </c>
      <c r="AB13" s="47">
        <f t="shared" ca="1" si="17"/>
        <v>4040</v>
      </c>
      <c r="AC13" s="63">
        <f t="shared" ca="1" si="18"/>
        <v>169000</v>
      </c>
      <c r="AD13" s="63">
        <f t="shared" ca="1" si="19"/>
        <v>2166.6666666666665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16.800000000000004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69</v>
      </c>
      <c r="AS13" s="33">
        <f t="shared" ca="1" si="34"/>
        <v>0.4</v>
      </c>
      <c r="AW13" s="2">
        <v>9.5</v>
      </c>
      <c r="AX13" s="2" t="s">
        <v>217</v>
      </c>
      <c r="AY13" s="130">
        <v>23.6</v>
      </c>
      <c r="AZ13" s="2">
        <v>20</v>
      </c>
      <c r="BA13" s="2"/>
      <c r="BB13" s="2">
        <v>18</v>
      </c>
      <c r="BC13" s="2"/>
      <c r="BD13" s="2">
        <v>17.5</v>
      </c>
      <c r="BE13" s="2">
        <v>18.8</v>
      </c>
      <c r="BF13" s="2">
        <v>19.100000000000001</v>
      </c>
      <c r="BG13" s="2">
        <v>19.399999999999999</v>
      </c>
      <c r="BH13" s="2">
        <v>21</v>
      </c>
      <c r="BI13" s="2"/>
      <c r="BJ13" s="2"/>
      <c r="BK13" s="2"/>
      <c r="BL13" s="2"/>
      <c r="BM13" s="2"/>
      <c r="BN13" s="2">
        <v>66</v>
      </c>
      <c r="BO13" s="2">
        <v>26</v>
      </c>
      <c r="BP13" s="2">
        <v>28</v>
      </c>
      <c r="BQ13" s="2">
        <v>31</v>
      </c>
      <c r="BR13" s="2">
        <v>33</v>
      </c>
      <c r="BS13" s="2">
        <v>37</v>
      </c>
      <c r="BT13" s="2">
        <v>38</v>
      </c>
      <c r="BU13" s="2">
        <v>84</v>
      </c>
      <c r="BV13" s="2">
        <v>105</v>
      </c>
      <c r="BW13" s="2">
        <v>126</v>
      </c>
      <c r="BX13" s="2">
        <v>178</v>
      </c>
      <c r="BY13" s="2">
        <v>18.600000000000001</v>
      </c>
      <c r="BZ13" s="2">
        <v>8.4</v>
      </c>
      <c r="CA13" s="2">
        <v>1.8</v>
      </c>
      <c r="CB13" s="2">
        <v>2.8207831029780902E-6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23l</v>
      </c>
      <c r="J14" s="47">
        <f t="shared" ca="1" si="35"/>
        <v>9</v>
      </c>
      <c r="K14" s="19">
        <f t="shared" ca="1" si="36"/>
        <v>-59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8.8000000000000007</v>
      </c>
      <c r="O14" s="63">
        <f t="shared" ca="1" si="4"/>
        <v>849</v>
      </c>
      <c r="P14" s="63">
        <f t="shared" ca="1" si="5"/>
        <v>12.470588235294118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80000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1360000</v>
      </c>
      <c r="AD14" s="63">
        <f t="shared" ca="1" si="19"/>
        <v>24647.058823529413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9.5</v>
      </c>
      <c r="AX14" s="2" t="s">
        <v>217</v>
      </c>
      <c r="AY14" s="130">
        <v>23.6</v>
      </c>
      <c r="AZ14" s="2">
        <v>20</v>
      </c>
      <c r="BA14" s="2"/>
      <c r="BB14" s="2">
        <v>18</v>
      </c>
      <c r="BC14" s="2"/>
      <c r="BD14" s="2">
        <f>11.8-5</f>
        <v>6.8000000000000007</v>
      </c>
      <c r="BE14" s="2">
        <v>13.5</v>
      </c>
      <c r="BF14" s="2">
        <v>13.7</v>
      </c>
      <c r="BG14" s="2">
        <v>14.3</v>
      </c>
      <c r="BH14" s="2">
        <f>18.1+5</f>
        <v>23.1</v>
      </c>
      <c r="BI14" s="2"/>
      <c r="BJ14" s="2"/>
      <c r="BK14" s="2"/>
      <c r="BL14" s="2"/>
      <c r="BM14" s="2"/>
      <c r="BN14" s="2">
        <v>62</v>
      </c>
      <c r="BO14" s="2">
        <v>26</v>
      </c>
      <c r="BP14" s="2">
        <v>28</v>
      </c>
      <c r="BQ14" s="2">
        <v>30</v>
      </c>
      <c r="BR14" s="2">
        <v>32</v>
      </c>
      <c r="BS14" s="2">
        <v>37</v>
      </c>
      <c r="BT14" s="2">
        <v>17</v>
      </c>
      <c r="BU14" s="2">
        <v>75</v>
      </c>
      <c r="BV14" s="2">
        <v>99</v>
      </c>
      <c r="BW14" s="2">
        <v>123</v>
      </c>
      <c r="BX14" s="2">
        <v>182</v>
      </c>
      <c r="BY14" s="2">
        <v>18.7</v>
      </c>
      <c r="BZ14" s="2">
        <v>5.6</v>
      </c>
      <c r="CA14" s="2">
        <v>1.4</v>
      </c>
      <c r="CB14" s="2">
        <v>6.4253798233731903E-7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23m</v>
      </c>
      <c r="J15" s="47">
        <f t="shared" ca="1" si="35"/>
        <v>10</v>
      </c>
      <c r="K15" s="19">
        <f t="shared" ca="1" si="36"/>
        <v>-76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8.5</v>
      </c>
      <c r="O15" s="63">
        <f t="shared" ca="1" si="4"/>
        <v>1074</v>
      </c>
      <c r="P15" s="63">
        <f t="shared" ca="1" si="5"/>
        <v>10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91100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1779000</v>
      </c>
      <c r="AD15" s="63">
        <f t="shared" ca="1" si="19"/>
        <v>20000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14.5</v>
      </c>
      <c r="AX15" s="2" t="s">
        <v>217</v>
      </c>
      <c r="AY15" s="130">
        <v>23.6</v>
      </c>
      <c r="AZ15" s="2">
        <v>20</v>
      </c>
      <c r="BA15" s="2"/>
      <c r="BB15" s="2">
        <v>18</v>
      </c>
      <c r="BC15" s="2"/>
      <c r="BD15" s="2">
        <f>6.6-5</f>
        <v>1.5999999999999996</v>
      </c>
      <c r="BE15" s="2">
        <v>8.3000000000000007</v>
      </c>
      <c r="BF15" s="2">
        <v>8.5</v>
      </c>
      <c r="BG15" s="2">
        <v>9.1</v>
      </c>
      <c r="BH15" s="2">
        <f>12.9+5</f>
        <v>17.899999999999999</v>
      </c>
      <c r="BI15" s="2"/>
      <c r="BJ15" s="2"/>
      <c r="BK15" s="2"/>
      <c r="BL15" s="2"/>
      <c r="BM15" s="2"/>
      <c r="BN15" s="2">
        <v>62</v>
      </c>
      <c r="BO15" s="2">
        <v>26</v>
      </c>
      <c r="BP15" s="2">
        <v>28</v>
      </c>
      <c r="BQ15" s="2">
        <v>30</v>
      </c>
      <c r="BR15" s="2">
        <v>32</v>
      </c>
      <c r="BS15" s="2">
        <v>37</v>
      </c>
      <c r="BT15" s="2">
        <v>20</v>
      </c>
      <c r="BU15" s="2">
        <v>78</v>
      </c>
      <c r="BV15" s="2">
        <v>102</v>
      </c>
      <c r="BW15" s="2">
        <v>126</v>
      </c>
      <c r="BX15" s="2">
        <v>185</v>
      </c>
      <c r="BY15" s="2">
        <v>18.7</v>
      </c>
      <c r="BZ15" s="2">
        <v>5.6</v>
      </c>
      <c r="CA15" s="2">
        <v>1.4</v>
      </c>
      <c r="CB15" s="2">
        <v>6.4253798233731903E-7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/>
      </c>
      <c r="J16" s="47" t="str">
        <f t="shared" ca="1" si="35"/>
        <v/>
      </c>
      <c r="K16" s="19" t="str">
        <f t="shared" ca="1" si="36"/>
        <v/>
      </c>
      <c r="L16" s="116" t="str">
        <f t="shared" ca="1" si="1"/>
        <v/>
      </c>
      <c r="M16" s="105" t="str">
        <f t="shared" ca="1" si="2"/>
        <v/>
      </c>
      <c r="N16" s="47" t="str">
        <f t="shared" ca="1" si="3"/>
        <v/>
      </c>
      <c r="O16" s="63" t="str">
        <f t="shared" ca="1" si="4"/>
        <v/>
      </c>
      <c r="P16" s="63" t="str">
        <f t="shared" ca="1" si="5"/>
        <v/>
      </c>
      <c r="Q16" s="47" t="str">
        <f t="shared" ca="1" si="6"/>
        <v/>
      </c>
      <c r="R16" s="47" t="str">
        <f t="shared" ca="1" si="7"/>
        <v/>
      </c>
      <c r="S16" s="47" t="str">
        <f t="shared" ca="1" si="8"/>
        <v/>
      </c>
      <c r="T16" s="47" t="str">
        <f t="shared" ca="1" si="9"/>
        <v/>
      </c>
      <c r="U16" s="75" t="str">
        <f t="shared" ca="1" si="10"/>
        <v/>
      </c>
      <c r="V16" s="75" t="str">
        <f t="shared" ca="1" si="11"/>
        <v/>
      </c>
      <c r="W16" s="47" t="str">
        <f t="shared" ca="1" si="12"/>
        <v/>
      </c>
      <c r="X16" s="47" t="str">
        <f t="shared" ca="1" si="13"/>
        <v/>
      </c>
      <c r="Y16" s="47" t="str">
        <f t="shared" ca="1" si="14"/>
        <v/>
      </c>
      <c r="Z16" s="47" t="str">
        <f t="shared" ca="1" si="15"/>
        <v/>
      </c>
      <c r="AA16" s="47" t="str">
        <f t="shared" ca="1" si="16"/>
        <v/>
      </c>
      <c r="AB16" s="47" t="str">
        <f t="shared" ca="1" si="17"/>
        <v/>
      </c>
      <c r="AC16" s="63" t="str">
        <f t="shared" ca="1" si="18"/>
        <v/>
      </c>
      <c r="AD16" s="63" t="str">
        <f t="shared" ca="1" si="19"/>
        <v/>
      </c>
      <c r="AE16" s="63" t="str">
        <f t="shared" ca="1" si="20"/>
        <v/>
      </c>
      <c r="AF16" s="63" t="str">
        <f t="shared" ca="1" si="21"/>
        <v/>
      </c>
      <c r="AG16" s="63" t="str">
        <f t="shared" ca="1" si="22"/>
        <v/>
      </c>
      <c r="AH16" s="63" t="str">
        <f t="shared" ca="1" si="23"/>
        <v/>
      </c>
      <c r="AI16" s="63" t="str">
        <f t="shared" ca="1" si="24"/>
        <v/>
      </c>
      <c r="AJ16" s="47" t="str">
        <f t="shared" ca="1" si="25"/>
        <v/>
      </c>
      <c r="AK16" s="47" t="str">
        <f t="shared" ca="1" si="26"/>
        <v/>
      </c>
      <c r="AL16" s="47" t="str">
        <f t="shared" ca="1" si="27"/>
        <v/>
      </c>
      <c r="AM16" s="47" t="str">
        <f t="shared" ca="1" si="28"/>
        <v/>
      </c>
      <c r="AN16" s="47" t="str">
        <f t="shared" ca="1" si="29"/>
        <v/>
      </c>
      <c r="AO16" s="47" t="str">
        <f t="shared" ca="1" si="30"/>
        <v/>
      </c>
      <c r="AP16" s="47" t="str">
        <f t="shared" ca="1" si="31"/>
        <v/>
      </c>
      <c r="AQ16" s="47" t="str">
        <f t="shared" ca="1" si="32"/>
        <v/>
      </c>
      <c r="AR16" s="47" t="str">
        <f t="shared" ca="1" si="33"/>
        <v/>
      </c>
      <c r="AS16" s="33" t="str">
        <f t="shared" ca="1" si="34"/>
        <v/>
      </c>
      <c r="AW16" s="2">
        <v>14.5</v>
      </c>
      <c r="AX16" s="2" t="s">
        <v>273</v>
      </c>
      <c r="AY16" s="130">
        <v>32</v>
      </c>
      <c r="AZ16" s="2">
        <v>18.899999999999999</v>
      </c>
      <c r="BA16" s="2">
        <v>47</v>
      </c>
      <c r="BB16" s="2">
        <v>85</v>
      </c>
      <c r="BC16" s="2">
        <v>3</v>
      </c>
      <c r="BD16" s="2">
        <v>3.1</v>
      </c>
      <c r="BE16" s="2">
        <v>3.7</v>
      </c>
      <c r="BF16" s="2">
        <v>3.8</v>
      </c>
      <c r="BG16" s="2">
        <v>3.9</v>
      </c>
      <c r="BH16" s="2">
        <v>4.5999999999999996</v>
      </c>
      <c r="BI16" s="2">
        <v>58</v>
      </c>
      <c r="BJ16" s="2">
        <v>139</v>
      </c>
      <c r="BK16" s="2">
        <v>177</v>
      </c>
      <c r="BL16" s="2">
        <v>215</v>
      </c>
      <c r="BM16" s="2">
        <v>296</v>
      </c>
      <c r="BN16" s="2"/>
      <c r="BO16" s="2"/>
      <c r="BP16" s="2"/>
      <c r="BQ16" s="2"/>
      <c r="BR16" s="2"/>
      <c r="BS16" s="2"/>
      <c r="BT16" s="2">
        <v>14</v>
      </c>
      <c r="BU16" s="2">
        <v>99</v>
      </c>
      <c r="BV16" s="2">
        <v>184</v>
      </c>
      <c r="BW16" s="2">
        <v>268</v>
      </c>
      <c r="BX16" s="2">
        <v>440</v>
      </c>
      <c r="BY16" s="2">
        <v>17.5</v>
      </c>
      <c r="BZ16" s="2">
        <v>6.8</v>
      </c>
      <c r="CA16" s="2">
        <v>2.5</v>
      </c>
      <c r="CB16" s="2">
        <v>3.09867220710481E-10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26</v>
      </c>
      <c r="AX17" s="2" t="s">
        <v>273</v>
      </c>
      <c r="AY17" s="130">
        <v>32</v>
      </c>
      <c r="AZ17" s="2">
        <v>18.899999999999999</v>
      </c>
      <c r="BA17" s="2">
        <v>47</v>
      </c>
      <c r="BB17" s="2">
        <v>85</v>
      </c>
      <c r="BC17" s="2">
        <v>3</v>
      </c>
      <c r="BD17" s="2">
        <v>5</v>
      </c>
      <c r="BE17" s="2">
        <v>5.6</v>
      </c>
      <c r="BF17" s="2">
        <v>5.7</v>
      </c>
      <c r="BG17" s="2">
        <v>5.8</v>
      </c>
      <c r="BH17" s="2">
        <v>6.5</v>
      </c>
      <c r="BI17" s="2">
        <v>142</v>
      </c>
      <c r="BJ17" s="2">
        <v>223</v>
      </c>
      <c r="BK17" s="2">
        <v>261</v>
      </c>
      <c r="BL17" s="2">
        <v>300</v>
      </c>
      <c r="BM17" s="2">
        <v>380</v>
      </c>
      <c r="BN17" s="2"/>
      <c r="BO17" s="2"/>
      <c r="BP17" s="2"/>
      <c r="BQ17" s="2"/>
      <c r="BR17" s="2"/>
      <c r="BS17" s="2"/>
      <c r="BT17" s="2">
        <v>134</v>
      </c>
      <c r="BU17" s="2">
        <v>219</v>
      </c>
      <c r="BV17" s="2">
        <v>304</v>
      </c>
      <c r="BW17" s="2">
        <v>388</v>
      </c>
      <c r="BX17" s="2">
        <v>560</v>
      </c>
      <c r="BY17" s="2">
        <v>17.5</v>
      </c>
      <c r="BZ17" s="2">
        <v>6.8</v>
      </c>
      <c r="CA17" s="2">
        <v>2.5</v>
      </c>
      <c r="CB17" s="2">
        <v>3.09867220710481E-10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26</v>
      </c>
      <c r="AX18" s="2" t="s">
        <v>273</v>
      </c>
      <c r="AY18" s="130">
        <v>32</v>
      </c>
      <c r="AZ18" s="2">
        <v>18.899999999999999</v>
      </c>
      <c r="BA18" s="2">
        <v>47</v>
      </c>
      <c r="BB18" s="2">
        <v>85</v>
      </c>
      <c r="BC18" s="2">
        <v>3</v>
      </c>
      <c r="BD18" s="2">
        <v>6.1</v>
      </c>
      <c r="BE18" s="2">
        <v>10.199999999999999</v>
      </c>
      <c r="BF18" s="2">
        <v>11.1</v>
      </c>
      <c r="BG18" s="2">
        <v>11.8</v>
      </c>
      <c r="BH18" s="2">
        <v>15.4</v>
      </c>
      <c r="BI18" s="2">
        <v>248</v>
      </c>
      <c r="BJ18" s="2">
        <v>468</v>
      </c>
      <c r="BK18" s="2">
        <v>528</v>
      </c>
      <c r="BL18" s="2">
        <v>584</v>
      </c>
      <c r="BM18" s="2">
        <v>781</v>
      </c>
      <c r="BN18" s="2"/>
      <c r="BO18" s="2"/>
      <c r="BP18" s="2"/>
      <c r="BQ18" s="2"/>
      <c r="BR18" s="2"/>
      <c r="BS18" s="2"/>
      <c r="BT18" s="2">
        <v>252</v>
      </c>
      <c r="BU18" s="2">
        <v>632</v>
      </c>
      <c r="BV18" s="2">
        <v>744</v>
      </c>
      <c r="BW18" s="2">
        <v>850</v>
      </c>
      <c r="BX18" s="2">
        <v>1190</v>
      </c>
      <c r="BY18" s="2">
        <v>58.9</v>
      </c>
      <c r="BZ18" s="2">
        <v>16.8</v>
      </c>
      <c r="CA18" s="2">
        <v>3</v>
      </c>
      <c r="CB18" s="2">
        <v>3.4622639707747801E-9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29</v>
      </c>
      <c r="AX19" s="2" t="s">
        <v>273</v>
      </c>
      <c r="AY19" s="130">
        <v>32</v>
      </c>
      <c r="AZ19" s="2">
        <v>18.899999999999999</v>
      </c>
      <c r="BA19" s="2">
        <v>47</v>
      </c>
      <c r="BB19" s="2">
        <v>85</v>
      </c>
      <c r="BC19" s="2">
        <v>3</v>
      </c>
      <c r="BD19" s="2">
        <v>14.9</v>
      </c>
      <c r="BE19" s="2">
        <v>19</v>
      </c>
      <c r="BF19" s="2">
        <v>19.899999999999999</v>
      </c>
      <c r="BG19" s="2">
        <v>20.6</v>
      </c>
      <c r="BH19" s="2">
        <v>24.3</v>
      </c>
      <c r="BI19" s="2">
        <v>687</v>
      </c>
      <c r="BJ19" s="2">
        <v>907</v>
      </c>
      <c r="BK19" s="2">
        <v>967</v>
      </c>
      <c r="BL19" s="2">
        <v>1024</v>
      </c>
      <c r="BM19" s="2">
        <v>1220</v>
      </c>
      <c r="BN19" s="2"/>
      <c r="BO19" s="2"/>
      <c r="BP19" s="2"/>
      <c r="BQ19" s="2"/>
      <c r="BR19" s="2"/>
      <c r="BS19" s="2"/>
      <c r="BT19" s="2">
        <v>917</v>
      </c>
      <c r="BU19" s="2">
        <v>1297</v>
      </c>
      <c r="BV19" s="2">
        <v>1408</v>
      </c>
      <c r="BW19" s="2">
        <v>1515</v>
      </c>
      <c r="BX19" s="2">
        <v>1855</v>
      </c>
      <c r="BY19" s="2">
        <v>58.9</v>
      </c>
      <c r="BZ19" s="2">
        <v>16.8</v>
      </c>
      <c r="CA19" s="2">
        <v>3</v>
      </c>
      <c r="CB19" s="2">
        <v>3.4622639707747801E-9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29</v>
      </c>
      <c r="AX20" s="2" t="s">
        <v>289</v>
      </c>
      <c r="AY20" s="130">
        <v>28.8</v>
      </c>
      <c r="AZ20" s="2">
        <v>19</v>
      </c>
      <c r="BA20" s="2"/>
      <c r="BB20" s="2">
        <v>10</v>
      </c>
      <c r="BC20" s="2"/>
      <c r="BD20" s="2">
        <v>1</v>
      </c>
      <c r="BE20" s="2">
        <v>18</v>
      </c>
      <c r="BF20" s="2">
        <v>23.8</v>
      </c>
      <c r="BG20" s="2">
        <v>57.7</v>
      </c>
      <c r="BH20" s="2">
        <v>162.5</v>
      </c>
      <c r="BI20" s="2"/>
      <c r="BJ20" s="2"/>
      <c r="BK20" s="2"/>
      <c r="BL20" s="2"/>
      <c r="BM20" s="2"/>
      <c r="BN20" s="2">
        <v>69</v>
      </c>
      <c r="BO20" s="2">
        <v>26</v>
      </c>
      <c r="BP20" s="2">
        <v>28</v>
      </c>
      <c r="BQ20" s="2">
        <v>31</v>
      </c>
      <c r="BR20" s="2">
        <v>33</v>
      </c>
      <c r="BS20" s="2">
        <v>37</v>
      </c>
      <c r="BT20" s="2">
        <v>29</v>
      </c>
      <c r="BU20" s="2">
        <v>122</v>
      </c>
      <c r="BV20" s="2">
        <v>169</v>
      </c>
      <c r="BW20" s="2">
        <v>216</v>
      </c>
      <c r="BX20" s="2">
        <v>333</v>
      </c>
      <c r="BY20" s="2">
        <v>42.2</v>
      </c>
      <c r="BZ20" s="2">
        <v>2.9</v>
      </c>
      <c r="CA20" s="2">
        <v>1</v>
      </c>
      <c r="CB20" s="2">
        <v>4.10272732758781E-11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59</v>
      </c>
      <c r="AX21" s="2" t="s">
        <v>289</v>
      </c>
      <c r="AY21" s="130">
        <v>28.8</v>
      </c>
      <c r="AZ21" s="2">
        <v>19</v>
      </c>
      <c r="BA21" s="2"/>
      <c r="BB21" s="2">
        <v>10</v>
      </c>
      <c r="BC21" s="2"/>
      <c r="BD21" s="2">
        <v>10.199999999999999</v>
      </c>
      <c r="BE21" s="2">
        <v>27.2</v>
      </c>
      <c r="BF21" s="2">
        <v>33</v>
      </c>
      <c r="BG21" s="2">
        <v>66.8</v>
      </c>
      <c r="BH21" s="2">
        <v>171.7</v>
      </c>
      <c r="BI21" s="2"/>
      <c r="BJ21" s="2"/>
      <c r="BK21" s="2"/>
      <c r="BL21" s="2"/>
      <c r="BM21" s="2"/>
      <c r="BN21" s="2">
        <v>69</v>
      </c>
      <c r="BO21" s="2">
        <v>26</v>
      </c>
      <c r="BP21" s="2">
        <v>28</v>
      </c>
      <c r="BQ21" s="2">
        <v>31</v>
      </c>
      <c r="BR21" s="2">
        <v>33</v>
      </c>
      <c r="BS21" s="2">
        <v>37</v>
      </c>
      <c r="BT21" s="2">
        <v>94</v>
      </c>
      <c r="BU21" s="2">
        <v>187</v>
      </c>
      <c r="BV21" s="2">
        <v>234</v>
      </c>
      <c r="BW21" s="2">
        <v>281</v>
      </c>
      <c r="BX21" s="2">
        <v>398</v>
      </c>
      <c r="BY21" s="2">
        <v>42.2</v>
      </c>
      <c r="BZ21" s="2">
        <v>2.9</v>
      </c>
      <c r="CA21" s="2">
        <v>1</v>
      </c>
      <c r="CB21" s="2">
        <v>4.10272732758781E-11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59</v>
      </c>
      <c r="AX22" s="2" t="s">
        <v>220</v>
      </c>
      <c r="AY22" s="130">
        <v>29.5</v>
      </c>
      <c r="AZ22" s="2">
        <v>18.8</v>
      </c>
      <c r="BA22" s="2">
        <v>48</v>
      </c>
      <c r="BB22" s="2">
        <v>77</v>
      </c>
      <c r="BC22" s="2">
        <v>3</v>
      </c>
      <c r="BD22" s="2">
        <v>2.2000000000000002</v>
      </c>
      <c r="BE22" s="2">
        <v>15</v>
      </c>
      <c r="BF22" s="2">
        <v>19</v>
      </c>
      <c r="BG22" s="2">
        <v>44.2</v>
      </c>
      <c r="BH22" s="2">
        <v>122.5</v>
      </c>
      <c r="BI22" s="2">
        <v>763</v>
      </c>
      <c r="BJ22" s="2">
        <v>849</v>
      </c>
      <c r="BK22" s="2">
        <v>892</v>
      </c>
      <c r="BL22" s="2">
        <v>937</v>
      </c>
      <c r="BM22" s="2">
        <v>1022</v>
      </c>
      <c r="BN22" s="2"/>
      <c r="BO22" s="2"/>
      <c r="BP22" s="2"/>
      <c r="BQ22" s="2"/>
      <c r="BR22" s="2"/>
      <c r="BS22" s="2"/>
      <c r="BT22" s="2">
        <v>1101</v>
      </c>
      <c r="BU22" s="2">
        <v>1273</v>
      </c>
      <c r="BV22" s="2">
        <v>1360</v>
      </c>
      <c r="BW22" s="2">
        <v>1446</v>
      </c>
      <c r="BX22" s="2">
        <v>1618</v>
      </c>
      <c r="BY22" s="2">
        <v>80</v>
      </c>
      <c r="BZ22" s="2">
        <v>9.6999999999999993</v>
      </c>
      <c r="CA22" s="2">
        <v>3</v>
      </c>
      <c r="CB22" s="2">
        <v>4.2313228755179199E-12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76</v>
      </c>
      <c r="AX23" s="2" t="s">
        <v>220</v>
      </c>
      <c r="AY23" s="130">
        <v>29.5</v>
      </c>
      <c r="AZ23" s="2">
        <v>18.8</v>
      </c>
      <c r="BA23" s="2">
        <v>48</v>
      </c>
      <c r="BB23" s="2">
        <v>77</v>
      </c>
      <c r="BC23" s="2">
        <v>3</v>
      </c>
      <c r="BD23" s="2">
        <v>6.7</v>
      </c>
      <c r="BE23" s="2">
        <v>19.600000000000001</v>
      </c>
      <c r="BF23" s="2">
        <v>23.5</v>
      </c>
      <c r="BG23" s="2">
        <v>48.8</v>
      </c>
      <c r="BH23" s="2">
        <v>127</v>
      </c>
      <c r="BI23" s="2">
        <v>975</v>
      </c>
      <c r="BJ23" s="2">
        <v>1061</v>
      </c>
      <c r="BK23" s="2">
        <v>1104</v>
      </c>
      <c r="BL23" s="2">
        <v>1148</v>
      </c>
      <c r="BM23" s="2">
        <v>1234</v>
      </c>
      <c r="BN23" s="2"/>
      <c r="BO23" s="2"/>
      <c r="BP23" s="2"/>
      <c r="BQ23" s="2"/>
      <c r="BR23" s="2"/>
      <c r="BS23" s="2"/>
      <c r="BT23" s="2">
        <v>1520</v>
      </c>
      <c r="BU23" s="2">
        <v>1692</v>
      </c>
      <c r="BV23" s="2">
        <v>1779</v>
      </c>
      <c r="BW23" s="2">
        <v>1866</v>
      </c>
      <c r="BX23" s="2">
        <v>2038</v>
      </c>
      <c r="BY23" s="2">
        <v>80</v>
      </c>
      <c r="BZ23" s="2">
        <v>9.6999999999999993</v>
      </c>
      <c r="CA23" s="2">
        <v>3</v>
      </c>
      <c r="CB23" s="2">
        <v>4.2313228755179199E-12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76</v>
      </c>
      <c r="AX24" s="2" t="s">
        <v>221</v>
      </c>
      <c r="AY24" s="130">
        <v>36.1</v>
      </c>
      <c r="AZ24" s="2">
        <v>18.5</v>
      </c>
      <c r="BA24" s="2">
        <v>21</v>
      </c>
      <c r="BB24" s="2">
        <v>72</v>
      </c>
      <c r="BC24" s="2">
        <v>3</v>
      </c>
      <c r="BD24" s="2">
        <v>2.8</v>
      </c>
      <c r="BE24" s="2">
        <v>16.5</v>
      </c>
      <c r="BF24" s="2">
        <v>24.1</v>
      </c>
      <c r="BG24" s="2">
        <v>49.4</v>
      </c>
      <c r="BH24" s="2">
        <v>128</v>
      </c>
      <c r="BI24" s="2">
        <v>988</v>
      </c>
      <c r="BJ24" s="2">
        <v>1074</v>
      </c>
      <c r="BK24" s="2">
        <v>1117</v>
      </c>
      <c r="BL24" s="2">
        <v>1161</v>
      </c>
      <c r="BM24" s="2">
        <v>1247</v>
      </c>
      <c r="BN24" s="2"/>
      <c r="BO24" s="2"/>
      <c r="BP24" s="2"/>
      <c r="BQ24" s="2"/>
      <c r="BR24" s="2"/>
      <c r="BS24" s="2"/>
      <c r="BT24" s="2">
        <v>1520</v>
      </c>
      <c r="BU24" s="2">
        <v>1692</v>
      </c>
      <c r="BV24" s="2">
        <v>1779</v>
      </c>
      <c r="BW24" s="2">
        <v>1866</v>
      </c>
      <c r="BX24" s="2">
        <v>2037</v>
      </c>
      <c r="BY24" s="2">
        <v>91.1</v>
      </c>
      <c r="BZ24" s="2">
        <v>9.6</v>
      </c>
      <c r="CA24" s="2">
        <v>3</v>
      </c>
      <c r="CB24" s="2">
        <v>4.3399104334498799E-12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80</v>
      </c>
      <c r="AX25" s="2" t="s">
        <v>221</v>
      </c>
      <c r="AY25" s="130">
        <v>36.1</v>
      </c>
      <c r="AZ25" s="2">
        <v>18.5</v>
      </c>
      <c r="BA25" s="2">
        <v>21</v>
      </c>
      <c r="BB25" s="2">
        <v>72</v>
      </c>
      <c r="BC25" s="2">
        <v>3</v>
      </c>
      <c r="BD25" s="2">
        <v>3.3</v>
      </c>
      <c r="BE25" s="2">
        <v>17</v>
      </c>
      <c r="BF25" s="2">
        <v>24.5</v>
      </c>
      <c r="BG25" s="2">
        <v>49.9</v>
      </c>
      <c r="BH25" s="2">
        <v>128.4</v>
      </c>
      <c r="BI25" s="2">
        <v>1028</v>
      </c>
      <c r="BJ25" s="2">
        <v>1114</v>
      </c>
      <c r="BK25" s="2">
        <v>1157</v>
      </c>
      <c r="BL25" s="2">
        <v>1201</v>
      </c>
      <c r="BM25" s="2">
        <v>1287</v>
      </c>
      <c r="BN25" s="2"/>
      <c r="BO25" s="2"/>
      <c r="BP25" s="2"/>
      <c r="BQ25" s="2"/>
      <c r="BR25" s="2"/>
      <c r="BS25" s="2"/>
      <c r="BT25" s="2">
        <v>1600</v>
      </c>
      <c r="BU25" s="2">
        <v>1772</v>
      </c>
      <c r="BV25" s="2">
        <v>1859</v>
      </c>
      <c r="BW25" s="2">
        <v>1946</v>
      </c>
      <c r="BX25" s="2">
        <v>2117</v>
      </c>
      <c r="BY25" s="2">
        <v>91.1</v>
      </c>
      <c r="BZ25" s="2">
        <v>9.6</v>
      </c>
      <c r="CA25" s="2">
        <v>3</v>
      </c>
      <c r="CB25" s="2">
        <v>4.3399104334498799E-12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/>
      <c r="AX26" s="2"/>
      <c r="AY26" s="130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/>
      <c r="AX27" s="2"/>
      <c r="AY27" s="130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674" priority="12">
      <formula>$L32="API sand"</formula>
    </cfRule>
  </conditionalFormatting>
  <conditionalFormatting sqref="R32:S36 AB32:AB35 AJ32:AL36 Z32:Z36 N32:N36">
    <cfRule type="expression" dxfId="2673" priority="11">
      <formula>$M32="API sand"</formula>
    </cfRule>
  </conditionalFormatting>
  <conditionalFormatting sqref="R32:T36 Z32:AB35 AK32:AL36 N32:N36">
    <cfRule type="expression" dxfId="2672" priority="10">
      <formula>$M32="API clay"</formula>
    </cfRule>
  </conditionalFormatting>
  <conditionalFormatting sqref="U32:W36 AM32:AP36 N32:P36">
    <cfRule type="expression" dxfId="2671" priority="7">
      <formula>$L32="Stiff clay w/o free water"</formula>
    </cfRule>
    <cfRule type="expression" dxfId="2670" priority="9">
      <formula>$L32="API clay"</formula>
    </cfRule>
  </conditionalFormatting>
  <conditionalFormatting sqref="U32:Y36 AM32:AP36 N32:P36">
    <cfRule type="expression" dxfId="2669" priority="8">
      <formula>$L32="Kirsch soft clay"</formula>
    </cfRule>
  </conditionalFormatting>
  <conditionalFormatting sqref="U32:Y36 AM32:AP36 N32:P36">
    <cfRule type="expression" dxfId="2668" priority="6">
      <formula>$L32="Kirsch stiff clay"</formula>
    </cfRule>
  </conditionalFormatting>
  <conditionalFormatting sqref="AM32:AP36 Q32:Q36 X32:Y36 N32:N36">
    <cfRule type="expression" dxfId="2667" priority="5">
      <formula>$L32="Kirsch sand"</formula>
    </cfRule>
  </conditionalFormatting>
  <conditionalFormatting sqref="AC32:AD36 AI32:AI36 AM32:AP36 N32:N36">
    <cfRule type="expression" dxfId="2666" priority="4">
      <formula>$L32="Modified Weak rock"</formula>
    </cfRule>
  </conditionalFormatting>
  <conditionalFormatting sqref="AM32:AP36 N32:P36 U32:V36">
    <cfRule type="expression" dxfId="2665" priority="3">
      <formula>$L32="Reese stiff clay"</formula>
    </cfRule>
  </conditionalFormatting>
  <conditionalFormatting sqref="AB36">
    <cfRule type="expression" dxfId="2664" priority="2">
      <formula>$M36="API sand"</formula>
    </cfRule>
  </conditionalFormatting>
  <conditionalFormatting sqref="Z36:AB36">
    <cfRule type="expression" dxfId="2663" priority="1">
      <formula>$M36="API clay"</formula>
    </cfRule>
  </conditionalFormatting>
  <conditionalFormatting sqref="AE37:AH37">
    <cfRule type="expression" dxfId="2662" priority="13">
      <formula>#REF!="Modified Weak rock"</formula>
    </cfRule>
  </conditionalFormatting>
  <dataValidations count="4">
    <dataValidation type="textLength" showInputMessage="1" showErrorMessage="1" sqref="M27:M31" xr:uid="{D6FB7A1B-C61C-4E5E-B66C-ACE3FAE85B58}">
      <formula1>0</formula1>
      <formula2>100</formula2>
    </dataValidation>
    <dataValidation showInputMessage="1" showErrorMessage="1" sqref="L6:M26" xr:uid="{C1D8C9AE-A857-4FB2-A04C-7EBAD9BBA5B5}"/>
    <dataValidation type="list" showInputMessage="1" showErrorMessage="1" sqref="L32:L255" xr:uid="{445A7A17-0448-4F28-AD75-402E767B99C1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8153393B-6F6E-448D-94ED-07BF4D5DDC77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5C04D-D6B1-4A13-B1B7-8F2E1264B058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Ak_Pisa_WTG15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13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EW_sand_Ruled_69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32</v>
      </c>
      <c r="R6" s="47">
        <f t="shared" ref="R6:R26" ca="1" si="7">IF(I6="","",IF(Q6&lt;&gt;0,Q6-5,NA()))</f>
        <v>27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2600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86.999999999999972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6720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28.000000000000007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69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0.2</v>
      </c>
      <c r="BF6" s="2">
        <v>0.3</v>
      </c>
      <c r="BG6" s="2">
        <v>0.4</v>
      </c>
      <c r="BH6" s="2">
        <v>0.6</v>
      </c>
      <c r="BI6" s="2"/>
      <c r="BJ6" s="2"/>
      <c r="BK6" s="2"/>
      <c r="BL6" s="2"/>
      <c r="BM6" s="2"/>
      <c r="BN6" s="2">
        <v>69</v>
      </c>
      <c r="BO6" s="2">
        <v>24</v>
      </c>
      <c r="BP6" s="2">
        <v>32</v>
      </c>
      <c r="BQ6" s="2">
        <v>35</v>
      </c>
      <c r="BR6" s="2">
        <v>38</v>
      </c>
      <c r="BS6" s="2">
        <v>45</v>
      </c>
      <c r="BT6" s="2">
        <v>0</v>
      </c>
      <c r="BU6" s="2">
        <v>2</v>
      </c>
      <c r="BV6" s="2">
        <v>5</v>
      </c>
      <c r="BW6" s="2">
        <v>8</v>
      </c>
      <c r="BX6" s="2">
        <v>14</v>
      </c>
      <c r="BY6" s="2">
        <v>2.6</v>
      </c>
      <c r="BZ6" s="2">
        <v>1</v>
      </c>
      <c r="CA6" s="2">
        <v>0.5</v>
      </c>
      <c r="CB6" s="2">
        <v>4.89286228183617E-5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-0.5</v>
      </c>
      <c r="L7" s="116" t="str">
        <f t="shared" ca="1" si="1"/>
        <v>EW_sand_Ruled_29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33</v>
      </c>
      <c r="R7" s="47">
        <f t="shared" ca="1" si="7"/>
        <v>28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5400</v>
      </c>
      <c r="Y7" s="47">
        <f t="shared" ca="1" si="14"/>
        <v>0</v>
      </c>
      <c r="Z7" s="47">
        <f t="shared" ca="1" si="15"/>
        <v>89.999999999999972</v>
      </c>
      <c r="AA7" s="47">
        <f t="shared" ca="1" si="16"/>
        <v>1</v>
      </c>
      <c r="AB7" s="47">
        <f t="shared" ca="1" si="17"/>
        <v>7680</v>
      </c>
      <c r="AC7" s="63">
        <f t="shared" ca="1" si="18"/>
        <v>16000</v>
      </c>
      <c r="AD7" s="63">
        <f t="shared" ca="1" si="19"/>
        <v>20000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32.000000000000007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29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0.6</v>
      </c>
      <c r="BE7" s="2">
        <v>0.8</v>
      </c>
      <c r="BF7" s="2">
        <v>0.9</v>
      </c>
      <c r="BG7" s="2">
        <v>1.1000000000000001</v>
      </c>
      <c r="BH7" s="2">
        <v>1.2</v>
      </c>
      <c r="BI7" s="2"/>
      <c r="BJ7" s="2"/>
      <c r="BK7" s="2"/>
      <c r="BL7" s="2"/>
      <c r="BM7" s="2"/>
      <c r="BN7" s="2">
        <v>69</v>
      </c>
      <c r="BO7" s="2">
        <v>24</v>
      </c>
      <c r="BP7" s="2">
        <v>32</v>
      </c>
      <c r="BQ7" s="2">
        <v>35</v>
      </c>
      <c r="BR7" s="2">
        <v>38</v>
      </c>
      <c r="BS7" s="2">
        <v>45</v>
      </c>
      <c r="BT7" s="2">
        <v>7</v>
      </c>
      <c r="BU7" s="2">
        <v>13</v>
      </c>
      <c r="BV7" s="2">
        <v>16</v>
      </c>
      <c r="BW7" s="2">
        <v>19</v>
      </c>
      <c r="BX7" s="2">
        <v>25</v>
      </c>
      <c r="BY7" s="2">
        <v>2.6</v>
      </c>
      <c r="BZ7" s="2">
        <v>1</v>
      </c>
      <c r="CA7" s="2">
        <v>0.5</v>
      </c>
      <c r="CB7" s="2">
        <v>4.89286228183617E-5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11b</v>
      </c>
      <c r="J8" s="47">
        <f t="shared" ca="1" si="35"/>
        <v>3</v>
      </c>
      <c r="K8" s="19">
        <f t="shared" ca="1" si="36"/>
        <v>-1.3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9.5</v>
      </c>
      <c r="O8" s="63">
        <f t="shared" ca="1" si="4"/>
        <v>137</v>
      </c>
      <c r="P8" s="63">
        <f t="shared" ca="1" si="5"/>
        <v>-1.8518518518518516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24800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148000</v>
      </c>
      <c r="AD8" s="63">
        <f t="shared" ca="1" si="19"/>
        <v>-740.74074074074065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0</v>
      </c>
      <c r="BE8" s="2">
        <v>0.8</v>
      </c>
      <c r="BF8" s="2">
        <v>1.2</v>
      </c>
      <c r="BG8" s="2">
        <v>1.9</v>
      </c>
      <c r="BH8" s="2">
        <v>4.0999999999999996</v>
      </c>
      <c r="BI8" s="2"/>
      <c r="BJ8" s="2"/>
      <c r="BK8" s="2"/>
      <c r="BL8" s="2"/>
      <c r="BM8" s="2"/>
      <c r="BN8" s="2">
        <v>29</v>
      </c>
      <c r="BO8" s="2">
        <v>28</v>
      </c>
      <c r="BP8" s="2">
        <v>33</v>
      </c>
      <c r="BQ8" s="2">
        <v>36</v>
      </c>
      <c r="BR8" s="2">
        <v>39</v>
      </c>
      <c r="BS8" s="2">
        <v>44</v>
      </c>
      <c r="BT8" s="2">
        <v>0</v>
      </c>
      <c r="BU8" s="2">
        <v>10</v>
      </c>
      <c r="BV8" s="2">
        <v>16</v>
      </c>
      <c r="BW8" s="2">
        <v>22</v>
      </c>
      <c r="BX8" s="2">
        <v>37</v>
      </c>
      <c r="BY8" s="2">
        <v>5.4</v>
      </c>
      <c r="BZ8" s="2">
        <v>1</v>
      </c>
      <c r="CA8" s="2">
        <v>0.5</v>
      </c>
      <c r="CB8" s="2">
        <v>1.7726174212268299E-7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21a</v>
      </c>
      <c r="J9" s="47">
        <f t="shared" ca="1" si="35"/>
        <v>4</v>
      </c>
      <c r="K9" s="19">
        <f t="shared" ca="1" si="36"/>
        <v>-4</v>
      </c>
      <c r="L9" s="116" t="str">
        <f t="shared" ca="1" si="1"/>
        <v>EW_sand_Ruled_24</v>
      </c>
      <c r="M9" s="105" t="str">
        <f t="shared" ca="1" si="2"/>
        <v>API sand</v>
      </c>
      <c r="N9" s="47">
        <f t="shared" ca="1" si="3"/>
        <v>9.8000000000000007</v>
      </c>
      <c r="O9" s="63">
        <f t="shared" ca="1" si="4"/>
        <v>0</v>
      </c>
      <c r="P9" s="63">
        <f t="shared" ca="1" si="5"/>
        <v>0</v>
      </c>
      <c r="Q9" s="47">
        <f t="shared" ca="1" si="6"/>
        <v>26.5</v>
      </c>
      <c r="R9" s="47">
        <f t="shared" ca="1" si="7"/>
        <v>21.5</v>
      </c>
      <c r="S9" s="47">
        <f t="shared" ca="1" si="8"/>
        <v>1.1000000000000001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4000</v>
      </c>
      <c r="Y9" s="47">
        <f t="shared" ca="1" si="14"/>
        <v>0</v>
      </c>
      <c r="Z9" s="47">
        <f t="shared" ca="1" si="15"/>
        <v>69.799999999999983</v>
      </c>
      <c r="AA9" s="47">
        <f t="shared" ca="1" si="16"/>
        <v>1</v>
      </c>
      <c r="AB9" s="47">
        <f t="shared" ca="1" si="17"/>
        <v>3280</v>
      </c>
      <c r="AC9" s="63">
        <f t="shared" ca="1" si="18"/>
        <v>38000</v>
      </c>
      <c r="AD9" s="63">
        <f t="shared" ca="1" si="19"/>
        <v>20909.090909090915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13.600000000000003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24</v>
      </c>
      <c r="AS9" s="33">
        <f t="shared" ca="1" si="34"/>
        <v>0.2</v>
      </c>
      <c r="AW9" s="2">
        <v>1.3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1.1000000000000001</v>
      </c>
      <c r="BE9" s="2">
        <v>1.9</v>
      </c>
      <c r="BF9" s="2">
        <v>2.2000000000000002</v>
      </c>
      <c r="BG9" s="2">
        <v>3</v>
      </c>
      <c r="BH9" s="2">
        <v>5.0999999999999996</v>
      </c>
      <c r="BI9" s="2"/>
      <c r="BJ9" s="2"/>
      <c r="BK9" s="2"/>
      <c r="BL9" s="2"/>
      <c r="BM9" s="2"/>
      <c r="BN9" s="2">
        <v>29</v>
      </c>
      <c r="BO9" s="2">
        <v>28</v>
      </c>
      <c r="BP9" s="2">
        <v>33</v>
      </c>
      <c r="BQ9" s="2">
        <v>36</v>
      </c>
      <c r="BR9" s="2">
        <v>39</v>
      </c>
      <c r="BS9" s="2">
        <v>44</v>
      </c>
      <c r="BT9" s="2">
        <v>11</v>
      </c>
      <c r="BU9" s="2">
        <v>25</v>
      </c>
      <c r="BV9" s="2">
        <v>32</v>
      </c>
      <c r="BW9" s="2">
        <v>38</v>
      </c>
      <c r="BX9" s="2">
        <v>53</v>
      </c>
      <c r="BY9" s="2">
        <v>5.4</v>
      </c>
      <c r="BZ9" s="2">
        <v>1</v>
      </c>
      <c r="CA9" s="2">
        <v>0.5</v>
      </c>
      <c r="CB9" s="2">
        <v>1.7726174212268299E-7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21a</v>
      </c>
      <c r="J10" s="47">
        <f t="shared" ca="1" si="35"/>
        <v>5</v>
      </c>
      <c r="K10" s="19">
        <f t="shared" ca="1" si="36"/>
        <v>-5.0999999999999996</v>
      </c>
      <c r="L10" s="116" t="str">
        <f t="shared" ca="1" si="1"/>
        <v>EW_sand_Ruled_68</v>
      </c>
      <c r="M10" s="105" t="str">
        <f t="shared" ca="1" si="2"/>
        <v>API sand</v>
      </c>
      <c r="N10" s="47">
        <f t="shared" ca="1" si="3"/>
        <v>9.8000000000000007</v>
      </c>
      <c r="O10" s="63">
        <f t="shared" ca="1" si="4"/>
        <v>0</v>
      </c>
      <c r="P10" s="63">
        <f t="shared" ca="1" si="5"/>
        <v>0</v>
      </c>
      <c r="Q10" s="47">
        <f t="shared" ca="1" si="6"/>
        <v>29</v>
      </c>
      <c r="R10" s="47">
        <f t="shared" ca="1" si="7"/>
        <v>24</v>
      </c>
      <c r="S10" s="47">
        <f t="shared" ca="1" si="8"/>
        <v>2.2999999999999998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22000</v>
      </c>
      <c r="Y10" s="47">
        <f t="shared" ca="1" si="14"/>
        <v>0</v>
      </c>
      <c r="Z10" s="47">
        <f t="shared" ca="1" si="15"/>
        <v>78.199999999999974</v>
      </c>
      <c r="AA10" s="47">
        <f t="shared" ca="1" si="16"/>
        <v>1</v>
      </c>
      <c r="AB10" s="47">
        <f t="shared" ca="1" si="17"/>
        <v>4420</v>
      </c>
      <c r="AC10" s="63">
        <f t="shared" ca="1" si="18"/>
        <v>82000</v>
      </c>
      <c r="AD10" s="63">
        <f t="shared" ca="1" si="19"/>
        <v>-714.28571428571411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18.400000000000006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68</v>
      </c>
      <c r="AS10" s="33">
        <f t="shared" ca="1" si="34"/>
        <v>0.2</v>
      </c>
      <c r="AW10" s="2">
        <v>1.3</v>
      </c>
      <c r="AX10" s="2" t="s">
        <v>299</v>
      </c>
      <c r="AY10" s="130">
        <v>29</v>
      </c>
      <c r="AZ10" s="2">
        <v>19.5</v>
      </c>
      <c r="BA10" s="2">
        <v>13</v>
      </c>
      <c r="BB10" s="2">
        <v>64</v>
      </c>
      <c r="BC10" s="2">
        <v>4</v>
      </c>
      <c r="BD10" s="2">
        <v>2.2999999999999998</v>
      </c>
      <c r="BE10" s="2">
        <v>3</v>
      </c>
      <c r="BF10" s="2">
        <v>3.2</v>
      </c>
      <c r="BG10" s="2">
        <v>3.4</v>
      </c>
      <c r="BH10" s="2">
        <v>4.3</v>
      </c>
      <c r="BI10" s="2">
        <v>53</v>
      </c>
      <c r="BJ10" s="2">
        <v>137</v>
      </c>
      <c r="BK10" s="2">
        <v>173</v>
      </c>
      <c r="BL10" s="2">
        <v>211</v>
      </c>
      <c r="BM10" s="2">
        <v>302</v>
      </c>
      <c r="BN10" s="2"/>
      <c r="BO10" s="2"/>
      <c r="BP10" s="2"/>
      <c r="BQ10" s="2"/>
      <c r="BR10" s="2"/>
      <c r="BS10" s="2"/>
      <c r="BT10" s="2">
        <v>5</v>
      </c>
      <c r="BU10" s="2">
        <v>96</v>
      </c>
      <c r="BV10" s="2">
        <v>148</v>
      </c>
      <c r="BW10" s="2">
        <v>200</v>
      </c>
      <c r="BX10" s="2">
        <v>313</v>
      </c>
      <c r="BY10" s="2">
        <v>24.8</v>
      </c>
      <c r="BZ10" s="2">
        <v>24.4</v>
      </c>
      <c r="CA10" s="2">
        <v>3</v>
      </c>
      <c r="CB10" s="2">
        <v>1.85115881261672E-7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21a</v>
      </c>
      <c r="J11" s="47">
        <f t="shared" ca="1" si="35"/>
        <v>6</v>
      </c>
      <c r="K11" s="19">
        <f t="shared" ca="1" si="36"/>
        <v>-6.5</v>
      </c>
      <c r="L11" s="116" t="str">
        <f t="shared" ca="1" si="1"/>
        <v>EW_sand_Ruled_60</v>
      </c>
      <c r="M11" s="105" t="str">
        <f t="shared" ca="1" si="2"/>
        <v>API sand</v>
      </c>
      <c r="N11" s="47">
        <f t="shared" ca="1" si="3"/>
        <v>9.8000000000000007</v>
      </c>
      <c r="O11" s="63">
        <f t="shared" ca="1" si="4"/>
        <v>0</v>
      </c>
      <c r="P11" s="63">
        <f t="shared" ca="1" si="5"/>
        <v>0</v>
      </c>
      <c r="Q11" s="47">
        <f t="shared" ca="1" si="6"/>
        <v>28</v>
      </c>
      <c r="R11" s="47">
        <f t="shared" ca="1" si="7"/>
        <v>23</v>
      </c>
      <c r="S11" s="47">
        <f t="shared" ca="1" si="8"/>
        <v>1.8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18100</v>
      </c>
      <c r="Y11" s="47">
        <f t="shared" ca="1" si="14"/>
        <v>0</v>
      </c>
      <c r="Z11" s="47">
        <f t="shared" ca="1" si="15"/>
        <v>75.399999999999977</v>
      </c>
      <c r="AA11" s="47">
        <f t="shared" ca="1" si="16"/>
        <v>1</v>
      </c>
      <c r="AB11" s="47">
        <f t="shared" ca="1" si="17"/>
        <v>4040</v>
      </c>
      <c r="AC11" s="63">
        <f t="shared" ca="1" si="18"/>
        <v>82000</v>
      </c>
      <c r="AD11" s="63">
        <f t="shared" ca="1" si="19"/>
        <v>3333.3333333333335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16.800000000000004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60</v>
      </c>
      <c r="AS11" s="33">
        <f t="shared" ca="1" si="34"/>
        <v>0.2</v>
      </c>
      <c r="AW11" s="2">
        <v>4</v>
      </c>
      <c r="AX11" s="2" t="s">
        <v>299</v>
      </c>
      <c r="AY11" s="130">
        <v>29</v>
      </c>
      <c r="AZ11" s="2">
        <v>19.5</v>
      </c>
      <c r="BA11" s="2">
        <v>13</v>
      </c>
      <c r="BB11" s="2">
        <v>64</v>
      </c>
      <c r="BC11" s="2">
        <v>4</v>
      </c>
      <c r="BD11" s="2">
        <v>2.2999999999999998</v>
      </c>
      <c r="BE11" s="2">
        <v>2.9</v>
      </c>
      <c r="BF11" s="2">
        <v>3.1</v>
      </c>
      <c r="BG11" s="2">
        <v>3.3</v>
      </c>
      <c r="BH11" s="2">
        <v>4.3</v>
      </c>
      <c r="BI11" s="2">
        <v>48</v>
      </c>
      <c r="BJ11" s="2">
        <v>132</v>
      </c>
      <c r="BK11" s="2">
        <v>169</v>
      </c>
      <c r="BL11" s="2">
        <v>206</v>
      </c>
      <c r="BM11" s="2">
        <v>298</v>
      </c>
      <c r="BN11" s="2"/>
      <c r="BO11" s="2"/>
      <c r="BP11" s="2"/>
      <c r="BQ11" s="2"/>
      <c r="BR11" s="2"/>
      <c r="BS11" s="2"/>
      <c r="BT11" s="2">
        <v>4</v>
      </c>
      <c r="BU11" s="2">
        <v>95</v>
      </c>
      <c r="BV11" s="2">
        <v>146</v>
      </c>
      <c r="BW11" s="2">
        <v>199</v>
      </c>
      <c r="BX11" s="2">
        <v>312</v>
      </c>
      <c r="BY11" s="2">
        <v>24.8</v>
      </c>
      <c r="BZ11" s="2">
        <v>24.4</v>
      </c>
      <c r="CA11" s="2">
        <v>3</v>
      </c>
      <c r="CB11" s="2">
        <v>1.85115881261672E-7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21a</v>
      </c>
      <c r="J12" s="47">
        <f t="shared" ca="1" si="35"/>
        <v>7</v>
      </c>
      <c r="K12" s="19">
        <f t="shared" ca="1" si="36"/>
        <v>-8</v>
      </c>
      <c r="L12" s="116" t="str">
        <f t="shared" ca="1" si="1"/>
        <v>EW_sand_Ruled_75</v>
      </c>
      <c r="M12" s="105" t="str">
        <f t="shared" ca="1" si="2"/>
        <v>API sand</v>
      </c>
      <c r="N12" s="47">
        <f t="shared" ca="1" si="3"/>
        <v>9.8000000000000007</v>
      </c>
      <c r="O12" s="63">
        <f t="shared" ca="1" si="4"/>
        <v>0</v>
      </c>
      <c r="P12" s="63">
        <f t="shared" ca="1" si="5"/>
        <v>0</v>
      </c>
      <c r="Q12" s="47">
        <f t="shared" ca="1" si="6"/>
        <v>29</v>
      </c>
      <c r="R12" s="47">
        <f t="shared" ca="1" si="7"/>
        <v>24</v>
      </c>
      <c r="S12" s="47">
        <f t="shared" ca="1" si="8"/>
        <v>2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31900</v>
      </c>
      <c r="Y12" s="47">
        <f t="shared" ca="1" si="14"/>
        <v>0</v>
      </c>
      <c r="Z12" s="47">
        <f t="shared" ca="1" si="15"/>
        <v>78.199999999999974</v>
      </c>
      <c r="AA12" s="47">
        <f t="shared" ca="1" si="16"/>
        <v>1</v>
      </c>
      <c r="AB12" s="47">
        <f t="shared" ca="1" si="17"/>
        <v>4420</v>
      </c>
      <c r="AC12" s="63">
        <f t="shared" ca="1" si="18"/>
        <v>92000</v>
      </c>
      <c r="AD12" s="63">
        <f t="shared" ca="1" si="19"/>
        <v>10333.333333333334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18.400000000000006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75</v>
      </c>
      <c r="AS12" s="33">
        <f t="shared" ca="1" si="34"/>
        <v>0.2</v>
      </c>
      <c r="AW12" s="2">
        <v>4</v>
      </c>
      <c r="AX12" s="2" t="s">
        <v>271</v>
      </c>
      <c r="AY12" s="130">
        <v>24.7</v>
      </c>
      <c r="AZ12" s="2">
        <v>19.8</v>
      </c>
      <c r="BA12" s="2"/>
      <c r="BB12" s="2">
        <v>11</v>
      </c>
      <c r="BC12" s="2"/>
      <c r="BD12" s="2">
        <v>0.1</v>
      </c>
      <c r="BE12" s="2">
        <v>0.3</v>
      </c>
      <c r="BF12" s="2">
        <v>0.4</v>
      </c>
      <c r="BG12" s="2">
        <v>1.2</v>
      </c>
      <c r="BH12" s="2">
        <f>3.6+7</f>
        <v>10.6</v>
      </c>
      <c r="BI12" s="2"/>
      <c r="BJ12" s="2"/>
      <c r="BK12" s="2"/>
      <c r="BL12" s="2"/>
      <c r="BM12" s="2"/>
      <c r="BN12" s="2">
        <v>24</v>
      </c>
      <c r="BO12" s="2">
        <v>26</v>
      </c>
      <c r="BP12" s="2">
        <v>26.5</v>
      </c>
      <c r="BQ12" s="2">
        <v>27</v>
      </c>
      <c r="BR12" s="2">
        <v>29</v>
      </c>
      <c r="BS12" s="2">
        <v>34</v>
      </c>
      <c r="BT12" s="2">
        <v>4</v>
      </c>
      <c r="BU12" s="2">
        <v>26</v>
      </c>
      <c r="BV12" s="2">
        <v>38</v>
      </c>
      <c r="BW12" s="2">
        <v>51</v>
      </c>
      <c r="BX12" s="2">
        <v>80</v>
      </c>
      <c r="BY12" s="2">
        <v>4</v>
      </c>
      <c r="BZ12" s="2">
        <v>3.9</v>
      </c>
      <c r="CA12" s="2">
        <v>1.1000000000000001</v>
      </c>
      <c r="CB12" s="2">
        <v>5.49294559390476E-9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21a</v>
      </c>
      <c r="J13" s="47">
        <f t="shared" ca="1" si="35"/>
        <v>8</v>
      </c>
      <c r="K13" s="19">
        <f t="shared" ca="1" si="36"/>
        <v>-11</v>
      </c>
      <c r="L13" s="116" t="str">
        <f t="shared" ca="1" si="1"/>
        <v>EW_sand_Ruled_62</v>
      </c>
      <c r="M13" s="105" t="str">
        <f t="shared" ca="1" si="2"/>
        <v>API sand</v>
      </c>
      <c r="N13" s="47">
        <f t="shared" ca="1" si="3"/>
        <v>9.8000000000000007</v>
      </c>
      <c r="O13" s="63">
        <f t="shared" ca="1" si="4"/>
        <v>0</v>
      </c>
      <c r="P13" s="63">
        <f t="shared" ca="1" si="5"/>
        <v>0</v>
      </c>
      <c r="Q13" s="47">
        <f t="shared" ca="1" si="6"/>
        <v>28</v>
      </c>
      <c r="R13" s="47">
        <f t="shared" ca="1" si="7"/>
        <v>23</v>
      </c>
      <c r="S13" s="47">
        <f t="shared" ca="1" si="8"/>
        <v>1.5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22100</v>
      </c>
      <c r="Y13" s="47">
        <f t="shared" ca="1" si="14"/>
        <v>0</v>
      </c>
      <c r="Z13" s="47">
        <f t="shared" ca="1" si="15"/>
        <v>75.399999999999977</v>
      </c>
      <c r="AA13" s="47">
        <f t="shared" ca="1" si="16"/>
        <v>1</v>
      </c>
      <c r="AB13" s="47">
        <f t="shared" ca="1" si="17"/>
        <v>4040</v>
      </c>
      <c r="AC13" s="63">
        <f t="shared" ca="1" si="18"/>
        <v>102000</v>
      </c>
      <c r="AD13" s="63">
        <f t="shared" ca="1" si="19"/>
        <v>9333.3333333333339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16.800000000000004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62</v>
      </c>
      <c r="AS13" s="33">
        <f t="shared" ca="1" si="34"/>
        <v>0.2</v>
      </c>
      <c r="AW13" s="2">
        <v>5.0999999999999996</v>
      </c>
      <c r="AX13" s="2" t="s">
        <v>271</v>
      </c>
      <c r="AY13" s="130">
        <v>24.7</v>
      </c>
      <c r="AZ13" s="2">
        <v>19.8</v>
      </c>
      <c r="BA13" s="2"/>
      <c r="BB13" s="2">
        <v>11</v>
      </c>
      <c r="BC13" s="2"/>
      <c r="BD13" s="2">
        <v>5.6</v>
      </c>
      <c r="BE13" s="2">
        <v>5.8</v>
      </c>
      <c r="BF13" s="2">
        <v>5.9</v>
      </c>
      <c r="BG13" s="2">
        <v>6.7</v>
      </c>
      <c r="BH13" s="2">
        <f>9.1+7</f>
        <v>16.100000000000001</v>
      </c>
      <c r="BI13" s="2"/>
      <c r="BJ13" s="2"/>
      <c r="BK13" s="2"/>
      <c r="BL13" s="2"/>
      <c r="BM13" s="2"/>
      <c r="BN13" s="2">
        <v>24</v>
      </c>
      <c r="BO13" s="2">
        <v>26</v>
      </c>
      <c r="BP13" s="2">
        <v>26.5</v>
      </c>
      <c r="BQ13" s="2">
        <v>27</v>
      </c>
      <c r="BR13" s="2">
        <v>29</v>
      </c>
      <c r="BS13" s="2">
        <v>34</v>
      </c>
      <c r="BT13" s="2">
        <v>26</v>
      </c>
      <c r="BU13" s="2">
        <v>49</v>
      </c>
      <c r="BV13" s="2">
        <v>61</v>
      </c>
      <c r="BW13" s="2">
        <v>73</v>
      </c>
      <c r="BX13" s="2">
        <v>103</v>
      </c>
      <c r="BY13" s="2">
        <v>4</v>
      </c>
      <c r="BZ13" s="2">
        <v>3.9</v>
      </c>
      <c r="CA13" s="2">
        <v>1.1000000000000001</v>
      </c>
      <c r="CB13" s="2">
        <v>5.49294559390476E-9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21a</v>
      </c>
      <c r="J14" s="47">
        <f t="shared" ca="1" si="35"/>
        <v>9</v>
      </c>
      <c r="K14" s="19">
        <f t="shared" ca="1" si="36"/>
        <v>-12.5</v>
      </c>
      <c r="L14" s="116" t="str">
        <f t="shared" ca="1" si="1"/>
        <v>EW_sand_Ruled_92</v>
      </c>
      <c r="M14" s="105" t="str">
        <f t="shared" ca="1" si="2"/>
        <v>API sand</v>
      </c>
      <c r="N14" s="47">
        <f t="shared" ca="1" si="3"/>
        <v>9.8000000000000007</v>
      </c>
      <c r="O14" s="63">
        <f t="shared" ca="1" si="4"/>
        <v>0</v>
      </c>
      <c r="P14" s="63">
        <f t="shared" ca="1" si="5"/>
        <v>0</v>
      </c>
      <c r="Q14" s="47">
        <f t="shared" ca="1" si="6"/>
        <v>30</v>
      </c>
      <c r="R14" s="47">
        <f t="shared" ca="1" si="7"/>
        <v>25</v>
      </c>
      <c r="S14" s="47">
        <f t="shared" ca="1" si="8"/>
        <v>2.2000000000000002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63000</v>
      </c>
      <c r="Y14" s="47">
        <f t="shared" ca="1" si="14"/>
        <v>0</v>
      </c>
      <c r="Z14" s="47">
        <f t="shared" ca="1" si="15"/>
        <v>80.999999999999972</v>
      </c>
      <c r="AA14" s="47">
        <f t="shared" ca="1" si="16"/>
        <v>1</v>
      </c>
      <c r="AB14" s="47">
        <f t="shared" ca="1" si="17"/>
        <v>4800</v>
      </c>
      <c r="AC14" s="63">
        <f t="shared" ca="1" si="18"/>
        <v>136000</v>
      </c>
      <c r="AD14" s="63">
        <f t="shared" ca="1" si="19"/>
        <v>7619.0476190476202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20.000000000000007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92</v>
      </c>
      <c r="AS14" s="33">
        <f t="shared" ca="1" si="34"/>
        <v>0.2</v>
      </c>
      <c r="AW14" s="2">
        <v>5.0999999999999996</v>
      </c>
      <c r="AX14" s="2" t="s">
        <v>271</v>
      </c>
      <c r="AY14" s="130">
        <v>24.7</v>
      </c>
      <c r="AZ14" s="2">
        <v>19.8</v>
      </c>
      <c r="BA14" s="2"/>
      <c r="BB14" s="2">
        <v>11</v>
      </c>
      <c r="BC14" s="2"/>
      <c r="BD14" s="2">
        <v>15.5</v>
      </c>
      <c r="BE14" s="2">
        <v>16.8</v>
      </c>
      <c r="BF14" s="2">
        <v>17.2</v>
      </c>
      <c r="BG14" s="2">
        <v>17.600000000000001</v>
      </c>
      <c r="BH14" s="2">
        <v>19.100000000000001</v>
      </c>
      <c r="BI14" s="2"/>
      <c r="BJ14" s="2"/>
      <c r="BK14" s="2"/>
      <c r="BL14" s="2"/>
      <c r="BM14" s="2"/>
      <c r="BN14" s="2">
        <v>68</v>
      </c>
      <c r="BO14" s="2">
        <v>26</v>
      </c>
      <c r="BP14" s="2">
        <v>29</v>
      </c>
      <c r="BQ14" s="2">
        <v>31</v>
      </c>
      <c r="BR14" s="2">
        <v>34</v>
      </c>
      <c r="BS14" s="2">
        <v>38</v>
      </c>
      <c r="BT14" s="2">
        <v>16</v>
      </c>
      <c r="BU14" s="2">
        <v>63</v>
      </c>
      <c r="BV14" s="2">
        <v>82</v>
      </c>
      <c r="BW14" s="2">
        <v>102</v>
      </c>
      <c r="BX14" s="2">
        <v>149</v>
      </c>
      <c r="BY14" s="2">
        <v>22</v>
      </c>
      <c r="BZ14" s="2">
        <v>12.4</v>
      </c>
      <c r="CA14" s="2">
        <v>2.2999999999999998</v>
      </c>
      <c r="CB14" s="2">
        <v>1.9188496337728299E-5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23i</v>
      </c>
      <c r="J15" s="47">
        <f t="shared" ca="1" si="35"/>
        <v>10</v>
      </c>
      <c r="K15" s="19">
        <f t="shared" ca="1" si="36"/>
        <v>-14.6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8.3000000000000007</v>
      </c>
      <c r="O15" s="63">
        <f t="shared" ca="1" si="4"/>
        <v>148</v>
      </c>
      <c r="P15" s="63">
        <f t="shared" ca="1" si="5"/>
        <v>11.402439024390246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0.5</v>
      </c>
      <c r="X15" s="47">
        <f t="shared" ca="1" si="13"/>
        <v>22600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195000</v>
      </c>
      <c r="AD15" s="63">
        <f t="shared" ca="1" si="19"/>
        <v>15670.731707317074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6.5</v>
      </c>
      <c r="AX15" s="2" t="s">
        <v>271</v>
      </c>
      <c r="AY15" s="130">
        <v>24.7</v>
      </c>
      <c r="AZ15" s="2">
        <v>19.8</v>
      </c>
      <c r="BA15" s="2"/>
      <c r="BB15" s="2">
        <v>11</v>
      </c>
      <c r="BC15" s="2"/>
      <c r="BD15" s="2">
        <v>10.8</v>
      </c>
      <c r="BE15" s="2">
        <v>12.1</v>
      </c>
      <c r="BF15" s="2">
        <v>12.5</v>
      </c>
      <c r="BG15" s="2">
        <v>12.9</v>
      </c>
      <c r="BH15" s="2">
        <v>14.4</v>
      </c>
      <c r="BI15" s="2"/>
      <c r="BJ15" s="2"/>
      <c r="BK15" s="2"/>
      <c r="BL15" s="2"/>
      <c r="BM15" s="2"/>
      <c r="BN15" s="2">
        <v>68</v>
      </c>
      <c r="BO15" s="2">
        <v>26</v>
      </c>
      <c r="BP15" s="2">
        <v>29</v>
      </c>
      <c r="BQ15" s="2">
        <v>31</v>
      </c>
      <c r="BR15" s="2">
        <v>34</v>
      </c>
      <c r="BS15" s="2">
        <v>38</v>
      </c>
      <c r="BT15" s="2">
        <v>14</v>
      </c>
      <c r="BU15" s="2">
        <v>62</v>
      </c>
      <c r="BV15" s="2">
        <v>81</v>
      </c>
      <c r="BW15" s="2">
        <v>101</v>
      </c>
      <c r="BX15" s="2">
        <v>148</v>
      </c>
      <c r="BY15" s="2">
        <v>22</v>
      </c>
      <c r="BZ15" s="2">
        <v>12.4</v>
      </c>
      <c r="CA15" s="2">
        <v>2.2999999999999998</v>
      </c>
      <c r="CB15" s="2">
        <v>1.9188496337728299E-5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23k</v>
      </c>
      <c r="J16" s="47">
        <f t="shared" ca="1" si="35"/>
        <v>11</v>
      </c>
      <c r="K16" s="19">
        <f t="shared" ca="1" si="36"/>
        <v>-31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8.5</v>
      </c>
      <c r="O16" s="63">
        <f t="shared" ca="1" si="4"/>
        <v>457</v>
      </c>
      <c r="P16" s="63">
        <f t="shared" ca="1" si="5"/>
        <v>13.333333333333334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3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43400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646000</v>
      </c>
      <c r="AD16" s="63">
        <f t="shared" ca="1" si="19"/>
        <v>21666.666666666668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6.5</v>
      </c>
      <c r="AX16" s="2" t="s">
        <v>271</v>
      </c>
      <c r="AY16" s="130">
        <v>24.7</v>
      </c>
      <c r="AZ16" s="2">
        <v>19.8</v>
      </c>
      <c r="BA16" s="2"/>
      <c r="BB16" s="2">
        <v>11</v>
      </c>
      <c r="BC16" s="2"/>
      <c r="BD16" s="2">
        <v>11</v>
      </c>
      <c r="BE16" s="2">
        <v>11.5</v>
      </c>
      <c r="BF16" s="2">
        <v>11.7</v>
      </c>
      <c r="BG16" s="2">
        <v>11.9</v>
      </c>
      <c r="BH16" s="2">
        <v>12.4</v>
      </c>
      <c r="BI16" s="2"/>
      <c r="BJ16" s="2"/>
      <c r="BK16" s="2"/>
      <c r="BL16" s="2"/>
      <c r="BM16" s="2"/>
      <c r="BN16" s="2">
        <v>60</v>
      </c>
      <c r="BO16" s="2">
        <v>26</v>
      </c>
      <c r="BP16" s="2">
        <v>28</v>
      </c>
      <c r="BQ16" s="2">
        <v>31</v>
      </c>
      <c r="BR16" s="2">
        <v>33</v>
      </c>
      <c r="BS16" s="2">
        <v>37</v>
      </c>
      <c r="BT16" s="2">
        <v>13</v>
      </c>
      <c r="BU16" s="2">
        <v>62</v>
      </c>
      <c r="BV16" s="2">
        <v>82</v>
      </c>
      <c r="BW16" s="2">
        <v>102</v>
      </c>
      <c r="BX16" s="2">
        <v>151</v>
      </c>
      <c r="BY16" s="2">
        <v>18.100000000000001</v>
      </c>
      <c r="BZ16" s="2">
        <v>8.5</v>
      </c>
      <c r="CA16" s="2">
        <v>1.8</v>
      </c>
      <c r="CB16" s="2">
        <v>2.1049911171358599E-6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23l</v>
      </c>
      <c r="J17" s="47">
        <f t="shared" ca="1" si="35"/>
        <v>12</v>
      </c>
      <c r="K17" s="19">
        <f t="shared" ca="1" si="36"/>
        <v>-37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8.8000000000000007</v>
      </c>
      <c r="O17" s="63">
        <f t="shared" ca="1" si="4"/>
        <v>568</v>
      </c>
      <c r="P17" s="63">
        <f t="shared" ca="1" si="5"/>
        <v>10.818181818181818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3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53300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841000</v>
      </c>
      <c r="AD17" s="63">
        <f t="shared" ca="1" si="19"/>
        <v>19363.636363636364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8</v>
      </c>
      <c r="AX17" s="2" t="s">
        <v>271</v>
      </c>
      <c r="AY17" s="130">
        <v>24.7</v>
      </c>
      <c r="AZ17" s="2">
        <v>19.8</v>
      </c>
      <c r="BA17" s="2"/>
      <c r="BB17" s="2">
        <v>11</v>
      </c>
      <c r="BC17" s="2"/>
      <c r="BD17" s="2">
        <v>11.5</v>
      </c>
      <c r="BE17" s="2">
        <v>12</v>
      </c>
      <c r="BF17" s="2">
        <v>12.2</v>
      </c>
      <c r="BG17" s="2">
        <v>12.4</v>
      </c>
      <c r="BH17" s="2">
        <v>13</v>
      </c>
      <c r="BI17" s="2"/>
      <c r="BJ17" s="2"/>
      <c r="BK17" s="2"/>
      <c r="BL17" s="2"/>
      <c r="BM17" s="2"/>
      <c r="BN17" s="2">
        <v>60</v>
      </c>
      <c r="BO17" s="2">
        <v>26</v>
      </c>
      <c r="BP17" s="2">
        <v>28</v>
      </c>
      <c r="BQ17" s="2">
        <v>31</v>
      </c>
      <c r="BR17" s="2">
        <v>33</v>
      </c>
      <c r="BS17" s="2">
        <v>37</v>
      </c>
      <c r="BT17" s="2">
        <v>18</v>
      </c>
      <c r="BU17" s="2">
        <v>67</v>
      </c>
      <c r="BV17" s="2">
        <v>87</v>
      </c>
      <c r="BW17" s="2">
        <v>107</v>
      </c>
      <c r="BX17" s="2">
        <v>156</v>
      </c>
      <c r="BY17" s="2">
        <v>18.100000000000001</v>
      </c>
      <c r="BZ17" s="2">
        <v>8.5</v>
      </c>
      <c r="CA17" s="2">
        <v>1.8</v>
      </c>
      <c r="CB17" s="2">
        <v>2.1049911171358599E-6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23m</v>
      </c>
      <c r="J18" s="47">
        <f t="shared" ca="1" si="35"/>
        <v>13</v>
      </c>
      <c r="K18" s="19">
        <f t="shared" ca="1" si="36"/>
        <v>-48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8.5</v>
      </c>
      <c r="O18" s="63">
        <f t="shared" ca="1" si="4"/>
        <v>714</v>
      </c>
      <c r="P18" s="63">
        <f t="shared" ca="1" si="5"/>
        <v>12.40625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3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0.25</v>
      </c>
      <c r="X18" s="47">
        <f t="shared" ca="1" si="13"/>
        <v>76600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1079000</v>
      </c>
      <c r="AD18" s="63">
        <f t="shared" ca="1" si="19"/>
        <v>23875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8</v>
      </c>
      <c r="AX18" s="2" t="s">
        <v>271</v>
      </c>
      <c r="AY18" s="130">
        <v>24.7</v>
      </c>
      <c r="AZ18" s="2">
        <v>19.8</v>
      </c>
      <c r="BA18" s="2"/>
      <c r="BB18" s="2">
        <v>11</v>
      </c>
      <c r="BC18" s="2"/>
      <c r="BD18" s="2">
        <f>12.1-5</f>
        <v>7.1</v>
      </c>
      <c r="BE18" s="2">
        <v>13.8</v>
      </c>
      <c r="BF18" s="2">
        <v>14.1</v>
      </c>
      <c r="BG18" s="2">
        <v>14.6</v>
      </c>
      <c r="BH18" s="2">
        <f>17.3+7</f>
        <v>24.3</v>
      </c>
      <c r="BI18" s="2"/>
      <c r="BJ18" s="2"/>
      <c r="BK18" s="2"/>
      <c r="BL18" s="2"/>
      <c r="BM18" s="2"/>
      <c r="BN18" s="2">
        <v>75</v>
      </c>
      <c r="BO18" s="2">
        <v>26</v>
      </c>
      <c r="BP18" s="2">
        <v>29</v>
      </c>
      <c r="BQ18" s="2">
        <v>32</v>
      </c>
      <c r="BR18" s="2">
        <v>34</v>
      </c>
      <c r="BS18" s="2">
        <v>38</v>
      </c>
      <c r="BT18" s="2">
        <v>8</v>
      </c>
      <c r="BU18" s="2">
        <v>67</v>
      </c>
      <c r="BV18" s="2">
        <v>92</v>
      </c>
      <c r="BW18" s="2">
        <v>117</v>
      </c>
      <c r="BX18" s="2">
        <v>180</v>
      </c>
      <c r="BY18" s="2">
        <v>31.9</v>
      </c>
      <c r="BZ18" s="2">
        <v>10.4</v>
      </c>
      <c r="CA18" s="2">
        <v>2</v>
      </c>
      <c r="CB18" s="2">
        <v>7.7164790588895597E-6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11</v>
      </c>
      <c r="AX19" s="2" t="s">
        <v>271</v>
      </c>
      <c r="AY19" s="130">
        <v>24.7</v>
      </c>
      <c r="AZ19" s="2">
        <v>19.8</v>
      </c>
      <c r="BA19" s="2"/>
      <c r="BB19" s="2">
        <v>11</v>
      </c>
      <c r="BC19" s="2"/>
      <c r="BD19" s="2">
        <f>26-5</f>
        <v>21</v>
      </c>
      <c r="BE19" s="2">
        <v>27.7</v>
      </c>
      <c r="BF19" s="2">
        <v>28</v>
      </c>
      <c r="BG19" s="2">
        <v>28.5</v>
      </c>
      <c r="BH19" s="2">
        <f>31.2+7</f>
        <v>38.200000000000003</v>
      </c>
      <c r="BI19" s="2"/>
      <c r="BJ19" s="2"/>
      <c r="BK19" s="2"/>
      <c r="BL19" s="2"/>
      <c r="BM19" s="2"/>
      <c r="BN19" s="2">
        <v>75</v>
      </c>
      <c r="BO19" s="2">
        <v>26</v>
      </c>
      <c r="BP19" s="2">
        <v>29</v>
      </c>
      <c r="BQ19" s="2">
        <v>32</v>
      </c>
      <c r="BR19" s="2">
        <v>34</v>
      </c>
      <c r="BS19" s="2">
        <v>38</v>
      </c>
      <c r="BT19" s="2">
        <v>38</v>
      </c>
      <c r="BU19" s="2">
        <v>97</v>
      </c>
      <c r="BV19" s="2">
        <v>123</v>
      </c>
      <c r="BW19" s="2">
        <v>148</v>
      </c>
      <c r="BX19" s="2">
        <v>210</v>
      </c>
      <c r="BY19" s="2">
        <v>31.9</v>
      </c>
      <c r="BZ19" s="2">
        <v>10.4</v>
      </c>
      <c r="CA19" s="2">
        <v>2</v>
      </c>
      <c r="CB19" s="2">
        <v>7.7164790588895597E-6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11</v>
      </c>
      <c r="AX20" s="2" t="s">
        <v>271</v>
      </c>
      <c r="AY20" s="130">
        <v>24.7</v>
      </c>
      <c r="AZ20" s="2">
        <v>19.8</v>
      </c>
      <c r="BA20" s="2"/>
      <c r="BB20" s="2">
        <v>11</v>
      </c>
      <c r="BC20" s="2"/>
      <c r="BD20" s="2">
        <v>10.8</v>
      </c>
      <c r="BE20" s="2">
        <v>12.5</v>
      </c>
      <c r="BF20" s="2">
        <v>13</v>
      </c>
      <c r="BG20" s="2">
        <v>13.7</v>
      </c>
      <c r="BH20" s="2">
        <v>16.3</v>
      </c>
      <c r="BI20" s="2"/>
      <c r="BJ20" s="2"/>
      <c r="BK20" s="2"/>
      <c r="BL20" s="2"/>
      <c r="BM20" s="2"/>
      <c r="BN20" s="2">
        <v>62</v>
      </c>
      <c r="BO20" s="2">
        <v>26</v>
      </c>
      <c r="BP20" s="2">
        <v>28</v>
      </c>
      <c r="BQ20" s="2">
        <v>30</v>
      </c>
      <c r="BR20" s="2">
        <v>33</v>
      </c>
      <c r="BS20" s="2">
        <v>37</v>
      </c>
      <c r="BT20" s="2">
        <v>13</v>
      </c>
      <c r="BU20" s="2">
        <v>76</v>
      </c>
      <c r="BV20" s="2">
        <v>102</v>
      </c>
      <c r="BW20" s="2">
        <v>128</v>
      </c>
      <c r="BX20" s="2">
        <v>191</v>
      </c>
      <c r="BY20" s="2">
        <v>22.1</v>
      </c>
      <c r="BZ20" s="2">
        <v>6.2</v>
      </c>
      <c r="CA20" s="2">
        <v>1.5</v>
      </c>
      <c r="CB20" s="2">
        <v>1.1339418295222101E-6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12.5</v>
      </c>
      <c r="AX21" s="2" t="s">
        <v>271</v>
      </c>
      <c r="AY21" s="130">
        <v>24.7</v>
      </c>
      <c r="AZ21" s="2">
        <v>19.8</v>
      </c>
      <c r="BA21" s="2"/>
      <c r="BB21" s="2">
        <v>11</v>
      </c>
      <c r="BC21" s="2"/>
      <c r="BD21" s="2">
        <v>16.8</v>
      </c>
      <c r="BE21" s="2">
        <v>18.5</v>
      </c>
      <c r="BF21" s="2">
        <v>19</v>
      </c>
      <c r="BG21" s="2">
        <v>19.7</v>
      </c>
      <c r="BH21" s="2">
        <v>22.3</v>
      </c>
      <c r="BI21" s="2"/>
      <c r="BJ21" s="2"/>
      <c r="BK21" s="2"/>
      <c r="BL21" s="2"/>
      <c r="BM21" s="2"/>
      <c r="BN21" s="2">
        <v>62</v>
      </c>
      <c r="BO21" s="2">
        <v>26</v>
      </c>
      <c r="BP21" s="2">
        <v>28</v>
      </c>
      <c r="BQ21" s="2">
        <v>30</v>
      </c>
      <c r="BR21" s="2">
        <v>33</v>
      </c>
      <c r="BS21" s="2">
        <v>37</v>
      </c>
      <c r="BT21" s="2">
        <v>27</v>
      </c>
      <c r="BU21" s="2">
        <v>90</v>
      </c>
      <c r="BV21" s="2">
        <v>116</v>
      </c>
      <c r="BW21" s="2">
        <v>141</v>
      </c>
      <c r="BX21" s="2">
        <v>204</v>
      </c>
      <c r="BY21" s="2">
        <v>22.1</v>
      </c>
      <c r="BZ21" s="2">
        <v>6.2</v>
      </c>
      <c r="CA21" s="2">
        <v>1.5</v>
      </c>
      <c r="CB21" s="2">
        <v>1.1339418295222101E-6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12.5</v>
      </c>
      <c r="AX22" s="2" t="s">
        <v>271</v>
      </c>
      <c r="AY22" s="130">
        <v>24.7</v>
      </c>
      <c r="AZ22" s="2">
        <v>19.8</v>
      </c>
      <c r="BA22" s="2"/>
      <c r="BB22" s="2">
        <v>11</v>
      </c>
      <c r="BC22" s="2"/>
      <c r="BD22" s="2">
        <v>27.7</v>
      </c>
      <c r="BE22" s="2">
        <v>33.4</v>
      </c>
      <c r="BF22" s="2">
        <v>34.700000000000003</v>
      </c>
      <c r="BG22" s="2">
        <v>37.1</v>
      </c>
      <c r="BH22" s="2">
        <v>47.9</v>
      </c>
      <c r="BI22" s="2"/>
      <c r="BJ22" s="2"/>
      <c r="BK22" s="2"/>
      <c r="BL22" s="2"/>
      <c r="BM22" s="2"/>
      <c r="BN22" s="2">
        <v>92</v>
      </c>
      <c r="BO22" s="2">
        <v>26</v>
      </c>
      <c r="BP22" s="2">
        <v>30</v>
      </c>
      <c r="BQ22" s="2">
        <v>33</v>
      </c>
      <c r="BR22" s="2">
        <v>36</v>
      </c>
      <c r="BS22" s="2">
        <v>40</v>
      </c>
      <c r="BT22" s="2">
        <v>19</v>
      </c>
      <c r="BU22" s="2">
        <v>102</v>
      </c>
      <c r="BV22" s="2">
        <v>136</v>
      </c>
      <c r="BW22" s="2">
        <v>170</v>
      </c>
      <c r="BX22" s="2">
        <v>254</v>
      </c>
      <c r="BY22" s="2">
        <v>63</v>
      </c>
      <c r="BZ22" s="2">
        <v>12.2</v>
      </c>
      <c r="CA22" s="2">
        <v>2.2000000000000002</v>
      </c>
      <c r="CB22" s="2">
        <v>4.4649523260971098E-5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14.6</v>
      </c>
      <c r="AX23" s="2" t="s">
        <v>271</v>
      </c>
      <c r="AY23" s="130">
        <v>24.7</v>
      </c>
      <c r="AZ23" s="2">
        <v>19.8</v>
      </c>
      <c r="BA23" s="2"/>
      <c r="BB23" s="2">
        <v>11</v>
      </c>
      <c r="BC23" s="2"/>
      <c r="BD23" s="2">
        <v>38.799999999999997</v>
      </c>
      <c r="BE23" s="2">
        <v>44.4</v>
      </c>
      <c r="BF23" s="2">
        <v>45.7</v>
      </c>
      <c r="BG23" s="2">
        <v>48.1</v>
      </c>
      <c r="BH23" s="2">
        <v>59</v>
      </c>
      <c r="BI23" s="2"/>
      <c r="BJ23" s="2"/>
      <c r="BK23" s="2"/>
      <c r="BL23" s="2"/>
      <c r="BM23" s="2"/>
      <c r="BN23" s="2">
        <v>92</v>
      </c>
      <c r="BO23" s="2">
        <v>26</v>
      </c>
      <c r="BP23" s="2">
        <v>30</v>
      </c>
      <c r="BQ23" s="2">
        <v>33</v>
      </c>
      <c r="BR23" s="2">
        <v>36</v>
      </c>
      <c r="BS23" s="2">
        <v>40</v>
      </c>
      <c r="BT23" s="2">
        <v>35</v>
      </c>
      <c r="BU23" s="2">
        <v>119</v>
      </c>
      <c r="BV23" s="2">
        <v>152</v>
      </c>
      <c r="BW23" s="2">
        <v>186</v>
      </c>
      <c r="BX23" s="2">
        <v>271</v>
      </c>
      <c r="BY23" s="2">
        <v>63</v>
      </c>
      <c r="BZ23" s="2">
        <v>12.2</v>
      </c>
      <c r="CA23" s="2">
        <v>2.2000000000000002</v>
      </c>
      <c r="CB23" s="2">
        <v>4.4649523260971098E-5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14.6</v>
      </c>
      <c r="AX24" s="2" t="s">
        <v>218</v>
      </c>
      <c r="AY24" s="130">
        <v>37</v>
      </c>
      <c r="AZ24" s="2">
        <v>18.3</v>
      </c>
      <c r="BA24" s="2">
        <v>59</v>
      </c>
      <c r="BB24" s="2">
        <v>77</v>
      </c>
      <c r="BC24" s="2">
        <v>3</v>
      </c>
      <c r="BD24" s="2">
        <v>3.1</v>
      </c>
      <c r="BE24" s="2">
        <v>4</v>
      </c>
      <c r="BF24" s="2">
        <v>4.0999999999999996</v>
      </c>
      <c r="BG24" s="2">
        <v>4.3</v>
      </c>
      <c r="BH24" s="2">
        <v>5.5</v>
      </c>
      <c r="BI24" s="2">
        <v>51</v>
      </c>
      <c r="BJ24" s="2">
        <v>148</v>
      </c>
      <c r="BK24" s="2">
        <v>192</v>
      </c>
      <c r="BL24" s="2">
        <v>237</v>
      </c>
      <c r="BM24" s="2">
        <v>340</v>
      </c>
      <c r="BN24" s="2"/>
      <c r="BO24" s="2"/>
      <c r="BP24" s="2"/>
      <c r="BQ24" s="2"/>
      <c r="BR24" s="2"/>
      <c r="BS24" s="2"/>
      <c r="BT24" s="2">
        <v>14</v>
      </c>
      <c r="BU24" s="2">
        <v>106</v>
      </c>
      <c r="BV24" s="2">
        <v>195</v>
      </c>
      <c r="BW24" s="2">
        <v>284</v>
      </c>
      <c r="BX24" s="2">
        <v>477</v>
      </c>
      <c r="BY24" s="2">
        <v>22.6</v>
      </c>
      <c r="BZ24" s="2">
        <v>8.1</v>
      </c>
      <c r="CA24" s="2">
        <v>3</v>
      </c>
      <c r="CB24" s="2">
        <v>5.5671468604803796E-10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31</v>
      </c>
      <c r="AX25" s="2" t="s">
        <v>218</v>
      </c>
      <c r="AY25" s="130">
        <v>37</v>
      </c>
      <c r="AZ25" s="2">
        <v>18.3</v>
      </c>
      <c r="BA25" s="2">
        <v>59</v>
      </c>
      <c r="BB25" s="2">
        <v>77</v>
      </c>
      <c r="BC25" s="2">
        <v>3</v>
      </c>
      <c r="BD25" s="2">
        <v>7.1</v>
      </c>
      <c r="BE25" s="2">
        <v>8.1</v>
      </c>
      <c r="BF25" s="2">
        <v>8.1999999999999993</v>
      </c>
      <c r="BG25" s="2">
        <v>8.3000000000000007</v>
      </c>
      <c r="BH25" s="2">
        <v>9.5</v>
      </c>
      <c r="BI25" s="2">
        <v>238</v>
      </c>
      <c r="BJ25" s="2">
        <v>335</v>
      </c>
      <c r="BK25" s="2">
        <v>379</v>
      </c>
      <c r="BL25" s="2">
        <v>424</v>
      </c>
      <c r="BM25" s="2">
        <v>527</v>
      </c>
      <c r="BN25" s="2"/>
      <c r="BO25" s="2"/>
      <c r="BP25" s="2"/>
      <c r="BQ25" s="2"/>
      <c r="BR25" s="2"/>
      <c r="BS25" s="2"/>
      <c r="BT25" s="2">
        <v>271</v>
      </c>
      <c r="BU25" s="2">
        <v>363</v>
      </c>
      <c r="BV25" s="2">
        <v>452</v>
      </c>
      <c r="BW25" s="2">
        <v>542</v>
      </c>
      <c r="BX25" s="2">
        <v>735</v>
      </c>
      <c r="BY25" s="2">
        <v>22.6</v>
      </c>
      <c r="BZ25" s="2">
        <v>8.1</v>
      </c>
      <c r="CA25" s="2">
        <v>3</v>
      </c>
      <c r="CB25" s="2">
        <v>5.5671468604803796E-10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31</v>
      </c>
      <c r="AX26" s="2" t="s">
        <v>219</v>
      </c>
      <c r="AY26" s="130">
        <v>37</v>
      </c>
      <c r="AZ26" s="2">
        <v>18.5</v>
      </c>
      <c r="BA26" s="2">
        <v>42</v>
      </c>
      <c r="BB26" s="2">
        <v>63</v>
      </c>
      <c r="BC26" s="2">
        <v>3</v>
      </c>
      <c r="BD26" s="2">
        <v>1.1000000000000001</v>
      </c>
      <c r="BE26" s="2">
        <v>7.8</v>
      </c>
      <c r="BF26" s="2">
        <v>10.6</v>
      </c>
      <c r="BG26" s="2">
        <v>25</v>
      </c>
      <c r="BH26" s="2">
        <v>69.5</v>
      </c>
      <c r="BI26" s="2">
        <v>371</v>
      </c>
      <c r="BJ26" s="2">
        <v>457</v>
      </c>
      <c r="BK26" s="2">
        <v>500</v>
      </c>
      <c r="BL26" s="2">
        <v>544</v>
      </c>
      <c r="BM26" s="2">
        <v>630</v>
      </c>
      <c r="BN26" s="2"/>
      <c r="BO26" s="2"/>
      <c r="BP26" s="2"/>
      <c r="BQ26" s="2"/>
      <c r="BR26" s="2"/>
      <c r="BS26" s="2"/>
      <c r="BT26" s="2">
        <v>387</v>
      </c>
      <c r="BU26" s="2">
        <v>559</v>
      </c>
      <c r="BV26" s="2">
        <v>646</v>
      </c>
      <c r="BW26" s="2">
        <v>733</v>
      </c>
      <c r="BX26" s="2">
        <v>905</v>
      </c>
      <c r="BY26" s="2">
        <v>43.4</v>
      </c>
      <c r="BZ26" s="2">
        <v>10.7</v>
      </c>
      <c r="CA26" s="2">
        <v>3</v>
      </c>
      <c r="CB26" s="2">
        <v>4.8604037207631497E-12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37</v>
      </c>
      <c r="AX27" s="2" t="s">
        <v>219</v>
      </c>
      <c r="AY27" s="130">
        <v>37</v>
      </c>
      <c r="AZ27" s="2">
        <v>18.5</v>
      </c>
      <c r="BA27" s="2">
        <v>42</v>
      </c>
      <c r="BB27" s="2">
        <v>63</v>
      </c>
      <c r="BC27" s="2">
        <v>3</v>
      </c>
      <c r="BD27" s="2">
        <v>2.8</v>
      </c>
      <c r="BE27" s="2">
        <v>9.5</v>
      </c>
      <c r="BF27" s="2">
        <v>12.3</v>
      </c>
      <c r="BG27" s="2">
        <v>26.7</v>
      </c>
      <c r="BH27" s="2">
        <v>71.2</v>
      </c>
      <c r="BI27" s="2">
        <v>451</v>
      </c>
      <c r="BJ27" s="2">
        <v>537</v>
      </c>
      <c r="BK27" s="2">
        <v>580</v>
      </c>
      <c r="BL27" s="2">
        <v>624</v>
      </c>
      <c r="BM27" s="2">
        <v>710</v>
      </c>
      <c r="BN27" s="2"/>
      <c r="BO27" s="2"/>
      <c r="BP27" s="2"/>
      <c r="BQ27" s="2"/>
      <c r="BR27" s="2"/>
      <c r="BS27" s="2"/>
      <c r="BT27" s="2">
        <v>517</v>
      </c>
      <c r="BU27" s="2">
        <v>689</v>
      </c>
      <c r="BV27" s="2">
        <v>776</v>
      </c>
      <c r="BW27" s="2">
        <v>862</v>
      </c>
      <c r="BX27" s="2">
        <v>1034</v>
      </c>
      <c r="BY27" s="2">
        <v>43.4</v>
      </c>
      <c r="BZ27" s="2">
        <v>10.7</v>
      </c>
      <c r="CA27" s="2">
        <v>3</v>
      </c>
      <c r="CB27" s="2">
        <v>4.8604037207631497E-12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37</v>
      </c>
      <c r="AX28" s="2" t="s">
        <v>220</v>
      </c>
      <c r="AY28" s="130">
        <v>29.5</v>
      </c>
      <c r="AZ28" s="2">
        <v>18.8</v>
      </c>
      <c r="BA28" s="2">
        <v>48</v>
      </c>
      <c r="BB28" s="2">
        <v>77</v>
      </c>
      <c r="BC28" s="2">
        <v>3</v>
      </c>
      <c r="BD28" s="2">
        <v>1.3</v>
      </c>
      <c r="BE28" s="2">
        <v>9.6999999999999993</v>
      </c>
      <c r="BF28" s="2">
        <v>13</v>
      </c>
      <c r="BG28" s="2">
        <v>28.4</v>
      </c>
      <c r="BH28" s="2">
        <v>76.3</v>
      </c>
      <c r="BI28" s="2">
        <v>482</v>
      </c>
      <c r="BJ28" s="2">
        <v>568</v>
      </c>
      <c r="BK28" s="2">
        <v>611</v>
      </c>
      <c r="BL28" s="2">
        <v>656</v>
      </c>
      <c r="BM28" s="2">
        <v>742</v>
      </c>
      <c r="BN28" s="2"/>
      <c r="BO28" s="2"/>
      <c r="BP28" s="2"/>
      <c r="BQ28" s="2"/>
      <c r="BR28" s="2"/>
      <c r="BS28" s="2"/>
      <c r="BT28" s="2">
        <v>581</v>
      </c>
      <c r="BU28" s="2">
        <v>754</v>
      </c>
      <c r="BV28" s="2">
        <v>841</v>
      </c>
      <c r="BW28" s="2">
        <v>929</v>
      </c>
      <c r="BX28" s="2">
        <v>1102</v>
      </c>
      <c r="BY28" s="2">
        <v>53.3</v>
      </c>
      <c r="BZ28" s="2">
        <v>10.7</v>
      </c>
      <c r="CA28" s="2">
        <v>3</v>
      </c>
      <c r="CB28" s="2">
        <v>3.8359496470820996E-12</v>
      </c>
      <c r="CC28" s="2">
        <v>1.8</v>
      </c>
    </row>
    <row r="29" spans="1:81" x14ac:dyDescent="0.25">
      <c r="A29" s="66"/>
      <c r="B29" s="66"/>
      <c r="C29" s="67"/>
      <c r="D29" s="35"/>
      <c r="AW29" s="2">
        <v>48</v>
      </c>
      <c r="AX29" s="2" t="s">
        <v>220</v>
      </c>
      <c r="AY29" s="130">
        <v>29.5</v>
      </c>
      <c r="AZ29" s="2">
        <v>18.8</v>
      </c>
      <c r="BA29" s="2">
        <v>48</v>
      </c>
      <c r="BB29" s="2">
        <v>77</v>
      </c>
      <c r="BC29" s="2">
        <v>3</v>
      </c>
      <c r="BD29" s="2">
        <v>3.9</v>
      </c>
      <c r="BE29" s="2">
        <v>12.2</v>
      </c>
      <c r="BF29" s="2">
        <v>15.5</v>
      </c>
      <c r="BG29" s="2">
        <v>31</v>
      </c>
      <c r="BH29" s="2">
        <v>78.8</v>
      </c>
      <c r="BI29" s="2">
        <v>601</v>
      </c>
      <c r="BJ29" s="2">
        <v>687</v>
      </c>
      <c r="BK29" s="2">
        <v>730</v>
      </c>
      <c r="BL29" s="2">
        <v>775</v>
      </c>
      <c r="BM29" s="2">
        <v>861</v>
      </c>
      <c r="BN29" s="2"/>
      <c r="BO29" s="2"/>
      <c r="BP29" s="2"/>
      <c r="BQ29" s="2"/>
      <c r="BR29" s="2"/>
      <c r="BS29" s="2"/>
      <c r="BT29" s="2">
        <v>794</v>
      </c>
      <c r="BU29" s="2">
        <v>967</v>
      </c>
      <c r="BV29" s="2">
        <v>1054</v>
      </c>
      <c r="BW29" s="2">
        <v>1142</v>
      </c>
      <c r="BX29" s="2">
        <v>1315</v>
      </c>
      <c r="BY29" s="2">
        <v>53.3</v>
      </c>
      <c r="BZ29" s="2">
        <v>10.7</v>
      </c>
      <c r="CA29" s="2">
        <v>3</v>
      </c>
      <c r="CB29" s="2">
        <v>3.8359496470820996E-12</v>
      </c>
      <c r="CC29" s="2">
        <v>1.8</v>
      </c>
    </row>
    <row r="30" spans="1:81" x14ac:dyDescent="0.25">
      <c r="A30" s="66"/>
      <c r="B30" s="66"/>
      <c r="C30" s="67"/>
      <c r="D30" s="35"/>
      <c r="AW30" s="2">
        <v>48</v>
      </c>
      <c r="AX30" s="2" t="s">
        <v>221</v>
      </c>
      <c r="AY30" s="130">
        <v>36.1</v>
      </c>
      <c r="AZ30" s="2">
        <v>18.5</v>
      </c>
      <c r="BA30" s="2">
        <v>21</v>
      </c>
      <c r="BB30" s="2">
        <v>72</v>
      </c>
      <c r="BC30" s="2">
        <v>3</v>
      </c>
      <c r="BD30" s="2">
        <v>1.8</v>
      </c>
      <c r="BE30" s="2">
        <v>14.9</v>
      </c>
      <c r="BF30" s="2">
        <v>16.100000000000001</v>
      </c>
      <c r="BG30" s="2">
        <v>40.799999999999997</v>
      </c>
      <c r="BH30" s="2">
        <v>117.4</v>
      </c>
      <c r="BI30" s="2">
        <v>628</v>
      </c>
      <c r="BJ30" s="2">
        <v>714</v>
      </c>
      <c r="BK30" s="2">
        <v>757</v>
      </c>
      <c r="BL30" s="2">
        <v>801</v>
      </c>
      <c r="BM30" s="2">
        <v>887</v>
      </c>
      <c r="BN30" s="2"/>
      <c r="BO30" s="2"/>
      <c r="BP30" s="2"/>
      <c r="BQ30" s="2"/>
      <c r="BR30" s="2"/>
      <c r="BS30" s="2"/>
      <c r="BT30" s="2">
        <v>820</v>
      </c>
      <c r="BU30" s="2">
        <v>992</v>
      </c>
      <c r="BV30" s="2">
        <v>1079</v>
      </c>
      <c r="BW30" s="2">
        <v>1166</v>
      </c>
      <c r="BX30" s="2">
        <v>1338</v>
      </c>
      <c r="BY30" s="2">
        <v>76.599999999999994</v>
      </c>
      <c r="BZ30" s="2">
        <v>10.199999999999999</v>
      </c>
      <c r="CA30" s="2">
        <v>3</v>
      </c>
      <c r="CB30" s="2">
        <v>4.1918887068150598E-12</v>
      </c>
      <c r="CC30" s="2">
        <v>1.8</v>
      </c>
    </row>
    <row r="31" spans="1:81" x14ac:dyDescent="0.25">
      <c r="A31" s="66"/>
      <c r="B31" s="66"/>
      <c r="C31" s="67"/>
      <c r="D31" s="35"/>
      <c r="AW31" s="2">
        <v>80</v>
      </c>
      <c r="AX31" s="2" t="s">
        <v>221</v>
      </c>
      <c r="AY31" s="130">
        <v>36.1</v>
      </c>
      <c r="AZ31" s="2">
        <v>18.5</v>
      </c>
      <c r="BA31" s="2">
        <v>21</v>
      </c>
      <c r="BB31" s="2">
        <v>72</v>
      </c>
      <c r="BC31" s="2">
        <v>3</v>
      </c>
      <c r="BD31" s="2">
        <v>10.3</v>
      </c>
      <c r="BE31" s="2">
        <v>23.4</v>
      </c>
      <c r="BF31" s="2">
        <v>24.6</v>
      </c>
      <c r="BG31" s="2">
        <v>49.3</v>
      </c>
      <c r="BH31" s="2">
        <v>125.9</v>
      </c>
      <c r="BI31" s="2">
        <v>1025</v>
      </c>
      <c r="BJ31" s="2">
        <v>1111</v>
      </c>
      <c r="BK31" s="2">
        <v>1154</v>
      </c>
      <c r="BL31" s="2">
        <v>1198</v>
      </c>
      <c r="BM31" s="2">
        <v>1284</v>
      </c>
      <c r="BN31" s="2"/>
      <c r="BO31" s="2"/>
      <c r="BP31" s="2"/>
      <c r="BQ31" s="2"/>
      <c r="BR31" s="2"/>
      <c r="BS31" s="2"/>
      <c r="BT31" s="2">
        <v>1584</v>
      </c>
      <c r="BU31" s="2">
        <v>1756</v>
      </c>
      <c r="BV31" s="2">
        <v>1843</v>
      </c>
      <c r="BW31" s="2">
        <v>1930</v>
      </c>
      <c r="BX31" s="2">
        <v>2103</v>
      </c>
      <c r="BY31" s="2">
        <v>76.599999999999994</v>
      </c>
      <c r="BZ31" s="2">
        <v>10.199999999999999</v>
      </c>
      <c r="CA31" s="2">
        <v>3</v>
      </c>
      <c r="CB31" s="2">
        <v>4.1918887068150598E-12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661" priority="12">
      <formula>$L32="API sand"</formula>
    </cfRule>
  </conditionalFormatting>
  <conditionalFormatting sqref="R32:S36 AB32:AB35 AJ32:AL36 Z32:Z36 N32:N36">
    <cfRule type="expression" dxfId="2660" priority="11">
      <formula>$M32="API sand"</formula>
    </cfRule>
  </conditionalFormatting>
  <conditionalFormatting sqref="R32:T36 Z32:AB35 AK32:AL36 N32:N36">
    <cfRule type="expression" dxfId="2659" priority="10">
      <formula>$M32="API clay"</formula>
    </cfRule>
  </conditionalFormatting>
  <conditionalFormatting sqref="U32:W36 AM32:AP36 N32:P36">
    <cfRule type="expression" dxfId="2658" priority="7">
      <formula>$L32="Stiff clay w/o free water"</formula>
    </cfRule>
    <cfRule type="expression" dxfId="2657" priority="9">
      <formula>$L32="API clay"</formula>
    </cfRule>
  </conditionalFormatting>
  <conditionalFormatting sqref="U32:Y36 AM32:AP36 N32:P36">
    <cfRule type="expression" dxfId="2656" priority="8">
      <formula>$L32="Kirsch soft clay"</formula>
    </cfRule>
  </conditionalFormatting>
  <conditionalFormatting sqref="U32:Y36 AM32:AP36 N32:P36">
    <cfRule type="expression" dxfId="2655" priority="6">
      <formula>$L32="Kirsch stiff clay"</formula>
    </cfRule>
  </conditionalFormatting>
  <conditionalFormatting sqref="AM32:AP36 Q32:Q36 X32:Y36 N32:N36">
    <cfRule type="expression" dxfId="2654" priority="5">
      <formula>$L32="Kirsch sand"</formula>
    </cfRule>
  </conditionalFormatting>
  <conditionalFormatting sqref="AC32:AD36 AI32:AI36 AM32:AP36 N32:N36">
    <cfRule type="expression" dxfId="2653" priority="4">
      <formula>$L32="Modified Weak rock"</formula>
    </cfRule>
  </conditionalFormatting>
  <conditionalFormatting sqref="AM32:AP36 N32:P36 U32:V36">
    <cfRule type="expression" dxfId="2652" priority="3">
      <formula>$L32="Reese stiff clay"</formula>
    </cfRule>
  </conditionalFormatting>
  <conditionalFormatting sqref="AB36">
    <cfRule type="expression" dxfId="2651" priority="2">
      <formula>$M36="API sand"</formula>
    </cfRule>
  </conditionalFormatting>
  <conditionalFormatting sqref="Z36:AB36">
    <cfRule type="expression" dxfId="2650" priority="1">
      <formula>$M36="API clay"</formula>
    </cfRule>
  </conditionalFormatting>
  <conditionalFormatting sqref="AE37:AH37">
    <cfRule type="expression" dxfId="2649" priority="13">
      <formula>#REF!="Modified Weak rock"</formula>
    </cfRule>
  </conditionalFormatting>
  <dataValidations count="4">
    <dataValidation type="list" showInputMessage="1" showErrorMessage="1" sqref="M32:M36" xr:uid="{27ECE15C-EEEA-4718-A6EB-1C3EDE6C8102}">
      <formula1>"',API sand,API clay"</formula1>
    </dataValidation>
    <dataValidation type="list" showInputMessage="1" showErrorMessage="1" sqref="L32:L255" xr:uid="{B41742E3-67F2-4CEF-86EA-8084D5CAF263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7545B1C2-EBD1-46C9-9015-881AAEF11B87}"/>
    <dataValidation type="textLength" showInputMessage="1" showErrorMessage="1" sqref="M27:M31" xr:uid="{04D84D39-2233-40DB-995A-E46AA6246263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B6899-9FA3-47D4-AC87-68A6412A7F45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Ak_Pisa_WTG16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18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EW_sand_Ruled_85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38</v>
      </c>
      <c r="R6" s="47">
        <f t="shared" ref="R6:R26" ca="1" si="7">IF(I6="","",IF(Q6&lt;&gt;0,Q6-5,NA()))</f>
        <v>33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12000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107.39999999999996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11040</v>
      </c>
      <c r="AC6" s="63">
        <f t="shared" ref="AC6:AC26" ca="1" si="18">IF(I6="","",IF(OFFSET($BV$6,(ROW()-6)*2,0)=0,0,OFFSET($BV$6,(ROW()-6)*2,0)*1000))</f>
        <v>10000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20000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46.000000000000007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85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0.9</v>
      </c>
      <c r="BF6" s="2">
        <v>1.7</v>
      </c>
      <c r="BG6" s="2">
        <v>2.1</v>
      </c>
      <c r="BH6" s="2">
        <v>3.4</v>
      </c>
      <c r="BI6" s="2"/>
      <c r="BJ6" s="2"/>
      <c r="BK6" s="2"/>
      <c r="BL6" s="2"/>
      <c r="BM6" s="2"/>
      <c r="BN6" s="2">
        <v>85</v>
      </c>
      <c r="BO6" s="2">
        <v>27</v>
      </c>
      <c r="BP6" s="2">
        <v>38</v>
      </c>
      <c r="BQ6" s="2">
        <v>41</v>
      </c>
      <c r="BR6" s="2">
        <v>44</v>
      </c>
      <c r="BS6" s="2">
        <v>52</v>
      </c>
      <c r="BT6" s="2">
        <v>0</v>
      </c>
      <c r="BU6" s="2">
        <v>5</v>
      </c>
      <c r="BV6" s="2">
        <v>10</v>
      </c>
      <c r="BW6" s="2">
        <v>16</v>
      </c>
      <c r="BX6" s="2">
        <v>27</v>
      </c>
      <c r="BY6" s="2">
        <v>12</v>
      </c>
      <c r="BZ6" s="2">
        <v>1</v>
      </c>
      <c r="CA6" s="2">
        <v>0.5</v>
      </c>
      <c r="CB6" s="2">
        <v>3.1929552018165802E-6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6" ca="1" si="36">IF(OFFSET($AW$6,(ROW()-6)*2,0)=0,"",-OFFSET($AW$6,(ROW()-6)*2,0))</f>
        <v>-1</v>
      </c>
      <c r="L7" s="116" t="str">
        <f t="shared" ca="1" si="1"/>
        <v>EW_sand_Ruled_40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35</v>
      </c>
      <c r="R7" s="47">
        <f t="shared" ca="1" si="7"/>
        <v>30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10200</v>
      </c>
      <c r="Y7" s="47">
        <f t="shared" ca="1" si="14"/>
        <v>0</v>
      </c>
      <c r="Z7" s="47">
        <f t="shared" ca="1" si="15"/>
        <v>95.999999999999972</v>
      </c>
      <c r="AA7" s="47">
        <f t="shared" ca="1" si="16"/>
        <v>1</v>
      </c>
      <c r="AB7" s="47">
        <f t="shared" ca="1" si="17"/>
        <v>9600</v>
      </c>
      <c r="AC7" s="63">
        <f t="shared" ca="1" si="18"/>
        <v>32000</v>
      </c>
      <c r="AD7" s="63">
        <f t="shared" ca="1" si="19"/>
        <v>-800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40.000000000000007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40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</v>
      </c>
      <c r="BE7" s="2">
        <v>4</v>
      </c>
      <c r="BF7" s="2">
        <v>4.7</v>
      </c>
      <c r="BG7" s="2">
        <v>5.2</v>
      </c>
      <c r="BH7" s="2">
        <v>6.4</v>
      </c>
      <c r="BI7" s="2"/>
      <c r="BJ7" s="2"/>
      <c r="BK7" s="2"/>
      <c r="BL7" s="2"/>
      <c r="BM7" s="2"/>
      <c r="BN7" s="2">
        <v>85</v>
      </c>
      <c r="BO7" s="2">
        <v>27</v>
      </c>
      <c r="BP7" s="2">
        <v>38</v>
      </c>
      <c r="BQ7" s="2">
        <v>41</v>
      </c>
      <c r="BR7" s="2">
        <v>44</v>
      </c>
      <c r="BS7" s="2">
        <v>52</v>
      </c>
      <c r="BT7" s="2">
        <v>13</v>
      </c>
      <c r="BU7" s="2">
        <v>24</v>
      </c>
      <c r="BV7" s="2">
        <v>30</v>
      </c>
      <c r="BW7" s="2">
        <v>35</v>
      </c>
      <c r="BX7" s="2">
        <v>47</v>
      </c>
      <c r="BY7" s="2">
        <v>12</v>
      </c>
      <c r="BZ7" s="2">
        <v>1</v>
      </c>
      <c r="CA7" s="2">
        <v>0.5</v>
      </c>
      <c r="CB7" s="2">
        <v>3.1929552018165802E-6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02a</v>
      </c>
      <c r="J8" s="47">
        <f t="shared" ca="1" si="35"/>
        <v>3</v>
      </c>
      <c r="K8" s="19">
        <f t="shared" ca="1" si="36"/>
        <v>-2.25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10.199999999999999</v>
      </c>
      <c r="O8" s="63">
        <f t="shared" ca="1" si="4"/>
        <v>18</v>
      </c>
      <c r="P8" s="63">
        <f t="shared" ca="1" si="5"/>
        <v>5.2631578947368407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3600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15000</v>
      </c>
      <c r="AD8" s="63">
        <f t="shared" ca="1" si="19"/>
        <v>5263.1578947368407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1.6</v>
      </c>
      <c r="BE8" s="2">
        <v>2.7</v>
      </c>
      <c r="BF8" s="2">
        <v>3.2</v>
      </c>
      <c r="BG8" s="2">
        <v>3.6</v>
      </c>
      <c r="BH8" s="2">
        <v>4.9000000000000004</v>
      </c>
      <c r="BI8" s="2"/>
      <c r="BJ8" s="2"/>
      <c r="BK8" s="2"/>
      <c r="BL8" s="2"/>
      <c r="BM8" s="2"/>
      <c r="BN8" s="2">
        <v>40</v>
      </c>
      <c r="BO8" s="2">
        <v>27</v>
      </c>
      <c r="BP8" s="2">
        <v>35</v>
      </c>
      <c r="BQ8" s="2">
        <v>38</v>
      </c>
      <c r="BR8" s="2">
        <v>41</v>
      </c>
      <c r="BS8" s="2">
        <v>47</v>
      </c>
      <c r="BT8" s="2">
        <v>5</v>
      </c>
      <c r="BU8" s="2">
        <v>24</v>
      </c>
      <c r="BV8" s="2">
        <v>32</v>
      </c>
      <c r="BW8" s="2">
        <v>40</v>
      </c>
      <c r="BX8" s="2">
        <v>59</v>
      </c>
      <c r="BY8" s="2">
        <v>10.199999999999999</v>
      </c>
      <c r="BZ8" s="2">
        <v>1</v>
      </c>
      <c r="CA8" s="2">
        <v>0.5</v>
      </c>
      <c r="CB8" s="2">
        <v>3.7759882686152502E-7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21a</v>
      </c>
      <c r="J9" s="47">
        <f t="shared" ca="1" si="35"/>
        <v>4</v>
      </c>
      <c r="K9" s="19">
        <f t="shared" ca="1" si="36"/>
        <v>-3.2</v>
      </c>
      <c r="L9" s="116" t="str">
        <f t="shared" ca="1" si="1"/>
        <v>EW_sand_Ruled_71</v>
      </c>
      <c r="M9" s="105" t="str">
        <f t="shared" ca="1" si="2"/>
        <v>API sand</v>
      </c>
      <c r="N9" s="47">
        <f t="shared" ca="1" si="3"/>
        <v>9.8000000000000007</v>
      </c>
      <c r="O9" s="63">
        <f t="shared" ca="1" si="4"/>
        <v>0</v>
      </c>
      <c r="P9" s="63">
        <f t="shared" ca="1" si="5"/>
        <v>0</v>
      </c>
      <c r="Q9" s="47">
        <f t="shared" ca="1" si="6"/>
        <v>29</v>
      </c>
      <c r="R9" s="47">
        <f t="shared" ca="1" si="7"/>
        <v>24</v>
      </c>
      <c r="S9" s="47">
        <f t="shared" ca="1" si="8"/>
        <v>2.7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19200</v>
      </c>
      <c r="Y9" s="47">
        <f t="shared" ca="1" si="14"/>
        <v>0</v>
      </c>
      <c r="Z9" s="47">
        <f t="shared" ca="1" si="15"/>
        <v>78.199999999999974</v>
      </c>
      <c r="AA9" s="47">
        <f t="shared" ca="1" si="16"/>
        <v>1</v>
      </c>
      <c r="AB9" s="47">
        <f t="shared" ca="1" si="17"/>
        <v>4420</v>
      </c>
      <c r="AC9" s="63">
        <f t="shared" ca="1" si="18"/>
        <v>60000</v>
      </c>
      <c r="AD9" s="63">
        <f t="shared" ca="1" si="19"/>
        <v>10000.000000000002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18.400000000000006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71</v>
      </c>
      <c r="AS9" s="33">
        <f t="shared" ca="1" si="34"/>
        <v>0.2</v>
      </c>
      <c r="AW9" s="2">
        <v>2.25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0.2</v>
      </c>
      <c r="BE9" s="2">
        <v>1.1000000000000001</v>
      </c>
      <c r="BF9" s="2">
        <v>1.6</v>
      </c>
      <c r="BG9" s="2">
        <v>2</v>
      </c>
      <c r="BH9" s="2">
        <v>3.4</v>
      </c>
      <c r="BI9" s="2"/>
      <c r="BJ9" s="2"/>
      <c r="BK9" s="2"/>
      <c r="BL9" s="2"/>
      <c r="BM9" s="2"/>
      <c r="BN9" s="2">
        <v>40</v>
      </c>
      <c r="BO9" s="2">
        <v>27</v>
      </c>
      <c r="BP9" s="2">
        <v>35</v>
      </c>
      <c r="BQ9" s="2">
        <v>38</v>
      </c>
      <c r="BR9" s="2">
        <v>41</v>
      </c>
      <c r="BS9" s="2">
        <v>47</v>
      </c>
      <c r="BT9" s="2">
        <v>4</v>
      </c>
      <c r="BU9" s="2">
        <v>23</v>
      </c>
      <c r="BV9" s="2">
        <v>31</v>
      </c>
      <c r="BW9" s="2">
        <v>38</v>
      </c>
      <c r="BX9" s="2">
        <v>57</v>
      </c>
      <c r="BY9" s="2">
        <v>10.199999999999999</v>
      </c>
      <c r="BZ9" s="2">
        <v>1</v>
      </c>
      <c r="CA9" s="2">
        <v>0.5</v>
      </c>
      <c r="CB9" s="2">
        <v>3.7759882686152502E-7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21a</v>
      </c>
      <c r="J10" s="47">
        <f t="shared" ca="1" si="35"/>
        <v>5</v>
      </c>
      <c r="K10" s="19">
        <f t="shared" ca="1" si="36"/>
        <v>-5</v>
      </c>
      <c r="L10" s="116" t="str">
        <f t="shared" ca="1" si="1"/>
        <v>EW_sand_Ruled_63</v>
      </c>
      <c r="M10" s="105" t="str">
        <f t="shared" ca="1" si="2"/>
        <v>API sand</v>
      </c>
      <c r="N10" s="47">
        <f t="shared" ca="1" si="3"/>
        <v>9.8000000000000007</v>
      </c>
      <c r="O10" s="63">
        <f t="shared" ca="1" si="4"/>
        <v>0</v>
      </c>
      <c r="P10" s="63">
        <f t="shared" ca="1" si="5"/>
        <v>0</v>
      </c>
      <c r="Q10" s="47">
        <f t="shared" ca="1" si="6"/>
        <v>28</v>
      </c>
      <c r="R10" s="47">
        <f t="shared" ca="1" si="7"/>
        <v>23</v>
      </c>
      <c r="S10" s="47">
        <f t="shared" ca="1" si="8"/>
        <v>2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19500</v>
      </c>
      <c r="Y10" s="47">
        <f t="shared" ca="1" si="14"/>
        <v>0</v>
      </c>
      <c r="Z10" s="47">
        <f t="shared" ca="1" si="15"/>
        <v>75.399999999999977</v>
      </c>
      <c r="AA10" s="47">
        <f t="shared" ca="1" si="16"/>
        <v>1</v>
      </c>
      <c r="AB10" s="47">
        <f t="shared" ca="1" si="17"/>
        <v>4040</v>
      </c>
      <c r="AC10" s="63">
        <f t="shared" ca="1" si="18"/>
        <v>82000</v>
      </c>
      <c r="AD10" s="63">
        <f t="shared" ca="1" si="19"/>
        <v>333.33333333333331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16.800000000000004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63</v>
      </c>
      <c r="AS10" s="33">
        <f t="shared" ca="1" si="34"/>
        <v>0.2</v>
      </c>
      <c r="AW10" s="2">
        <v>2.25</v>
      </c>
      <c r="AX10" s="2" t="s">
        <v>255</v>
      </c>
      <c r="AY10" s="130">
        <v>23.1</v>
      </c>
      <c r="AZ10" s="2">
        <v>20.2</v>
      </c>
      <c r="BA10" s="2">
        <v>18</v>
      </c>
      <c r="BB10" s="2">
        <v>28</v>
      </c>
      <c r="BC10" s="2">
        <v>5</v>
      </c>
      <c r="BD10" s="2">
        <v>0.2</v>
      </c>
      <c r="BE10" s="2">
        <v>0.4</v>
      </c>
      <c r="BF10" s="2">
        <v>0.5</v>
      </c>
      <c r="BG10" s="2">
        <v>0.6</v>
      </c>
      <c r="BH10" s="2">
        <v>0.8</v>
      </c>
      <c r="BI10" s="2">
        <v>3</v>
      </c>
      <c r="BJ10" s="2">
        <v>18</v>
      </c>
      <c r="BK10" s="2">
        <v>24</v>
      </c>
      <c r="BL10" s="2">
        <v>32</v>
      </c>
      <c r="BM10" s="2">
        <v>49</v>
      </c>
      <c r="BN10" s="2"/>
      <c r="BO10" s="2"/>
      <c r="BP10" s="2"/>
      <c r="BQ10" s="2"/>
      <c r="BR10" s="2"/>
      <c r="BS10" s="2"/>
      <c r="BT10" s="2">
        <v>2</v>
      </c>
      <c r="BU10" s="2">
        <v>8</v>
      </c>
      <c r="BV10" s="2">
        <v>15</v>
      </c>
      <c r="BW10" s="2">
        <v>22</v>
      </c>
      <c r="BX10" s="2">
        <v>36</v>
      </c>
      <c r="BY10" s="2">
        <v>3.6</v>
      </c>
      <c r="BZ10" s="2">
        <v>3.1</v>
      </c>
      <c r="CA10" s="2">
        <v>3</v>
      </c>
      <c r="CB10" s="2">
        <v>1.1913879576202401E-17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21a</v>
      </c>
      <c r="J11" s="47">
        <f t="shared" ca="1" si="35"/>
        <v>6</v>
      </c>
      <c r="K11" s="19">
        <f t="shared" ca="1" si="36"/>
        <v>-8</v>
      </c>
      <c r="L11" s="116" t="str">
        <f t="shared" ca="1" si="1"/>
        <v>EW_sand_Ruled_68</v>
      </c>
      <c r="M11" s="105" t="str">
        <f t="shared" ca="1" si="2"/>
        <v>API sand</v>
      </c>
      <c r="N11" s="47">
        <f t="shared" ca="1" si="3"/>
        <v>9.8000000000000007</v>
      </c>
      <c r="O11" s="63">
        <f t="shared" ca="1" si="4"/>
        <v>0</v>
      </c>
      <c r="P11" s="63">
        <f t="shared" ca="1" si="5"/>
        <v>0</v>
      </c>
      <c r="Q11" s="47">
        <f t="shared" ca="1" si="6"/>
        <v>29</v>
      </c>
      <c r="R11" s="47">
        <f t="shared" ca="1" si="7"/>
        <v>24</v>
      </c>
      <c r="S11" s="47">
        <f t="shared" ca="1" si="8"/>
        <v>1.8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26300</v>
      </c>
      <c r="Y11" s="47">
        <f t="shared" ca="1" si="14"/>
        <v>0</v>
      </c>
      <c r="Z11" s="47">
        <f t="shared" ca="1" si="15"/>
        <v>78.199999999999974</v>
      </c>
      <c r="AA11" s="47">
        <f t="shared" ca="1" si="16"/>
        <v>1</v>
      </c>
      <c r="AB11" s="47">
        <f t="shared" ca="1" si="17"/>
        <v>4420</v>
      </c>
      <c r="AC11" s="63">
        <f t="shared" ca="1" si="18"/>
        <v>99000</v>
      </c>
      <c r="AD11" s="63">
        <f t="shared" ca="1" si="19"/>
        <v>3148.1481481481478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18.400000000000006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68</v>
      </c>
      <c r="AS11" s="33">
        <f t="shared" ca="1" si="34"/>
        <v>0.2</v>
      </c>
      <c r="AW11" s="2">
        <v>3.2</v>
      </c>
      <c r="AX11" s="2" t="s">
        <v>255</v>
      </c>
      <c r="AY11" s="130">
        <v>23.1</v>
      </c>
      <c r="AZ11" s="2">
        <v>20.2</v>
      </c>
      <c r="BA11" s="2">
        <v>18</v>
      </c>
      <c r="BB11" s="2">
        <v>28</v>
      </c>
      <c r="BC11" s="2">
        <v>5</v>
      </c>
      <c r="BD11" s="2">
        <v>0.3</v>
      </c>
      <c r="BE11" s="2">
        <v>0.5</v>
      </c>
      <c r="BF11" s="2">
        <v>0.6</v>
      </c>
      <c r="BG11" s="2">
        <v>0.7</v>
      </c>
      <c r="BH11" s="2">
        <v>0.9</v>
      </c>
      <c r="BI11" s="2">
        <v>8</v>
      </c>
      <c r="BJ11" s="2">
        <v>23</v>
      </c>
      <c r="BK11" s="2">
        <v>30</v>
      </c>
      <c r="BL11" s="2">
        <v>38</v>
      </c>
      <c r="BM11" s="2">
        <v>55</v>
      </c>
      <c r="BN11" s="2"/>
      <c r="BO11" s="2"/>
      <c r="BP11" s="2"/>
      <c r="BQ11" s="2"/>
      <c r="BR11" s="2"/>
      <c r="BS11" s="2"/>
      <c r="BT11" s="2">
        <v>6</v>
      </c>
      <c r="BU11" s="2">
        <v>13</v>
      </c>
      <c r="BV11" s="2">
        <v>20</v>
      </c>
      <c r="BW11" s="2">
        <v>27</v>
      </c>
      <c r="BX11" s="2">
        <v>41</v>
      </c>
      <c r="BY11" s="2">
        <v>3.6</v>
      </c>
      <c r="BZ11" s="2">
        <v>3.1</v>
      </c>
      <c r="CA11" s="2">
        <v>3</v>
      </c>
      <c r="CB11" s="2">
        <v>1.1913879576202401E-17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21c</v>
      </c>
      <c r="J12" s="47">
        <f t="shared" ca="1" si="35"/>
        <v>7</v>
      </c>
      <c r="K12" s="19">
        <f t="shared" ca="1" si="36"/>
        <v>-13.4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9.3000000000000007</v>
      </c>
      <c r="O12" s="63">
        <f t="shared" ca="1" si="4"/>
        <v>256</v>
      </c>
      <c r="P12" s="63">
        <f t="shared" ca="1" si="5"/>
        <v>-9.6153846153846168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0.25</v>
      </c>
      <c r="X12" s="47">
        <f t="shared" ca="1" si="13"/>
        <v>21300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321000</v>
      </c>
      <c r="AD12" s="63">
        <f t="shared" ca="1" si="19"/>
        <v>-11923.076923076926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3.2</v>
      </c>
      <c r="AX12" s="2" t="s">
        <v>271</v>
      </c>
      <c r="AY12" s="130">
        <v>24.7</v>
      </c>
      <c r="AZ12" s="2">
        <v>19.8</v>
      </c>
      <c r="BA12" s="2"/>
      <c r="BB12" s="2">
        <v>11</v>
      </c>
      <c r="BC12" s="2"/>
      <c r="BD12" s="2">
        <v>7.3</v>
      </c>
      <c r="BE12" s="2">
        <v>8.6999999999999993</v>
      </c>
      <c r="BF12" s="2">
        <v>9</v>
      </c>
      <c r="BG12" s="2">
        <v>9.4</v>
      </c>
      <c r="BH12" s="2">
        <f>10.8+5</f>
        <v>15.8</v>
      </c>
      <c r="BI12" s="2"/>
      <c r="BJ12" s="2"/>
      <c r="BK12" s="2"/>
      <c r="BL12" s="2"/>
      <c r="BM12" s="2"/>
      <c r="BN12" s="2">
        <v>71</v>
      </c>
      <c r="BO12" s="2">
        <v>26</v>
      </c>
      <c r="BP12" s="2">
        <v>29</v>
      </c>
      <c r="BQ12" s="2">
        <v>31</v>
      </c>
      <c r="BR12" s="2">
        <v>34</v>
      </c>
      <c r="BS12" s="2">
        <v>38</v>
      </c>
      <c r="BT12" s="2">
        <v>3</v>
      </c>
      <c r="BU12" s="2">
        <v>43</v>
      </c>
      <c r="BV12" s="2">
        <v>60</v>
      </c>
      <c r="BW12" s="2">
        <v>76</v>
      </c>
      <c r="BX12" s="2">
        <v>116</v>
      </c>
      <c r="BY12" s="2">
        <v>19.2</v>
      </c>
      <c r="BZ12" s="2">
        <v>16.2</v>
      </c>
      <c r="CA12" s="2">
        <v>2.7</v>
      </c>
      <c r="CB12" s="2">
        <v>1.0381815085506099E-5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21d</v>
      </c>
      <c r="J13" s="47">
        <f t="shared" ca="1" si="35"/>
        <v>8</v>
      </c>
      <c r="K13" s="19">
        <f t="shared" ca="1" si="36"/>
        <v>-16</v>
      </c>
      <c r="L13" s="116" t="str">
        <f t="shared" ca="1" si="1"/>
        <v>EW_sand_Ruled_61</v>
      </c>
      <c r="M13" s="105" t="str">
        <f t="shared" ca="1" si="2"/>
        <v>API sand</v>
      </c>
      <c r="N13" s="47">
        <f t="shared" ca="1" si="3"/>
        <v>10</v>
      </c>
      <c r="O13" s="63">
        <f t="shared" ca="1" si="4"/>
        <v>0</v>
      </c>
      <c r="P13" s="63">
        <f t="shared" ca="1" si="5"/>
        <v>0</v>
      </c>
      <c r="Q13" s="47">
        <f t="shared" ca="1" si="6"/>
        <v>27</v>
      </c>
      <c r="R13" s="47">
        <f t="shared" ca="1" si="7"/>
        <v>22</v>
      </c>
      <c r="S13" s="47">
        <f t="shared" ca="1" si="8"/>
        <v>1.1000000000000001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20200</v>
      </c>
      <c r="Y13" s="47">
        <f t="shared" ca="1" si="14"/>
        <v>0</v>
      </c>
      <c r="Z13" s="47">
        <f t="shared" ca="1" si="15"/>
        <v>72.59999999999998</v>
      </c>
      <c r="AA13" s="47">
        <f t="shared" ca="1" si="16"/>
        <v>1</v>
      </c>
      <c r="AB13" s="47">
        <f t="shared" ca="1" si="17"/>
        <v>3660</v>
      </c>
      <c r="AC13" s="63">
        <f t="shared" ca="1" si="18"/>
        <v>113000</v>
      </c>
      <c r="AD13" s="63">
        <f t="shared" ca="1" si="19"/>
        <v>7333.333333333333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15.200000000000003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61</v>
      </c>
      <c r="AS13" s="33">
        <f t="shared" ca="1" si="34"/>
        <v>0.4</v>
      </c>
      <c r="AW13" s="2">
        <v>5</v>
      </c>
      <c r="AX13" s="2" t="s">
        <v>271</v>
      </c>
      <c r="AY13" s="130">
        <v>24.7</v>
      </c>
      <c r="AZ13" s="2">
        <v>19.8</v>
      </c>
      <c r="BA13" s="2"/>
      <c r="BB13" s="2">
        <v>11</v>
      </c>
      <c r="BC13" s="2"/>
      <c r="BD13" s="2">
        <v>14.5</v>
      </c>
      <c r="BE13" s="2">
        <v>15.9</v>
      </c>
      <c r="BF13" s="2">
        <v>16.2</v>
      </c>
      <c r="BG13" s="2">
        <v>16.600000000000001</v>
      </c>
      <c r="BH13" s="2">
        <f>18+5</f>
        <v>23</v>
      </c>
      <c r="BI13" s="2"/>
      <c r="BJ13" s="2"/>
      <c r="BK13" s="2"/>
      <c r="BL13" s="2"/>
      <c r="BM13" s="2"/>
      <c r="BN13" s="2">
        <v>71</v>
      </c>
      <c r="BO13" s="2">
        <v>26</v>
      </c>
      <c r="BP13" s="2">
        <v>29</v>
      </c>
      <c r="BQ13" s="2">
        <v>31</v>
      </c>
      <c r="BR13" s="2">
        <v>34</v>
      </c>
      <c r="BS13" s="2">
        <v>38</v>
      </c>
      <c r="BT13" s="2">
        <v>21</v>
      </c>
      <c r="BU13" s="2">
        <v>61</v>
      </c>
      <c r="BV13" s="2">
        <v>78</v>
      </c>
      <c r="BW13" s="2">
        <v>94</v>
      </c>
      <c r="BX13" s="2">
        <v>134</v>
      </c>
      <c r="BY13" s="2">
        <v>19.2</v>
      </c>
      <c r="BZ13" s="2">
        <v>16.2</v>
      </c>
      <c r="CA13" s="2">
        <v>2.7</v>
      </c>
      <c r="CB13" s="2">
        <v>1.0381815085506099E-5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21d</v>
      </c>
      <c r="J14" s="47">
        <f t="shared" ca="1" si="35"/>
        <v>9</v>
      </c>
      <c r="K14" s="19">
        <f t="shared" ca="1" si="36"/>
        <v>-17.5</v>
      </c>
      <c r="L14" s="116" t="str">
        <f t="shared" ca="1" si="1"/>
        <v>EW_sand_Ruled_58</v>
      </c>
      <c r="M14" s="105" t="str">
        <f t="shared" ca="1" si="2"/>
        <v>API sand</v>
      </c>
      <c r="N14" s="47">
        <f t="shared" ca="1" si="3"/>
        <v>10</v>
      </c>
      <c r="O14" s="63">
        <f t="shared" ca="1" si="4"/>
        <v>0</v>
      </c>
      <c r="P14" s="63">
        <f t="shared" ca="1" si="5"/>
        <v>0</v>
      </c>
      <c r="Q14" s="47">
        <f t="shared" ca="1" si="6"/>
        <v>27</v>
      </c>
      <c r="R14" s="47">
        <f t="shared" ca="1" si="7"/>
        <v>22</v>
      </c>
      <c r="S14" s="47">
        <f t="shared" ca="1" si="8"/>
        <v>1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18600</v>
      </c>
      <c r="Y14" s="47">
        <f t="shared" ca="1" si="14"/>
        <v>0</v>
      </c>
      <c r="Z14" s="47">
        <f t="shared" ca="1" si="15"/>
        <v>72.59999999999998</v>
      </c>
      <c r="AA14" s="47">
        <f t="shared" ca="1" si="16"/>
        <v>1</v>
      </c>
      <c r="AB14" s="47">
        <f t="shared" ca="1" si="17"/>
        <v>3660</v>
      </c>
      <c r="AC14" s="63">
        <f t="shared" ca="1" si="18"/>
        <v>127000</v>
      </c>
      <c r="AD14" s="63">
        <f t="shared" ca="1" si="19"/>
        <v>-2800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15.200000000000003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58</v>
      </c>
      <c r="AS14" s="33">
        <f t="shared" ca="1" si="34"/>
        <v>0.4</v>
      </c>
      <c r="AW14" s="2">
        <v>5</v>
      </c>
      <c r="AX14" s="2" t="s">
        <v>271</v>
      </c>
      <c r="AY14" s="130">
        <v>24.7</v>
      </c>
      <c r="AZ14" s="2">
        <v>19.8</v>
      </c>
      <c r="BA14" s="2"/>
      <c r="BB14" s="2">
        <v>11</v>
      </c>
      <c r="BC14" s="2"/>
      <c r="BD14" s="2">
        <v>14</v>
      </c>
      <c r="BE14" s="2">
        <v>15.7</v>
      </c>
      <c r="BF14" s="2">
        <v>16.100000000000001</v>
      </c>
      <c r="BG14" s="2">
        <v>16.399999999999999</v>
      </c>
      <c r="BH14" s="2">
        <f>17.8+5</f>
        <v>22.8</v>
      </c>
      <c r="BI14" s="2"/>
      <c r="BJ14" s="2"/>
      <c r="BK14" s="2"/>
      <c r="BL14" s="2"/>
      <c r="BM14" s="2"/>
      <c r="BN14" s="2">
        <v>63</v>
      </c>
      <c r="BO14" s="2">
        <v>26</v>
      </c>
      <c r="BP14" s="2">
        <v>28</v>
      </c>
      <c r="BQ14" s="2">
        <v>31</v>
      </c>
      <c r="BR14" s="2">
        <v>33</v>
      </c>
      <c r="BS14" s="2">
        <v>38</v>
      </c>
      <c r="BT14" s="2">
        <v>14</v>
      </c>
      <c r="BU14" s="2">
        <v>62</v>
      </c>
      <c r="BV14" s="2">
        <v>82</v>
      </c>
      <c r="BW14" s="2">
        <v>101</v>
      </c>
      <c r="BX14" s="2">
        <v>149</v>
      </c>
      <c r="BY14" s="2">
        <v>19.5</v>
      </c>
      <c r="BZ14" s="2">
        <v>10.1</v>
      </c>
      <c r="CA14" s="2">
        <v>2</v>
      </c>
      <c r="CB14" s="2">
        <v>3.69439786241939E-6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23b</v>
      </c>
      <c r="J15" s="47">
        <f t="shared" ca="1" si="35"/>
        <v>10</v>
      </c>
      <c r="K15" s="19">
        <f t="shared" ca="1" si="36"/>
        <v>-20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9.1000000000000014</v>
      </c>
      <c r="O15" s="63">
        <f t="shared" ca="1" si="4"/>
        <v>154</v>
      </c>
      <c r="P15" s="63">
        <f t="shared" ca="1" si="5"/>
        <v>19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2.7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0.5</v>
      </c>
      <c r="X15" s="47">
        <f t="shared" ca="1" si="13"/>
        <v>21000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218000</v>
      </c>
      <c r="AD15" s="63">
        <f t="shared" ca="1" si="19"/>
        <v>26857.142857142859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8</v>
      </c>
      <c r="AX15" s="2" t="s">
        <v>271</v>
      </c>
      <c r="AY15" s="130">
        <v>24.7</v>
      </c>
      <c r="AZ15" s="2">
        <v>19.8</v>
      </c>
      <c r="BA15" s="2"/>
      <c r="BB15" s="2">
        <v>11</v>
      </c>
      <c r="BC15" s="2"/>
      <c r="BD15" s="2">
        <v>7.9</v>
      </c>
      <c r="BE15" s="2">
        <v>9.6999999999999993</v>
      </c>
      <c r="BF15" s="2">
        <v>10</v>
      </c>
      <c r="BG15" s="2">
        <v>10.3</v>
      </c>
      <c r="BH15" s="2">
        <f>5+11.8</f>
        <v>16.8</v>
      </c>
      <c r="BI15" s="2"/>
      <c r="BJ15" s="2"/>
      <c r="BK15" s="2"/>
      <c r="BL15" s="2"/>
      <c r="BM15" s="2"/>
      <c r="BN15" s="2">
        <v>63</v>
      </c>
      <c r="BO15" s="2">
        <v>26</v>
      </c>
      <c r="BP15" s="2">
        <v>28</v>
      </c>
      <c r="BQ15" s="2">
        <v>31</v>
      </c>
      <c r="BR15" s="2">
        <v>33</v>
      </c>
      <c r="BS15" s="2">
        <v>38</v>
      </c>
      <c r="BT15" s="2">
        <v>16</v>
      </c>
      <c r="BU15" s="2">
        <v>64</v>
      </c>
      <c r="BV15" s="2">
        <v>83</v>
      </c>
      <c r="BW15" s="2">
        <v>103</v>
      </c>
      <c r="BX15" s="2">
        <v>151</v>
      </c>
      <c r="BY15" s="2">
        <v>19.5</v>
      </c>
      <c r="BZ15" s="2">
        <v>10.1</v>
      </c>
      <c r="CA15" s="2">
        <v>2</v>
      </c>
      <c r="CB15" s="2">
        <v>3.69439786241939E-6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23d</v>
      </c>
      <c r="J16" s="47">
        <f t="shared" ca="1" si="35"/>
        <v>11</v>
      </c>
      <c r="K16" s="19">
        <f t="shared" ca="1" si="36"/>
        <v>-27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8.8999999999999986</v>
      </c>
      <c r="O16" s="63">
        <f t="shared" ca="1" si="4"/>
        <v>272</v>
      </c>
      <c r="P16" s="63">
        <f t="shared" ca="1" si="5"/>
        <v>-23.055555555555546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2.2000000000000002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22100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379000</v>
      </c>
      <c r="AD16" s="63">
        <f t="shared" ca="1" si="19"/>
        <v>-28888.88888888888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8</v>
      </c>
      <c r="AX16" s="2" t="s">
        <v>271</v>
      </c>
      <c r="AY16" s="130">
        <v>24.7</v>
      </c>
      <c r="AZ16" s="2">
        <v>19.8</v>
      </c>
      <c r="BA16" s="2"/>
      <c r="BB16" s="2">
        <v>11</v>
      </c>
      <c r="BC16" s="2"/>
      <c r="BD16" s="2">
        <v>12</v>
      </c>
      <c r="BE16" s="2">
        <v>15.9</v>
      </c>
      <c r="BF16" s="2">
        <v>16.5</v>
      </c>
      <c r="BG16" s="2">
        <v>16.899999999999999</v>
      </c>
      <c r="BH16" s="2">
        <f>5+20.6</f>
        <v>25.6</v>
      </c>
      <c r="BI16" s="2"/>
      <c r="BJ16" s="2"/>
      <c r="BK16" s="2"/>
      <c r="BL16" s="2"/>
      <c r="BM16" s="2"/>
      <c r="BN16" s="2">
        <v>68</v>
      </c>
      <c r="BO16" s="2">
        <v>26</v>
      </c>
      <c r="BP16" s="2">
        <v>29</v>
      </c>
      <c r="BQ16" s="2">
        <v>31</v>
      </c>
      <c r="BR16" s="2">
        <v>33</v>
      </c>
      <c r="BS16" s="2">
        <v>38</v>
      </c>
      <c r="BT16" s="2">
        <v>11</v>
      </c>
      <c r="BU16" s="2">
        <v>74</v>
      </c>
      <c r="BV16" s="2">
        <v>99</v>
      </c>
      <c r="BW16" s="2">
        <v>124</v>
      </c>
      <c r="BX16" s="2">
        <v>187</v>
      </c>
      <c r="BY16" s="2">
        <v>26.3</v>
      </c>
      <c r="BZ16" s="2">
        <v>8.1999999999999993</v>
      </c>
      <c r="CA16" s="2">
        <v>1.8</v>
      </c>
      <c r="CB16" s="2">
        <v>3.8654779460375904E-6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23d</v>
      </c>
      <c r="J17" s="47">
        <f t="shared" ca="1" si="35"/>
        <v>12</v>
      </c>
      <c r="K17" s="19">
        <f t="shared" ca="1" si="36"/>
        <v>-30.6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8.8999999999999986</v>
      </c>
      <c r="O17" s="63">
        <f t="shared" ca="1" si="4"/>
        <v>261</v>
      </c>
      <c r="P17" s="63">
        <f t="shared" ca="1" si="5"/>
        <v>12.222222222222221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2.5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32700.000000000004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372000</v>
      </c>
      <c r="AD17" s="63">
        <f t="shared" ca="1" si="19"/>
        <v>19675.925925925923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13.4</v>
      </c>
      <c r="AX17" s="2" t="s">
        <v>271</v>
      </c>
      <c r="AY17" s="130">
        <v>24.7</v>
      </c>
      <c r="AZ17" s="2">
        <v>19.8</v>
      </c>
      <c r="BA17" s="2"/>
      <c r="BB17" s="2">
        <v>11</v>
      </c>
      <c r="BC17" s="2"/>
      <c r="BD17" s="2">
        <v>13.8</v>
      </c>
      <c r="BE17" s="2">
        <v>17.8</v>
      </c>
      <c r="BF17" s="2">
        <v>18.3</v>
      </c>
      <c r="BG17" s="2">
        <v>18.8</v>
      </c>
      <c r="BH17" s="2">
        <f>5+22.5</f>
        <v>27.5</v>
      </c>
      <c r="BI17" s="2"/>
      <c r="BJ17" s="2"/>
      <c r="BK17" s="2"/>
      <c r="BL17" s="2"/>
      <c r="BM17" s="2"/>
      <c r="BN17" s="2">
        <v>68</v>
      </c>
      <c r="BO17" s="2">
        <v>26</v>
      </c>
      <c r="BP17" s="2">
        <v>29</v>
      </c>
      <c r="BQ17" s="2">
        <v>31</v>
      </c>
      <c r="BR17" s="2">
        <v>33</v>
      </c>
      <c r="BS17" s="2">
        <v>38</v>
      </c>
      <c r="BT17" s="2">
        <v>28</v>
      </c>
      <c r="BU17" s="2">
        <v>91</v>
      </c>
      <c r="BV17" s="2">
        <v>116</v>
      </c>
      <c r="BW17" s="2">
        <v>141</v>
      </c>
      <c r="BX17" s="2">
        <v>204</v>
      </c>
      <c r="BY17" s="2">
        <v>26.3</v>
      </c>
      <c r="BZ17" s="2">
        <v>8.1999999999999993</v>
      </c>
      <c r="CA17" s="2">
        <v>1.8</v>
      </c>
      <c r="CB17" s="2">
        <v>3.8654779460375904E-6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23e</v>
      </c>
      <c r="J18" s="47">
        <f t="shared" ca="1" si="35"/>
        <v>13</v>
      </c>
      <c r="K18" s="19">
        <f t="shared" ca="1" si="36"/>
        <v>-52.2</v>
      </c>
      <c r="L18" s="116" t="str">
        <f t="shared" ca="1" si="1"/>
        <v>EW_sand_Ruled_71</v>
      </c>
      <c r="M18" s="105" t="str">
        <f t="shared" ca="1" si="2"/>
        <v>API sand</v>
      </c>
      <c r="N18" s="47">
        <f t="shared" ca="1" si="3"/>
        <v>9</v>
      </c>
      <c r="O18" s="63">
        <f t="shared" ca="1" si="4"/>
        <v>0</v>
      </c>
      <c r="P18" s="63">
        <f t="shared" ca="1" si="5"/>
        <v>0</v>
      </c>
      <c r="Q18" s="47">
        <f t="shared" ca="1" si="6"/>
        <v>28</v>
      </c>
      <c r="R18" s="47">
        <f t="shared" ca="1" si="7"/>
        <v>23</v>
      </c>
      <c r="S18" s="47">
        <f t="shared" ca="1" si="8"/>
        <v>0.9</v>
      </c>
      <c r="T18" s="47">
        <f t="shared" ca="1" si="9"/>
        <v>0</v>
      </c>
      <c r="U18" s="75">
        <f t="shared" ca="1" si="10"/>
        <v>0</v>
      </c>
      <c r="V18" s="75">
        <f t="shared" ca="1" si="11"/>
        <v>0</v>
      </c>
      <c r="W18" s="47">
        <f t="shared" ca="1" si="12"/>
        <v>0</v>
      </c>
      <c r="X18" s="47">
        <f t="shared" ca="1" si="13"/>
        <v>75000</v>
      </c>
      <c r="Y18" s="47">
        <f t="shared" ca="1" si="14"/>
        <v>0</v>
      </c>
      <c r="Z18" s="47">
        <f t="shared" ca="1" si="15"/>
        <v>75.399999999999977</v>
      </c>
      <c r="AA18" s="47">
        <f t="shared" ca="1" si="16"/>
        <v>1</v>
      </c>
      <c r="AB18" s="47">
        <f t="shared" ca="1" si="17"/>
        <v>4040</v>
      </c>
      <c r="AC18" s="63">
        <f t="shared" ca="1" si="18"/>
        <v>206000</v>
      </c>
      <c r="AD18" s="63">
        <f t="shared" ca="1" si="19"/>
        <v>16250.000000000011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>
        <f t="shared" ca="1" si="25"/>
        <v>16.800000000000004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71</v>
      </c>
      <c r="AS18" s="33">
        <f t="shared" ca="1" si="34"/>
        <v>0.4</v>
      </c>
      <c r="AW18" s="2">
        <v>13.4</v>
      </c>
      <c r="AX18" s="2" t="s">
        <v>216</v>
      </c>
      <c r="AY18" s="130">
        <v>31.7</v>
      </c>
      <c r="AZ18" s="2">
        <v>19.3</v>
      </c>
      <c r="BA18" s="2">
        <v>20</v>
      </c>
      <c r="BB18" s="2">
        <v>45</v>
      </c>
      <c r="BC18" s="2">
        <v>4</v>
      </c>
      <c r="BD18" s="2">
        <v>4.3</v>
      </c>
      <c r="BE18" s="2">
        <v>5.6</v>
      </c>
      <c r="BF18" s="2">
        <v>5.9</v>
      </c>
      <c r="BG18" s="2">
        <v>6.3</v>
      </c>
      <c r="BH18" s="2">
        <f>5+8.5</f>
        <v>13.5</v>
      </c>
      <c r="BI18" s="2">
        <v>125</v>
      </c>
      <c r="BJ18" s="2">
        <v>256</v>
      </c>
      <c r="BK18" s="2">
        <v>310</v>
      </c>
      <c r="BL18" s="2">
        <v>369</v>
      </c>
      <c r="BM18" s="2">
        <v>531</v>
      </c>
      <c r="BN18" s="2"/>
      <c r="BO18" s="2"/>
      <c r="BP18" s="2"/>
      <c r="BQ18" s="2"/>
      <c r="BR18" s="2"/>
      <c r="BS18" s="2"/>
      <c r="BT18" s="2">
        <v>47</v>
      </c>
      <c r="BU18" s="2">
        <v>232</v>
      </c>
      <c r="BV18" s="2">
        <v>321</v>
      </c>
      <c r="BW18" s="2">
        <v>414</v>
      </c>
      <c r="BX18" s="2">
        <v>642</v>
      </c>
      <c r="BY18" s="2">
        <v>21.3</v>
      </c>
      <c r="BZ18" s="2">
        <v>10.9</v>
      </c>
      <c r="CA18" s="2">
        <v>3</v>
      </c>
      <c r="CB18" s="2">
        <v>8.8964193754686499E-10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23e</v>
      </c>
      <c r="J19" s="47">
        <f t="shared" ca="1" si="35"/>
        <v>14</v>
      </c>
      <c r="K19" s="19">
        <f t="shared" ca="1" si="36"/>
        <v>-57</v>
      </c>
      <c r="L19" s="116" t="str">
        <f t="shared" ca="1" si="1"/>
        <v>EW_sand_Ruled_85</v>
      </c>
      <c r="M19" s="105" t="str">
        <f t="shared" ca="1" si="2"/>
        <v>API sand</v>
      </c>
      <c r="N19" s="47">
        <f t="shared" ca="1" si="3"/>
        <v>9</v>
      </c>
      <c r="O19" s="63">
        <f t="shared" ca="1" si="4"/>
        <v>0</v>
      </c>
      <c r="P19" s="63">
        <f t="shared" ca="1" si="5"/>
        <v>0</v>
      </c>
      <c r="Q19" s="47">
        <f t="shared" ca="1" si="6"/>
        <v>29</v>
      </c>
      <c r="R19" s="47">
        <f t="shared" ca="1" si="7"/>
        <v>24</v>
      </c>
      <c r="S19" s="47">
        <f t="shared" ca="1" si="8"/>
        <v>1</v>
      </c>
      <c r="T19" s="47">
        <f t="shared" ca="1" si="9"/>
        <v>0</v>
      </c>
      <c r="U19" s="75">
        <f t="shared" ca="1" si="10"/>
        <v>0</v>
      </c>
      <c r="V19" s="75">
        <f t="shared" ca="1" si="11"/>
        <v>0</v>
      </c>
      <c r="W19" s="47">
        <f t="shared" ca="1" si="12"/>
        <v>0</v>
      </c>
      <c r="X19" s="47">
        <f t="shared" ca="1" si="13"/>
        <v>75000</v>
      </c>
      <c r="Y19" s="47">
        <f t="shared" ca="1" si="14"/>
        <v>0</v>
      </c>
      <c r="Z19" s="47">
        <f t="shared" ca="1" si="15"/>
        <v>78.199999999999974</v>
      </c>
      <c r="AA19" s="47">
        <f t="shared" ca="1" si="16"/>
        <v>1</v>
      </c>
      <c r="AB19" s="47">
        <f t="shared" ca="1" si="17"/>
        <v>4420</v>
      </c>
      <c r="AC19" s="63">
        <f t="shared" ca="1" si="18"/>
        <v>268000</v>
      </c>
      <c r="AD19" s="63">
        <f t="shared" ca="1" si="19"/>
        <v>-1571.4285714285713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>
        <f t="shared" ca="1" si="25"/>
        <v>18.400000000000006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85</v>
      </c>
      <c r="AS19" s="33">
        <f t="shared" ca="1" si="34"/>
        <v>0.4</v>
      </c>
      <c r="AW19" s="2">
        <v>16</v>
      </c>
      <c r="AX19" s="2" t="s">
        <v>216</v>
      </c>
      <c r="AY19" s="130">
        <v>31.7</v>
      </c>
      <c r="AZ19" s="2">
        <v>19.3</v>
      </c>
      <c r="BA19" s="2">
        <v>20</v>
      </c>
      <c r="BB19" s="2">
        <v>45</v>
      </c>
      <c r="BC19" s="2">
        <v>4</v>
      </c>
      <c r="BD19" s="2">
        <v>3.9</v>
      </c>
      <c r="BE19" s="2">
        <v>5.2</v>
      </c>
      <c r="BF19" s="2">
        <v>5.5</v>
      </c>
      <c r="BG19" s="2">
        <v>5.9</v>
      </c>
      <c r="BH19" s="2">
        <f>5+8.1</f>
        <v>13.1</v>
      </c>
      <c r="BI19" s="2">
        <v>100</v>
      </c>
      <c r="BJ19" s="2">
        <v>231</v>
      </c>
      <c r="BK19" s="2">
        <v>286</v>
      </c>
      <c r="BL19" s="2">
        <v>344</v>
      </c>
      <c r="BM19" s="2">
        <v>507</v>
      </c>
      <c r="BN19" s="2"/>
      <c r="BO19" s="2"/>
      <c r="BP19" s="2"/>
      <c r="BQ19" s="2"/>
      <c r="BR19" s="2"/>
      <c r="BS19" s="2"/>
      <c r="BT19" s="2">
        <v>16</v>
      </c>
      <c r="BU19" s="2">
        <v>200</v>
      </c>
      <c r="BV19" s="2">
        <v>290</v>
      </c>
      <c r="BW19" s="2">
        <v>383</v>
      </c>
      <c r="BX19" s="2">
        <v>611</v>
      </c>
      <c r="BY19" s="2">
        <v>21.3</v>
      </c>
      <c r="BZ19" s="2">
        <v>10.9</v>
      </c>
      <c r="CA19" s="2">
        <v>3</v>
      </c>
      <c r="CB19" s="2">
        <v>8.8964193754686499E-10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23i</v>
      </c>
      <c r="J20" s="47">
        <f t="shared" ca="1" si="35"/>
        <v>15</v>
      </c>
      <c r="K20" s="19">
        <f t="shared" ca="1" si="36"/>
        <v>-64</v>
      </c>
      <c r="L20" s="116" t="str">
        <f t="shared" ca="1" si="1"/>
        <v>Cowden Clay</v>
      </c>
      <c r="M20" s="105" t="str">
        <f t="shared" ca="1" si="2"/>
        <v>API clay</v>
      </c>
      <c r="N20" s="47">
        <f t="shared" ca="1" si="3"/>
        <v>8.3000000000000007</v>
      </c>
      <c r="O20" s="63">
        <f t="shared" ca="1" si="4"/>
        <v>847</v>
      </c>
      <c r="P20" s="63">
        <f t="shared" ca="1" si="5"/>
        <v>-117.25</v>
      </c>
      <c r="Q20" s="47">
        <f t="shared" ca="1" si="6"/>
        <v>0</v>
      </c>
      <c r="R20" s="47" t="e">
        <f t="shared" ca="1" si="7"/>
        <v>#N/A</v>
      </c>
      <c r="S20" s="47">
        <f t="shared" ca="1" si="8"/>
        <v>2.4</v>
      </c>
      <c r="T20" s="47">
        <f t="shared" ca="1" si="9"/>
        <v>0</v>
      </c>
      <c r="U20" s="75">
        <f t="shared" ca="1" si="10"/>
        <v>1.7999999999999999E-2</v>
      </c>
      <c r="V20" s="75">
        <f t="shared" ca="1" si="11"/>
        <v>0</v>
      </c>
      <c r="W20" s="47">
        <f t="shared" ca="1" si="12"/>
        <v>0.25</v>
      </c>
      <c r="X20" s="47">
        <f t="shared" ca="1" si="13"/>
        <v>54000</v>
      </c>
      <c r="Y20" s="47">
        <f t="shared" ca="1" si="14"/>
        <v>0</v>
      </c>
      <c r="Z20" s="47" t="e">
        <f t="shared" ca="1" si="15"/>
        <v>#N/A</v>
      </c>
      <c r="AA20" s="47">
        <f t="shared" ca="1" si="16"/>
        <v>1</v>
      </c>
      <c r="AB20" s="47" t="e">
        <f t="shared" ca="1" si="17"/>
        <v>#N/A</v>
      </c>
      <c r="AC20" s="63">
        <f t="shared" ca="1" si="18"/>
        <v>1384000</v>
      </c>
      <c r="AD20" s="63">
        <f t="shared" ca="1" si="19"/>
        <v>-202250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 t="e">
        <f t="shared" ca="1" si="25"/>
        <v>#N/A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0</v>
      </c>
      <c r="AS20" s="33">
        <f t="shared" ca="1" si="34"/>
        <v>0.4</v>
      </c>
      <c r="AW20" s="2">
        <v>16</v>
      </c>
      <c r="AX20" s="2" t="s">
        <v>217</v>
      </c>
      <c r="AY20" s="130">
        <v>23.6</v>
      </c>
      <c r="AZ20" s="2">
        <v>20</v>
      </c>
      <c r="BA20" s="2"/>
      <c r="BB20" s="2">
        <v>18</v>
      </c>
      <c r="BC20" s="2"/>
      <c r="BD20" s="2">
        <v>8.6</v>
      </c>
      <c r="BE20" s="2">
        <v>10.8</v>
      </c>
      <c r="BF20" s="2">
        <v>11.4</v>
      </c>
      <c r="BG20" s="2">
        <v>12.2</v>
      </c>
      <c r="BH20" s="2">
        <f>15+14.9</f>
        <v>29.9</v>
      </c>
      <c r="BI20" s="2"/>
      <c r="BJ20" s="2"/>
      <c r="BK20" s="2"/>
      <c r="BL20" s="2"/>
      <c r="BM20" s="2"/>
      <c r="BN20" s="2">
        <v>61</v>
      </c>
      <c r="BO20" s="2">
        <v>26</v>
      </c>
      <c r="BP20" s="2">
        <v>27</v>
      </c>
      <c r="BQ20" s="2">
        <v>30</v>
      </c>
      <c r="BR20" s="2">
        <v>32</v>
      </c>
      <c r="BS20" s="2">
        <v>36</v>
      </c>
      <c r="BT20" s="2">
        <v>16</v>
      </c>
      <c r="BU20" s="2">
        <v>85</v>
      </c>
      <c r="BV20" s="2">
        <v>113</v>
      </c>
      <c r="BW20" s="2">
        <v>141</v>
      </c>
      <c r="BX20" s="2">
        <v>210</v>
      </c>
      <c r="BY20" s="2">
        <v>20.2</v>
      </c>
      <c r="BZ20" s="2">
        <v>3.9</v>
      </c>
      <c r="CA20" s="2">
        <v>1.1000000000000001</v>
      </c>
      <c r="CB20" s="2">
        <v>3.0758266989434098E-9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>23i</v>
      </c>
      <c r="J21" s="47">
        <f t="shared" ca="1" si="35"/>
        <v>16</v>
      </c>
      <c r="K21" s="19">
        <f t="shared" ca="1" si="36"/>
        <v>-68</v>
      </c>
      <c r="L21" s="116" t="str">
        <f t="shared" ca="1" si="1"/>
        <v>Cowden Clay</v>
      </c>
      <c r="M21" s="105" t="str">
        <f t="shared" ca="1" si="2"/>
        <v>API clay</v>
      </c>
      <c r="N21" s="47">
        <f t="shared" ca="1" si="3"/>
        <v>8.3000000000000007</v>
      </c>
      <c r="O21" s="63">
        <f t="shared" ca="1" si="4"/>
        <v>432</v>
      </c>
      <c r="P21" s="63">
        <f t="shared" ca="1" si="5"/>
        <v>20</v>
      </c>
      <c r="Q21" s="47">
        <f t="shared" ca="1" si="6"/>
        <v>0</v>
      </c>
      <c r="R21" s="47" t="e">
        <f t="shared" ca="1" si="7"/>
        <v>#N/A</v>
      </c>
      <c r="S21" s="47">
        <f t="shared" ca="1" si="8"/>
        <v>1.7</v>
      </c>
      <c r="T21" s="47">
        <f t="shared" ca="1" si="9"/>
        <v>0</v>
      </c>
      <c r="U21" s="75">
        <f t="shared" ca="1" si="10"/>
        <v>1.7999999999999999E-2</v>
      </c>
      <c r="V21" s="75">
        <f t="shared" ca="1" si="11"/>
        <v>0</v>
      </c>
      <c r="W21" s="47">
        <f t="shared" ca="1" si="12"/>
        <v>0.25</v>
      </c>
      <c r="X21" s="47">
        <f t="shared" ca="1" si="13"/>
        <v>39900</v>
      </c>
      <c r="Y21" s="47">
        <f t="shared" ca="1" si="14"/>
        <v>0</v>
      </c>
      <c r="Z21" s="47" t="e">
        <f t="shared" ca="1" si="15"/>
        <v>#N/A</v>
      </c>
      <c r="AA21" s="47">
        <f t="shared" ca="1" si="16"/>
        <v>1</v>
      </c>
      <c r="AB21" s="47" t="e">
        <f t="shared" ca="1" si="17"/>
        <v>#N/A</v>
      </c>
      <c r="AC21" s="63">
        <f t="shared" ca="1" si="18"/>
        <v>658000</v>
      </c>
      <c r="AD21" s="63">
        <f t="shared" ca="1" si="19"/>
        <v>33666.666666666664</v>
      </c>
      <c r="AE21" s="63">
        <f t="shared" ca="1" si="20"/>
        <v>0.3</v>
      </c>
      <c r="AF21" s="63">
        <f t="shared" ca="1" si="21"/>
        <v>0</v>
      </c>
      <c r="AG21" s="63">
        <f t="shared" ca="1" si="22"/>
        <v>0</v>
      </c>
      <c r="AH21" s="63">
        <f t="shared" ca="1" si="23"/>
        <v>0</v>
      </c>
      <c r="AI21" s="63">
        <f t="shared" ca="1" si="24"/>
        <v>0</v>
      </c>
      <c r="AJ21" s="47" t="e">
        <f t="shared" ca="1" si="25"/>
        <v>#N/A</v>
      </c>
      <c r="AK21" s="47">
        <f t="shared" ca="1" si="26"/>
        <v>1</v>
      </c>
      <c r="AL21" s="47">
        <f t="shared" ca="1" si="27"/>
        <v>1</v>
      </c>
      <c r="AM21" s="47">
        <f t="shared" ca="1" si="28"/>
        <v>1</v>
      </c>
      <c r="AN21" s="47">
        <f t="shared" ca="1" si="29"/>
        <v>1</v>
      </c>
      <c r="AO21" s="47">
        <f t="shared" ca="1" si="30"/>
        <v>1</v>
      </c>
      <c r="AP21" s="47">
        <f t="shared" ca="1" si="31"/>
        <v>1</v>
      </c>
      <c r="AQ21" s="47">
        <f t="shared" ca="1" si="32"/>
        <v>0</v>
      </c>
      <c r="AR21" s="47">
        <f t="shared" ca="1" si="33"/>
        <v>0</v>
      </c>
      <c r="AS21" s="33">
        <f t="shared" ca="1" si="34"/>
        <v>0.4</v>
      </c>
      <c r="AW21" s="2">
        <v>17.5</v>
      </c>
      <c r="AX21" s="2" t="s">
        <v>217</v>
      </c>
      <c r="AY21" s="130">
        <v>23.6</v>
      </c>
      <c r="AZ21" s="2">
        <v>20</v>
      </c>
      <c r="BA21" s="2"/>
      <c r="BB21" s="2">
        <v>18</v>
      </c>
      <c r="BC21" s="2"/>
      <c r="BD21" s="2">
        <v>12.7</v>
      </c>
      <c r="BE21" s="2">
        <v>14.9</v>
      </c>
      <c r="BF21" s="2">
        <v>15.5</v>
      </c>
      <c r="BG21" s="2">
        <v>16.3</v>
      </c>
      <c r="BH21" s="2">
        <f>15+19</f>
        <v>34</v>
      </c>
      <c r="BI21" s="2"/>
      <c r="BJ21" s="2"/>
      <c r="BK21" s="2"/>
      <c r="BL21" s="2"/>
      <c r="BM21" s="2"/>
      <c r="BN21" s="2">
        <v>61</v>
      </c>
      <c r="BO21" s="2">
        <v>26</v>
      </c>
      <c r="BP21" s="2">
        <v>27</v>
      </c>
      <c r="BQ21" s="2">
        <v>30</v>
      </c>
      <c r="BR21" s="2">
        <v>32</v>
      </c>
      <c r="BS21" s="2">
        <v>36</v>
      </c>
      <c r="BT21" s="2">
        <v>27</v>
      </c>
      <c r="BU21" s="2">
        <v>96</v>
      </c>
      <c r="BV21" s="2">
        <v>124</v>
      </c>
      <c r="BW21" s="2">
        <v>152</v>
      </c>
      <c r="BX21" s="2">
        <v>221</v>
      </c>
      <c r="BY21" s="2">
        <v>20.2</v>
      </c>
      <c r="BZ21" s="2">
        <v>3.9</v>
      </c>
      <c r="CA21" s="2">
        <v>1.1000000000000001</v>
      </c>
      <c r="CB21" s="2">
        <v>3.0758266989434098E-9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>23l</v>
      </c>
      <c r="J22" s="47">
        <f t="shared" ca="1" si="35"/>
        <v>17</v>
      </c>
      <c r="K22" s="19">
        <f t="shared" ca="1" si="36"/>
        <v>-71</v>
      </c>
      <c r="L22" s="116" t="str">
        <f t="shared" ca="1" si="1"/>
        <v>Cowden Clay</v>
      </c>
      <c r="M22" s="105" t="str">
        <f t="shared" ca="1" si="2"/>
        <v>API clay</v>
      </c>
      <c r="N22" s="47">
        <f t="shared" ca="1" si="3"/>
        <v>8.8000000000000007</v>
      </c>
      <c r="O22" s="63">
        <f t="shared" ca="1" si="4"/>
        <v>805</v>
      </c>
      <c r="P22" s="63">
        <f t="shared" ca="1" si="5"/>
        <v>5.8</v>
      </c>
      <c r="Q22" s="47">
        <f t="shared" ca="1" si="6"/>
        <v>0</v>
      </c>
      <c r="R22" s="47" t="e">
        <f t="shared" ca="1" si="7"/>
        <v>#N/A</v>
      </c>
      <c r="S22" s="47">
        <f t="shared" ca="1" si="8"/>
        <v>2.7</v>
      </c>
      <c r="T22" s="47">
        <f t="shared" ca="1" si="9"/>
        <v>0</v>
      </c>
      <c r="U22" s="75">
        <f t="shared" ca="1" si="10"/>
        <v>1.7999999999999999E-2</v>
      </c>
      <c r="V22" s="75">
        <f t="shared" ca="1" si="11"/>
        <v>0</v>
      </c>
      <c r="W22" s="47">
        <f t="shared" ca="1" si="12"/>
        <v>0.25</v>
      </c>
      <c r="X22" s="47">
        <f t="shared" ca="1" si="13"/>
        <v>67400</v>
      </c>
      <c r="Y22" s="47">
        <f t="shared" ca="1" si="14"/>
        <v>0</v>
      </c>
      <c r="Z22" s="47" t="e">
        <f t="shared" ca="1" si="15"/>
        <v>#N/A</v>
      </c>
      <c r="AA22" s="47">
        <f t="shared" ca="1" si="16"/>
        <v>1</v>
      </c>
      <c r="AB22" s="47" t="e">
        <f t="shared" ca="1" si="17"/>
        <v>#N/A</v>
      </c>
      <c r="AC22" s="63">
        <f t="shared" ca="1" si="18"/>
        <v>1341000</v>
      </c>
      <c r="AD22" s="63">
        <f t="shared" ca="1" si="19"/>
        <v>4400</v>
      </c>
      <c r="AE22" s="63">
        <f t="shared" ca="1" si="20"/>
        <v>0.3</v>
      </c>
      <c r="AF22" s="63">
        <f t="shared" ca="1" si="21"/>
        <v>0</v>
      </c>
      <c r="AG22" s="63">
        <f t="shared" ca="1" si="22"/>
        <v>0</v>
      </c>
      <c r="AH22" s="63">
        <f t="shared" ca="1" si="23"/>
        <v>0</v>
      </c>
      <c r="AI22" s="63">
        <f t="shared" ca="1" si="24"/>
        <v>0</v>
      </c>
      <c r="AJ22" s="47" t="e">
        <f t="shared" ca="1" si="25"/>
        <v>#N/A</v>
      </c>
      <c r="AK22" s="47">
        <f t="shared" ca="1" si="26"/>
        <v>1</v>
      </c>
      <c r="AL22" s="47">
        <f t="shared" ca="1" si="27"/>
        <v>1</v>
      </c>
      <c r="AM22" s="47">
        <f t="shared" ca="1" si="28"/>
        <v>1</v>
      </c>
      <c r="AN22" s="47">
        <f t="shared" ca="1" si="29"/>
        <v>1</v>
      </c>
      <c r="AO22" s="47">
        <f t="shared" ca="1" si="30"/>
        <v>1</v>
      </c>
      <c r="AP22" s="47">
        <f t="shared" ca="1" si="31"/>
        <v>1</v>
      </c>
      <c r="AQ22" s="47">
        <f t="shared" ca="1" si="32"/>
        <v>0</v>
      </c>
      <c r="AR22" s="47">
        <f t="shared" ca="1" si="33"/>
        <v>0</v>
      </c>
      <c r="AS22" s="33">
        <f t="shared" ca="1" si="34"/>
        <v>0.4</v>
      </c>
      <c r="AW22" s="2">
        <v>17.5</v>
      </c>
      <c r="AX22" s="2" t="s">
        <v>217</v>
      </c>
      <c r="AY22" s="130">
        <v>23.6</v>
      </c>
      <c r="AZ22" s="2">
        <v>20</v>
      </c>
      <c r="BA22" s="2"/>
      <c r="BB22" s="2">
        <v>18</v>
      </c>
      <c r="BC22" s="2"/>
      <c r="BD22" s="2">
        <v>13.8</v>
      </c>
      <c r="BE22" s="2">
        <v>15.1</v>
      </c>
      <c r="BF22" s="2">
        <v>15.4</v>
      </c>
      <c r="BG22" s="2">
        <v>15.7</v>
      </c>
      <c r="BH22" s="2">
        <f>10+16.9</f>
        <v>26.9</v>
      </c>
      <c r="BI22" s="2"/>
      <c r="BJ22" s="2"/>
      <c r="BK22" s="2"/>
      <c r="BL22" s="2"/>
      <c r="BM22" s="2"/>
      <c r="BN22" s="2">
        <v>58</v>
      </c>
      <c r="BO22" s="2">
        <v>26</v>
      </c>
      <c r="BP22" s="2">
        <v>27</v>
      </c>
      <c r="BQ22" s="2">
        <v>29</v>
      </c>
      <c r="BR22" s="2">
        <v>32</v>
      </c>
      <c r="BS22" s="2">
        <v>36</v>
      </c>
      <c r="BT22" s="2">
        <v>26</v>
      </c>
      <c r="BU22" s="2">
        <v>98</v>
      </c>
      <c r="BV22" s="2">
        <v>127</v>
      </c>
      <c r="BW22" s="2">
        <v>156</v>
      </c>
      <c r="BX22" s="2">
        <v>227</v>
      </c>
      <c r="BY22" s="2">
        <v>18.600000000000001</v>
      </c>
      <c r="BZ22" s="2">
        <v>3.3</v>
      </c>
      <c r="CA22" s="2">
        <v>1</v>
      </c>
      <c r="CB22" s="2">
        <v>1.6302648376073099E-9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>23l</v>
      </c>
      <c r="J23" s="47">
        <f t="shared" ca="1" si="35"/>
        <v>18</v>
      </c>
      <c r="K23" s="19">
        <f t="shared" ca="1" si="36"/>
        <v>-76</v>
      </c>
      <c r="L23" s="116" t="str">
        <f t="shared" ca="1" si="1"/>
        <v>Cowden Clay</v>
      </c>
      <c r="M23" s="105" t="str">
        <f t="shared" ca="1" si="2"/>
        <v>API clay</v>
      </c>
      <c r="N23" s="47">
        <f t="shared" ca="1" si="3"/>
        <v>8.8000000000000007</v>
      </c>
      <c r="O23" s="63">
        <f t="shared" ca="1" si="4"/>
        <v>1143</v>
      </c>
      <c r="P23" s="63">
        <f t="shared" ca="1" si="5"/>
        <v>-108.75</v>
      </c>
      <c r="Q23" s="47">
        <f t="shared" ca="1" si="6"/>
        <v>0</v>
      </c>
      <c r="R23" s="47" t="e">
        <f t="shared" ca="1" si="7"/>
        <v>#N/A</v>
      </c>
      <c r="S23" s="47">
        <f t="shared" ca="1" si="8"/>
        <v>3</v>
      </c>
      <c r="T23" s="47">
        <f t="shared" ca="1" si="9"/>
        <v>0</v>
      </c>
      <c r="U23" s="75">
        <f t="shared" ca="1" si="10"/>
        <v>1.7999999999999999E-2</v>
      </c>
      <c r="V23" s="75">
        <f t="shared" ca="1" si="11"/>
        <v>0</v>
      </c>
      <c r="W23" s="47">
        <f t="shared" ca="1" si="12"/>
        <v>0.25</v>
      </c>
      <c r="X23" s="47">
        <f t="shared" ca="1" si="13"/>
        <v>81500</v>
      </c>
      <c r="Y23" s="47">
        <f t="shared" ca="1" si="14"/>
        <v>0</v>
      </c>
      <c r="Z23" s="47" t="e">
        <f t="shared" ca="1" si="15"/>
        <v>#N/A</v>
      </c>
      <c r="AA23" s="47">
        <f t="shared" ca="1" si="16"/>
        <v>1</v>
      </c>
      <c r="AB23" s="47" t="e">
        <f t="shared" ca="1" si="17"/>
        <v>#N/A</v>
      </c>
      <c r="AC23" s="63">
        <f t="shared" ca="1" si="18"/>
        <v>1617000</v>
      </c>
      <c r="AD23" s="63">
        <f t="shared" ca="1" si="19"/>
        <v>0</v>
      </c>
      <c r="AE23" s="63">
        <f t="shared" ca="1" si="20"/>
        <v>0.3</v>
      </c>
      <c r="AF23" s="63">
        <f t="shared" ca="1" si="21"/>
        <v>0</v>
      </c>
      <c r="AG23" s="63">
        <f t="shared" ca="1" si="22"/>
        <v>0</v>
      </c>
      <c r="AH23" s="63">
        <f t="shared" ca="1" si="23"/>
        <v>0</v>
      </c>
      <c r="AI23" s="63">
        <f t="shared" ca="1" si="24"/>
        <v>0</v>
      </c>
      <c r="AJ23" s="47" t="e">
        <f t="shared" ca="1" si="25"/>
        <v>#N/A</v>
      </c>
      <c r="AK23" s="47">
        <f t="shared" ca="1" si="26"/>
        <v>1</v>
      </c>
      <c r="AL23" s="47">
        <f t="shared" ca="1" si="27"/>
        <v>1</v>
      </c>
      <c r="AM23" s="47">
        <f t="shared" ca="1" si="28"/>
        <v>1</v>
      </c>
      <c r="AN23" s="47">
        <f t="shared" ca="1" si="29"/>
        <v>1</v>
      </c>
      <c r="AO23" s="47">
        <f t="shared" ca="1" si="30"/>
        <v>1</v>
      </c>
      <c r="AP23" s="47">
        <f t="shared" ca="1" si="31"/>
        <v>1</v>
      </c>
      <c r="AQ23" s="47">
        <f t="shared" ca="1" si="32"/>
        <v>0</v>
      </c>
      <c r="AR23" s="47">
        <f t="shared" ca="1" si="33"/>
        <v>0</v>
      </c>
      <c r="AS23" s="33">
        <f t="shared" ca="1" si="34"/>
        <v>0.4</v>
      </c>
      <c r="AW23" s="2">
        <v>20</v>
      </c>
      <c r="AX23" s="2" t="s">
        <v>217</v>
      </c>
      <c r="AY23" s="130">
        <v>23.6</v>
      </c>
      <c r="AZ23" s="2">
        <v>20</v>
      </c>
      <c r="BA23" s="2"/>
      <c r="BB23" s="2">
        <v>18</v>
      </c>
      <c r="BC23" s="2"/>
      <c r="BD23" s="2">
        <v>9.1</v>
      </c>
      <c r="BE23" s="2">
        <v>10.4</v>
      </c>
      <c r="BF23" s="2">
        <v>10.7</v>
      </c>
      <c r="BG23" s="2">
        <v>11</v>
      </c>
      <c r="BH23" s="2">
        <f>10+12.3</f>
        <v>22.3</v>
      </c>
      <c r="BI23" s="2"/>
      <c r="BJ23" s="2"/>
      <c r="BK23" s="2"/>
      <c r="BL23" s="2"/>
      <c r="BM23" s="2"/>
      <c r="BN23" s="2">
        <v>58</v>
      </c>
      <c r="BO23" s="2">
        <v>26</v>
      </c>
      <c r="BP23" s="2">
        <v>27</v>
      </c>
      <c r="BQ23" s="2">
        <v>29</v>
      </c>
      <c r="BR23" s="2">
        <v>32</v>
      </c>
      <c r="BS23" s="2">
        <v>36</v>
      </c>
      <c r="BT23" s="2">
        <v>20</v>
      </c>
      <c r="BU23" s="2">
        <v>91</v>
      </c>
      <c r="BV23" s="2">
        <v>120</v>
      </c>
      <c r="BW23" s="2">
        <v>149</v>
      </c>
      <c r="BX23" s="2">
        <v>221</v>
      </c>
      <c r="BY23" s="2">
        <v>18.600000000000001</v>
      </c>
      <c r="BZ23" s="2">
        <v>3.3</v>
      </c>
      <c r="CA23" s="2">
        <v>1</v>
      </c>
      <c r="CB23" s="2">
        <v>1.6302648376073099E-9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20</v>
      </c>
      <c r="AX24" s="2" t="s">
        <v>297</v>
      </c>
      <c r="AY24" s="130">
        <v>31.6</v>
      </c>
      <c r="AZ24" s="2">
        <v>19.100000000000001</v>
      </c>
      <c r="BA24" s="2">
        <v>37</v>
      </c>
      <c r="BB24" s="2">
        <v>75</v>
      </c>
      <c r="BC24" s="2">
        <v>3</v>
      </c>
      <c r="BD24" s="2">
        <v>3.4</v>
      </c>
      <c r="BE24" s="2">
        <v>4.2</v>
      </c>
      <c r="BF24" s="2">
        <v>4.4000000000000004</v>
      </c>
      <c r="BG24" s="2">
        <v>4.5999999999999996</v>
      </c>
      <c r="BH24" s="2">
        <v>6.3</v>
      </c>
      <c r="BI24" s="2">
        <v>58</v>
      </c>
      <c r="BJ24" s="2">
        <v>154</v>
      </c>
      <c r="BK24" s="2">
        <v>198</v>
      </c>
      <c r="BL24" s="2">
        <v>244</v>
      </c>
      <c r="BM24" s="2">
        <v>362</v>
      </c>
      <c r="BN24" s="2"/>
      <c r="BO24" s="2"/>
      <c r="BP24" s="2"/>
      <c r="BQ24" s="2"/>
      <c r="BR24" s="2"/>
      <c r="BS24" s="2"/>
      <c r="BT24" s="2">
        <v>20</v>
      </c>
      <c r="BU24" s="2">
        <v>129</v>
      </c>
      <c r="BV24" s="2">
        <v>218</v>
      </c>
      <c r="BW24" s="2">
        <v>308</v>
      </c>
      <c r="BX24" s="2">
        <v>518</v>
      </c>
      <c r="BY24" s="2">
        <v>21</v>
      </c>
      <c r="BZ24" s="2">
        <v>6.9</v>
      </c>
      <c r="CA24" s="2">
        <v>2.7</v>
      </c>
      <c r="CB24" s="2">
        <v>5.14104730510409E-10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27</v>
      </c>
      <c r="AX25" s="2" t="s">
        <v>297</v>
      </c>
      <c r="AY25" s="130">
        <v>31.6</v>
      </c>
      <c r="AZ25" s="2">
        <v>19.100000000000001</v>
      </c>
      <c r="BA25" s="2">
        <v>37</v>
      </c>
      <c r="BB25" s="2">
        <v>75</v>
      </c>
      <c r="BC25" s="2">
        <v>3</v>
      </c>
      <c r="BD25" s="2">
        <v>6.2</v>
      </c>
      <c r="BE25" s="2">
        <v>7</v>
      </c>
      <c r="BF25" s="2">
        <v>7.2</v>
      </c>
      <c r="BG25" s="2">
        <v>7.4</v>
      </c>
      <c r="BH25" s="2">
        <v>9.1</v>
      </c>
      <c r="BI25" s="2">
        <v>191</v>
      </c>
      <c r="BJ25" s="2">
        <v>287</v>
      </c>
      <c r="BK25" s="2">
        <v>331</v>
      </c>
      <c r="BL25" s="2">
        <v>377</v>
      </c>
      <c r="BM25" s="2">
        <v>495</v>
      </c>
      <c r="BN25" s="2"/>
      <c r="BO25" s="2"/>
      <c r="BP25" s="2"/>
      <c r="BQ25" s="2"/>
      <c r="BR25" s="2"/>
      <c r="BS25" s="2"/>
      <c r="BT25" s="2">
        <v>207</v>
      </c>
      <c r="BU25" s="2">
        <v>316</v>
      </c>
      <c r="BV25" s="2">
        <v>406</v>
      </c>
      <c r="BW25" s="2">
        <v>496</v>
      </c>
      <c r="BX25" s="2">
        <v>706</v>
      </c>
      <c r="BY25" s="2">
        <v>21</v>
      </c>
      <c r="BZ25" s="2">
        <v>6.9</v>
      </c>
      <c r="CA25" s="2">
        <v>2.7</v>
      </c>
      <c r="CB25" s="2">
        <v>5.14104730510409E-10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K26" s="19" t="str">
        <f t="shared" ca="1" si="36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27</v>
      </c>
      <c r="AX26" s="2" t="s">
        <v>273</v>
      </c>
      <c r="AY26" s="130">
        <v>32</v>
      </c>
      <c r="AZ26" s="2">
        <v>18.899999999999999</v>
      </c>
      <c r="BA26" s="2">
        <v>47</v>
      </c>
      <c r="BB26" s="2">
        <v>85</v>
      </c>
      <c r="BC26" s="2">
        <v>3</v>
      </c>
      <c r="BD26" s="2">
        <v>6.3</v>
      </c>
      <c r="BE26" s="2">
        <v>6.7</v>
      </c>
      <c r="BF26" s="2">
        <v>6.9</v>
      </c>
      <c r="BG26" s="2">
        <v>7.2</v>
      </c>
      <c r="BH26" s="2">
        <v>9.5</v>
      </c>
      <c r="BI26" s="2">
        <v>184</v>
      </c>
      <c r="BJ26" s="2">
        <v>272</v>
      </c>
      <c r="BK26" s="2">
        <v>315</v>
      </c>
      <c r="BL26" s="2">
        <v>363</v>
      </c>
      <c r="BM26" s="2">
        <v>498</v>
      </c>
      <c r="BN26" s="2"/>
      <c r="BO26" s="2"/>
      <c r="BP26" s="2"/>
      <c r="BQ26" s="2"/>
      <c r="BR26" s="2"/>
      <c r="BS26" s="2"/>
      <c r="BT26" s="2">
        <v>134</v>
      </c>
      <c r="BU26" s="2">
        <v>292</v>
      </c>
      <c r="BV26" s="2">
        <v>379</v>
      </c>
      <c r="BW26" s="2">
        <v>469</v>
      </c>
      <c r="BX26" s="2">
        <v>701</v>
      </c>
      <c r="BY26" s="2">
        <v>22.1</v>
      </c>
      <c r="BZ26" s="2">
        <v>5.9</v>
      </c>
      <c r="CA26" s="2">
        <v>2.2000000000000002</v>
      </c>
      <c r="CB26" s="2">
        <v>3.4235542635403602E-10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30.6</v>
      </c>
      <c r="AX27" s="2" t="s">
        <v>273</v>
      </c>
      <c r="AY27" s="130">
        <v>32</v>
      </c>
      <c r="AZ27" s="2">
        <v>18.899999999999999</v>
      </c>
      <c r="BA27" s="2">
        <v>47</v>
      </c>
      <c r="BB27" s="2">
        <v>85</v>
      </c>
      <c r="BC27" s="2">
        <v>3</v>
      </c>
      <c r="BD27" s="2">
        <v>4.7</v>
      </c>
      <c r="BE27" s="2">
        <v>5.0999999999999996</v>
      </c>
      <c r="BF27" s="2">
        <v>5.3</v>
      </c>
      <c r="BG27" s="2">
        <v>5.6</v>
      </c>
      <c r="BH27" s="2">
        <v>7.9</v>
      </c>
      <c r="BI27" s="2">
        <v>102</v>
      </c>
      <c r="BJ27" s="2">
        <v>189</v>
      </c>
      <c r="BK27" s="2">
        <v>233</v>
      </c>
      <c r="BL27" s="2">
        <v>280</v>
      </c>
      <c r="BM27" s="2">
        <v>416</v>
      </c>
      <c r="BN27" s="2"/>
      <c r="BO27" s="2"/>
      <c r="BP27" s="2"/>
      <c r="BQ27" s="2"/>
      <c r="BR27" s="2"/>
      <c r="BS27" s="2"/>
      <c r="BT27" s="2">
        <v>30</v>
      </c>
      <c r="BU27" s="2">
        <v>188</v>
      </c>
      <c r="BV27" s="2">
        <v>275</v>
      </c>
      <c r="BW27" s="2">
        <v>365</v>
      </c>
      <c r="BX27" s="2">
        <v>597</v>
      </c>
      <c r="BY27" s="2">
        <v>22.1</v>
      </c>
      <c r="BZ27" s="2">
        <v>5.9</v>
      </c>
      <c r="CA27" s="2">
        <v>2.2000000000000002</v>
      </c>
      <c r="CB27" s="2">
        <v>3.4235542635403602E-10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30.6</v>
      </c>
      <c r="AX28" s="2" t="s">
        <v>273</v>
      </c>
      <c r="AY28" s="130">
        <v>32</v>
      </c>
      <c r="AZ28" s="2">
        <v>18.899999999999999</v>
      </c>
      <c r="BA28" s="2">
        <v>47</v>
      </c>
      <c r="BB28" s="2">
        <v>85</v>
      </c>
      <c r="BC28" s="2">
        <v>3</v>
      </c>
      <c r="BD28" s="2">
        <v>4.7</v>
      </c>
      <c r="BE28" s="2">
        <v>6.6</v>
      </c>
      <c r="BF28" s="2">
        <v>6.8</v>
      </c>
      <c r="BG28" s="2">
        <v>6.9</v>
      </c>
      <c r="BH28" s="2">
        <v>8.5</v>
      </c>
      <c r="BI28" s="2">
        <v>135</v>
      </c>
      <c r="BJ28" s="2">
        <v>261</v>
      </c>
      <c r="BK28" s="2">
        <v>307</v>
      </c>
      <c r="BL28" s="2">
        <v>355</v>
      </c>
      <c r="BM28" s="2">
        <v>472</v>
      </c>
      <c r="BN28" s="2"/>
      <c r="BO28" s="2"/>
      <c r="BP28" s="2"/>
      <c r="BQ28" s="2"/>
      <c r="BR28" s="2"/>
      <c r="BS28" s="2"/>
      <c r="BT28" s="2">
        <v>48</v>
      </c>
      <c r="BU28" s="2">
        <v>277</v>
      </c>
      <c r="BV28" s="2">
        <v>372</v>
      </c>
      <c r="BW28" s="2">
        <v>467</v>
      </c>
      <c r="BX28" s="2">
        <v>684</v>
      </c>
      <c r="BY28" s="2">
        <v>32.700000000000003</v>
      </c>
      <c r="BZ28" s="2">
        <v>6.7</v>
      </c>
      <c r="CA28" s="2">
        <v>2.5</v>
      </c>
      <c r="CB28" s="2">
        <v>7.2720747510150595E-10</v>
      </c>
      <c r="CC28" s="2">
        <v>1.8</v>
      </c>
    </row>
    <row r="29" spans="1:81" x14ac:dyDescent="0.25">
      <c r="A29" s="66"/>
      <c r="B29" s="66"/>
      <c r="C29" s="67"/>
      <c r="D29" s="35"/>
      <c r="AW29" s="2">
        <v>52.2</v>
      </c>
      <c r="AX29" s="2" t="s">
        <v>273</v>
      </c>
      <c r="AY29" s="130">
        <v>32</v>
      </c>
      <c r="AZ29" s="2">
        <v>18.899999999999999</v>
      </c>
      <c r="BA29" s="2">
        <v>47</v>
      </c>
      <c r="BB29" s="2">
        <v>85</v>
      </c>
      <c r="BC29" s="2">
        <v>3</v>
      </c>
      <c r="BD29" s="2">
        <v>10.3</v>
      </c>
      <c r="BE29" s="2">
        <v>12.3</v>
      </c>
      <c r="BF29" s="2">
        <v>12.4</v>
      </c>
      <c r="BG29" s="2">
        <v>12.6</v>
      </c>
      <c r="BH29" s="2">
        <v>14.2</v>
      </c>
      <c r="BI29" s="2">
        <v>399</v>
      </c>
      <c r="BJ29" s="2">
        <v>525</v>
      </c>
      <c r="BK29" s="2">
        <v>572</v>
      </c>
      <c r="BL29" s="2">
        <v>620</v>
      </c>
      <c r="BM29" s="2">
        <v>736</v>
      </c>
      <c r="BN29" s="2"/>
      <c r="BO29" s="2"/>
      <c r="BP29" s="2"/>
      <c r="BQ29" s="2"/>
      <c r="BR29" s="2"/>
      <c r="BS29" s="2"/>
      <c r="BT29" s="2">
        <v>473</v>
      </c>
      <c r="BU29" s="2">
        <v>702</v>
      </c>
      <c r="BV29" s="2">
        <v>797</v>
      </c>
      <c r="BW29" s="2">
        <v>892</v>
      </c>
      <c r="BX29" s="2">
        <v>1109</v>
      </c>
      <c r="BY29" s="2">
        <v>32.700000000000003</v>
      </c>
      <c r="BZ29" s="2">
        <v>6.7</v>
      </c>
      <c r="CA29" s="2">
        <v>2.5</v>
      </c>
      <c r="CB29" s="2">
        <v>7.2720747510150595E-10</v>
      </c>
      <c r="CC29" s="2">
        <v>1.8</v>
      </c>
    </row>
    <row r="30" spans="1:81" x14ac:dyDescent="0.25">
      <c r="A30" s="66"/>
      <c r="B30" s="66"/>
      <c r="C30" s="67"/>
      <c r="D30" s="35"/>
      <c r="AW30" s="2">
        <v>52.2</v>
      </c>
      <c r="AX30" s="2" t="s">
        <v>289</v>
      </c>
      <c r="AY30" s="130">
        <v>28.8</v>
      </c>
      <c r="AZ30" s="2">
        <v>19</v>
      </c>
      <c r="BA30" s="2"/>
      <c r="BB30" s="2">
        <v>10</v>
      </c>
      <c r="BC30" s="2"/>
      <c r="BD30" s="2">
        <v>1.9</v>
      </c>
      <c r="BE30" s="2">
        <v>16.399999999999999</v>
      </c>
      <c r="BF30" s="2">
        <v>20</v>
      </c>
      <c r="BG30" s="2">
        <v>24</v>
      </c>
      <c r="BH30" s="2">
        <v>42.6</v>
      </c>
      <c r="BI30" s="2"/>
      <c r="BJ30" s="2"/>
      <c r="BK30" s="2"/>
      <c r="BL30" s="2"/>
      <c r="BM30" s="2"/>
      <c r="BN30" s="2">
        <v>71</v>
      </c>
      <c r="BO30" s="2">
        <v>26</v>
      </c>
      <c r="BP30" s="2">
        <v>28</v>
      </c>
      <c r="BQ30" s="2">
        <v>31</v>
      </c>
      <c r="BR30" s="2">
        <v>33</v>
      </c>
      <c r="BS30" s="2">
        <v>38</v>
      </c>
      <c r="BT30" s="2">
        <v>52</v>
      </c>
      <c r="BU30" s="2">
        <v>153</v>
      </c>
      <c r="BV30" s="2">
        <v>206</v>
      </c>
      <c r="BW30" s="2">
        <v>260</v>
      </c>
      <c r="BX30" s="2">
        <v>396</v>
      </c>
      <c r="BY30" s="2">
        <v>75</v>
      </c>
      <c r="BZ30" s="2">
        <v>2.4</v>
      </c>
      <c r="CA30" s="2">
        <v>0.9</v>
      </c>
      <c r="CB30" s="2">
        <v>1.14715314216067E-9</v>
      </c>
      <c r="CC30" s="2"/>
    </row>
    <row r="31" spans="1:81" x14ac:dyDescent="0.25">
      <c r="A31" s="66"/>
      <c r="B31" s="66"/>
      <c r="C31" s="67"/>
      <c r="D31" s="35"/>
      <c r="AW31" s="2">
        <v>57</v>
      </c>
      <c r="AX31" s="2" t="s">
        <v>289</v>
      </c>
      <c r="AY31" s="130">
        <v>28.8</v>
      </c>
      <c r="AZ31" s="2">
        <v>19</v>
      </c>
      <c r="BA31" s="2"/>
      <c r="BB31" s="2">
        <v>10</v>
      </c>
      <c r="BC31" s="2"/>
      <c r="BD31" s="2">
        <v>55.1</v>
      </c>
      <c r="BE31" s="2">
        <v>69.5</v>
      </c>
      <c r="BF31" s="2">
        <v>73.2</v>
      </c>
      <c r="BG31" s="2">
        <v>77.099999999999994</v>
      </c>
      <c r="BH31" s="2">
        <v>95.7</v>
      </c>
      <c r="BI31" s="2"/>
      <c r="BJ31" s="2"/>
      <c r="BK31" s="2"/>
      <c r="BL31" s="2"/>
      <c r="BM31" s="2"/>
      <c r="BN31" s="2">
        <v>71</v>
      </c>
      <c r="BO31" s="2">
        <v>26</v>
      </c>
      <c r="BP31" s="2">
        <v>28</v>
      </c>
      <c r="BQ31" s="2">
        <v>31</v>
      </c>
      <c r="BR31" s="2">
        <v>33</v>
      </c>
      <c r="BS31" s="2">
        <v>38</v>
      </c>
      <c r="BT31" s="2">
        <v>129</v>
      </c>
      <c r="BU31" s="2">
        <v>230</v>
      </c>
      <c r="BV31" s="2">
        <v>284</v>
      </c>
      <c r="BW31" s="2">
        <v>337</v>
      </c>
      <c r="BX31" s="2">
        <v>473</v>
      </c>
      <c r="BY31" s="2">
        <v>75</v>
      </c>
      <c r="BZ31" s="2">
        <v>2.4</v>
      </c>
      <c r="CA31" s="2">
        <v>0.9</v>
      </c>
      <c r="CB31" s="2">
        <v>1.14715314216067E-9</v>
      </c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57</v>
      </c>
      <c r="AX32" s="2" t="s">
        <v>289</v>
      </c>
      <c r="AY32" s="130">
        <v>28.8</v>
      </c>
      <c r="AZ32" s="2">
        <v>19</v>
      </c>
      <c r="BA32" s="2"/>
      <c r="BB32" s="2">
        <v>10</v>
      </c>
      <c r="BC32" s="2"/>
      <c r="BD32" s="2">
        <v>47.9</v>
      </c>
      <c r="BE32" s="2">
        <v>56.4</v>
      </c>
      <c r="BF32" s="2">
        <v>57.5</v>
      </c>
      <c r="BG32" s="2">
        <v>59.2</v>
      </c>
      <c r="BH32" s="2">
        <v>72</v>
      </c>
      <c r="BI32" s="2"/>
      <c r="BJ32" s="2"/>
      <c r="BK32" s="2"/>
      <c r="BL32" s="2"/>
      <c r="BM32" s="2"/>
      <c r="BN32" s="2">
        <v>85</v>
      </c>
      <c r="BO32" s="2">
        <v>26</v>
      </c>
      <c r="BP32" s="2">
        <v>29</v>
      </c>
      <c r="BQ32" s="2">
        <v>32</v>
      </c>
      <c r="BR32" s="2">
        <v>34</v>
      </c>
      <c r="BS32" s="2">
        <v>38</v>
      </c>
      <c r="BT32" s="2">
        <v>74</v>
      </c>
      <c r="BU32" s="2">
        <v>209</v>
      </c>
      <c r="BV32" s="2">
        <v>268</v>
      </c>
      <c r="BW32" s="2">
        <v>326</v>
      </c>
      <c r="BX32" s="2">
        <v>471</v>
      </c>
      <c r="BY32" s="2">
        <v>75</v>
      </c>
      <c r="BZ32" s="2">
        <v>3.4</v>
      </c>
      <c r="CA32" s="2">
        <v>1</v>
      </c>
      <c r="CB32" s="2">
        <v>2.8335330959849002E-7</v>
      </c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64</v>
      </c>
      <c r="AX33" s="2" t="s">
        <v>289</v>
      </c>
      <c r="AY33" s="130">
        <v>28.8</v>
      </c>
      <c r="AZ33" s="2">
        <v>19</v>
      </c>
      <c r="BA33" s="2"/>
      <c r="BB33" s="2">
        <v>10</v>
      </c>
      <c r="BC33" s="2"/>
      <c r="BD33" s="2">
        <v>33.700000000000003</v>
      </c>
      <c r="BE33" s="2">
        <v>42.3</v>
      </c>
      <c r="BF33" s="2">
        <v>43.4</v>
      </c>
      <c r="BG33" s="2">
        <v>45</v>
      </c>
      <c r="BH33" s="2">
        <v>57.8</v>
      </c>
      <c r="BI33" s="2"/>
      <c r="BJ33" s="2"/>
      <c r="BK33" s="2"/>
      <c r="BL33" s="2"/>
      <c r="BM33" s="2"/>
      <c r="BN33" s="2">
        <v>85</v>
      </c>
      <c r="BO33" s="2">
        <v>26</v>
      </c>
      <c r="BP33" s="2">
        <v>29</v>
      </c>
      <c r="BQ33" s="2">
        <v>32</v>
      </c>
      <c r="BR33" s="2">
        <v>34</v>
      </c>
      <c r="BS33" s="2">
        <v>38</v>
      </c>
      <c r="BT33" s="2">
        <v>64</v>
      </c>
      <c r="BU33" s="2">
        <v>199</v>
      </c>
      <c r="BV33" s="2">
        <v>257</v>
      </c>
      <c r="BW33" s="2">
        <v>315</v>
      </c>
      <c r="BX33" s="2">
        <v>460</v>
      </c>
      <c r="BY33" s="2">
        <v>75</v>
      </c>
      <c r="BZ33" s="2">
        <v>3.4</v>
      </c>
      <c r="CA33" s="2">
        <v>1</v>
      </c>
      <c r="CB33" s="2">
        <v>2.8335330959849002E-7</v>
      </c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64</v>
      </c>
      <c r="AX34" s="2" t="s">
        <v>218</v>
      </c>
      <c r="AY34" s="130">
        <v>37</v>
      </c>
      <c r="AZ34" s="2">
        <v>18.3</v>
      </c>
      <c r="BA34" s="2">
        <v>59</v>
      </c>
      <c r="BB34" s="2">
        <v>77</v>
      </c>
      <c r="BC34" s="2">
        <v>3</v>
      </c>
      <c r="BD34" s="2">
        <v>12.5</v>
      </c>
      <c r="BE34" s="2">
        <v>18.5</v>
      </c>
      <c r="BF34" s="2">
        <v>19.5</v>
      </c>
      <c r="BG34" s="2">
        <v>21.2</v>
      </c>
      <c r="BH34" s="2">
        <v>30.9</v>
      </c>
      <c r="BI34" s="2">
        <v>564</v>
      </c>
      <c r="BJ34" s="2">
        <v>847</v>
      </c>
      <c r="BK34" s="2">
        <v>913</v>
      </c>
      <c r="BL34" s="2">
        <v>1007</v>
      </c>
      <c r="BM34" s="2">
        <v>1496</v>
      </c>
      <c r="BN34" s="2"/>
      <c r="BO34" s="2"/>
      <c r="BP34" s="2"/>
      <c r="BQ34" s="2"/>
      <c r="BR34" s="2"/>
      <c r="BS34" s="2"/>
      <c r="BT34" s="2">
        <v>876</v>
      </c>
      <c r="BU34" s="2">
        <v>1263</v>
      </c>
      <c r="BV34" s="2">
        <v>1384</v>
      </c>
      <c r="BW34" s="2">
        <v>1550</v>
      </c>
      <c r="BX34" s="2">
        <v>2391</v>
      </c>
      <c r="BY34" s="2">
        <v>54</v>
      </c>
      <c r="BZ34" s="2">
        <v>6.6</v>
      </c>
      <c r="CA34" s="2">
        <v>2.4</v>
      </c>
      <c r="CB34" s="2">
        <v>2.4344261753913098E-10</v>
      </c>
      <c r="CC34" s="2">
        <v>1.8</v>
      </c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68</v>
      </c>
      <c r="AX35" s="2" t="s">
        <v>218</v>
      </c>
      <c r="AY35" s="130">
        <v>37</v>
      </c>
      <c r="AZ35" s="2">
        <v>18.3</v>
      </c>
      <c r="BA35" s="2">
        <v>59</v>
      </c>
      <c r="BB35" s="2">
        <v>77</v>
      </c>
      <c r="BC35" s="2">
        <v>3</v>
      </c>
      <c r="BD35" s="2">
        <v>3.2</v>
      </c>
      <c r="BE35" s="2">
        <v>9.1</v>
      </c>
      <c r="BF35" s="2">
        <v>10.199999999999999</v>
      </c>
      <c r="BG35" s="2">
        <v>11.9</v>
      </c>
      <c r="BH35" s="2">
        <v>21.6</v>
      </c>
      <c r="BI35" s="2">
        <v>95</v>
      </c>
      <c r="BJ35" s="2">
        <v>378</v>
      </c>
      <c r="BK35" s="2">
        <v>444</v>
      </c>
      <c r="BL35" s="2">
        <v>538</v>
      </c>
      <c r="BM35" s="2">
        <v>1027</v>
      </c>
      <c r="BN35" s="2"/>
      <c r="BO35" s="2"/>
      <c r="BP35" s="2"/>
      <c r="BQ35" s="2"/>
      <c r="BR35" s="2"/>
      <c r="BS35" s="2"/>
      <c r="BT35" s="2">
        <v>68</v>
      </c>
      <c r="BU35" s="2">
        <v>455</v>
      </c>
      <c r="BV35" s="2">
        <v>575</v>
      </c>
      <c r="BW35" s="2">
        <v>742</v>
      </c>
      <c r="BX35" s="2">
        <v>1583</v>
      </c>
      <c r="BY35" s="2">
        <v>54</v>
      </c>
      <c r="BZ35" s="2">
        <v>6.6</v>
      </c>
      <c r="CA35" s="2">
        <v>2.4</v>
      </c>
      <c r="CB35" s="2">
        <v>2.4344261753913098E-10</v>
      </c>
      <c r="CC35" s="2">
        <v>1.8</v>
      </c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>
        <v>68</v>
      </c>
      <c r="AX36" s="2" t="s">
        <v>218</v>
      </c>
      <c r="AY36" s="130">
        <v>37</v>
      </c>
      <c r="AZ36" s="2">
        <v>18.3</v>
      </c>
      <c r="BA36" s="2">
        <v>59</v>
      </c>
      <c r="BB36" s="2">
        <v>77</v>
      </c>
      <c r="BC36" s="2">
        <v>3</v>
      </c>
      <c r="BD36" s="2">
        <v>9.4</v>
      </c>
      <c r="BE36" s="2">
        <v>10.6</v>
      </c>
      <c r="BF36" s="2">
        <v>10.9</v>
      </c>
      <c r="BG36" s="2">
        <v>11.3</v>
      </c>
      <c r="BH36" s="2">
        <v>13.5</v>
      </c>
      <c r="BI36" s="2">
        <v>327</v>
      </c>
      <c r="BJ36" s="2">
        <v>432</v>
      </c>
      <c r="BK36" s="2">
        <v>477</v>
      </c>
      <c r="BL36" s="2">
        <v>526</v>
      </c>
      <c r="BM36" s="2">
        <v>663</v>
      </c>
      <c r="BN36" s="2"/>
      <c r="BO36" s="2"/>
      <c r="BP36" s="2"/>
      <c r="BQ36" s="2"/>
      <c r="BR36" s="2"/>
      <c r="BS36" s="2"/>
      <c r="BT36" s="2">
        <v>368</v>
      </c>
      <c r="BU36" s="2">
        <v>567</v>
      </c>
      <c r="BV36" s="2">
        <v>658</v>
      </c>
      <c r="BW36" s="2">
        <v>752</v>
      </c>
      <c r="BX36" s="2">
        <v>990</v>
      </c>
      <c r="BY36" s="2">
        <v>39.9</v>
      </c>
      <c r="BZ36" s="2">
        <v>4.7</v>
      </c>
      <c r="CA36" s="2">
        <v>1.7</v>
      </c>
      <c r="CB36" s="2">
        <v>2.20631639557523E-10</v>
      </c>
      <c r="CC36" s="2">
        <v>1.8</v>
      </c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>
        <v>71</v>
      </c>
      <c r="AX37" s="2" t="s">
        <v>218</v>
      </c>
      <c r="AY37" s="130">
        <v>37</v>
      </c>
      <c r="AZ37" s="2">
        <v>18.3</v>
      </c>
      <c r="BA37" s="2">
        <v>59</v>
      </c>
      <c r="BB37" s="2">
        <v>77</v>
      </c>
      <c r="BC37" s="2">
        <v>3</v>
      </c>
      <c r="BD37" s="2">
        <v>10.6</v>
      </c>
      <c r="BE37" s="2">
        <v>11.8</v>
      </c>
      <c r="BF37" s="2">
        <v>12.1</v>
      </c>
      <c r="BG37" s="2">
        <v>12.5</v>
      </c>
      <c r="BH37" s="2">
        <v>14.7</v>
      </c>
      <c r="BI37" s="2">
        <v>387</v>
      </c>
      <c r="BJ37" s="2">
        <v>492</v>
      </c>
      <c r="BK37" s="2">
        <v>537</v>
      </c>
      <c r="BL37" s="2">
        <v>586</v>
      </c>
      <c r="BM37" s="2">
        <v>723</v>
      </c>
      <c r="BN37" s="2"/>
      <c r="BO37" s="2"/>
      <c r="BP37" s="2"/>
      <c r="BQ37" s="2"/>
      <c r="BR37" s="2"/>
      <c r="BS37" s="2"/>
      <c r="BT37" s="2">
        <v>469</v>
      </c>
      <c r="BU37" s="2">
        <v>668</v>
      </c>
      <c r="BV37" s="2">
        <v>759</v>
      </c>
      <c r="BW37" s="2">
        <v>853</v>
      </c>
      <c r="BX37" s="2">
        <v>1091</v>
      </c>
      <c r="BY37" s="2">
        <v>39.9</v>
      </c>
      <c r="BZ37" s="2">
        <v>4.7</v>
      </c>
      <c r="CA37" s="2">
        <v>1.7</v>
      </c>
      <c r="CB37" s="2">
        <v>2.20631639557523E-10</v>
      </c>
      <c r="CC37" s="2">
        <v>1.8</v>
      </c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>
        <v>71</v>
      </c>
      <c r="AX38" s="2" t="s">
        <v>220</v>
      </c>
      <c r="AY38" s="130">
        <v>29.5</v>
      </c>
      <c r="AZ38" s="2">
        <v>18.8</v>
      </c>
      <c r="BA38" s="2">
        <v>48</v>
      </c>
      <c r="BB38" s="2">
        <v>77</v>
      </c>
      <c r="BC38" s="2">
        <v>3</v>
      </c>
      <c r="BD38" s="2">
        <v>14.2</v>
      </c>
      <c r="BE38" s="2">
        <v>17.899999999999999</v>
      </c>
      <c r="BF38" s="2">
        <v>18.600000000000001</v>
      </c>
      <c r="BG38" s="2">
        <v>20.100000000000001</v>
      </c>
      <c r="BH38" s="2">
        <v>27.5</v>
      </c>
      <c r="BI38" s="2">
        <v>604</v>
      </c>
      <c r="BJ38" s="2">
        <v>805</v>
      </c>
      <c r="BK38" s="2">
        <v>861</v>
      </c>
      <c r="BL38" s="2">
        <v>946</v>
      </c>
      <c r="BM38" s="2">
        <v>1324</v>
      </c>
      <c r="BN38" s="2"/>
      <c r="BO38" s="2"/>
      <c r="BP38" s="2"/>
      <c r="BQ38" s="2"/>
      <c r="BR38" s="2"/>
      <c r="BS38" s="2"/>
      <c r="BT38" s="2">
        <v>857</v>
      </c>
      <c r="BU38" s="2">
        <v>1230</v>
      </c>
      <c r="BV38" s="2">
        <v>1341</v>
      </c>
      <c r="BW38" s="2">
        <v>1499</v>
      </c>
      <c r="BX38" s="2">
        <v>2195</v>
      </c>
      <c r="BY38" s="2">
        <v>67.400000000000006</v>
      </c>
      <c r="BZ38" s="2">
        <v>7.6</v>
      </c>
      <c r="CA38" s="2">
        <v>2.7</v>
      </c>
      <c r="CB38" s="2">
        <v>1.2025942202811E-9</v>
      </c>
      <c r="CC38" s="2">
        <v>1.8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>
        <v>76</v>
      </c>
      <c r="AX39" s="2" t="s">
        <v>220</v>
      </c>
      <c r="AY39" s="130">
        <v>29.5</v>
      </c>
      <c r="AZ39" s="2">
        <v>18.8</v>
      </c>
      <c r="BA39" s="2">
        <v>48</v>
      </c>
      <c r="BB39" s="2">
        <v>77</v>
      </c>
      <c r="BC39" s="2">
        <v>3</v>
      </c>
      <c r="BD39" s="2">
        <v>14.8</v>
      </c>
      <c r="BE39" s="2">
        <v>18.5</v>
      </c>
      <c r="BF39" s="2">
        <v>19.3</v>
      </c>
      <c r="BG39" s="2">
        <v>20.7</v>
      </c>
      <c r="BH39" s="2">
        <v>28.2</v>
      </c>
      <c r="BI39" s="2">
        <v>633</v>
      </c>
      <c r="BJ39" s="2">
        <v>834</v>
      </c>
      <c r="BK39" s="2">
        <v>891</v>
      </c>
      <c r="BL39" s="2">
        <v>975</v>
      </c>
      <c r="BM39" s="2">
        <v>1354</v>
      </c>
      <c r="BN39" s="2"/>
      <c r="BO39" s="2"/>
      <c r="BP39" s="2"/>
      <c r="BQ39" s="2"/>
      <c r="BR39" s="2"/>
      <c r="BS39" s="2"/>
      <c r="BT39" s="2">
        <v>879</v>
      </c>
      <c r="BU39" s="2">
        <v>1252</v>
      </c>
      <c r="BV39" s="2">
        <v>1363</v>
      </c>
      <c r="BW39" s="2">
        <v>1521</v>
      </c>
      <c r="BX39" s="2">
        <v>2218</v>
      </c>
      <c r="BY39" s="2">
        <v>67.400000000000006</v>
      </c>
      <c r="BZ39" s="2">
        <v>7.6</v>
      </c>
      <c r="CA39" s="2">
        <v>2.7</v>
      </c>
      <c r="CB39" s="2">
        <v>1.2025942202811E-9</v>
      </c>
      <c r="CC39" s="2">
        <v>1.8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  <c r="AW40" s="2">
        <v>76</v>
      </c>
      <c r="AX40" s="2" t="s">
        <v>220</v>
      </c>
      <c r="AY40" s="2">
        <v>29.5</v>
      </c>
      <c r="AZ40" s="2">
        <v>18.8</v>
      </c>
      <c r="BA40" s="2">
        <v>48</v>
      </c>
      <c r="BB40" s="2">
        <v>77</v>
      </c>
      <c r="BC40" s="2">
        <v>3</v>
      </c>
      <c r="BD40" s="2">
        <v>18.8</v>
      </c>
      <c r="BE40" s="2">
        <v>24.6</v>
      </c>
      <c r="BF40" s="2">
        <v>25.7</v>
      </c>
      <c r="BG40" s="2">
        <v>27.5</v>
      </c>
      <c r="BH40" s="2">
        <v>36.9</v>
      </c>
      <c r="BI40" s="2">
        <v>847</v>
      </c>
      <c r="BJ40" s="2">
        <v>1143</v>
      </c>
      <c r="BK40" s="2">
        <v>1211</v>
      </c>
      <c r="BL40" s="2">
        <v>1308</v>
      </c>
      <c r="BM40" s="2">
        <v>1785</v>
      </c>
      <c r="BN40" s="2"/>
      <c r="BO40" s="2"/>
      <c r="BP40" s="2"/>
      <c r="BQ40" s="2"/>
      <c r="BR40" s="2"/>
      <c r="BS40" s="2"/>
      <c r="BT40" s="2">
        <v>755</v>
      </c>
      <c r="BU40" s="2">
        <v>1512</v>
      </c>
      <c r="BV40" s="2">
        <v>1617</v>
      </c>
      <c r="BW40" s="2">
        <v>1744</v>
      </c>
      <c r="BX40" s="2">
        <v>2925</v>
      </c>
      <c r="BY40" s="2">
        <v>81.5</v>
      </c>
      <c r="BZ40" s="2">
        <v>8.6</v>
      </c>
      <c r="CA40" s="2">
        <v>3</v>
      </c>
      <c r="CB40" s="2">
        <v>1.05753377256657E-9</v>
      </c>
      <c r="CC40" s="2">
        <v>1.8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  <c r="AW41" s="2">
        <v>80</v>
      </c>
      <c r="AX41" s="2" t="s">
        <v>220</v>
      </c>
      <c r="AY41" s="2">
        <v>29.5</v>
      </c>
      <c r="AZ41" s="2">
        <v>18.8</v>
      </c>
      <c r="BA41" s="2">
        <v>48</v>
      </c>
      <c r="BB41" s="2">
        <v>77</v>
      </c>
      <c r="BC41" s="2">
        <v>3</v>
      </c>
      <c r="BD41" s="2">
        <v>10.199999999999999</v>
      </c>
      <c r="BE41" s="2">
        <v>16</v>
      </c>
      <c r="BF41" s="2">
        <v>17.100000000000001</v>
      </c>
      <c r="BG41" s="2">
        <v>18.8</v>
      </c>
      <c r="BH41" s="2">
        <v>28.3</v>
      </c>
      <c r="BI41" s="2">
        <v>412</v>
      </c>
      <c r="BJ41" s="2">
        <v>708</v>
      </c>
      <c r="BK41" s="2">
        <v>776</v>
      </c>
      <c r="BL41" s="2">
        <v>874</v>
      </c>
      <c r="BM41" s="2">
        <v>1350</v>
      </c>
      <c r="BN41" s="2"/>
      <c r="BO41" s="2"/>
      <c r="BP41" s="2"/>
      <c r="BQ41" s="2"/>
      <c r="BR41" s="2"/>
      <c r="BS41" s="2"/>
      <c r="BT41" s="2">
        <v>755</v>
      </c>
      <c r="BU41" s="2">
        <v>1512</v>
      </c>
      <c r="BV41" s="2">
        <v>1617</v>
      </c>
      <c r="BW41" s="2">
        <v>1744</v>
      </c>
      <c r="BX41" s="2">
        <v>2925</v>
      </c>
      <c r="BY41" s="2">
        <v>81.5</v>
      </c>
      <c r="BZ41" s="2">
        <v>8.6</v>
      </c>
      <c r="CA41" s="2">
        <v>3</v>
      </c>
      <c r="CB41" s="2">
        <v>1.05753377256657E-9</v>
      </c>
      <c r="CC41" s="2">
        <v>1.8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648" priority="12">
      <formula>$L32="API sand"</formula>
    </cfRule>
  </conditionalFormatting>
  <conditionalFormatting sqref="R32:S36 AB32:AB35 AJ32:AL36 Z32:Z36 N32:N36">
    <cfRule type="expression" dxfId="2647" priority="11">
      <formula>$M32="API sand"</formula>
    </cfRule>
  </conditionalFormatting>
  <conditionalFormatting sqref="R32:T36 Z32:AB35 AK32:AL36 N32:N36">
    <cfRule type="expression" dxfId="2646" priority="10">
      <formula>$M32="API clay"</formula>
    </cfRule>
  </conditionalFormatting>
  <conditionalFormatting sqref="U32:W36 AM32:AP36 N32:P36">
    <cfRule type="expression" dxfId="2645" priority="7">
      <formula>$L32="Stiff clay w/o free water"</formula>
    </cfRule>
    <cfRule type="expression" dxfId="2644" priority="9">
      <formula>$L32="API clay"</formula>
    </cfRule>
  </conditionalFormatting>
  <conditionalFormatting sqref="U32:Y36 AM32:AP36 N32:P36">
    <cfRule type="expression" dxfId="2643" priority="8">
      <formula>$L32="Kirsch soft clay"</formula>
    </cfRule>
  </conditionalFormatting>
  <conditionalFormatting sqref="U32:Y36 AM32:AP36 N32:P36">
    <cfRule type="expression" dxfId="2642" priority="6">
      <formula>$L32="Kirsch stiff clay"</formula>
    </cfRule>
  </conditionalFormatting>
  <conditionalFormatting sqref="AM32:AP36 Q32:Q36 X32:Y36 N32:N36">
    <cfRule type="expression" dxfId="2641" priority="5">
      <formula>$L32="Kirsch sand"</formula>
    </cfRule>
  </conditionalFormatting>
  <conditionalFormatting sqref="AC32:AD36 AI32:AI36 AM32:AP36 N32:N36">
    <cfRule type="expression" dxfId="2640" priority="4">
      <formula>$L32="Modified Weak rock"</formula>
    </cfRule>
  </conditionalFormatting>
  <conditionalFormatting sqref="AM32:AP36 N32:P36 U32:V36">
    <cfRule type="expression" dxfId="2639" priority="3">
      <formula>$L32="Reese stiff clay"</formula>
    </cfRule>
  </conditionalFormatting>
  <conditionalFormatting sqref="AB36">
    <cfRule type="expression" dxfId="2638" priority="2">
      <formula>$M36="API sand"</formula>
    </cfRule>
  </conditionalFormatting>
  <conditionalFormatting sqref="Z36:AB36">
    <cfRule type="expression" dxfId="2637" priority="1">
      <formula>$M36="API clay"</formula>
    </cfRule>
  </conditionalFormatting>
  <conditionalFormatting sqref="AE37:AH37">
    <cfRule type="expression" dxfId="2636" priority="13">
      <formula>#REF!="Modified Weak rock"</formula>
    </cfRule>
  </conditionalFormatting>
  <dataValidations count="4">
    <dataValidation type="textLength" showInputMessage="1" showErrorMessage="1" sqref="M27:M31" xr:uid="{347DC1D2-6FBF-4A68-A891-B4384F9A2EBC}">
      <formula1>0</formula1>
      <formula2>100</formula2>
    </dataValidation>
    <dataValidation showInputMessage="1" showErrorMessage="1" sqref="L6:M26" xr:uid="{85980277-53E5-4F64-A1CF-3F0834E3CA13}"/>
    <dataValidation type="list" showInputMessage="1" showErrorMessage="1" sqref="L32:L255" xr:uid="{A22F1722-9A43-4FF2-8869-8129BC9490CA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8F4B76C7-2336-47E0-BD56-014AD27F58F3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318C4-E159-4694-BD4D-35C192DC9AF8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Ak_Pisa_WTG17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15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EW_sand_Ruled_39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32</v>
      </c>
      <c r="R6" s="47">
        <f t="shared" ref="R6:R26" ca="1" si="7">IF(I6="","",IF(Q6&lt;&gt;0,Q6-5,NA()))</f>
        <v>27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2800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86.999999999999972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6720</v>
      </c>
      <c r="AC6" s="63">
        <f t="shared" ref="AC6:AC26" ca="1" si="18">IF(I6="","",IF(OFFSET($BV$6,(ROW()-6)*2,0)=0,0,OFFSET($BV$6,(ROW()-6)*2,0)*1000))</f>
        <v>7000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13000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28.000000000000007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39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0.1</v>
      </c>
      <c r="BE6" s="2">
        <v>0.3</v>
      </c>
      <c r="BF6" s="2">
        <v>0.4</v>
      </c>
      <c r="BG6" s="2">
        <v>0.5</v>
      </c>
      <c r="BH6" s="2">
        <v>0.7</v>
      </c>
      <c r="BI6" s="2"/>
      <c r="BJ6" s="2"/>
      <c r="BK6" s="2"/>
      <c r="BL6" s="2"/>
      <c r="BM6" s="2"/>
      <c r="BN6" s="2">
        <v>39</v>
      </c>
      <c r="BO6" s="2">
        <v>26</v>
      </c>
      <c r="BP6" s="2">
        <v>32</v>
      </c>
      <c r="BQ6" s="2">
        <v>34</v>
      </c>
      <c r="BR6" s="2">
        <v>37</v>
      </c>
      <c r="BS6" s="2">
        <v>42</v>
      </c>
      <c r="BT6" s="2">
        <v>0</v>
      </c>
      <c r="BU6" s="2">
        <v>3</v>
      </c>
      <c r="BV6" s="2">
        <v>7</v>
      </c>
      <c r="BW6" s="2">
        <v>11</v>
      </c>
      <c r="BX6" s="2">
        <v>20</v>
      </c>
      <c r="BY6" s="2">
        <v>2.8</v>
      </c>
      <c r="BZ6" s="2">
        <v>1</v>
      </c>
      <c r="CA6" s="2">
        <v>0.5</v>
      </c>
      <c r="CB6" s="2">
        <v>9.7916913188842006E-7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6" ca="1" si="36">IF(OFFSET($AW$6,(ROW()-6)*2,0)=0,"",-OFFSET($AW$6,(ROW()-6)*2,0))</f>
        <v>-1</v>
      </c>
      <c r="L7" s="116" t="str">
        <f t="shared" ca="1" si="1"/>
        <v>EW_sand_Ruled_76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39</v>
      </c>
      <c r="R7" s="47">
        <f t="shared" ca="1" si="7"/>
        <v>34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26100</v>
      </c>
      <c r="Y7" s="47">
        <f t="shared" ca="1" si="14"/>
        <v>0</v>
      </c>
      <c r="Z7" s="47">
        <f t="shared" ca="1" si="15"/>
        <v>111.19999999999996</v>
      </c>
      <c r="AA7" s="47">
        <f t="shared" ca="1" si="16"/>
        <v>1</v>
      </c>
      <c r="AB7" s="47">
        <f t="shared" ca="1" si="17"/>
        <v>11520</v>
      </c>
      <c r="AC7" s="63">
        <f t="shared" ca="1" si="18"/>
        <v>36000</v>
      </c>
      <c r="AD7" s="63">
        <f t="shared" ca="1" si="19"/>
        <v>9000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48.000000000000007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76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0.7</v>
      </c>
      <c r="BE7" s="2">
        <v>0.9</v>
      </c>
      <c r="BF7" s="2">
        <v>1</v>
      </c>
      <c r="BG7" s="2">
        <v>1.2</v>
      </c>
      <c r="BH7" s="2">
        <v>1.3</v>
      </c>
      <c r="BI7" s="2"/>
      <c r="BJ7" s="2"/>
      <c r="BK7" s="2"/>
      <c r="BL7" s="2"/>
      <c r="BM7" s="2"/>
      <c r="BN7" s="2">
        <v>39</v>
      </c>
      <c r="BO7" s="2">
        <v>26</v>
      </c>
      <c r="BP7" s="2">
        <v>32</v>
      </c>
      <c r="BQ7" s="2">
        <v>34</v>
      </c>
      <c r="BR7" s="2">
        <v>37</v>
      </c>
      <c r="BS7" s="2">
        <v>42</v>
      </c>
      <c r="BT7" s="2">
        <v>9</v>
      </c>
      <c r="BU7" s="2">
        <v>17</v>
      </c>
      <c r="BV7" s="2">
        <v>20</v>
      </c>
      <c r="BW7" s="2">
        <v>24</v>
      </c>
      <c r="BX7" s="2">
        <v>33</v>
      </c>
      <c r="BY7" s="2">
        <v>2.8</v>
      </c>
      <c r="BZ7" s="2">
        <v>1</v>
      </c>
      <c r="CA7" s="2">
        <v>0.5</v>
      </c>
      <c r="CB7" s="2">
        <v>9.7916913188842006E-7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02b</v>
      </c>
      <c r="J8" s="47">
        <f t="shared" ca="1" si="35"/>
        <v>3</v>
      </c>
      <c r="K8" s="19">
        <f t="shared" ca="1" si="36"/>
        <v>-2</v>
      </c>
      <c r="L8" s="116" t="str">
        <f t="shared" ca="1" si="1"/>
        <v>EW_sand_Ruled_57</v>
      </c>
      <c r="M8" s="105" t="str">
        <f t="shared" ca="1" si="2"/>
        <v>API sand</v>
      </c>
      <c r="N8" s="47">
        <f t="shared" ca="1" si="3"/>
        <v>9.3999999999999986</v>
      </c>
      <c r="O8" s="63">
        <f t="shared" ca="1" si="4"/>
        <v>0</v>
      </c>
      <c r="P8" s="63">
        <f t="shared" ca="1" si="5"/>
        <v>0</v>
      </c>
      <c r="Q8" s="47">
        <f t="shared" ca="1" si="6"/>
        <v>36</v>
      </c>
      <c r="R8" s="47">
        <f t="shared" ca="1" si="7"/>
        <v>31</v>
      </c>
      <c r="S8" s="47">
        <f t="shared" ca="1" si="8"/>
        <v>1.3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19100</v>
      </c>
      <c r="Y8" s="47">
        <f t="shared" ca="1" si="14"/>
        <v>0</v>
      </c>
      <c r="Z8" s="47">
        <f t="shared" ca="1" si="15"/>
        <v>99.799999999999969</v>
      </c>
      <c r="AA8" s="47">
        <f t="shared" ca="1" si="16"/>
        <v>1</v>
      </c>
      <c r="AB8" s="47">
        <f t="shared" ca="1" si="17"/>
        <v>10080</v>
      </c>
      <c r="AC8" s="63">
        <f t="shared" ca="1" si="18"/>
        <v>53000</v>
      </c>
      <c r="AD8" s="63">
        <f t="shared" ca="1" si="19"/>
        <v>-1600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42.000000000000007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57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4.5999999999999996</v>
      </c>
      <c r="BE8" s="2">
        <v>5.3</v>
      </c>
      <c r="BF8" s="2">
        <v>5.6</v>
      </c>
      <c r="BG8" s="2">
        <v>5.9</v>
      </c>
      <c r="BH8" s="2">
        <v>6.4</v>
      </c>
      <c r="BI8" s="2"/>
      <c r="BJ8" s="2"/>
      <c r="BK8" s="2"/>
      <c r="BL8" s="2"/>
      <c r="BM8" s="2"/>
      <c r="BN8" s="2">
        <v>76</v>
      </c>
      <c r="BO8" s="2">
        <v>33</v>
      </c>
      <c r="BP8" s="2">
        <v>39</v>
      </c>
      <c r="BQ8" s="2">
        <v>42</v>
      </c>
      <c r="BR8" s="2">
        <v>45</v>
      </c>
      <c r="BS8" s="2">
        <v>51</v>
      </c>
      <c r="BT8" s="2">
        <v>3</v>
      </c>
      <c r="BU8" s="2">
        <v>26</v>
      </c>
      <c r="BV8" s="2">
        <v>36</v>
      </c>
      <c r="BW8" s="2">
        <v>46</v>
      </c>
      <c r="BX8" s="2">
        <v>69</v>
      </c>
      <c r="BY8" s="2">
        <v>26.1</v>
      </c>
      <c r="BZ8" s="2">
        <v>1</v>
      </c>
      <c r="CA8" s="2">
        <v>0.5</v>
      </c>
      <c r="CB8" s="2">
        <v>7.7058858243572503E-5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02c</v>
      </c>
      <c r="J9" s="47">
        <f t="shared" ca="1" si="35"/>
        <v>4</v>
      </c>
      <c r="K9" s="19">
        <f t="shared" ca="1" si="36"/>
        <v>-4.5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8.5</v>
      </c>
      <c r="O9" s="63">
        <f t="shared" ca="1" si="4"/>
        <v>63</v>
      </c>
      <c r="P9" s="63">
        <f t="shared" ca="1" si="5"/>
        <v>27.142857142857135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14200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58000</v>
      </c>
      <c r="AD9" s="63">
        <f t="shared" ca="1" si="19"/>
        <v>27142.857142857134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2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7.3</v>
      </c>
      <c r="BE9" s="2">
        <v>8</v>
      </c>
      <c r="BF9" s="2">
        <v>8.3000000000000007</v>
      </c>
      <c r="BG9" s="2">
        <v>8.6</v>
      </c>
      <c r="BH9" s="2">
        <v>9.1</v>
      </c>
      <c r="BI9" s="2"/>
      <c r="BJ9" s="2"/>
      <c r="BK9" s="2"/>
      <c r="BL9" s="2"/>
      <c r="BM9" s="2"/>
      <c r="BN9" s="2">
        <v>76</v>
      </c>
      <c r="BO9" s="2">
        <v>33</v>
      </c>
      <c r="BP9" s="2">
        <v>39</v>
      </c>
      <c r="BQ9" s="2">
        <v>42</v>
      </c>
      <c r="BR9" s="2">
        <v>45</v>
      </c>
      <c r="BS9" s="2">
        <v>51</v>
      </c>
      <c r="BT9" s="2">
        <v>12</v>
      </c>
      <c r="BU9" s="2">
        <v>35</v>
      </c>
      <c r="BV9" s="2">
        <v>45</v>
      </c>
      <c r="BW9" s="2">
        <v>55</v>
      </c>
      <c r="BX9" s="2">
        <v>78</v>
      </c>
      <c r="BY9" s="2">
        <v>26.1</v>
      </c>
      <c r="BZ9" s="2">
        <v>1</v>
      </c>
      <c r="CA9" s="2">
        <v>0.5</v>
      </c>
      <c r="CB9" s="2">
        <v>7.7058858243572503E-5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11a</v>
      </c>
      <c r="J10" s="47">
        <f t="shared" ca="1" si="35"/>
        <v>5</v>
      </c>
      <c r="K10" s="19">
        <f t="shared" ca="1" si="36"/>
        <v>-5.2</v>
      </c>
      <c r="L10" s="116" t="str">
        <f t="shared" ca="1" si="1"/>
        <v>EW_sand_Ruled_54</v>
      </c>
      <c r="M10" s="105" t="str">
        <f t="shared" ca="1" si="2"/>
        <v>API sand</v>
      </c>
      <c r="N10" s="47">
        <f t="shared" ca="1" si="3"/>
        <v>9.6000000000000014</v>
      </c>
      <c r="O10" s="63">
        <f t="shared" ca="1" si="4"/>
        <v>0</v>
      </c>
      <c r="P10" s="63">
        <f t="shared" ca="1" si="5"/>
        <v>0</v>
      </c>
      <c r="Q10" s="47">
        <f t="shared" ca="1" si="6"/>
        <v>35</v>
      </c>
      <c r="R10" s="47">
        <f t="shared" ca="1" si="7"/>
        <v>30</v>
      </c>
      <c r="S10" s="47">
        <f t="shared" ca="1" si="8"/>
        <v>1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21800</v>
      </c>
      <c r="Y10" s="47">
        <f t="shared" ca="1" si="14"/>
        <v>0</v>
      </c>
      <c r="Z10" s="47">
        <f t="shared" ca="1" si="15"/>
        <v>95.999999999999972</v>
      </c>
      <c r="AA10" s="47">
        <f t="shared" ca="1" si="16"/>
        <v>1</v>
      </c>
      <c r="AB10" s="47">
        <f t="shared" ca="1" si="17"/>
        <v>9600</v>
      </c>
      <c r="AC10" s="63">
        <f t="shared" ca="1" si="18"/>
        <v>59000</v>
      </c>
      <c r="AD10" s="63">
        <f t="shared" ca="1" si="19"/>
        <v>10000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40.000000000000007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54</v>
      </c>
      <c r="AS10" s="33">
        <f t="shared" ca="1" si="34"/>
        <v>0.4</v>
      </c>
      <c r="AW10" s="2">
        <v>2</v>
      </c>
      <c r="AX10" s="2" t="s">
        <v>257</v>
      </c>
      <c r="AY10" s="130">
        <v>29.7</v>
      </c>
      <c r="AZ10" s="2">
        <v>19.399999999999999</v>
      </c>
      <c r="BA10" s="2"/>
      <c r="BB10" s="2">
        <v>24</v>
      </c>
      <c r="BC10" s="2"/>
      <c r="BD10" s="2">
        <v>7.7</v>
      </c>
      <c r="BE10" s="2">
        <v>8.5</v>
      </c>
      <c r="BF10" s="2">
        <v>8.6999999999999993</v>
      </c>
      <c r="BG10" s="2">
        <v>9.1</v>
      </c>
      <c r="BH10" s="2">
        <v>10.6</v>
      </c>
      <c r="BI10" s="2"/>
      <c r="BJ10" s="2"/>
      <c r="BK10" s="2"/>
      <c r="BL10" s="2"/>
      <c r="BM10" s="2"/>
      <c r="BN10" s="2">
        <v>57</v>
      </c>
      <c r="BO10" s="2">
        <v>30</v>
      </c>
      <c r="BP10" s="2">
        <v>36</v>
      </c>
      <c r="BQ10" s="2">
        <v>39</v>
      </c>
      <c r="BR10" s="2">
        <v>42</v>
      </c>
      <c r="BS10" s="2">
        <v>49</v>
      </c>
      <c r="BT10" s="2">
        <v>11</v>
      </c>
      <c r="BU10" s="2">
        <v>40</v>
      </c>
      <c r="BV10" s="2">
        <v>53</v>
      </c>
      <c r="BW10" s="2">
        <v>65</v>
      </c>
      <c r="BX10" s="2">
        <v>94</v>
      </c>
      <c r="BY10" s="2">
        <v>19.100000000000001</v>
      </c>
      <c r="BZ10" s="2">
        <v>4.7</v>
      </c>
      <c r="CA10" s="2">
        <v>1.3</v>
      </c>
      <c r="CB10" s="2">
        <v>6.1622044084329198E-7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11b</v>
      </c>
      <c r="J11" s="47">
        <f t="shared" ca="1" si="35"/>
        <v>6</v>
      </c>
      <c r="K11" s="19">
        <f t="shared" ca="1" si="36"/>
        <v>-5.7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9.5</v>
      </c>
      <c r="O11" s="63">
        <f t="shared" ca="1" si="4"/>
        <v>237</v>
      </c>
      <c r="P11" s="63">
        <f t="shared" ca="1" si="5"/>
        <v>-304.28571428571422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0.5</v>
      </c>
      <c r="X11" s="47">
        <f t="shared" ca="1" si="13"/>
        <v>20900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282000</v>
      </c>
      <c r="AD11" s="63">
        <f t="shared" ca="1" si="19"/>
        <v>-338571.42857142852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4.5</v>
      </c>
      <c r="AX11" s="2" t="s">
        <v>257</v>
      </c>
      <c r="AY11" s="130">
        <v>29.7</v>
      </c>
      <c r="AZ11" s="2">
        <v>19.399999999999999</v>
      </c>
      <c r="BA11" s="2"/>
      <c r="BB11" s="2">
        <v>24</v>
      </c>
      <c r="BC11" s="2"/>
      <c r="BD11" s="2">
        <v>1.3</v>
      </c>
      <c r="BE11" s="2">
        <v>2.1</v>
      </c>
      <c r="BF11" s="2">
        <v>2.2999999999999998</v>
      </c>
      <c r="BG11" s="2">
        <v>2.7</v>
      </c>
      <c r="BH11" s="2">
        <v>4.2</v>
      </c>
      <c r="BI11" s="2"/>
      <c r="BJ11" s="2"/>
      <c r="BK11" s="2"/>
      <c r="BL11" s="2"/>
      <c r="BM11" s="2"/>
      <c r="BN11" s="2">
        <v>57</v>
      </c>
      <c r="BO11" s="2">
        <v>30</v>
      </c>
      <c r="BP11" s="2">
        <v>36</v>
      </c>
      <c r="BQ11" s="2">
        <v>39</v>
      </c>
      <c r="BR11" s="2">
        <v>42</v>
      </c>
      <c r="BS11" s="2">
        <v>49</v>
      </c>
      <c r="BT11" s="2">
        <v>7</v>
      </c>
      <c r="BU11" s="2">
        <v>36</v>
      </c>
      <c r="BV11" s="2">
        <v>49</v>
      </c>
      <c r="BW11" s="2">
        <v>61</v>
      </c>
      <c r="BX11" s="2">
        <v>90</v>
      </c>
      <c r="BY11" s="2">
        <v>19.100000000000001</v>
      </c>
      <c r="BZ11" s="2">
        <v>4.7</v>
      </c>
      <c r="CA11" s="2">
        <v>1.3</v>
      </c>
      <c r="CB11" s="2">
        <v>6.1622044084329198E-7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12b</v>
      </c>
      <c r="J12" s="47">
        <f t="shared" ca="1" si="35"/>
        <v>7</v>
      </c>
      <c r="K12" s="19">
        <f t="shared" ca="1" si="36"/>
        <v>-6.4</v>
      </c>
      <c r="L12" s="116" t="str">
        <f t="shared" ca="1" si="1"/>
        <v>EW_sand_Ruled_89</v>
      </c>
      <c r="M12" s="105" t="str">
        <f t="shared" ca="1" si="2"/>
        <v>API sand</v>
      </c>
      <c r="N12" s="47">
        <f t="shared" ca="1" si="3"/>
        <v>10.199999999999999</v>
      </c>
      <c r="O12" s="63">
        <f t="shared" ca="1" si="4"/>
        <v>0</v>
      </c>
      <c r="P12" s="63">
        <f t="shared" ca="1" si="5"/>
        <v>0</v>
      </c>
      <c r="Q12" s="47">
        <f t="shared" ca="1" si="6"/>
        <v>42</v>
      </c>
      <c r="R12" s="47">
        <f t="shared" ca="1" si="7"/>
        <v>37</v>
      </c>
      <c r="S12" s="47">
        <f t="shared" ca="1" si="8"/>
        <v>1.6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101400</v>
      </c>
      <c r="Y12" s="47">
        <f t="shared" ca="1" si="14"/>
        <v>0</v>
      </c>
      <c r="Z12" s="47">
        <f t="shared" ca="1" si="15"/>
        <v>114.99999999999996</v>
      </c>
      <c r="AA12" s="47">
        <f t="shared" ca="1" si="16"/>
        <v>1</v>
      </c>
      <c r="AB12" s="47">
        <f t="shared" ca="1" si="17"/>
        <v>12000</v>
      </c>
      <c r="AC12" s="63">
        <f t="shared" ca="1" si="18"/>
        <v>99000</v>
      </c>
      <c r="AD12" s="63">
        <f t="shared" ca="1" si="19"/>
        <v>1250.0000000000002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50.000000000000007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89</v>
      </c>
      <c r="AS12" s="33">
        <f t="shared" ca="1" si="34"/>
        <v>0.4</v>
      </c>
      <c r="AW12" s="2">
        <v>4.5</v>
      </c>
      <c r="AX12" s="2" t="s">
        <v>298</v>
      </c>
      <c r="AY12" s="130">
        <v>37.1</v>
      </c>
      <c r="AZ12" s="2">
        <v>18.5</v>
      </c>
      <c r="BA12" s="2">
        <v>30</v>
      </c>
      <c r="BB12" s="2">
        <v>88</v>
      </c>
      <c r="BC12" s="2">
        <v>3</v>
      </c>
      <c r="BD12" s="2">
        <v>1.3</v>
      </c>
      <c r="BE12" s="2">
        <v>1.5</v>
      </c>
      <c r="BF12" s="2">
        <v>1.6</v>
      </c>
      <c r="BG12" s="2">
        <v>1.7</v>
      </c>
      <c r="BH12" s="2">
        <v>1.8</v>
      </c>
      <c r="BI12" s="2">
        <v>21</v>
      </c>
      <c r="BJ12" s="2">
        <v>63</v>
      </c>
      <c r="BK12" s="2">
        <v>82</v>
      </c>
      <c r="BL12" s="2">
        <v>102</v>
      </c>
      <c r="BM12" s="2">
        <v>145</v>
      </c>
      <c r="BN12" s="2"/>
      <c r="BO12" s="2"/>
      <c r="BP12" s="2"/>
      <c r="BQ12" s="2"/>
      <c r="BR12" s="2"/>
      <c r="BS12" s="2"/>
      <c r="BT12" s="2">
        <v>4</v>
      </c>
      <c r="BU12" s="2">
        <v>34</v>
      </c>
      <c r="BV12" s="2">
        <v>58</v>
      </c>
      <c r="BW12" s="2">
        <v>82</v>
      </c>
      <c r="BX12" s="2">
        <v>129</v>
      </c>
      <c r="BY12" s="2">
        <v>14.2</v>
      </c>
      <c r="BZ12" s="2">
        <v>7.4</v>
      </c>
      <c r="CA12" s="2">
        <v>3</v>
      </c>
      <c r="CB12" s="2">
        <v>1.0876839106637301E-9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12b</v>
      </c>
      <c r="J13" s="47">
        <f t="shared" ca="1" si="35"/>
        <v>8</v>
      </c>
      <c r="K13" s="19">
        <f t="shared" ca="1" si="36"/>
        <v>-8</v>
      </c>
      <c r="L13" s="116" t="str">
        <f t="shared" ca="1" si="1"/>
        <v>EW_sand_Ruled_67</v>
      </c>
      <c r="M13" s="105" t="str">
        <f t="shared" ca="1" si="2"/>
        <v>API sand</v>
      </c>
      <c r="N13" s="47">
        <f t="shared" ca="1" si="3"/>
        <v>10.199999999999999</v>
      </c>
      <c r="O13" s="63">
        <f t="shared" ca="1" si="4"/>
        <v>0</v>
      </c>
      <c r="P13" s="63">
        <f t="shared" ca="1" si="5"/>
        <v>0</v>
      </c>
      <c r="Q13" s="47">
        <f t="shared" ca="1" si="6"/>
        <v>38</v>
      </c>
      <c r="R13" s="47">
        <f t="shared" ca="1" si="7"/>
        <v>33</v>
      </c>
      <c r="S13" s="47">
        <f t="shared" ca="1" si="8"/>
        <v>1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57700</v>
      </c>
      <c r="Y13" s="47">
        <f t="shared" ca="1" si="14"/>
        <v>0</v>
      </c>
      <c r="Z13" s="47">
        <f t="shared" ca="1" si="15"/>
        <v>107.39999999999996</v>
      </c>
      <c r="AA13" s="47">
        <f t="shared" ca="1" si="16"/>
        <v>1</v>
      </c>
      <c r="AB13" s="47">
        <f t="shared" ca="1" si="17"/>
        <v>11040</v>
      </c>
      <c r="AC13" s="63">
        <f t="shared" ca="1" si="18"/>
        <v>92000</v>
      </c>
      <c r="AD13" s="63">
        <f t="shared" ca="1" si="19"/>
        <v>3809.5238095238092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46.000000000000007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67</v>
      </c>
      <c r="AS13" s="33">
        <f t="shared" ca="1" si="34"/>
        <v>0.4</v>
      </c>
      <c r="AW13" s="2">
        <v>5.2</v>
      </c>
      <c r="AX13" s="2" t="s">
        <v>298</v>
      </c>
      <c r="AY13" s="130">
        <v>37.1</v>
      </c>
      <c r="AZ13" s="2">
        <v>18.5</v>
      </c>
      <c r="BA13" s="2">
        <v>30</v>
      </c>
      <c r="BB13" s="2">
        <v>88</v>
      </c>
      <c r="BC13" s="2">
        <v>3</v>
      </c>
      <c r="BD13" s="2">
        <v>1.7</v>
      </c>
      <c r="BE13" s="2">
        <v>1.8</v>
      </c>
      <c r="BF13" s="2">
        <v>1.9</v>
      </c>
      <c r="BG13" s="2">
        <v>2</v>
      </c>
      <c r="BH13" s="2">
        <v>2.2000000000000002</v>
      </c>
      <c r="BI13" s="2">
        <v>40</v>
      </c>
      <c r="BJ13" s="2">
        <v>82</v>
      </c>
      <c r="BK13" s="2">
        <v>102</v>
      </c>
      <c r="BL13" s="2">
        <v>122</v>
      </c>
      <c r="BM13" s="2">
        <v>164</v>
      </c>
      <c r="BN13" s="2"/>
      <c r="BO13" s="2"/>
      <c r="BP13" s="2"/>
      <c r="BQ13" s="2"/>
      <c r="BR13" s="2"/>
      <c r="BS13" s="2"/>
      <c r="BT13" s="2">
        <v>22</v>
      </c>
      <c r="BU13" s="2">
        <v>53</v>
      </c>
      <c r="BV13" s="2">
        <v>77</v>
      </c>
      <c r="BW13" s="2">
        <v>101</v>
      </c>
      <c r="BX13" s="2">
        <v>148</v>
      </c>
      <c r="BY13" s="2">
        <v>14.2</v>
      </c>
      <c r="BZ13" s="2">
        <v>7.4</v>
      </c>
      <c r="CA13" s="2">
        <v>3</v>
      </c>
      <c r="CB13" s="2">
        <v>1.0876839106637301E-9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12b</v>
      </c>
      <c r="J14" s="47">
        <f t="shared" ca="1" si="35"/>
        <v>9</v>
      </c>
      <c r="K14" s="19">
        <f t="shared" ca="1" si="36"/>
        <v>-14.3</v>
      </c>
      <c r="L14" s="116" t="str">
        <f t="shared" ca="1" si="1"/>
        <v>EW_sand_Ruled_55</v>
      </c>
      <c r="M14" s="105" t="str">
        <f t="shared" ca="1" si="2"/>
        <v>API sand</v>
      </c>
      <c r="N14" s="47">
        <f t="shared" ca="1" si="3"/>
        <v>10.199999999999999</v>
      </c>
      <c r="O14" s="63">
        <f t="shared" ca="1" si="4"/>
        <v>0</v>
      </c>
      <c r="P14" s="63">
        <f t="shared" ca="1" si="5"/>
        <v>0</v>
      </c>
      <c r="Q14" s="47">
        <f t="shared" ca="1" si="6"/>
        <v>36</v>
      </c>
      <c r="R14" s="47">
        <f t="shared" ca="1" si="7"/>
        <v>31</v>
      </c>
      <c r="S14" s="47">
        <f t="shared" ca="1" si="8"/>
        <v>0.7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42000</v>
      </c>
      <c r="Y14" s="47">
        <f t="shared" ca="1" si="14"/>
        <v>0</v>
      </c>
      <c r="Z14" s="47">
        <f t="shared" ca="1" si="15"/>
        <v>99.799999999999969</v>
      </c>
      <c r="AA14" s="47">
        <f t="shared" ca="1" si="16"/>
        <v>1</v>
      </c>
      <c r="AB14" s="47">
        <f t="shared" ca="1" si="17"/>
        <v>10080</v>
      </c>
      <c r="AC14" s="63">
        <f t="shared" ca="1" si="18"/>
        <v>116000</v>
      </c>
      <c r="AD14" s="63">
        <f t="shared" ca="1" si="19"/>
        <v>-11666.666666666673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42.000000000000007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55</v>
      </c>
      <c r="AS14" s="33">
        <f t="shared" ca="1" si="34"/>
        <v>0.4</v>
      </c>
      <c r="AW14" s="2">
        <v>5.2</v>
      </c>
      <c r="AX14" s="2" t="s">
        <v>293</v>
      </c>
      <c r="AY14" s="130">
        <v>25.8</v>
      </c>
      <c r="AZ14" s="2">
        <v>19.600000000000001</v>
      </c>
      <c r="BA14" s="2"/>
      <c r="BB14" s="2">
        <v>22</v>
      </c>
      <c r="BC14" s="2"/>
      <c r="BD14" s="2">
        <v>4</v>
      </c>
      <c r="BE14" s="2">
        <v>4.5999999999999996</v>
      </c>
      <c r="BF14" s="2">
        <v>4.9000000000000004</v>
      </c>
      <c r="BG14" s="2">
        <v>5.2</v>
      </c>
      <c r="BH14" s="2">
        <v>5.7</v>
      </c>
      <c r="BI14" s="2"/>
      <c r="BJ14" s="2"/>
      <c r="BK14" s="2"/>
      <c r="BL14" s="2"/>
      <c r="BM14" s="2"/>
      <c r="BN14" s="2">
        <v>54</v>
      </c>
      <c r="BO14" s="2">
        <v>30</v>
      </c>
      <c r="BP14" s="2">
        <v>35</v>
      </c>
      <c r="BQ14" s="2">
        <v>38</v>
      </c>
      <c r="BR14" s="2">
        <v>41</v>
      </c>
      <c r="BS14" s="2">
        <v>47</v>
      </c>
      <c r="BT14" s="2">
        <v>9</v>
      </c>
      <c r="BU14" s="2">
        <v>45</v>
      </c>
      <c r="BV14" s="2">
        <v>59</v>
      </c>
      <c r="BW14" s="2">
        <v>74</v>
      </c>
      <c r="BX14" s="2">
        <v>110</v>
      </c>
      <c r="BY14" s="2">
        <v>21.8</v>
      </c>
      <c r="BZ14" s="2">
        <v>3.1</v>
      </c>
      <c r="CA14" s="2">
        <v>1</v>
      </c>
      <c r="CB14" s="2">
        <v>1.80125655375933E-7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23e</v>
      </c>
      <c r="J15" s="47">
        <f t="shared" ca="1" si="35"/>
        <v>10</v>
      </c>
      <c r="K15" s="19">
        <f t="shared" ca="1" si="36"/>
        <v>-15.5</v>
      </c>
      <c r="L15" s="116" t="str">
        <f t="shared" ca="1" si="1"/>
        <v>EW_sand_Ruled_36</v>
      </c>
      <c r="M15" s="105" t="str">
        <f t="shared" ca="1" si="2"/>
        <v>API sand</v>
      </c>
      <c r="N15" s="47">
        <f t="shared" ca="1" si="3"/>
        <v>9</v>
      </c>
      <c r="O15" s="63">
        <f t="shared" ca="1" si="4"/>
        <v>0</v>
      </c>
      <c r="P15" s="63">
        <f t="shared" ca="1" si="5"/>
        <v>0</v>
      </c>
      <c r="Q15" s="47">
        <f t="shared" ca="1" si="6"/>
        <v>26</v>
      </c>
      <c r="R15" s="47">
        <f t="shared" ca="1" si="7"/>
        <v>21</v>
      </c>
      <c r="S15" s="47">
        <f t="shared" ca="1" si="8"/>
        <v>0.8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11200</v>
      </c>
      <c r="Y15" s="47">
        <f t="shared" ca="1" si="14"/>
        <v>0</v>
      </c>
      <c r="Z15" s="47">
        <f t="shared" ca="1" si="15"/>
        <v>69.799999999999983</v>
      </c>
      <c r="AA15" s="47">
        <f t="shared" ca="1" si="16"/>
        <v>1</v>
      </c>
      <c r="AB15" s="47">
        <f t="shared" ca="1" si="17"/>
        <v>3280</v>
      </c>
      <c r="AC15" s="63">
        <f t="shared" ca="1" si="18"/>
        <v>101000</v>
      </c>
      <c r="AD15" s="63">
        <f t="shared" ca="1" si="19"/>
        <v>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13.600000000000003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36</v>
      </c>
      <c r="AS15" s="33">
        <f t="shared" ca="1" si="34"/>
        <v>0.4</v>
      </c>
      <c r="AW15" s="2">
        <v>5.7</v>
      </c>
      <c r="AX15" s="2" t="s">
        <v>293</v>
      </c>
      <c r="AY15" s="130">
        <v>25.8</v>
      </c>
      <c r="AZ15" s="2">
        <v>19.600000000000001</v>
      </c>
      <c r="BA15" s="2"/>
      <c r="BB15" s="2">
        <v>22</v>
      </c>
      <c r="BC15" s="2"/>
      <c r="BD15" s="2">
        <v>5.3</v>
      </c>
      <c r="BE15" s="2">
        <v>5.8</v>
      </c>
      <c r="BF15" s="2">
        <v>6.1</v>
      </c>
      <c r="BG15" s="2">
        <v>6.4</v>
      </c>
      <c r="BH15" s="2">
        <v>7</v>
      </c>
      <c r="BI15" s="2"/>
      <c r="BJ15" s="2"/>
      <c r="BK15" s="2"/>
      <c r="BL15" s="2"/>
      <c r="BM15" s="2"/>
      <c r="BN15" s="2">
        <v>54</v>
      </c>
      <c r="BO15" s="2">
        <v>30</v>
      </c>
      <c r="BP15" s="2">
        <v>35</v>
      </c>
      <c r="BQ15" s="2">
        <v>38</v>
      </c>
      <c r="BR15" s="2">
        <v>41</v>
      </c>
      <c r="BS15" s="2">
        <v>47</v>
      </c>
      <c r="BT15" s="2">
        <v>14</v>
      </c>
      <c r="BU15" s="2">
        <v>49</v>
      </c>
      <c r="BV15" s="2">
        <v>64</v>
      </c>
      <c r="BW15" s="2">
        <v>79</v>
      </c>
      <c r="BX15" s="2">
        <v>115</v>
      </c>
      <c r="BY15" s="2">
        <v>21.8</v>
      </c>
      <c r="BZ15" s="2">
        <v>3.1</v>
      </c>
      <c r="CA15" s="2">
        <v>1</v>
      </c>
      <c r="CB15" s="2">
        <v>1.80125655375933E-7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23i</v>
      </c>
      <c r="J16" s="47">
        <f t="shared" ca="1" si="35"/>
        <v>11</v>
      </c>
      <c r="K16" s="19">
        <f t="shared" ca="1" si="36"/>
        <v>-18.5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8.3000000000000007</v>
      </c>
      <c r="O16" s="63">
        <f t="shared" ca="1" si="4"/>
        <v>182</v>
      </c>
      <c r="P16" s="63">
        <f t="shared" ca="1" si="5"/>
        <v>13.157894736842104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3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0.5</v>
      </c>
      <c r="X16" s="47">
        <f t="shared" ca="1" si="13"/>
        <v>22600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243000</v>
      </c>
      <c r="AD16" s="63">
        <f t="shared" ca="1" si="19"/>
        <v>18421.05263157895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5.7</v>
      </c>
      <c r="AX16" s="2" t="s">
        <v>299</v>
      </c>
      <c r="AY16" s="130">
        <v>29</v>
      </c>
      <c r="AZ16" s="2">
        <v>19.5</v>
      </c>
      <c r="BA16" s="2">
        <v>13</v>
      </c>
      <c r="BB16" s="2">
        <v>64</v>
      </c>
      <c r="BC16" s="2">
        <v>4</v>
      </c>
      <c r="BD16" s="2">
        <v>4</v>
      </c>
      <c r="BE16" s="2">
        <v>4.5999999999999996</v>
      </c>
      <c r="BF16" s="2">
        <v>5.3</v>
      </c>
      <c r="BG16" s="2">
        <v>6.1</v>
      </c>
      <c r="BH16" s="2">
        <v>8.1</v>
      </c>
      <c r="BI16" s="2">
        <v>221</v>
      </c>
      <c r="BJ16" s="2">
        <v>237</v>
      </c>
      <c r="BK16" s="2">
        <v>289</v>
      </c>
      <c r="BL16" s="2">
        <v>345</v>
      </c>
      <c r="BM16" s="2">
        <v>483</v>
      </c>
      <c r="BN16" s="2"/>
      <c r="BO16" s="2"/>
      <c r="BP16" s="2"/>
      <c r="BQ16" s="2"/>
      <c r="BR16" s="2"/>
      <c r="BS16" s="2"/>
      <c r="BT16" s="2">
        <v>242</v>
      </c>
      <c r="BU16" s="2">
        <v>260</v>
      </c>
      <c r="BV16" s="2">
        <v>282</v>
      </c>
      <c r="BW16" s="2">
        <v>357</v>
      </c>
      <c r="BX16" s="2">
        <v>534</v>
      </c>
      <c r="BY16" s="2">
        <v>20.9</v>
      </c>
      <c r="BZ16" s="2">
        <v>8.9</v>
      </c>
      <c r="CA16" s="2">
        <v>3</v>
      </c>
      <c r="CB16" s="2">
        <v>2.9741449945538902E-9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23i</v>
      </c>
      <c r="J17" s="47">
        <f t="shared" ca="1" si="35"/>
        <v>12</v>
      </c>
      <c r="K17" s="19">
        <f t="shared" ca="1" si="36"/>
        <v>-28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8.3000000000000007</v>
      </c>
      <c r="O17" s="63">
        <f t="shared" ca="1" si="4"/>
        <v>321</v>
      </c>
      <c r="P17" s="63">
        <f t="shared" ca="1" si="5"/>
        <v>3.0303030303030307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3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30700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437000</v>
      </c>
      <c r="AD17" s="63">
        <f t="shared" ca="1" si="19"/>
        <v>5353.5353535353543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6.4</v>
      </c>
      <c r="AX17" s="2" t="s">
        <v>299</v>
      </c>
      <c r="AY17" s="130">
        <v>29</v>
      </c>
      <c r="AZ17" s="2">
        <v>19.5</v>
      </c>
      <c r="BA17" s="2">
        <v>13</v>
      </c>
      <c r="BB17" s="2">
        <v>64</v>
      </c>
      <c r="BC17" s="2">
        <v>4</v>
      </c>
      <c r="BD17" s="2">
        <v>0.2</v>
      </c>
      <c r="BE17" s="2">
        <v>0.8</v>
      </c>
      <c r="BF17" s="2">
        <v>1.5</v>
      </c>
      <c r="BG17" s="2">
        <v>2.2999999999999998</v>
      </c>
      <c r="BH17" s="2">
        <v>4.3</v>
      </c>
      <c r="BI17" s="2">
        <v>8</v>
      </c>
      <c r="BJ17" s="2">
        <v>24</v>
      </c>
      <c r="BK17" s="2">
        <v>76</v>
      </c>
      <c r="BL17" s="2">
        <v>132</v>
      </c>
      <c r="BM17" s="2">
        <v>270</v>
      </c>
      <c r="BN17" s="2"/>
      <c r="BO17" s="2"/>
      <c r="BP17" s="2"/>
      <c r="BQ17" s="2"/>
      <c r="BR17" s="2"/>
      <c r="BS17" s="2"/>
      <c r="BT17" s="2">
        <v>6</v>
      </c>
      <c r="BU17" s="2">
        <v>35</v>
      </c>
      <c r="BV17" s="2">
        <v>45</v>
      </c>
      <c r="BW17" s="2">
        <v>120</v>
      </c>
      <c r="BX17" s="2">
        <v>298</v>
      </c>
      <c r="BY17" s="2">
        <v>20.9</v>
      </c>
      <c r="BZ17" s="2">
        <v>8.9</v>
      </c>
      <c r="CA17" s="2">
        <v>3</v>
      </c>
      <c r="CB17" s="2">
        <v>2.9741449945538902E-9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23k</v>
      </c>
      <c r="J18" s="47">
        <f t="shared" ca="1" si="35"/>
        <v>13</v>
      </c>
      <c r="K18" s="19">
        <f t="shared" ca="1" si="36"/>
        <v>-37.9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8.5</v>
      </c>
      <c r="O18" s="63">
        <f t="shared" ca="1" si="4"/>
        <v>416</v>
      </c>
      <c r="P18" s="63">
        <f t="shared" ca="1" si="5"/>
        <v>93.606557377049157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3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0.25</v>
      </c>
      <c r="X18" s="47">
        <f t="shared" ca="1" si="13"/>
        <v>60400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1052000</v>
      </c>
      <c r="AD18" s="63">
        <f t="shared" ca="1" si="19"/>
        <v>0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6.4</v>
      </c>
      <c r="AX18" s="2" t="s">
        <v>292</v>
      </c>
      <c r="AY18" s="130">
        <v>21.3</v>
      </c>
      <c r="AZ18" s="2">
        <v>20.2</v>
      </c>
      <c r="BA18" s="2"/>
      <c r="BB18" s="2">
        <v>10</v>
      </c>
      <c r="BC18" s="2"/>
      <c r="BD18" s="2">
        <v>11.2</v>
      </c>
      <c r="BE18" s="2">
        <v>23.5</v>
      </c>
      <c r="BF18" s="2">
        <v>26.6</v>
      </c>
      <c r="BG18" s="2">
        <v>29.3</v>
      </c>
      <c r="BH18" s="2">
        <v>39.799999999999997</v>
      </c>
      <c r="BI18" s="2"/>
      <c r="BJ18" s="2"/>
      <c r="BK18" s="2"/>
      <c r="BL18" s="2"/>
      <c r="BM18" s="2"/>
      <c r="BN18" s="2">
        <v>89</v>
      </c>
      <c r="BO18" s="2">
        <v>35</v>
      </c>
      <c r="BP18" s="2">
        <v>42</v>
      </c>
      <c r="BQ18" s="2">
        <v>45</v>
      </c>
      <c r="BR18" s="2">
        <v>48</v>
      </c>
      <c r="BS18" s="2">
        <v>54</v>
      </c>
      <c r="BT18" s="2">
        <v>16</v>
      </c>
      <c r="BU18" s="2">
        <v>75</v>
      </c>
      <c r="BV18" s="2">
        <v>99</v>
      </c>
      <c r="BW18" s="2">
        <v>123</v>
      </c>
      <c r="BX18" s="2">
        <v>182</v>
      </c>
      <c r="BY18" s="2">
        <v>101.4</v>
      </c>
      <c r="BZ18" s="2">
        <v>7.2</v>
      </c>
      <c r="CA18" s="2">
        <v>1.6</v>
      </c>
      <c r="CB18" s="2">
        <v>2.1121860856704301E-5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23l</v>
      </c>
      <c r="J19" s="47">
        <f t="shared" ca="1" si="35"/>
        <v>14</v>
      </c>
      <c r="K19" s="19">
        <f t="shared" ca="1" si="36"/>
        <v>-44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8.8000000000000007</v>
      </c>
      <c r="O19" s="63">
        <f t="shared" ca="1" si="4"/>
        <v>367</v>
      </c>
      <c r="P19" s="63">
        <f t="shared" ca="1" si="5"/>
        <v>26.846153846153847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3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0.25</v>
      </c>
      <c r="X19" s="47">
        <f t="shared" ca="1" si="13"/>
        <v>47200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531000</v>
      </c>
      <c r="AD19" s="63">
        <f t="shared" ca="1" si="19"/>
        <v>44692.307692307695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8</v>
      </c>
      <c r="AX19" s="2" t="s">
        <v>292</v>
      </c>
      <c r="AY19" s="130">
        <v>21.3</v>
      </c>
      <c r="AZ19" s="2">
        <v>20.2</v>
      </c>
      <c r="BA19" s="2"/>
      <c r="BB19" s="2">
        <v>10</v>
      </c>
      <c r="BC19" s="2"/>
      <c r="BD19" s="2">
        <v>6.6</v>
      </c>
      <c r="BE19" s="2">
        <v>18.8</v>
      </c>
      <c r="BF19" s="2">
        <v>22</v>
      </c>
      <c r="BG19" s="2">
        <v>24.7</v>
      </c>
      <c r="BH19" s="2">
        <v>35.1</v>
      </c>
      <c r="BI19" s="2"/>
      <c r="BJ19" s="2"/>
      <c r="BK19" s="2"/>
      <c r="BL19" s="2"/>
      <c r="BM19" s="2"/>
      <c r="BN19" s="2">
        <v>89</v>
      </c>
      <c r="BO19" s="2">
        <v>35</v>
      </c>
      <c r="BP19" s="2">
        <v>42</v>
      </c>
      <c r="BQ19" s="2">
        <v>45</v>
      </c>
      <c r="BR19" s="2">
        <v>48</v>
      </c>
      <c r="BS19" s="2">
        <v>54</v>
      </c>
      <c r="BT19" s="2">
        <v>17</v>
      </c>
      <c r="BU19" s="2">
        <v>77</v>
      </c>
      <c r="BV19" s="2">
        <v>101</v>
      </c>
      <c r="BW19" s="2">
        <v>124</v>
      </c>
      <c r="BX19" s="2">
        <v>183</v>
      </c>
      <c r="BY19" s="2">
        <v>101.4</v>
      </c>
      <c r="BZ19" s="2">
        <v>7.2</v>
      </c>
      <c r="CA19" s="2">
        <v>1.6</v>
      </c>
      <c r="CB19" s="2">
        <v>2.1121860856704301E-5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23m</v>
      </c>
      <c r="J20" s="47">
        <f t="shared" ca="1" si="35"/>
        <v>15</v>
      </c>
      <c r="K20" s="19">
        <f t="shared" ca="1" si="36"/>
        <v>-57</v>
      </c>
      <c r="L20" s="116" t="str">
        <f t="shared" ca="1" si="1"/>
        <v>Cowden Clay</v>
      </c>
      <c r="M20" s="105" t="str">
        <f t="shared" ca="1" si="2"/>
        <v>API clay</v>
      </c>
      <c r="N20" s="47">
        <f t="shared" ca="1" si="3"/>
        <v>8.5</v>
      </c>
      <c r="O20" s="63">
        <f t="shared" ca="1" si="4"/>
        <v>118</v>
      </c>
      <c r="P20" s="63">
        <f t="shared" ca="1" si="5"/>
        <v>2.3043478260869565</v>
      </c>
      <c r="Q20" s="47">
        <f t="shared" ca="1" si="6"/>
        <v>0</v>
      </c>
      <c r="R20" s="47" t="e">
        <f t="shared" ca="1" si="7"/>
        <v>#N/A</v>
      </c>
      <c r="S20" s="47">
        <f t="shared" ca="1" si="8"/>
        <v>0.7</v>
      </c>
      <c r="T20" s="47">
        <f t="shared" ca="1" si="9"/>
        <v>0</v>
      </c>
      <c r="U20" s="75">
        <f t="shared" ca="1" si="10"/>
        <v>1.7999999999999999E-2</v>
      </c>
      <c r="V20" s="75">
        <f t="shared" ca="1" si="11"/>
        <v>0</v>
      </c>
      <c r="W20" s="47">
        <f t="shared" ca="1" si="12"/>
        <v>0.5</v>
      </c>
      <c r="X20" s="47">
        <f t="shared" ca="1" si="13"/>
        <v>14400</v>
      </c>
      <c r="Y20" s="47">
        <f t="shared" ca="1" si="14"/>
        <v>0</v>
      </c>
      <c r="Z20" s="47" t="e">
        <f t="shared" ca="1" si="15"/>
        <v>#N/A</v>
      </c>
      <c r="AA20" s="47">
        <f t="shared" ca="1" si="16"/>
        <v>1</v>
      </c>
      <c r="AB20" s="47" t="e">
        <f t="shared" ca="1" si="17"/>
        <v>#N/A</v>
      </c>
      <c r="AC20" s="63">
        <f t="shared" ca="1" si="18"/>
        <v>193000</v>
      </c>
      <c r="AD20" s="63">
        <f t="shared" ca="1" si="19"/>
        <v>3956.5217391304345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 t="e">
        <f t="shared" ca="1" si="25"/>
        <v>#N/A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0</v>
      </c>
      <c r="AS20" s="33">
        <f t="shared" ca="1" si="34"/>
        <v>0.4</v>
      </c>
      <c r="AW20" s="2">
        <v>8</v>
      </c>
      <c r="AX20" s="2" t="s">
        <v>292</v>
      </c>
      <c r="AY20" s="130">
        <v>21.3</v>
      </c>
      <c r="AZ20" s="2">
        <v>20.2</v>
      </c>
      <c r="BA20" s="2"/>
      <c r="BB20" s="2">
        <v>10</v>
      </c>
      <c r="BC20" s="2"/>
      <c r="BD20" s="2">
        <v>11.1</v>
      </c>
      <c r="BE20" s="2">
        <v>13.3</v>
      </c>
      <c r="BF20" s="2">
        <v>13.6</v>
      </c>
      <c r="BG20" s="2">
        <v>14.1</v>
      </c>
      <c r="BH20" s="2">
        <v>19</v>
      </c>
      <c r="BI20" s="2"/>
      <c r="BJ20" s="2"/>
      <c r="BK20" s="2"/>
      <c r="BL20" s="2"/>
      <c r="BM20" s="2"/>
      <c r="BN20" s="2">
        <v>67</v>
      </c>
      <c r="BO20" s="2">
        <v>33</v>
      </c>
      <c r="BP20" s="2">
        <v>38</v>
      </c>
      <c r="BQ20" s="2">
        <v>41</v>
      </c>
      <c r="BR20" s="2">
        <v>44</v>
      </c>
      <c r="BS20" s="2">
        <v>50</v>
      </c>
      <c r="BT20" s="2">
        <v>8</v>
      </c>
      <c r="BU20" s="2">
        <v>68</v>
      </c>
      <c r="BV20" s="2">
        <v>92</v>
      </c>
      <c r="BW20" s="2">
        <v>117</v>
      </c>
      <c r="BX20" s="2">
        <v>178</v>
      </c>
      <c r="BY20" s="2">
        <v>57.7</v>
      </c>
      <c r="BZ20" s="2">
        <v>3</v>
      </c>
      <c r="CA20" s="2">
        <v>1</v>
      </c>
      <c r="CB20" s="2">
        <v>1.6128767507512699E-6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14.3</v>
      </c>
      <c r="AX21" s="2" t="s">
        <v>292</v>
      </c>
      <c r="AY21" s="130">
        <v>21.3</v>
      </c>
      <c r="AZ21" s="2">
        <v>20.2</v>
      </c>
      <c r="BA21" s="2"/>
      <c r="BB21" s="2">
        <v>10</v>
      </c>
      <c r="BC21" s="2"/>
      <c r="BD21" s="2">
        <v>12.7</v>
      </c>
      <c r="BE21" s="2">
        <v>14.9</v>
      </c>
      <c r="BF21" s="2">
        <v>15.1</v>
      </c>
      <c r="BG21" s="2">
        <v>15.7</v>
      </c>
      <c r="BH21" s="2">
        <v>20.5</v>
      </c>
      <c r="BI21" s="2"/>
      <c r="BJ21" s="2"/>
      <c r="BK21" s="2"/>
      <c r="BL21" s="2"/>
      <c r="BM21" s="2"/>
      <c r="BN21" s="2">
        <v>67</v>
      </c>
      <c r="BO21" s="2">
        <v>33</v>
      </c>
      <c r="BP21" s="2">
        <v>38</v>
      </c>
      <c r="BQ21" s="2">
        <v>41</v>
      </c>
      <c r="BR21" s="2">
        <v>44</v>
      </c>
      <c r="BS21" s="2">
        <v>50</v>
      </c>
      <c r="BT21" s="2">
        <v>31</v>
      </c>
      <c r="BU21" s="2">
        <v>91</v>
      </c>
      <c r="BV21" s="2">
        <v>116</v>
      </c>
      <c r="BW21" s="2">
        <v>140</v>
      </c>
      <c r="BX21" s="2">
        <v>201</v>
      </c>
      <c r="BY21" s="2">
        <v>57.7</v>
      </c>
      <c r="BZ21" s="2">
        <v>3</v>
      </c>
      <c r="CA21" s="2">
        <v>1</v>
      </c>
      <c r="CB21" s="2">
        <v>1.6128767507512699E-6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14.3</v>
      </c>
      <c r="AX22" s="2" t="s">
        <v>292</v>
      </c>
      <c r="AY22" s="130">
        <v>21.3</v>
      </c>
      <c r="AZ22" s="2">
        <v>20.2</v>
      </c>
      <c r="BA22" s="2"/>
      <c r="BB22" s="2">
        <v>10</v>
      </c>
      <c r="BC22" s="2"/>
      <c r="BD22" s="2">
        <v>12.1</v>
      </c>
      <c r="BE22" s="2">
        <v>13.2</v>
      </c>
      <c r="BF22" s="2">
        <v>13.6</v>
      </c>
      <c r="BG22" s="2">
        <v>14.4</v>
      </c>
      <c r="BH22" s="2">
        <f>20+16.8</f>
        <v>36.799999999999997</v>
      </c>
      <c r="BI22" s="2"/>
      <c r="BJ22" s="2"/>
      <c r="BK22" s="2"/>
      <c r="BL22" s="2"/>
      <c r="BM22" s="2"/>
      <c r="BN22" s="2">
        <v>55</v>
      </c>
      <c r="BO22" s="2">
        <v>31</v>
      </c>
      <c r="BP22" s="2">
        <v>36</v>
      </c>
      <c r="BQ22" s="2">
        <v>39</v>
      </c>
      <c r="BR22" s="2">
        <v>42</v>
      </c>
      <c r="BS22" s="2">
        <v>48</v>
      </c>
      <c r="BT22" s="2">
        <v>29</v>
      </c>
      <c r="BU22" s="2">
        <v>91</v>
      </c>
      <c r="BV22" s="2">
        <v>116</v>
      </c>
      <c r="BW22" s="2">
        <v>142</v>
      </c>
      <c r="BX22" s="2">
        <v>205</v>
      </c>
      <c r="BY22" s="2">
        <v>42</v>
      </c>
      <c r="BZ22" s="2">
        <v>1.8</v>
      </c>
      <c r="CA22" s="2">
        <v>0.7</v>
      </c>
      <c r="CB22" s="2">
        <v>3.1222274917477099E-9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15.5</v>
      </c>
      <c r="AX23" s="2" t="s">
        <v>292</v>
      </c>
      <c r="AY23" s="130">
        <v>21.3</v>
      </c>
      <c r="AZ23" s="2">
        <v>20.2</v>
      </c>
      <c r="BA23" s="2"/>
      <c r="BB23" s="2">
        <v>10</v>
      </c>
      <c r="BC23" s="2"/>
      <c r="BD23" s="2">
        <v>6.7</v>
      </c>
      <c r="BE23" s="2">
        <v>7.8</v>
      </c>
      <c r="BF23" s="2">
        <v>8.1999999999999993</v>
      </c>
      <c r="BG23" s="2">
        <v>9</v>
      </c>
      <c r="BH23" s="2">
        <f>20+11.3</f>
        <v>31.3</v>
      </c>
      <c r="BI23" s="2"/>
      <c r="BJ23" s="2"/>
      <c r="BK23" s="2"/>
      <c r="BL23" s="2"/>
      <c r="BM23" s="2"/>
      <c r="BN23" s="2">
        <v>55</v>
      </c>
      <c r="BO23" s="2">
        <v>31</v>
      </c>
      <c r="BP23" s="2">
        <v>36</v>
      </c>
      <c r="BQ23" s="2">
        <v>39</v>
      </c>
      <c r="BR23" s="2">
        <v>42</v>
      </c>
      <c r="BS23" s="2">
        <v>48</v>
      </c>
      <c r="BT23" s="2">
        <v>15</v>
      </c>
      <c r="BU23" s="2">
        <v>76</v>
      </c>
      <c r="BV23" s="2">
        <v>102</v>
      </c>
      <c r="BW23" s="2">
        <v>128</v>
      </c>
      <c r="BX23" s="2">
        <v>191</v>
      </c>
      <c r="BY23" s="2">
        <v>42</v>
      </c>
      <c r="BZ23" s="2">
        <v>1.8</v>
      </c>
      <c r="CA23" s="2">
        <v>0.7</v>
      </c>
      <c r="CB23" s="2">
        <v>3.1222274917477099E-9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15.5</v>
      </c>
      <c r="AX24" s="2" t="s">
        <v>289</v>
      </c>
      <c r="AY24" s="130">
        <v>28.8</v>
      </c>
      <c r="AZ24" s="2">
        <v>19</v>
      </c>
      <c r="BA24" s="2"/>
      <c r="BB24" s="2">
        <v>10</v>
      </c>
      <c r="BC24" s="2"/>
      <c r="BD24" s="2">
        <v>6.2</v>
      </c>
      <c r="BE24" s="2">
        <v>7.1</v>
      </c>
      <c r="BF24" s="2">
        <v>7.3</v>
      </c>
      <c r="BG24" s="2">
        <v>7.6</v>
      </c>
      <c r="BH24" s="2">
        <v>8.5</v>
      </c>
      <c r="BI24" s="2"/>
      <c r="BJ24" s="2"/>
      <c r="BK24" s="2"/>
      <c r="BL24" s="2"/>
      <c r="BM24" s="2"/>
      <c r="BN24" s="2">
        <v>36</v>
      </c>
      <c r="BO24" s="2">
        <v>26</v>
      </c>
      <c r="BP24" s="2">
        <v>26</v>
      </c>
      <c r="BQ24" s="2">
        <v>28</v>
      </c>
      <c r="BR24" s="2">
        <v>30</v>
      </c>
      <c r="BS24" s="2">
        <v>34</v>
      </c>
      <c r="BT24" s="2">
        <v>19</v>
      </c>
      <c r="BU24" s="2">
        <v>77</v>
      </c>
      <c r="BV24" s="2">
        <v>101</v>
      </c>
      <c r="BW24" s="2">
        <v>125</v>
      </c>
      <c r="BX24" s="2">
        <v>183</v>
      </c>
      <c r="BY24" s="2">
        <v>11.2</v>
      </c>
      <c r="BZ24" s="2">
        <v>2.1</v>
      </c>
      <c r="CA24" s="2">
        <v>0.8</v>
      </c>
      <c r="CB24" s="2">
        <v>8.0777706479116402E-10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18.5</v>
      </c>
      <c r="AX25" s="2" t="s">
        <v>289</v>
      </c>
      <c r="AY25" s="130">
        <v>28.8</v>
      </c>
      <c r="AZ25" s="2">
        <v>19</v>
      </c>
      <c r="BA25" s="2"/>
      <c r="BB25" s="2">
        <v>10</v>
      </c>
      <c r="BC25" s="2"/>
      <c r="BD25" s="2">
        <v>4.8</v>
      </c>
      <c r="BE25" s="2">
        <v>5.8</v>
      </c>
      <c r="BF25" s="2">
        <v>6</v>
      </c>
      <c r="BG25" s="2">
        <v>6.2</v>
      </c>
      <c r="BH25" s="2">
        <v>7.1</v>
      </c>
      <c r="BI25" s="2"/>
      <c r="BJ25" s="2"/>
      <c r="BK25" s="2"/>
      <c r="BL25" s="2"/>
      <c r="BM25" s="2"/>
      <c r="BN25" s="2">
        <v>36</v>
      </c>
      <c r="BO25" s="2">
        <v>26</v>
      </c>
      <c r="BP25" s="2">
        <v>26</v>
      </c>
      <c r="BQ25" s="2">
        <v>28</v>
      </c>
      <c r="BR25" s="2">
        <v>30</v>
      </c>
      <c r="BS25" s="2">
        <v>34</v>
      </c>
      <c r="BT25" s="2">
        <v>18</v>
      </c>
      <c r="BU25" s="2">
        <v>77</v>
      </c>
      <c r="BV25" s="2">
        <v>101</v>
      </c>
      <c r="BW25" s="2">
        <v>124</v>
      </c>
      <c r="BX25" s="2">
        <v>183</v>
      </c>
      <c r="BY25" s="2">
        <v>11.2</v>
      </c>
      <c r="BZ25" s="2">
        <v>2.1</v>
      </c>
      <c r="CA25" s="2">
        <v>0.8</v>
      </c>
      <c r="CB25" s="2">
        <v>8.0777706479116402E-10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K26" s="19" t="str">
        <f t="shared" ca="1" si="36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18.5</v>
      </c>
      <c r="AX26" s="2" t="s">
        <v>218</v>
      </c>
      <c r="AY26" s="130">
        <v>37</v>
      </c>
      <c r="AZ26" s="2">
        <v>18.3</v>
      </c>
      <c r="BA26" s="2">
        <v>59</v>
      </c>
      <c r="BB26" s="2">
        <v>77</v>
      </c>
      <c r="BC26" s="2">
        <v>3</v>
      </c>
      <c r="BD26" s="2">
        <v>4.2</v>
      </c>
      <c r="BE26" s="2">
        <v>4.8</v>
      </c>
      <c r="BF26" s="2">
        <v>4.9000000000000004</v>
      </c>
      <c r="BG26" s="2">
        <v>5</v>
      </c>
      <c r="BH26" s="2">
        <v>5.6</v>
      </c>
      <c r="BI26" s="2">
        <v>88</v>
      </c>
      <c r="BJ26" s="2">
        <v>182</v>
      </c>
      <c r="BK26" s="2">
        <v>228</v>
      </c>
      <c r="BL26" s="2">
        <v>274</v>
      </c>
      <c r="BM26" s="2">
        <v>368</v>
      </c>
      <c r="BN26" s="2"/>
      <c r="BO26" s="2"/>
      <c r="BP26" s="2"/>
      <c r="BQ26" s="2"/>
      <c r="BR26" s="2"/>
      <c r="BS26" s="2"/>
      <c r="BT26" s="2">
        <v>18</v>
      </c>
      <c r="BU26" s="2">
        <v>151</v>
      </c>
      <c r="BV26" s="2">
        <v>243</v>
      </c>
      <c r="BW26" s="2">
        <v>335</v>
      </c>
      <c r="BX26" s="2">
        <v>520</v>
      </c>
      <c r="BY26" s="2">
        <v>22.6</v>
      </c>
      <c r="BZ26" s="2">
        <v>7.9</v>
      </c>
      <c r="CA26" s="2">
        <v>3</v>
      </c>
      <c r="CB26" s="2">
        <v>8.2235608196804202E-10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28</v>
      </c>
      <c r="AX27" s="2" t="s">
        <v>218</v>
      </c>
      <c r="AY27" s="130">
        <v>37</v>
      </c>
      <c r="AZ27" s="2">
        <v>18.3</v>
      </c>
      <c r="BA27" s="2">
        <v>59</v>
      </c>
      <c r="BB27" s="2">
        <v>77</v>
      </c>
      <c r="BC27" s="2">
        <v>3</v>
      </c>
      <c r="BD27" s="2">
        <v>6.9</v>
      </c>
      <c r="BE27" s="2">
        <v>7.5</v>
      </c>
      <c r="BF27" s="2">
        <v>7.6</v>
      </c>
      <c r="BG27" s="2">
        <v>7.7</v>
      </c>
      <c r="BH27" s="2">
        <v>8.3000000000000007</v>
      </c>
      <c r="BI27" s="2">
        <v>213</v>
      </c>
      <c r="BJ27" s="2">
        <v>307</v>
      </c>
      <c r="BK27" s="2">
        <v>353</v>
      </c>
      <c r="BL27" s="2">
        <v>399</v>
      </c>
      <c r="BM27" s="2">
        <v>493</v>
      </c>
      <c r="BN27" s="2"/>
      <c r="BO27" s="2"/>
      <c r="BP27" s="2"/>
      <c r="BQ27" s="2"/>
      <c r="BR27" s="2"/>
      <c r="BS27" s="2"/>
      <c r="BT27" s="2">
        <v>193</v>
      </c>
      <c r="BU27" s="2">
        <v>326</v>
      </c>
      <c r="BV27" s="2">
        <v>418</v>
      </c>
      <c r="BW27" s="2">
        <v>510</v>
      </c>
      <c r="BX27" s="2">
        <v>696</v>
      </c>
      <c r="BY27" s="2">
        <v>22.6</v>
      </c>
      <c r="BZ27" s="2">
        <v>7.9</v>
      </c>
      <c r="CA27" s="2">
        <v>3</v>
      </c>
      <c r="CB27" s="2">
        <v>8.2235608196804202E-10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28</v>
      </c>
      <c r="AX28" s="2" t="s">
        <v>218</v>
      </c>
      <c r="AY28" s="130">
        <v>37</v>
      </c>
      <c r="AZ28" s="2">
        <v>18.3</v>
      </c>
      <c r="BA28" s="2">
        <v>59</v>
      </c>
      <c r="BB28" s="2">
        <v>77</v>
      </c>
      <c r="BC28" s="2">
        <v>3</v>
      </c>
      <c r="BD28" s="2">
        <v>6.6</v>
      </c>
      <c r="BE28" s="2">
        <v>7.7</v>
      </c>
      <c r="BF28" s="2">
        <v>7.8</v>
      </c>
      <c r="BG28" s="2">
        <v>8</v>
      </c>
      <c r="BH28" s="2">
        <v>9</v>
      </c>
      <c r="BI28" s="2">
        <v>222</v>
      </c>
      <c r="BJ28" s="2">
        <v>321</v>
      </c>
      <c r="BK28" s="2">
        <v>364</v>
      </c>
      <c r="BL28" s="2">
        <v>408</v>
      </c>
      <c r="BM28" s="2">
        <v>506</v>
      </c>
      <c r="BN28" s="2"/>
      <c r="BO28" s="2"/>
      <c r="BP28" s="2"/>
      <c r="BQ28" s="2"/>
      <c r="BR28" s="2"/>
      <c r="BS28" s="2"/>
      <c r="BT28" s="2">
        <v>165</v>
      </c>
      <c r="BU28" s="2">
        <v>350</v>
      </c>
      <c r="BV28" s="2">
        <v>437</v>
      </c>
      <c r="BW28" s="2">
        <v>523</v>
      </c>
      <c r="BX28" s="2">
        <v>708</v>
      </c>
      <c r="BY28" s="2">
        <v>30.7</v>
      </c>
      <c r="BZ28" s="2">
        <v>7.7</v>
      </c>
      <c r="CA28" s="2">
        <v>3</v>
      </c>
      <c r="CB28" s="2">
        <v>8.2955197317544895E-10</v>
      </c>
      <c r="CC28" s="2">
        <v>1.8</v>
      </c>
    </row>
    <row r="29" spans="1:81" x14ac:dyDescent="0.25">
      <c r="A29" s="66"/>
      <c r="B29" s="66"/>
      <c r="C29" s="67"/>
      <c r="D29" s="35"/>
      <c r="AW29" s="2">
        <v>37.9</v>
      </c>
      <c r="AX29" s="2" t="s">
        <v>218</v>
      </c>
      <c r="AY29" s="130">
        <v>37</v>
      </c>
      <c r="AZ29" s="2">
        <v>18.3</v>
      </c>
      <c r="BA29" s="2">
        <v>59</v>
      </c>
      <c r="BB29" s="2">
        <v>77</v>
      </c>
      <c r="BC29" s="2">
        <v>3</v>
      </c>
      <c r="BD29" s="2">
        <v>7.4</v>
      </c>
      <c r="BE29" s="2">
        <v>8.5</v>
      </c>
      <c r="BF29" s="2">
        <v>8.6</v>
      </c>
      <c r="BG29" s="2">
        <v>8.6999999999999993</v>
      </c>
      <c r="BH29" s="2">
        <v>9.8000000000000007</v>
      </c>
      <c r="BI29" s="2">
        <v>252</v>
      </c>
      <c r="BJ29" s="2">
        <v>351</v>
      </c>
      <c r="BK29" s="2">
        <v>394</v>
      </c>
      <c r="BL29" s="2">
        <v>438</v>
      </c>
      <c r="BM29" s="2">
        <v>536</v>
      </c>
      <c r="BN29" s="2"/>
      <c r="BO29" s="2"/>
      <c r="BP29" s="2"/>
      <c r="BQ29" s="2"/>
      <c r="BR29" s="2"/>
      <c r="BS29" s="2"/>
      <c r="BT29" s="2">
        <v>219</v>
      </c>
      <c r="BU29" s="2">
        <v>403</v>
      </c>
      <c r="BV29" s="2">
        <v>490</v>
      </c>
      <c r="BW29" s="2">
        <v>577</v>
      </c>
      <c r="BX29" s="2">
        <v>762</v>
      </c>
      <c r="BY29" s="2">
        <v>30.7</v>
      </c>
      <c r="BZ29" s="2">
        <v>7.7</v>
      </c>
      <c r="CA29" s="2">
        <v>3</v>
      </c>
      <c r="CB29" s="2">
        <v>8.2955197317544895E-10</v>
      </c>
      <c r="CC29" s="2">
        <v>1.8</v>
      </c>
    </row>
    <row r="30" spans="1:81" x14ac:dyDescent="0.25">
      <c r="A30" s="66"/>
      <c r="B30" s="66"/>
      <c r="C30" s="67"/>
      <c r="D30" s="35"/>
      <c r="AW30" s="2">
        <v>37.9</v>
      </c>
      <c r="AX30" s="2" t="s">
        <v>219</v>
      </c>
      <c r="AY30" s="130">
        <v>37</v>
      </c>
      <c r="AZ30" s="2">
        <v>18.5</v>
      </c>
      <c r="BA30" s="2">
        <v>42</v>
      </c>
      <c r="BB30" s="2">
        <v>63</v>
      </c>
      <c r="BC30" s="2">
        <v>3</v>
      </c>
      <c r="BD30" s="2">
        <v>4.3</v>
      </c>
      <c r="BE30" s="2">
        <v>9.4</v>
      </c>
      <c r="BF30" s="2">
        <v>10.199999999999999</v>
      </c>
      <c r="BG30" s="2">
        <v>11.5</v>
      </c>
      <c r="BH30" s="2">
        <v>21.2</v>
      </c>
      <c r="BI30" s="2">
        <v>153</v>
      </c>
      <c r="BJ30" s="2">
        <v>416</v>
      </c>
      <c r="BK30" s="2">
        <v>471</v>
      </c>
      <c r="BL30" s="2">
        <v>550</v>
      </c>
      <c r="BM30" s="2">
        <v>1038</v>
      </c>
      <c r="BN30" s="2"/>
      <c r="BO30" s="2"/>
      <c r="BP30" s="2"/>
      <c r="BQ30" s="2"/>
      <c r="BR30" s="2"/>
      <c r="BS30" s="2"/>
      <c r="BT30" s="2">
        <v>431</v>
      </c>
      <c r="BU30" s="2">
        <v>960</v>
      </c>
      <c r="BV30" s="2">
        <v>1052</v>
      </c>
      <c r="BW30" s="2">
        <v>1162</v>
      </c>
      <c r="BX30" s="2">
        <v>2306</v>
      </c>
      <c r="BY30" s="2">
        <v>60.4</v>
      </c>
      <c r="BZ30" s="2">
        <v>11.9</v>
      </c>
      <c r="CA30" s="2">
        <v>3</v>
      </c>
      <c r="CB30" s="2">
        <v>4.2969057837617904E-9</v>
      </c>
      <c r="CC30" s="2">
        <v>1.8</v>
      </c>
    </row>
    <row r="31" spans="1:81" x14ac:dyDescent="0.25">
      <c r="A31" s="66"/>
      <c r="B31" s="66"/>
      <c r="C31" s="67"/>
      <c r="D31" s="35"/>
      <c r="AW31" s="2">
        <v>44</v>
      </c>
      <c r="AX31" s="2" t="s">
        <v>219</v>
      </c>
      <c r="AY31" s="130">
        <v>37</v>
      </c>
      <c r="AZ31" s="2">
        <v>18.5</v>
      </c>
      <c r="BA31" s="2">
        <v>42</v>
      </c>
      <c r="BB31" s="2">
        <v>63</v>
      </c>
      <c r="BC31" s="2">
        <v>3</v>
      </c>
      <c r="BD31" s="2">
        <v>15.8</v>
      </c>
      <c r="BE31" s="2">
        <v>20.9</v>
      </c>
      <c r="BF31" s="2">
        <v>21.7</v>
      </c>
      <c r="BG31" s="2">
        <v>23</v>
      </c>
      <c r="BH31" s="2">
        <v>32.700000000000003</v>
      </c>
      <c r="BI31" s="2">
        <v>724</v>
      </c>
      <c r="BJ31" s="2">
        <v>987</v>
      </c>
      <c r="BK31" s="2">
        <v>1042</v>
      </c>
      <c r="BL31" s="2">
        <v>1121</v>
      </c>
      <c r="BM31" s="2">
        <v>1608</v>
      </c>
      <c r="BN31" s="2"/>
      <c r="BO31" s="2"/>
      <c r="BP31" s="2"/>
      <c r="BQ31" s="2"/>
      <c r="BR31" s="2"/>
      <c r="BS31" s="2"/>
      <c r="BT31" s="2">
        <v>431</v>
      </c>
      <c r="BU31" s="2">
        <v>960</v>
      </c>
      <c r="BV31" s="2">
        <v>1052</v>
      </c>
      <c r="BW31" s="2">
        <v>1162</v>
      </c>
      <c r="BX31" s="2">
        <v>2306</v>
      </c>
      <c r="BY31" s="2">
        <v>60.4</v>
      </c>
      <c r="BZ31" s="2">
        <v>11.9</v>
      </c>
      <c r="CA31" s="2">
        <v>3</v>
      </c>
      <c r="CB31" s="2">
        <v>4.2969057837617904E-9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44</v>
      </c>
      <c r="AX32" s="2" t="s">
        <v>220</v>
      </c>
      <c r="AY32" s="130">
        <v>29.5</v>
      </c>
      <c r="AZ32" s="2">
        <v>18.8</v>
      </c>
      <c r="BA32" s="2">
        <v>48</v>
      </c>
      <c r="BB32" s="2">
        <v>77</v>
      </c>
      <c r="BC32" s="2">
        <v>3</v>
      </c>
      <c r="BD32" s="2">
        <v>1.6</v>
      </c>
      <c r="BE32" s="2">
        <v>7</v>
      </c>
      <c r="BF32" s="2">
        <v>9.1</v>
      </c>
      <c r="BG32" s="2">
        <v>25.3</v>
      </c>
      <c r="BH32" s="2">
        <v>75.599999999999994</v>
      </c>
      <c r="BI32" s="2">
        <v>281</v>
      </c>
      <c r="BJ32" s="2">
        <v>367</v>
      </c>
      <c r="BK32" s="2">
        <v>410</v>
      </c>
      <c r="BL32" s="2">
        <v>454</v>
      </c>
      <c r="BM32" s="2">
        <v>540</v>
      </c>
      <c r="BN32" s="2"/>
      <c r="BO32" s="2"/>
      <c r="BP32" s="2"/>
      <c r="BQ32" s="2"/>
      <c r="BR32" s="2"/>
      <c r="BS32" s="2"/>
      <c r="BT32" s="2">
        <v>272</v>
      </c>
      <c r="BU32" s="2">
        <v>444</v>
      </c>
      <c r="BV32" s="2">
        <v>531</v>
      </c>
      <c r="BW32" s="2">
        <v>619</v>
      </c>
      <c r="BX32" s="2">
        <v>791</v>
      </c>
      <c r="BY32" s="2">
        <v>47.2</v>
      </c>
      <c r="BZ32" s="2">
        <v>7.8</v>
      </c>
      <c r="CA32" s="2">
        <v>3</v>
      </c>
      <c r="CB32" s="2">
        <v>2.3962877553550699E-12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57</v>
      </c>
      <c r="AX33" s="2" t="s">
        <v>220</v>
      </c>
      <c r="AY33" s="130">
        <v>29.5</v>
      </c>
      <c r="AZ33" s="2">
        <v>18.8</v>
      </c>
      <c r="BA33" s="2">
        <v>48</v>
      </c>
      <c r="BB33" s="2">
        <v>77</v>
      </c>
      <c r="BC33" s="2">
        <v>3</v>
      </c>
      <c r="BD33" s="2">
        <v>8.8000000000000007</v>
      </c>
      <c r="BE33" s="2">
        <v>12</v>
      </c>
      <c r="BF33" s="2">
        <v>16.3</v>
      </c>
      <c r="BG33" s="2">
        <v>32.5</v>
      </c>
      <c r="BH33" s="2">
        <v>82.8</v>
      </c>
      <c r="BI33" s="2">
        <v>630</v>
      </c>
      <c r="BJ33" s="2">
        <v>716</v>
      </c>
      <c r="BK33" s="2">
        <v>759</v>
      </c>
      <c r="BL33" s="2">
        <v>803</v>
      </c>
      <c r="BM33" s="2">
        <v>889</v>
      </c>
      <c r="BN33" s="2"/>
      <c r="BO33" s="2"/>
      <c r="BP33" s="2"/>
      <c r="BQ33" s="2"/>
      <c r="BR33" s="2"/>
      <c r="BS33" s="2"/>
      <c r="BT33" s="2">
        <v>852</v>
      </c>
      <c r="BU33" s="2">
        <v>1025</v>
      </c>
      <c r="BV33" s="2">
        <v>1112</v>
      </c>
      <c r="BW33" s="2">
        <v>1199</v>
      </c>
      <c r="BX33" s="2">
        <v>1372</v>
      </c>
      <c r="BY33" s="2">
        <v>47.2</v>
      </c>
      <c r="BZ33" s="2">
        <v>7.8</v>
      </c>
      <c r="CA33" s="2">
        <v>3</v>
      </c>
      <c r="CB33" s="2">
        <v>2.3962877553550699E-12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57</v>
      </c>
      <c r="AX34" s="2" t="s">
        <v>221</v>
      </c>
      <c r="AY34" s="130">
        <v>36.1</v>
      </c>
      <c r="AZ34" s="2">
        <v>18.5</v>
      </c>
      <c r="BA34" s="2">
        <v>21</v>
      </c>
      <c r="BB34" s="2">
        <v>72</v>
      </c>
      <c r="BC34" s="2">
        <v>3</v>
      </c>
      <c r="BD34" s="2">
        <v>2.1</v>
      </c>
      <c r="BE34" s="2">
        <v>3</v>
      </c>
      <c r="BF34" s="2">
        <v>4.0999999999999996</v>
      </c>
      <c r="BG34" s="2">
        <v>10.199999999999999</v>
      </c>
      <c r="BH34" s="2">
        <v>29.2</v>
      </c>
      <c r="BI34" s="2">
        <v>79</v>
      </c>
      <c r="BJ34" s="2">
        <v>118</v>
      </c>
      <c r="BK34" s="2">
        <v>148</v>
      </c>
      <c r="BL34" s="2">
        <v>179</v>
      </c>
      <c r="BM34" s="2">
        <v>239</v>
      </c>
      <c r="BN34" s="2"/>
      <c r="BO34" s="2"/>
      <c r="BP34" s="2"/>
      <c r="BQ34" s="2"/>
      <c r="BR34" s="2"/>
      <c r="BS34" s="2"/>
      <c r="BT34" s="2">
        <v>57</v>
      </c>
      <c r="BU34" s="2">
        <v>111</v>
      </c>
      <c r="BV34" s="2">
        <v>193</v>
      </c>
      <c r="BW34" s="2">
        <v>276</v>
      </c>
      <c r="BX34" s="2">
        <v>440</v>
      </c>
      <c r="BY34" s="2">
        <v>14.4</v>
      </c>
      <c r="BZ34" s="2">
        <v>1.7</v>
      </c>
      <c r="CA34" s="2">
        <v>0.7</v>
      </c>
      <c r="CB34" s="2">
        <v>1.68565680346142E-13</v>
      </c>
      <c r="CC34" s="2">
        <v>1.8</v>
      </c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80</v>
      </c>
      <c r="AX35" s="2" t="s">
        <v>221</v>
      </c>
      <c r="AY35" s="130">
        <v>36.1</v>
      </c>
      <c r="AZ35" s="2">
        <v>18.5</v>
      </c>
      <c r="BA35" s="2">
        <v>21</v>
      </c>
      <c r="BB35" s="2">
        <v>72</v>
      </c>
      <c r="BC35" s="2">
        <v>3</v>
      </c>
      <c r="BD35" s="2">
        <v>3.5</v>
      </c>
      <c r="BE35" s="2">
        <v>4</v>
      </c>
      <c r="BF35" s="2">
        <v>5.5</v>
      </c>
      <c r="BG35" s="2">
        <v>11.7</v>
      </c>
      <c r="BH35" s="2">
        <v>30.7</v>
      </c>
      <c r="BI35" s="2">
        <v>132</v>
      </c>
      <c r="BJ35" s="2">
        <v>171</v>
      </c>
      <c r="BK35" s="2">
        <v>201</v>
      </c>
      <c r="BL35" s="2">
        <v>232</v>
      </c>
      <c r="BM35" s="2">
        <v>292</v>
      </c>
      <c r="BN35" s="2"/>
      <c r="BO35" s="2"/>
      <c r="BP35" s="2"/>
      <c r="BQ35" s="2"/>
      <c r="BR35" s="2"/>
      <c r="BS35" s="2"/>
      <c r="BT35" s="2">
        <v>147</v>
      </c>
      <c r="BU35" s="2">
        <v>201</v>
      </c>
      <c r="BV35" s="2">
        <v>284</v>
      </c>
      <c r="BW35" s="2">
        <v>366</v>
      </c>
      <c r="BX35" s="2">
        <v>530</v>
      </c>
      <c r="BY35" s="2">
        <v>14.4</v>
      </c>
      <c r="BZ35" s="2">
        <v>1.7</v>
      </c>
      <c r="CA35" s="2">
        <v>0.7</v>
      </c>
      <c r="CB35" s="2">
        <v>1.68565680346142E-13</v>
      </c>
      <c r="CC35" s="2">
        <v>1.8</v>
      </c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635" priority="12">
      <formula>$L32="API sand"</formula>
    </cfRule>
  </conditionalFormatting>
  <conditionalFormatting sqref="R32:S36 AB32:AB35 AJ32:AL36 Z32:Z36 N32:N36">
    <cfRule type="expression" dxfId="2634" priority="11">
      <formula>$M32="API sand"</formula>
    </cfRule>
  </conditionalFormatting>
  <conditionalFormatting sqref="R32:T36 Z32:AB35 AK32:AL36 N32:N36">
    <cfRule type="expression" dxfId="2633" priority="10">
      <formula>$M32="API clay"</formula>
    </cfRule>
  </conditionalFormatting>
  <conditionalFormatting sqref="U32:W36 AM32:AP36 N32:P36">
    <cfRule type="expression" dxfId="2632" priority="7">
      <formula>$L32="Stiff clay w/o free water"</formula>
    </cfRule>
    <cfRule type="expression" dxfId="2631" priority="9">
      <formula>$L32="API clay"</formula>
    </cfRule>
  </conditionalFormatting>
  <conditionalFormatting sqref="U32:Y36 AM32:AP36 N32:P36">
    <cfRule type="expression" dxfId="2630" priority="8">
      <formula>$L32="Kirsch soft clay"</formula>
    </cfRule>
  </conditionalFormatting>
  <conditionalFormatting sqref="U32:Y36 AM32:AP36 N32:P36">
    <cfRule type="expression" dxfId="2629" priority="6">
      <formula>$L32="Kirsch stiff clay"</formula>
    </cfRule>
  </conditionalFormatting>
  <conditionalFormatting sqref="AM32:AP36 Q32:Q36 X32:Y36 N32:N36">
    <cfRule type="expression" dxfId="2628" priority="5">
      <formula>$L32="Kirsch sand"</formula>
    </cfRule>
  </conditionalFormatting>
  <conditionalFormatting sqref="AC32:AD36 AI32:AI36 AM32:AP36 N32:N36">
    <cfRule type="expression" dxfId="2627" priority="4">
      <formula>$L32="Modified Weak rock"</formula>
    </cfRule>
  </conditionalFormatting>
  <conditionalFormatting sqref="AM32:AP36 N32:P36 U32:V36">
    <cfRule type="expression" dxfId="2626" priority="3">
      <formula>$L32="Reese stiff clay"</formula>
    </cfRule>
  </conditionalFormatting>
  <conditionalFormatting sqref="AB36">
    <cfRule type="expression" dxfId="2625" priority="2">
      <formula>$M36="API sand"</formula>
    </cfRule>
  </conditionalFormatting>
  <conditionalFormatting sqref="Z36:AB36">
    <cfRule type="expression" dxfId="2624" priority="1">
      <formula>$M36="API clay"</formula>
    </cfRule>
  </conditionalFormatting>
  <conditionalFormatting sqref="AE37:AH37">
    <cfRule type="expression" dxfId="2623" priority="13">
      <formula>#REF!="Modified Weak rock"</formula>
    </cfRule>
  </conditionalFormatting>
  <dataValidations count="4">
    <dataValidation type="list" showInputMessage="1" showErrorMessage="1" sqref="M32:M36" xr:uid="{9090B694-A7BF-43E0-BDA3-95BFA05EEC65}">
      <formula1>"',API sand,API clay"</formula1>
    </dataValidation>
    <dataValidation type="list" showInputMessage="1" showErrorMessage="1" sqref="L32:L255" xr:uid="{C9239C21-2DCD-4B37-92FD-D7E6661BECA5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492CC165-2E60-4650-9ABD-DBE0516A7049}"/>
    <dataValidation type="textLength" showInputMessage="1" showErrorMessage="1" sqref="M27:M31" xr:uid="{4B4882F8-1CC6-415C-AD0B-3F8CC2F72C65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225A8-3C63-40B4-A166-94DBF0C41CFB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Ak_Pisa_WTG18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10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EW_sand_Ruled_64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34</v>
      </c>
      <c r="R6" s="47">
        <f t="shared" ref="R6:R26" ca="1" si="7">IF(I6="","",IF(Q6&lt;&gt;0,Q6-5,NA()))</f>
        <v>29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4700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92.999999999999972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8640</v>
      </c>
      <c r="AC6" s="63">
        <f t="shared" ref="AC6:AC26" ca="1" si="18">IF(I6="","",IF(OFFSET($BV$6,(ROW()-6)*2,0)=0,0,OFFSET($BV$6,(ROW()-6)*2,0)*1000))</f>
        <v>8000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16000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36.000000000000007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64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0.3</v>
      </c>
      <c r="BF6" s="2">
        <v>0.6</v>
      </c>
      <c r="BG6" s="2">
        <v>0.9</v>
      </c>
      <c r="BH6" s="2">
        <v>1.6</v>
      </c>
      <c r="BI6" s="2"/>
      <c r="BJ6" s="2"/>
      <c r="BK6" s="2"/>
      <c r="BL6" s="2"/>
      <c r="BM6" s="2"/>
      <c r="BN6" s="2">
        <v>64</v>
      </c>
      <c r="BO6" s="2">
        <v>29</v>
      </c>
      <c r="BP6" s="2">
        <v>34</v>
      </c>
      <c r="BQ6" s="2">
        <v>37</v>
      </c>
      <c r="BR6" s="2">
        <v>39</v>
      </c>
      <c r="BS6" s="2">
        <v>45</v>
      </c>
      <c r="BT6" s="2">
        <v>0</v>
      </c>
      <c r="BU6" s="2">
        <v>4</v>
      </c>
      <c r="BV6" s="2">
        <v>8</v>
      </c>
      <c r="BW6" s="2">
        <v>13</v>
      </c>
      <c r="BX6" s="2">
        <v>24</v>
      </c>
      <c r="BY6" s="2">
        <v>4.7</v>
      </c>
      <c r="BZ6" s="2">
        <v>1</v>
      </c>
      <c r="CA6" s="2">
        <v>0.5</v>
      </c>
      <c r="CB6" s="2">
        <v>1.8297524244384801E-8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21a</v>
      </c>
      <c r="J7" s="47">
        <f t="shared" ref="J7:J26" ca="1" si="35">IF(I7&lt;&gt;"",J6+1,"")</f>
        <v>2</v>
      </c>
      <c r="K7" s="19">
        <f t="shared" ref="K7:K26" ca="1" si="36">IF(OFFSET($AW$6,(ROW()-6)*2,0)=0,"",-OFFSET($AW$6,(ROW()-6)*2,0))</f>
        <v>-1</v>
      </c>
      <c r="L7" s="116" t="str">
        <f t="shared" ca="1" si="1"/>
        <v>EW_sand_Ruled_49</v>
      </c>
      <c r="M7" s="105" t="str">
        <f t="shared" ca="1" si="2"/>
        <v>API sand</v>
      </c>
      <c r="N7" s="47">
        <f t="shared" ca="1" si="3"/>
        <v>9.8000000000000007</v>
      </c>
      <c r="O7" s="63">
        <f t="shared" ca="1" si="4"/>
        <v>0</v>
      </c>
      <c r="P7" s="63">
        <f t="shared" ca="1" si="5"/>
        <v>0</v>
      </c>
      <c r="Q7" s="47">
        <f t="shared" ca="1" si="6"/>
        <v>27</v>
      </c>
      <c r="R7" s="47">
        <f t="shared" ca="1" si="7"/>
        <v>22</v>
      </c>
      <c r="S7" s="47">
        <f t="shared" ca="1" si="8"/>
        <v>2.2999999999999998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9900</v>
      </c>
      <c r="Y7" s="47">
        <f t="shared" ca="1" si="14"/>
        <v>0</v>
      </c>
      <c r="Z7" s="47">
        <f t="shared" ca="1" si="15"/>
        <v>72.59999999999998</v>
      </c>
      <c r="AA7" s="47">
        <f t="shared" ca="1" si="16"/>
        <v>1</v>
      </c>
      <c r="AB7" s="47">
        <f t="shared" ca="1" si="17"/>
        <v>3660</v>
      </c>
      <c r="AC7" s="63">
        <f t="shared" ca="1" si="18"/>
        <v>32000</v>
      </c>
      <c r="AD7" s="63">
        <f t="shared" ca="1" si="19"/>
        <v>8666.6666666666661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15.200000000000003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49</v>
      </c>
      <c r="AS7" s="33">
        <f t="shared" ca="1" si="34"/>
        <v>0.2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0.7</v>
      </c>
      <c r="BE7" s="2">
        <v>1.3</v>
      </c>
      <c r="BF7" s="2">
        <v>1.6</v>
      </c>
      <c r="BG7" s="2">
        <v>1.9</v>
      </c>
      <c r="BH7" s="2">
        <v>2.6</v>
      </c>
      <c r="BI7" s="2"/>
      <c r="BJ7" s="2"/>
      <c r="BK7" s="2"/>
      <c r="BL7" s="2"/>
      <c r="BM7" s="2"/>
      <c r="BN7" s="2">
        <v>64</v>
      </c>
      <c r="BO7" s="2">
        <v>29</v>
      </c>
      <c r="BP7" s="2">
        <v>34</v>
      </c>
      <c r="BQ7" s="2">
        <v>37</v>
      </c>
      <c r="BR7" s="2">
        <v>39</v>
      </c>
      <c r="BS7" s="2">
        <v>45</v>
      </c>
      <c r="BT7" s="2">
        <v>9</v>
      </c>
      <c r="BU7" s="2">
        <v>19</v>
      </c>
      <c r="BV7" s="2">
        <v>24</v>
      </c>
      <c r="BW7" s="2">
        <v>28</v>
      </c>
      <c r="BX7" s="2">
        <v>39</v>
      </c>
      <c r="BY7" s="2">
        <v>4.7</v>
      </c>
      <c r="BZ7" s="2">
        <v>1</v>
      </c>
      <c r="CA7" s="2">
        <v>0.5</v>
      </c>
      <c r="CB7" s="2">
        <v>1.8297524244384801E-8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21a</v>
      </c>
      <c r="J8" s="47">
        <f t="shared" ca="1" si="35"/>
        <v>3</v>
      </c>
      <c r="K8" s="19">
        <f t="shared" ca="1" si="36"/>
        <v>-4</v>
      </c>
      <c r="L8" s="116" t="str">
        <f t="shared" ca="1" si="1"/>
        <v>EW_sand_Ruled_53</v>
      </c>
      <c r="M8" s="105" t="str">
        <f t="shared" ca="1" si="2"/>
        <v>API sand</v>
      </c>
      <c r="N8" s="47">
        <f t="shared" ca="1" si="3"/>
        <v>9.8000000000000007</v>
      </c>
      <c r="O8" s="63">
        <f t="shared" ca="1" si="4"/>
        <v>0</v>
      </c>
      <c r="P8" s="63">
        <f t="shared" ca="1" si="5"/>
        <v>0</v>
      </c>
      <c r="Q8" s="47">
        <f t="shared" ca="1" si="6"/>
        <v>28</v>
      </c>
      <c r="R8" s="47">
        <f t="shared" ca="1" si="7"/>
        <v>23</v>
      </c>
      <c r="S8" s="47">
        <f t="shared" ca="1" si="8"/>
        <v>1.5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13800</v>
      </c>
      <c r="Y8" s="47">
        <f t="shared" ca="1" si="14"/>
        <v>0</v>
      </c>
      <c r="Z8" s="47">
        <f t="shared" ca="1" si="15"/>
        <v>75.399999999999977</v>
      </c>
      <c r="AA8" s="47">
        <f t="shared" ca="1" si="16"/>
        <v>1</v>
      </c>
      <c r="AB8" s="47">
        <f t="shared" ca="1" si="17"/>
        <v>4040</v>
      </c>
      <c r="AC8" s="63">
        <f t="shared" ca="1" si="18"/>
        <v>71000</v>
      </c>
      <c r="AD8" s="63">
        <f t="shared" ca="1" si="19"/>
        <v>2750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16.800000000000004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53</v>
      </c>
      <c r="AS8" s="33">
        <f t="shared" ca="1" si="34"/>
        <v>0.2</v>
      </c>
      <c r="AW8" s="2">
        <v>1</v>
      </c>
      <c r="AX8" s="2" t="s">
        <v>271</v>
      </c>
      <c r="AY8" s="130">
        <v>24.7</v>
      </c>
      <c r="AZ8" s="2">
        <v>19.8</v>
      </c>
      <c r="BA8" s="2"/>
      <c r="BB8" s="2">
        <v>11</v>
      </c>
      <c r="BC8" s="2"/>
      <c r="BD8" s="2">
        <v>2.1</v>
      </c>
      <c r="BE8" s="2">
        <v>3.1</v>
      </c>
      <c r="BF8" s="2">
        <v>3.4</v>
      </c>
      <c r="BG8" s="2">
        <v>6</v>
      </c>
      <c r="BH8" s="2">
        <v>18.7</v>
      </c>
      <c r="BI8" s="2"/>
      <c r="BJ8" s="2"/>
      <c r="BK8" s="2"/>
      <c r="BL8" s="2"/>
      <c r="BM8" s="2"/>
      <c r="BN8" s="2">
        <v>49</v>
      </c>
      <c r="BO8" s="2">
        <v>26</v>
      </c>
      <c r="BP8" s="2">
        <v>27</v>
      </c>
      <c r="BQ8" s="2">
        <v>30</v>
      </c>
      <c r="BR8" s="2">
        <v>32</v>
      </c>
      <c r="BS8" s="2">
        <v>37</v>
      </c>
      <c r="BT8" s="2">
        <v>1</v>
      </c>
      <c r="BU8" s="2">
        <v>21</v>
      </c>
      <c r="BV8" s="2">
        <v>32</v>
      </c>
      <c r="BW8" s="2">
        <v>44</v>
      </c>
      <c r="BX8" s="2">
        <v>74</v>
      </c>
      <c r="BY8" s="2">
        <v>9.9</v>
      </c>
      <c r="BZ8" s="2">
        <v>13.5</v>
      </c>
      <c r="CA8" s="2">
        <v>2.2999999999999998</v>
      </c>
      <c r="CB8" s="2">
        <v>4.0180266151486203E-9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21c</v>
      </c>
      <c r="J9" s="47">
        <f t="shared" ca="1" si="35"/>
        <v>4</v>
      </c>
      <c r="K9" s="19">
        <f t="shared" ca="1" si="36"/>
        <v>-12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9.3000000000000007</v>
      </c>
      <c r="O9" s="63">
        <f t="shared" ca="1" si="4"/>
        <v>123</v>
      </c>
      <c r="P9" s="63">
        <f t="shared" ca="1" si="5"/>
        <v>6.75</v>
      </c>
      <c r="Q9" s="47">
        <f t="shared" ca="1" si="6"/>
        <v>0</v>
      </c>
      <c r="R9" s="47" t="e">
        <f t="shared" ca="1" si="7"/>
        <v>#N/A</v>
      </c>
      <c r="S9" s="47">
        <f t="shared" ca="1" si="8"/>
        <v>1.5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13800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147000</v>
      </c>
      <c r="AD9" s="63">
        <f t="shared" ca="1" si="19"/>
        <v>7750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4</v>
      </c>
      <c r="AX9" s="2" t="s">
        <v>271</v>
      </c>
      <c r="AY9" s="130">
        <v>24.7</v>
      </c>
      <c r="AZ9" s="2">
        <v>19.8</v>
      </c>
      <c r="BA9" s="2"/>
      <c r="BB9" s="2">
        <v>11</v>
      </c>
      <c r="BC9" s="2"/>
      <c r="BD9" s="2">
        <v>6</v>
      </c>
      <c r="BE9" s="2">
        <v>7</v>
      </c>
      <c r="BF9" s="2">
        <v>7.3</v>
      </c>
      <c r="BG9" s="2">
        <v>9.9</v>
      </c>
      <c r="BH9" s="2">
        <v>22.6</v>
      </c>
      <c r="BI9" s="2"/>
      <c r="BJ9" s="2"/>
      <c r="BK9" s="2"/>
      <c r="BL9" s="2"/>
      <c r="BM9" s="2"/>
      <c r="BN9" s="2">
        <v>49</v>
      </c>
      <c r="BO9" s="2">
        <v>26</v>
      </c>
      <c r="BP9" s="2">
        <v>27</v>
      </c>
      <c r="BQ9" s="2">
        <v>30</v>
      </c>
      <c r="BR9" s="2">
        <v>32</v>
      </c>
      <c r="BS9" s="2">
        <v>37</v>
      </c>
      <c r="BT9" s="2">
        <v>27</v>
      </c>
      <c r="BU9" s="2">
        <v>47</v>
      </c>
      <c r="BV9" s="2">
        <v>58</v>
      </c>
      <c r="BW9" s="2">
        <v>70</v>
      </c>
      <c r="BX9" s="2">
        <v>100</v>
      </c>
      <c r="BY9" s="2">
        <v>9.9</v>
      </c>
      <c r="BZ9" s="2">
        <v>13.5</v>
      </c>
      <c r="CA9" s="2">
        <v>2.2999999999999998</v>
      </c>
      <c r="CB9" s="2">
        <v>4.0180266151486203E-9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21d</v>
      </c>
      <c r="J10" s="47">
        <f t="shared" ca="1" si="35"/>
        <v>5</v>
      </c>
      <c r="K10" s="19">
        <f t="shared" ca="1" si="36"/>
        <v>-16</v>
      </c>
      <c r="L10" s="116" t="str">
        <f t="shared" ca="1" si="1"/>
        <v>EW_sand_Ruled_84</v>
      </c>
      <c r="M10" s="105" t="str">
        <f t="shared" ca="1" si="2"/>
        <v>API sand</v>
      </c>
      <c r="N10" s="47">
        <f t="shared" ca="1" si="3"/>
        <v>10</v>
      </c>
      <c r="O10" s="63">
        <f t="shared" ca="1" si="4"/>
        <v>0</v>
      </c>
      <c r="P10" s="63">
        <f t="shared" ca="1" si="5"/>
        <v>0</v>
      </c>
      <c r="Q10" s="47">
        <f t="shared" ca="1" si="6"/>
        <v>29</v>
      </c>
      <c r="R10" s="47">
        <f t="shared" ca="1" si="7"/>
        <v>24</v>
      </c>
      <c r="S10" s="47">
        <f t="shared" ca="1" si="8"/>
        <v>1.7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51600</v>
      </c>
      <c r="Y10" s="47">
        <f t="shared" ca="1" si="14"/>
        <v>0</v>
      </c>
      <c r="Z10" s="47">
        <f t="shared" ca="1" si="15"/>
        <v>78.199999999999974</v>
      </c>
      <c r="AA10" s="47">
        <f t="shared" ca="1" si="16"/>
        <v>1</v>
      </c>
      <c r="AB10" s="47">
        <f t="shared" ca="1" si="17"/>
        <v>4420</v>
      </c>
      <c r="AC10" s="63">
        <f t="shared" ca="1" si="18"/>
        <v>131000</v>
      </c>
      <c r="AD10" s="63">
        <f t="shared" ca="1" si="19"/>
        <v>12500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18.400000000000006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84</v>
      </c>
      <c r="AS10" s="33">
        <f t="shared" ca="1" si="34"/>
        <v>0.4</v>
      </c>
      <c r="AW10" s="2">
        <v>4</v>
      </c>
      <c r="AX10" s="2" t="s">
        <v>271</v>
      </c>
      <c r="AY10" s="130">
        <v>24.7</v>
      </c>
      <c r="AZ10" s="2">
        <v>19.8</v>
      </c>
      <c r="BA10" s="2"/>
      <c r="BB10" s="2">
        <v>11</v>
      </c>
      <c r="BC10" s="2"/>
      <c r="BD10" s="2">
        <v>4.8</v>
      </c>
      <c r="BE10" s="2">
        <v>10</v>
      </c>
      <c r="BF10" s="2">
        <v>10.6</v>
      </c>
      <c r="BG10" s="2">
        <v>11.2</v>
      </c>
      <c r="BH10" s="2">
        <v>16.7</v>
      </c>
      <c r="BI10" s="2"/>
      <c r="BJ10" s="2"/>
      <c r="BK10" s="2"/>
      <c r="BL10" s="2"/>
      <c r="BM10" s="2"/>
      <c r="BN10" s="2">
        <v>53</v>
      </c>
      <c r="BO10" s="2">
        <v>26</v>
      </c>
      <c r="BP10" s="2">
        <v>28</v>
      </c>
      <c r="BQ10" s="2">
        <v>30</v>
      </c>
      <c r="BR10" s="2">
        <v>32</v>
      </c>
      <c r="BS10" s="2">
        <v>37</v>
      </c>
      <c r="BT10" s="2">
        <v>4</v>
      </c>
      <c r="BU10" s="2">
        <v>51</v>
      </c>
      <c r="BV10" s="2">
        <v>71</v>
      </c>
      <c r="BW10" s="2">
        <v>90</v>
      </c>
      <c r="BX10" s="2">
        <v>139</v>
      </c>
      <c r="BY10" s="2">
        <v>13.8</v>
      </c>
      <c r="BZ10" s="2">
        <v>6.1</v>
      </c>
      <c r="CA10" s="2">
        <v>1.5</v>
      </c>
      <c r="CB10" s="2">
        <v>3.3533223991998501E-9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21e</v>
      </c>
      <c r="J11" s="47">
        <f t="shared" ca="1" si="35"/>
        <v>6</v>
      </c>
      <c r="K11" s="19">
        <f t="shared" ca="1" si="36"/>
        <v>-18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8.8999999999999986</v>
      </c>
      <c r="O11" s="63">
        <f t="shared" ca="1" si="4"/>
        <v>367</v>
      </c>
      <c r="P11" s="63">
        <f t="shared" ca="1" si="5"/>
        <v>-13.6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0.25</v>
      </c>
      <c r="X11" s="47">
        <f t="shared" ca="1" si="13"/>
        <v>28600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464000</v>
      </c>
      <c r="AD11" s="63">
        <f t="shared" ca="1" si="19"/>
        <v>-15600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12</v>
      </c>
      <c r="AX11" s="2" t="s">
        <v>271</v>
      </c>
      <c r="AY11" s="130">
        <v>24.7</v>
      </c>
      <c r="AZ11" s="2">
        <v>19.8</v>
      </c>
      <c r="BA11" s="2"/>
      <c r="BB11" s="2">
        <v>11</v>
      </c>
      <c r="BC11" s="2"/>
      <c r="BD11" s="2">
        <v>2.5</v>
      </c>
      <c r="BE11" s="2">
        <v>7.7</v>
      </c>
      <c r="BF11" s="2">
        <v>8.3000000000000007</v>
      </c>
      <c r="BG11" s="2">
        <v>8.9</v>
      </c>
      <c r="BH11" s="2">
        <v>14.5</v>
      </c>
      <c r="BI11" s="2"/>
      <c r="BJ11" s="2"/>
      <c r="BK11" s="2"/>
      <c r="BL11" s="2"/>
      <c r="BM11" s="2"/>
      <c r="BN11" s="2">
        <v>53</v>
      </c>
      <c r="BO11" s="2">
        <v>26</v>
      </c>
      <c r="BP11" s="2">
        <v>28</v>
      </c>
      <c r="BQ11" s="2">
        <v>30</v>
      </c>
      <c r="BR11" s="2">
        <v>32</v>
      </c>
      <c r="BS11" s="2">
        <v>37</v>
      </c>
      <c r="BT11" s="2">
        <v>26</v>
      </c>
      <c r="BU11" s="2">
        <v>73</v>
      </c>
      <c r="BV11" s="2">
        <v>93</v>
      </c>
      <c r="BW11" s="2">
        <v>112</v>
      </c>
      <c r="BX11" s="2">
        <v>161</v>
      </c>
      <c r="BY11" s="2">
        <v>13.8</v>
      </c>
      <c r="BZ11" s="2">
        <v>6.1</v>
      </c>
      <c r="CA11" s="2">
        <v>1.5</v>
      </c>
      <c r="CB11" s="2">
        <v>3.3533223991998501E-9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21f</v>
      </c>
      <c r="J12" s="47">
        <f t="shared" ca="1" si="35"/>
        <v>7</v>
      </c>
      <c r="K12" s="19">
        <f t="shared" ca="1" si="36"/>
        <v>-23</v>
      </c>
      <c r="L12" s="116" t="str">
        <f t="shared" ca="1" si="1"/>
        <v>EW_sand_Ruled_58</v>
      </c>
      <c r="M12" s="105" t="str">
        <f t="shared" ca="1" si="2"/>
        <v>API sand</v>
      </c>
      <c r="N12" s="47">
        <f t="shared" ca="1" si="3"/>
        <v>9</v>
      </c>
      <c r="O12" s="63">
        <f t="shared" ca="1" si="4"/>
        <v>0</v>
      </c>
      <c r="P12" s="63">
        <f t="shared" ca="1" si="5"/>
        <v>0</v>
      </c>
      <c r="Q12" s="47">
        <f t="shared" ca="1" si="6"/>
        <v>27</v>
      </c>
      <c r="R12" s="47">
        <f t="shared" ca="1" si="7"/>
        <v>22</v>
      </c>
      <c r="S12" s="47">
        <f t="shared" ca="1" si="8"/>
        <v>0.9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28000</v>
      </c>
      <c r="Y12" s="47">
        <f t="shared" ca="1" si="14"/>
        <v>0</v>
      </c>
      <c r="Z12" s="47">
        <f t="shared" ca="1" si="15"/>
        <v>72.59999999999998</v>
      </c>
      <c r="AA12" s="47">
        <f t="shared" ca="1" si="16"/>
        <v>1</v>
      </c>
      <c r="AB12" s="47">
        <f t="shared" ca="1" si="17"/>
        <v>3660</v>
      </c>
      <c r="AC12" s="63">
        <f t="shared" ca="1" si="18"/>
        <v>156000</v>
      </c>
      <c r="AD12" s="63">
        <f t="shared" ca="1" si="19"/>
        <v>461.53846153846155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15.200000000000003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58</v>
      </c>
      <c r="AS12" s="33">
        <f t="shared" ca="1" si="34"/>
        <v>0.4</v>
      </c>
      <c r="AW12" s="2">
        <v>12</v>
      </c>
      <c r="AX12" s="2" t="s">
        <v>216</v>
      </c>
      <c r="AY12" s="130">
        <v>31.7</v>
      </c>
      <c r="AZ12" s="2">
        <v>19.3</v>
      </c>
      <c r="BA12" s="2">
        <v>20</v>
      </c>
      <c r="BB12" s="2">
        <v>45</v>
      </c>
      <c r="BC12" s="2">
        <v>4</v>
      </c>
      <c r="BD12" s="2">
        <v>2.2000000000000002</v>
      </c>
      <c r="BE12" s="2">
        <v>3</v>
      </c>
      <c r="BF12" s="2">
        <v>3.1</v>
      </c>
      <c r="BG12" s="2">
        <v>3.4</v>
      </c>
      <c r="BH12" s="2">
        <v>4.8</v>
      </c>
      <c r="BI12" s="2">
        <v>37</v>
      </c>
      <c r="BJ12" s="2">
        <v>123</v>
      </c>
      <c r="BK12" s="2">
        <v>160</v>
      </c>
      <c r="BL12" s="2">
        <v>198</v>
      </c>
      <c r="BM12" s="2">
        <v>305</v>
      </c>
      <c r="BN12" s="2"/>
      <c r="BO12" s="2"/>
      <c r="BP12" s="2"/>
      <c r="BQ12" s="2"/>
      <c r="BR12" s="2"/>
      <c r="BS12" s="2"/>
      <c r="BT12" s="2">
        <v>12</v>
      </c>
      <c r="BU12" s="2">
        <v>90</v>
      </c>
      <c r="BV12" s="2">
        <v>147</v>
      </c>
      <c r="BW12" s="2">
        <v>205</v>
      </c>
      <c r="BX12" s="2">
        <v>344</v>
      </c>
      <c r="BY12" s="2">
        <v>13.8</v>
      </c>
      <c r="BZ12" s="2">
        <v>6.8</v>
      </c>
      <c r="CA12" s="2">
        <v>1.5</v>
      </c>
      <c r="CB12" s="2">
        <v>4.1804328012917301E-10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23d</v>
      </c>
      <c r="J13" s="47">
        <f t="shared" ca="1" si="35"/>
        <v>8</v>
      </c>
      <c r="K13" s="19">
        <f t="shared" ca="1" si="36"/>
        <v>-29.5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8.8999999999999986</v>
      </c>
      <c r="O13" s="63">
        <f t="shared" ca="1" si="4"/>
        <v>169</v>
      </c>
      <c r="P13" s="63">
        <f t="shared" ca="1" si="5"/>
        <v>15.333333333333334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0.5</v>
      </c>
      <c r="X13" s="47">
        <f t="shared" ca="1" si="13"/>
        <v>24800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245000</v>
      </c>
      <c r="AD13" s="63">
        <f t="shared" ca="1" si="19"/>
        <v>22285.714285714286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16</v>
      </c>
      <c r="AX13" s="2" t="s">
        <v>216</v>
      </c>
      <c r="AY13" s="130">
        <v>31.7</v>
      </c>
      <c r="AZ13" s="2">
        <v>19.3</v>
      </c>
      <c r="BA13" s="2">
        <v>20</v>
      </c>
      <c r="BB13" s="2">
        <v>45</v>
      </c>
      <c r="BC13" s="2">
        <v>4</v>
      </c>
      <c r="BD13" s="2">
        <v>2.8</v>
      </c>
      <c r="BE13" s="2">
        <v>3.5</v>
      </c>
      <c r="BF13" s="2">
        <v>3.7</v>
      </c>
      <c r="BG13" s="2">
        <v>3.9</v>
      </c>
      <c r="BH13" s="2">
        <v>5.3</v>
      </c>
      <c r="BI13" s="2">
        <v>64</v>
      </c>
      <c r="BJ13" s="2">
        <v>150</v>
      </c>
      <c r="BK13" s="2">
        <v>187</v>
      </c>
      <c r="BL13" s="2">
        <v>226</v>
      </c>
      <c r="BM13" s="2">
        <v>332</v>
      </c>
      <c r="BN13" s="2"/>
      <c r="BO13" s="2"/>
      <c r="BP13" s="2"/>
      <c r="BQ13" s="2"/>
      <c r="BR13" s="2"/>
      <c r="BS13" s="2"/>
      <c r="BT13" s="2">
        <v>43</v>
      </c>
      <c r="BU13" s="2">
        <v>121</v>
      </c>
      <c r="BV13" s="2">
        <v>178</v>
      </c>
      <c r="BW13" s="2">
        <v>236</v>
      </c>
      <c r="BX13" s="2">
        <v>375</v>
      </c>
      <c r="BY13" s="2">
        <v>13.8</v>
      </c>
      <c r="BZ13" s="2">
        <v>6.8</v>
      </c>
      <c r="CA13" s="2">
        <v>1.5</v>
      </c>
      <c r="CB13" s="2">
        <v>4.1804328012917301E-10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23d</v>
      </c>
      <c r="J14" s="47">
        <f t="shared" ca="1" si="35"/>
        <v>9</v>
      </c>
      <c r="K14" s="19">
        <f t="shared" ca="1" si="36"/>
        <v>-40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8.8999999999999986</v>
      </c>
      <c r="O14" s="63">
        <f t="shared" ca="1" si="4"/>
        <v>329</v>
      </c>
      <c r="P14" s="63">
        <f t="shared" ca="1" si="5"/>
        <v>4.5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36600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482000</v>
      </c>
      <c r="AD14" s="63">
        <f t="shared" ca="1" si="19"/>
        <v>7264.7058823529414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16</v>
      </c>
      <c r="AX14" s="2" t="s">
        <v>217</v>
      </c>
      <c r="AY14" s="130">
        <v>23.6</v>
      </c>
      <c r="AZ14" s="2">
        <v>20</v>
      </c>
      <c r="BA14" s="2"/>
      <c r="BB14" s="2">
        <v>18</v>
      </c>
      <c r="BC14" s="2"/>
      <c r="BD14" s="2">
        <v>8</v>
      </c>
      <c r="BE14" s="2">
        <v>16.600000000000001</v>
      </c>
      <c r="BF14" s="2">
        <v>19</v>
      </c>
      <c r="BG14" s="2">
        <v>21.9</v>
      </c>
      <c r="BH14" s="2">
        <v>32.299999999999997</v>
      </c>
      <c r="BI14" s="2"/>
      <c r="BJ14" s="2"/>
      <c r="BK14" s="2"/>
      <c r="BL14" s="2"/>
      <c r="BM14" s="2"/>
      <c r="BN14" s="2">
        <v>84</v>
      </c>
      <c r="BO14" s="2">
        <v>26</v>
      </c>
      <c r="BP14" s="2">
        <v>29</v>
      </c>
      <c r="BQ14" s="2">
        <v>32</v>
      </c>
      <c r="BR14" s="2">
        <v>34</v>
      </c>
      <c r="BS14" s="2">
        <v>39</v>
      </c>
      <c r="BT14" s="2">
        <v>16</v>
      </c>
      <c r="BU14" s="2">
        <v>96</v>
      </c>
      <c r="BV14" s="2">
        <v>131</v>
      </c>
      <c r="BW14" s="2">
        <v>166</v>
      </c>
      <c r="BX14" s="2">
        <v>252</v>
      </c>
      <c r="BY14" s="2">
        <v>51.6</v>
      </c>
      <c r="BZ14" s="2">
        <v>7.7</v>
      </c>
      <c r="CA14" s="2">
        <v>1.7</v>
      </c>
      <c r="CB14" s="2">
        <v>1.9127345333153501E-6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23l</v>
      </c>
      <c r="J15" s="47">
        <f t="shared" ca="1" si="35"/>
        <v>10</v>
      </c>
      <c r="K15" s="19">
        <f t="shared" ca="1" si="36"/>
        <v>-74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8.8000000000000007</v>
      </c>
      <c r="O15" s="63">
        <f t="shared" ca="1" si="4"/>
        <v>1230</v>
      </c>
      <c r="P15" s="63">
        <f t="shared" ca="1" si="5"/>
        <v>5.666666666666667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105400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2172000</v>
      </c>
      <c r="AD15" s="63">
        <f t="shared" ca="1" si="19"/>
        <v>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18</v>
      </c>
      <c r="AX15" s="2" t="s">
        <v>217</v>
      </c>
      <c r="AY15" s="130">
        <v>23.6</v>
      </c>
      <c r="AZ15" s="2">
        <v>20</v>
      </c>
      <c r="BA15" s="2"/>
      <c r="BB15" s="2">
        <v>18</v>
      </c>
      <c r="BC15" s="2"/>
      <c r="BD15" s="2">
        <v>25</v>
      </c>
      <c r="BE15" s="2">
        <v>33.5</v>
      </c>
      <c r="BF15" s="2">
        <v>35.9</v>
      </c>
      <c r="BG15" s="2">
        <v>38.799999999999997</v>
      </c>
      <c r="BH15" s="2">
        <v>49.2</v>
      </c>
      <c r="BI15" s="2"/>
      <c r="BJ15" s="2"/>
      <c r="BK15" s="2"/>
      <c r="BL15" s="2"/>
      <c r="BM15" s="2"/>
      <c r="BN15" s="2">
        <v>84</v>
      </c>
      <c r="BO15" s="2">
        <v>26</v>
      </c>
      <c r="BP15" s="2">
        <v>29</v>
      </c>
      <c r="BQ15" s="2">
        <v>32</v>
      </c>
      <c r="BR15" s="2">
        <v>34</v>
      </c>
      <c r="BS15" s="2">
        <v>39</v>
      </c>
      <c r="BT15" s="2">
        <v>41</v>
      </c>
      <c r="BU15" s="2">
        <v>121</v>
      </c>
      <c r="BV15" s="2">
        <v>156</v>
      </c>
      <c r="BW15" s="2">
        <v>191</v>
      </c>
      <c r="BX15" s="2">
        <v>277</v>
      </c>
      <c r="BY15" s="2">
        <v>51.6</v>
      </c>
      <c r="BZ15" s="2">
        <v>7.7</v>
      </c>
      <c r="CA15" s="2">
        <v>1.7</v>
      </c>
      <c r="CB15" s="2">
        <v>1.9127345333153501E-6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/>
      </c>
      <c r="J16" s="47" t="str">
        <f t="shared" ca="1" si="35"/>
        <v/>
      </c>
      <c r="K16" s="19" t="str">
        <f t="shared" ca="1" si="36"/>
        <v/>
      </c>
      <c r="L16" s="116" t="str">
        <f t="shared" ca="1" si="1"/>
        <v/>
      </c>
      <c r="M16" s="105" t="str">
        <f t="shared" ca="1" si="2"/>
        <v/>
      </c>
      <c r="N16" s="47" t="str">
        <f t="shared" ca="1" si="3"/>
        <v/>
      </c>
      <c r="O16" s="63" t="str">
        <f t="shared" ca="1" si="4"/>
        <v/>
      </c>
      <c r="P16" s="63" t="str">
        <f t="shared" ca="1" si="5"/>
        <v/>
      </c>
      <c r="Q16" s="47" t="str">
        <f t="shared" ca="1" si="6"/>
        <v/>
      </c>
      <c r="R16" s="47" t="str">
        <f t="shared" ca="1" si="7"/>
        <v/>
      </c>
      <c r="S16" s="47" t="str">
        <f t="shared" ca="1" si="8"/>
        <v/>
      </c>
      <c r="T16" s="47" t="str">
        <f t="shared" ca="1" si="9"/>
        <v/>
      </c>
      <c r="U16" s="75" t="str">
        <f t="shared" ca="1" si="10"/>
        <v/>
      </c>
      <c r="V16" s="75" t="str">
        <f t="shared" ca="1" si="11"/>
        <v/>
      </c>
      <c r="W16" s="47" t="str">
        <f t="shared" ca="1" si="12"/>
        <v/>
      </c>
      <c r="X16" s="47" t="str">
        <f t="shared" ca="1" si="13"/>
        <v/>
      </c>
      <c r="Y16" s="47" t="str">
        <f t="shared" ca="1" si="14"/>
        <v/>
      </c>
      <c r="Z16" s="47" t="str">
        <f t="shared" ca="1" si="15"/>
        <v/>
      </c>
      <c r="AA16" s="47" t="str">
        <f t="shared" ca="1" si="16"/>
        <v/>
      </c>
      <c r="AB16" s="47" t="str">
        <f t="shared" ca="1" si="17"/>
        <v/>
      </c>
      <c r="AC16" s="63" t="str">
        <f t="shared" ca="1" si="18"/>
        <v/>
      </c>
      <c r="AD16" s="63" t="str">
        <f t="shared" ca="1" si="19"/>
        <v/>
      </c>
      <c r="AE16" s="63" t="str">
        <f t="shared" ca="1" si="20"/>
        <v/>
      </c>
      <c r="AF16" s="63" t="str">
        <f t="shared" ca="1" si="21"/>
        <v/>
      </c>
      <c r="AG16" s="63" t="str">
        <f t="shared" ca="1" si="22"/>
        <v/>
      </c>
      <c r="AH16" s="63" t="str">
        <f t="shared" ca="1" si="23"/>
        <v/>
      </c>
      <c r="AI16" s="63" t="str">
        <f t="shared" ca="1" si="24"/>
        <v/>
      </c>
      <c r="AJ16" s="47" t="str">
        <f t="shared" ca="1" si="25"/>
        <v/>
      </c>
      <c r="AK16" s="47" t="str">
        <f t="shared" ca="1" si="26"/>
        <v/>
      </c>
      <c r="AL16" s="47" t="str">
        <f t="shared" ca="1" si="27"/>
        <v/>
      </c>
      <c r="AM16" s="47" t="str">
        <f t="shared" ca="1" si="28"/>
        <v/>
      </c>
      <c r="AN16" s="47" t="str">
        <f t="shared" ca="1" si="29"/>
        <v/>
      </c>
      <c r="AO16" s="47" t="str">
        <f t="shared" ca="1" si="30"/>
        <v/>
      </c>
      <c r="AP16" s="47" t="str">
        <f t="shared" ca="1" si="31"/>
        <v/>
      </c>
      <c r="AQ16" s="47" t="str">
        <f t="shared" ca="1" si="32"/>
        <v/>
      </c>
      <c r="AR16" s="47" t="str">
        <f t="shared" ca="1" si="33"/>
        <v/>
      </c>
      <c r="AS16" s="33" t="str">
        <f t="shared" ca="1" si="34"/>
        <v/>
      </c>
      <c r="AW16" s="2">
        <v>18</v>
      </c>
      <c r="AX16" s="2" t="s">
        <v>311</v>
      </c>
      <c r="AY16" s="130">
        <v>32.5</v>
      </c>
      <c r="AZ16" s="2">
        <v>18.899999999999999</v>
      </c>
      <c r="BA16" s="2"/>
      <c r="BB16" s="2">
        <v>30</v>
      </c>
      <c r="BC16" s="2">
        <v>5</v>
      </c>
      <c r="BD16" s="2">
        <v>4.5999999999999996</v>
      </c>
      <c r="BE16" s="2">
        <v>7.6</v>
      </c>
      <c r="BF16" s="2">
        <v>8</v>
      </c>
      <c r="BG16" s="2">
        <v>8.5</v>
      </c>
      <c r="BH16" s="2">
        <v>12.3</v>
      </c>
      <c r="BI16" s="2">
        <v>177</v>
      </c>
      <c r="BJ16" s="2">
        <v>367</v>
      </c>
      <c r="BK16" s="2">
        <v>424</v>
      </c>
      <c r="BL16" s="2">
        <v>484</v>
      </c>
      <c r="BM16" s="2">
        <v>713</v>
      </c>
      <c r="BN16" s="2"/>
      <c r="BO16" s="2"/>
      <c r="BP16" s="2"/>
      <c r="BQ16" s="2"/>
      <c r="BR16" s="2"/>
      <c r="BS16" s="2"/>
      <c r="BT16" s="2">
        <v>114</v>
      </c>
      <c r="BU16" s="2">
        <v>371</v>
      </c>
      <c r="BV16" s="2">
        <v>464</v>
      </c>
      <c r="BW16" s="2">
        <v>560</v>
      </c>
      <c r="BX16" s="2">
        <v>875</v>
      </c>
      <c r="BY16" s="2">
        <v>28.6</v>
      </c>
      <c r="BZ16" s="2">
        <v>10.6</v>
      </c>
      <c r="CA16" s="2">
        <v>3</v>
      </c>
      <c r="CB16" s="2">
        <v>1.1439493257798799E-9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23</v>
      </c>
      <c r="AX17" s="2" t="s">
        <v>311</v>
      </c>
      <c r="AY17" s="130">
        <v>32.5</v>
      </c>
      <c r="AZ17" s="2">
        <v>18.899999999999999</v>
      </c>
      <c r="BA17" s="2"/>
      <c r="BB17" s="2">
        <v>30</v>
      </c>
      <c r="BC17" s="2">
        <v>5</v>
      </c>
      <c r="BD17" s="2">
        <v>3.5</v>
      </c>
      <c r="BE17" s="2">
        <v>6.4</v>
      </c>
      <c r="BF17" s="2">
        <v>6.8</v>
      </c>
      <c r="BG17" s="2">
        <v>7.4</v>
      </c>
      <c r="BH17" s="2">
        <v>11.1</v>
      </c>
      <c r="BI17" s="2">
        <v>108</v>
      </c>
      <c r="BJ17" s="2">
        <v>299</v>
      </c>
      <c r="BK17" s="2">
        <v>355</v>
      </c>
      <c r="BL17" s="2">
        <v>415</v>
      </c>
      <c r="BM17" s="2">
        <v>644</v>
      </c>
      <c r="BN17" s="2"/>
      <c r="BO17" s="2"/>
      <c r="BP17" s="2"/>
      <c r="BQ17" s="2"/>
      <c r="BR17" s="2"/>
      <c r="BS17" s="2"/>
      <c r="BT17" s="2">
        <v>36</v>
      </c>
      <c r="BU17" s="2">
        <v>293</v>
      </c>
      <c r="BV17" s="2">
        <v>386</v>
      </c>
      <c r="BW17" s="2">
        <v>482</v>
      </c>
      <c r="BX17" s="2">
        <v>797</v>
      </c>
      <c r="BY17" s="2">
        <v>28.6</v>
      </c>
      <c r="BZ17" s="2">
        <v>10.6</v>
      </c>
      <c r="CA17" s="2">
        <v>3</v>
      </c>
      <c r="CB17" s="2">
        <v>1.1439493257798799E-9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23</v>
      </c>
      <c r="AX18" s="2" t="s">
        <v>317</v>
      </c>
      <c r="AY18" s="130">
        <v>25</v>
      </c>
      <c r="AZ18" s="2">
        <v>19</v>
      </c>
      <c r="BA18" s="2"/>
      <c r="BB18" s="2"/>
      <c r="BC18" s="2"/>
      <c r="BD18" s="2">
        <v>14.6</v>
      </c>
      <c r="BE18" s="2">
        <v>19.3</v>
      </c>
      <c r="BF18" s="2">
        <v>19.899999999999999</v>
      </c>
      <c r="BG18" s="2">
        <v>20.399999999999999</v>
      </c>
      <c r="BH18" s="2">
        <v>24.9</v>
      </c>
      <c r="BI18" s="2"/>
      <c r="BJ18" s="2"/>
      <c r="BK18" s="2"/>
      <c r="BL18" s="2"/>
      <c r="BM18" s="2"/>
      <c r="BN18" s="2">
        <v>58</v>
      </c>
      <c r="BO18" s="2">
        <v>26</v>
      </c>
      <c r="BP18" s="2">
        <v>27</v>
      </c>
      <c r="BQ18" s="2">
        <v>30</v>
      </c>
      <c r="BR18" s="2">
        <v>32</v>
      </c>
      <c r="BS18" s="2">
        <v>36</v>
      </c>
      <c r="BT18" s="2">
        <v>27</v>
      </c>
      <c r="BU18" s="2">
        <v>119</v>
      </c>
      <c r="BV18" s="2">
        <v>156</v>
      </c>
      <c r="BW18" s="2">
        <v>193</v>
      </c>
      <c r="BX18" s="2">
        <v>285</v>
      </c>
      <c r="BY18" s="2">
        <v>28</v>
      </c>
      <c r="BZ18" s="2">
        <v>2.5</v>
      </c>
      <c r="CA18" s="2">
        <v>0.9</v>
      </c>
      <c r="CB18" s="2">
        <v>1.1641539670837E-9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29.5</v>
      </c>
      <c r="AX19" s="2" t="s">
        <v>317</v>
      </c>
      <c r="AY19" s="130">
        <v>25</v>
      </c>
      <c r="AZ19" s="2">
        <v>19</v>
      </c>
      <c r="BA19" s="2"/>
      <c r="BB19" s="2"/>
      <c r="BC19" s="2"/>
      <c r="BD19" s="2">
        <v>7.9</v>
      </c>
      <c r="BE19" s="2">
        <v>12.6</v>
      </c>
      <c r="BF19" s="2">
        <v>13.2</v>
      </c>
      <c r="BG19" s="2">
        <v>13.7</v>
      </c>
      <c r="BH19" s="2">
        <v>18.2</v>
      </c>
      <c r="BI19" s="2"/>
      <c r="BJ19" s="2"/>
      <c r="BK19" s="2"/>
      <c r="BL19" s="2"/>
      <c r="BM19" s="2"/>
      <c r="BN19" s="2">
        <v>58</v>
      </c>
      <c r="BO19" s="2">
        <v>26</v>
      </c>
      <c r="BP19" s="2">
        <v>27</v>
      </c>
      <c r="BQ19" s="2">
        <v>30</v>
      </c>
      <c r="BR19" s="2">
        <v>32</v>
      </c>
      <c r="BS19" s="2">
        <v>36</v>
      </c>
      <c r="BT19" s="2">
        <v>30</v>
      </c>
      <c r="BU19" s="2">
        <v>122</v>
      </c>
      <c r="BV19" s="2">
        <v>159</v>
      </c>
      <c r="BW19" s="2">
        <v>196</v>
      </c>
      <c r="BX19" s="2">
        <v>288</v>
      </c>
      <c r="BY19" s="2">
        <v>28</v>
      </c>
      <c r="BZ19" s="2">
        <v>2.5</v>
      </c>
      <c r="CA19" s="2">
        <v>0.9</v>
      </c>
      <c r="CB19" s="2">
        <v>1.1641539670837E-9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29.5</v>
      </c>
      <c r="AX20" s="2" t="s">
        <v>273</v>
      </c>
      <c r="AY20" s="130">
        <v>32</v>
      </c>
      <c r="AZ20" s="2">
        <v>18.899999999999999</v>
      </c>
      <c r="BA20" s="2">
        <v>47</v>
      </c>
      <c r="BB20" s="2">
        <v>85</v>
      </c>
      <c r="BC20" s="2">
        <v>3</v>
      </c>
      <c r="BD20" s="2">
        <f>-2+4.2</f>
        <v>2.2000000000000002</v>
      </c>
      <c r="BE20" s="2">
        <v>4.8</v>
      </c>
      <c r="BF20" s="2">
        <v>4.9000000000000004</v>
      </c>
      <c r="BG20" s="2">
        <v>5.0999999999999996</v>
      </c>
      <c r="BH20" s="2">
        <f>2+6.6</f>
        <v>8.6</v>
      </c>
      <c r="BI20" s="2">
        <v>81</v>
      </c>
      <c r="BJ20" s="2">
        <v>169</v>
      </c>
      <c r="BK20" s="2">
        <v>212</v>
      </c>
      <c r="BL20" s="2">
        <v>256</v>
      </c>
      <c r="BM20" s="2">
        <v>367</v>
      </c>
      <c r="BN20" s="2"/>
      <c r="BO20" s="2"/>
      <c r="BP20" s="2"/>
      <c r="BQ20" s="2"/>
      <c r="BR20" s="2"/>
      <c r="BS20" s="2"/>
      <c r="BT20" s="2">
        <v>29</v>
      </c>
      <c r="BU20" s="2">
        <v>160</v>
      </c>
      <c r="BV20" s="2">
        <v>245</v>
      </c>
      <c r="BW20" s="2">
        <v>332</v>
      </c>
      <c r="BX20" s="2">
        <v>529</v>
      </c>
      <c r="BY20" s="2">
        <v>24.8</v>
      </c>
      <c r="BZ20" s="2">
        <v>4.9000000000000004</v>
      </c>
      <c r="CA20" s="2">
        <v>3</v>
      </c>
      <c r="CB20" s="2">
        <v>3.3086093128310498E-10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40</v>
      </c>
      <c r="AX21" s="2" t="s">
        <v>273</v>
      </c>
      <c r="AY21" s="130">
        <v>32</v>
      </c>
      <c r="AZ21" s="2">
        <v>18.899999999999999</v>
      </c>
      <c r="BA21" s="2">
        <v>47</v>
      </c>
      <c r="BB21" s="2">
        <v>85</v>
      </c>
      <c r="BC21" s="2">
        <v>3</v>
      </c>
      <c r="BD21" s="2">
        <f>-2+7.6</f>
        <v>5.6</v>
      </c>
      <c r="BE21" s="2">
        <v>8.1999999999999993</v>
      </c>
      <c r="BF21" s="2">
        <v>8.3000000000000007</v>
      </c>
      <c r="BG21" s="2">
        <v>8.4</v>
      </c>
      <c r="BH21" s="2">
        <f>2+10</f>
        <v>12</v>
      </c>
      <c r="BI21" s="2">
        <v>241</v>
      </c>
      <c r="BJ21" s="2">
        <v>330</v>
      </c>
      <c r="BK21" s="2">
        <v>372</v>
      </c>
      <c r="BL21" s="2">
        <v>417</v>
      </c>
      <c r="BM21" s="2">
        <v>527</v>
      </c>
      <c r="BN21" s="2"/>
      <c r="BO21" s="2"/>
      <c r="BP21" s="2"/>
      <c r="BQ21" s="2"/>
      <c r="BR21" s="2"/>
      <c r="BS21" s="2"/>
      <c r="BT21" s="2">
        <v>263</v>
      </c>
      <c r="BU21" s="2">
        <v>393</v>
      </c>
      <c r="BV21" s="2">
        <v>479</v>
      </c>
      <c r="BW21" s="2">
        <v>565</v>
      </c>
      <c r="BX21" s="2">
        <v>763</v>
      </c>
      <c r="BY21" s="2">
        <v>24.8</v>
      </c>
      <c r="BZ21" s="2">
        <v>4.9000000000000004</v>
      </c>
      <c r="CA21" s="2">
        <v>3</v>
      </c>
      <c r="CB21" s="2">
        <v>3.3086093128310498E-10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40</v>
      </c>
      <c r="AX22" s="2" t="s">
        <v>273</v>
      </c>
      <c r="AY22" s="130">
        <v>32</v>
      </c>
      <c r="AZ22" s="2">
        <v>18.899999999999999</v>
      </c>
      <c r="BA22" s="2">
        <v>47</v>
      </c>
      <c r="BB22" s="2">
        <v>85</v>
      </c>
      <c r="BC22" s="2">
        <v>3</v>
      </c>
      <c r="BD22" s="2">
        <f>-2+7.3</f>
        <v>5.3</v>
      </c>
      <c r="BE22" s="2">
        <v>8.1999999999999993</v>
      </c>
      <c r="BF22" s="2">
        <v>8.3000000000000007</v>
      </c>
      <c r="BG22" s="2">
        <v>8.5</v>
      </c>
      <c r="BH22" s="2">
        <f>10+10.6</f>
        <v>20.6</v>
      </c>
      <c r="BI22" s="2">
        <v>234</v>
      </c>
      <c r="BJ22" s="2">
        <v>329</v>
      </c>
      <c r="BK22" s="2">
        <v>373</v>
      </c>
      <c r="BL22" s="2">
        <v>418</v>
      </c>
      <c r="BM22" s="2">
        <v>548</v>
      </c>
      <c r="BN22" s="2"/>
      <c r="BO22" s="2"/>
      <c r="BP22" s="2"/>
      <c r="BQ22" s="2"/>
      <c r="BR22" s="2"/>
      <c r="BS22" s="2"/>
      <c r="BT22" s="2">
        <v>210</v>
      </c>
      <c r="BU22" s="2">
        <v>394</v>
      </c>
      <c r="BV22" s="2">
        <v>482</v>
      </c>
      <c r="BW22" s="2">
        <v>572</v>
      </c>
      <c r="BX22" s="2">
        <v>808</v>
      </c>
      <c r="BY22" s="2">
        <v>36.6</v>
      </c>
      <c r="BZ22" s="2">
        <v>5.8</v>
      </c>
      <c r="CA22" s="2">
        <v>3</v>
      </c>
      <c r="CB22" s="2">
        <v>6.4594295519314396E-10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74</v>
      </c>
      <c r="AX23" s="2" t="s">
        <v>273</v>
      </c>
      <c r="AY23" s="130">
        <v>32</v>
      </c>
      <c r="AZ23" s="2">
        <v>18.899999999999999</v>
      </c>
      <c r="BA23" s="2">
        <v>47</v>
      </c>
      <c r="BB23" s="2">
        <v>85</v>
      </c>
      <c r="BC23" s="2">
        <v>3</v>
      </c>
      <c r="BD23" s="2">
        <f>-2+10.6</f>
        <v>8.6</v>
      </c>
      <c r="BE23" s="2">
        <v>11.4</v>
      </c>
      <c r="BF23" s="2">
        <f>5+11.5</f>
        <v>16.5</v>
      </c>
      <c r="BG23" s="2">
        <f>8+11.8</f>
        <v>19.8</v>
      </c>
      <c r="BH23" s="2">
        <f>10+13.9</f>
        <v>23.9</v>
      </c>
      <c r="BI23" s="2">
        <v>387</v>
      </c>
      <c r="BJ23" s="2">
        <v>482</v>
      </c>
      <c r="BK23" s="2">
        <v>526</v>
      </c>
      <c r="BL23" s="2">
        <v>572</v>
      </c>
      <c r="BM23" s="2">
        <v>702</v>
      </c>
      <c r="BN23" s="2"/>
      <c r="BO23" s="2"/>
      <c r="BP23" s="2"/>
      <c r="BQ23" s="2"/>
      <c r="BR23" s="2"/>
      <c r="BS23" s="2"/>
      <c r="BT23" s="2">
        <v>457</v>
      </c>
      <c r="BU23" s="2">
        <v>641</v>
      </c>
      <c r="BV23" s="2">
        <v>729</v>
      </c>
      <c r="BW23" s="2">
        <v>819</v>
      </c>
      <c r="BX23" s="2">
        <v>1055</v>
      </c>
      <c r="BY23" s="2">
        <v>36.6</v>
      </c>
      <c r="BZ23" s="2">
        <v>5.8</v>
      </c>
      <c r="CA23" s="2">
        <v>3</v>
      </c>
      <c r="CB23" s="2">
        <v>6.4594295519314396E-10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74</v>
      </c>
      <c r="AX24" s="2" t="s">
        <v>220</v>
      </c>
      <c r="AY24" s="130">
        <v>29.5</v>
      </c>
      <c r="AZ24" s="2">
        <v>18.8</v>
      </c>
      <c r="BA24" s="2">
        <v>48</v>
      </c>
      <c r="BB24" s="2">
        <v>77</v>
      </c>
      <c r="BC24" s="2">
        <v>3</v>
      </c>
      <c r="BD24" s="2">
        <v>2.7</v>
      </c>
      <c r="BE24" s="2">
        <v>18.3</v>
      </c>
      <c r="BF24" s="2">
        <v>27.6</v>
      </c>
      <c r="BG24" s="2">
        <v>58.2</v>
      </c>
      <c r="BH24" s="2">
        <v>152.9</v>
      </c>
      <c r="BI24" s="2">
        <v>1136</v>
      </c>
      <c r="BJ24" s="2">
        <v>1230</v>
      </c>
      <c r="BK24" s="2">
        <v>1276</v>
      </c>
      <c r="BL24" s="2">
        <v>1332</v>
      </c>
      <c r="BM24" s="2">
        <v>1444</v>
      </c>
      <c r="BN24" s="2"/>
      <c r="BO24" s="2"/>
      <c r="BP24" s="2"/>
      <c r="BQ24" s="2"/>
      <c r="BR24" s="2"/>
      <c r="BS24" s="2"/>
      <c r="BT24" s="2">
        <v>1812</v>
      </c>
      <c r="BU24" s="2">
        <v>2070</v>
      </c>
      <c r="BV24" s="2">
        <v>2172</v>
      </c>
      <c r="BW24" s="2">
        <v>2275</v>
      </c>
      <c r="BX24" s="2">
        <v>2535</v>
      </c>
      <c r="BY24" s="2">
        <v>105.4</v>
      </c>
      <c r="BZ24" s="2">
        <v>10.6</v>
      </c>
      <c r="CA24" s="2">
        <v>3</v>
      </c>
      <c r="CB24" s="2">
        <v>5.67649218326223E-12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80</v>
      </c>
      <c r="AX25" s="2" t="s">
        <v>220</v>
      </c>
      <c r="AY25" s="130">
        <v>29.5</v>
      </c>
      <c r="AZ25" s="2">
        <v>18.8</v>
      </c>
      <c r="BA25" s="2">
        <v>48</v>
      </c>
      <c r="BB25" s="2">
        <v>77</v>
      </c>
      <c r="BC25" s="2">
        <v>3</v>
      </c>
      <c r="BD25" s="2">
        <v>3.4</v>
      </c>
      <c r="BE25" s="2">
        <v>19</v>
      </c>
      <c r="BF25" s="2">
        <v>28.3</v>
      </c>
      <c r="BG25" s="2">
        <v>58.9</v>
      </c>
      <c r="BH25" s="2">
        <v>153.6</v>
      </c>
      <c r="BI25" s="2">
        <v>1170</v>
      </c>
      <c r="BJ25" s="2">
        <v>1264</v>
      </c>
      <c r="BK25" s="2">
        <v>1310</v>
      </c>
      <c r="BL25" s="2">
        <v>1366</v>
      </c>
      <c r="BM25" s="2">
        <v>1477</v>
      </c>
      <c r="BN25" s="2"/>
      <c r="BO25" s="2"/>
      <c r="BP25" s="2"/>
      <c r="BQ25" s="2"/>
      <c r="BR25" s="2"/>
      <c r="BS25" s="2"/>
      <c r="BT25" s="2">
        <v>1812</v>
      </c>
      <c r="BU25" s="2">
        <v>2070</v>
      </c>
      <c r="BV25" s="2">
        <v>2172</v>
      </c>
      <c r="BW25" s="2">
        <v>2275</v>
      </c>
      <c r="BX25" s="2">
        <v>2535</v>
      </c>
      <c r="BY25" s="2">
        <v>105.4</v>
      </c>
      <c r="BZ25" s="2">
        <v>10.6</v>
      </c>
      <c r="CA25" s="2">
        <v>3</v>
      </c>
      <c r="CB25" s="2">
        <v>5.67649218326223E-12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K26" s="19" t="str">
        <f t="shared" ca="1" si="36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/>
      <c r="AX26" s="2"/>
      <c r="AY26" s="130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/>
      <c r="AX27" s="2"/>
      <c r="AY27" s="130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622" priority="12">
      <formula>$L32="API sand"</formula>
    </cfRule>
  </conditionalFormatting>
  <conditionalFormatting sqref="R32:S36 AB32:AB35 AJ32:AL36 Z32:Z36 N32:N36">
    <cfRule type="expression" dxfId="2621" priority="11">
      <formula>$M32="API sand"</formula>
    </cfRule>
  </conditionalFormatting>
  <conditionalFormatting sqref="R32:T36 Z32:AB35 AK32:AL36 N32:N36">
    <cfRule type="expression" dxfId="2620" priority="10">
      <formula>$M32="API clay"</formula>
    </cfRule>
  </conditionalFormatting>
  <conditionalFormatting sqref="U32:W36 AM32:AP36 N32:P36">
    <cfRule type="expression" dxfId="2619" priority="7">
      <formula>$L32="Stiff clay w/o free water"</formula>
    </cfRule>
    <cfRule type="expression" dxfId="2618" priority="9">
      <formula>$L32="API clay"</formula>
    </cfRule>
  </conditionalFormatting>
  <conditionalFormatting sqref="U32:Y36 AM32:AP36 N32:P36">
    <cfRule type="expression" dxfId="2617" priority="8">
      <formula>$L32="Kirsch soft clay"</formula>
    </cfRule>
  </conditionalFormatting>
  <conditionalFormatting sqref="U32:Y36 AM32:AP36 N32:P36">
    <cfRule type="expression" dxfId="2616" priority="6">
      <formula>$L32="Kirsch stiff clay"</formula>
    </cfRule>
  </conditionalFormatting>
  <conditionalFormatting sqref="AM32:AP36 Q32:Q36 X32:Y36 N32:N36">
    <cfRule type="expression" dxfId="2615" priority="5">
      <formula>$L32="Kirsch sand"</formula>
    </cfRule>
  </conditionalFormatting>
  <conditionalFormatting sqref="AC32:AD36 AI32:AI36 AM32:AP36 N32:N36">
    <cfRule type="expression" dxfId="2614" priority="4">
      <formula>$L32="Modified Weak rock"</formula>
    </cfRule>
  </conditionalFormatting>
  <conditionalFormatting sqref="AM32:AP36 N32:P36 U32:V36">
    <cfRule type="expression" dxfId="2613" priority="3">
      <formula>$L32="Reese stiff clay"</formula>
    </cfRule>
  </conditionalFormatting>
  <conditionalFormatting sqref="AB36">
    <cfRule type="expression" dxfId="2612" priority="2">
      <formula>$M36="API sand"</formula>
    </cfRule>
  </conditionalFormatting>
  <conditionalFormatting sqref="Z36:AB36">
    <cfRule type="expression" dxfId="2611" priority="1">
      <formula>$M36="API clay"</formula>
    </cfRule>
  </conditionalFormatting>
  <conditionalFormatting sqref="AE37:AH37">
    <cfRule type="expression" dxfId="2610" priority="13">
      <formula>#REF!="Modified Weak rock"</formula>
    </cfRule>
  </conditionalFormatting>
  <dataValidations count="4">
    <dataValidation type="textLength" showInputMessage="1" showErrorMessage="1" sqref="M27:M31" xr:uid="{DF96383A-ADC6-46EF-A723-764528E2D91A}">
      <formula1>0</formula1>
      <formula2>100</formula2>
    </dataValidation>
    <dataValidation showInputMessage="1" showErrorMessage="1" sqref="L6:M26" xr:uid="{4AEAB35E-4C30-46BD-8BB3-F6AE10DE5690}"/>
    <dataValidation type="list" showInputMessage="1" showErrorMessage="1" sqref="L32:L255" xr:uid="{96D216FE-99A7-4510-A8D2-5130679DB2E9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33786AEE-6E9D-461D-9D54-0D0F392861E4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5804-51F8-4851-8402-64321F97D16E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Ak_Pisa_WTG19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EW_sand_Ruled_55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29</v>
      </c>
      <c r="R6" s="47">
        <f t="shared" ref="R6:R26" ca="1" si="7">IF(I6="","",IF(Q6&lt;&gt;0,Q6-5,NA()))</f>
        <v>24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1200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78.199999999999974</v>
      </c>
      <c r="AA6" s="47">
        <f t="shared" ref="AA6:AA26" ca="1" si="16">IF(I6="","",1)</f>
        <v>1</v>
      </c>
      <c r="AB6" s="47">
        <f t="shared" ref="AB6:AB26" ca="1" si="17">IF(I6="","",VLOOKUP(R6,$AE$39:$AG$59,3))</f>
        <v>4420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17500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18.400000000000006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55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0.2</v>
      </c>
      <c r="BG6" s="2">
        <v>0.3</v>
      </c>
      <c r="BH6" s="2">
        <v>0.3</v>
      </c>
      <c r="BI6" s="2"/>
      <c r="BJ6" s="2"/>
      <c r="BK6" s="2"/>
      <c r="BL6" s="2"/>
      <c r="BM6" s="2"/>
      <c r="BN6" s="2">
        <v>55</v>
      </c>
      <c r="BO6" s="2">
        <v>22</v>
      </c>
      <c r="BP6" s="2">
        <v>29</v>
      </c>
      <c r="BQ6" s="2">
        <v>32</v>
      </c>
      <c r="BR6" s="2">
        <v>35</v>
      </c>
      <c r="BS6" s="2">
        <v>41</v>
      </c>
      <c r="BT6" s="2">
        <v>0</v>
      </c>
      <c r="BU6" s="2">
        <v>2</v>
      </c>
      <c r="BV6" s="2">
        <v>5</v>
      </c>
      <c r="BW6" s="2">
        <v>7</v>
      </c>
      <c r="BX6" s="2">
        <v>12</v>
      </c>
      <c r="BY6" s="2">
        <v>1.2</v>
      </c>
      <c r="BZ6" s="2">
        <v>1</v>
      </c>
      <c r="CA6" s="2">
        <v>0.5</v>
      </c>
      <c r="CB6" s="2">
        <v>5.3762733032737997E-4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02a</v>
      </c>
      <c r="J7" s="47">
        <f t="shared" ref="J7:J26" ca="1" si="35">IF(I7&lt;&gt;"",J6+1,"")</f>
        <v>2</v>
      </c>
      <c r="K7" s="19">
        <f t="shared" ref="K7:K26" ca="1" si="36">IF(OFFSET($AW$6,(ROW()-6)*2,0)=0,"",-OFFSET($AW$6,(ROW()-6)*2,0))</f>
        <v>-0.4</v>
      </c>
      <c r="L7" s="116" t="str">
        <f t="shared" ca="1" si="1"/>
        <v>Cowden Clay</v>
      </c>
      <c r="M7" s="105" t="str">
        <f t="shared" ca="1" si="2"/>
        <v>API clay</v>
      </c>
      <c r="N7" s="47">
        <f t="shared" ca="1" si="3"/>
        <v>10.199999999999999</v>
      </c>
      <c r="O7" s="63">
        <f t="shared" ca="1" si="4"/>
        <v>24</v>
      </c>
      <c r="P7" s="63">
        <f t="shared" ca="1" si="5"/>
        <v>39.333333333333336</v>
      </c>
      <c r="Q7" s="47">
        <f t="shared" ca="1" si="6"/>
        <v>0</v>
      </c>
      <c r="R7" s="47" t="e">
        <f t="shared" ca="1" si="7"/>
        <v>#N/A</v>
      </c>
      <c r="S7" s="47">
        <f t="shared" ca="1" si="8"/>
        <v>3</v>
      </c>
      <c r="T7" s="47">
        <f t="shared" ca="1" si="9"/>
        <v>0</v>
      </c>
      <c r="U7" s="75">
        <f t="shared" ca="1" si="10"/>
        <v>1.7999999999999999E-2</v>
      </c>
      <c r="V7" s="75">
        <f t="shared" ca="1" si="11"/>
        <v>0</v>
      </c>
      <c r="W7" s="47">
        <f t="shared" ca="1" si="12"/>
        <v>0.5</v>
      </c>
      <c r="X7" s="47">
        <f t="shared" ca="1" si="13"/>
        <v>10600</v>
      </c>
      <c r="Y7" s="47">
        <f t="shared" ca="1" si="14"/>
        <v>0</v>
      </c>
      <c r="Z7" s="47" t="e">
        <f t="shared" ca="1" si="15"/>
        <v>#N/A</v>
      </c>
      <c r="AA7" s="47">
        <f t="shared" ca="1" si="16"/>
        <v>1</v>
      </c>
      <c r="AB7" s="47" t="e">
        <f t="shared" ca="1" si="17"/>
        <v>#N/A</v>
      </c>
      <c r="AC7" s="63">
        <f t="shared" ca="1" si="18"/>
        <v>29000</v>
      </c>
      <c r="AD7" s="63">
        <f t="shared" ca="1" si="19"/>
        <v>28000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 t="e">
        <f t="shared" ca="1" si="25"/>
        <v>#N/A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0</v>
      </c>
      <c r="AS7" s="33">
        <f t="shared" ca="1" si="34"/>
        <v>0.4</v>
      </c>
      <c r="AW7" s="2">
        <v>0.4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0.3</v>
      </c>
      <c r="BE7" s="2">
        <v>0.3</v>
      </c>
      <c r="BF7" s="2">
        <v>0.4</v>
      </c>
      <c r="BG7" s="2">
        <v>0.5</v>
      </c>
      <c r="BH7" s="2">
        <v>0.6</v>
      </c>
      <c r="BI7" s="2"/>
      <c r="BJ7" s="2"/>
      <c r="BK7" s="2"/>
      <c r="BL7" s="2"/>
      <c r="BM7" s="2"/>
      <c r="BN7" s="2">
        <v>55</v>
      </c>
      <c r="BO7" s="2">
        <v>22</v>
      </c>
      <c r="BP7" s="2">
        <v>29</v>
      </c>
      <c r="BQ7" s="2">
        <v>32</v>
      </c>
      <c r="BR7" s="2">
        <v>35</v>
      </c>
      <c r="BS7" s="2">
        <v>41</v>
      </c>
      <c r="BT7" s="2">
        <v>4</v>
      </c>
      <c r="BU7" s="2">
        <v>9</v>
      </c>
      <c r="BV7" s="2">
        <v>12</v>
      </c>
      <c r="BW7" s="2">
        <v>14</v>
      </c>
      <c r="BX7" s="2">
        <v>19</v>
      </c>
      <c r="BY7" s="2">
        <v>1.2</v>
      </c>
      <c r="BZ7" s="2">
        <v>1</v>
      </c>
      <c r="CA7" s="2">
        <v>0.5</v>
      </c>
      <c r="CB7" s="2">
        <v>5.3762733032737997E-4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11a</v>
      </c>
      <c r="J8" s="47">
        <f t="shared" ca="1" si="35"/>
        <v>3</v>
      </c>
      <c r="K8" s="19">
        <f t="shared" ca="1" si="36"/>
        <v>-1.9</v>
      </c>
      <c r="L8" s="116" t="str">
        <f t="shared" ca="1" si="1"/>
        <v>EW_sand_Ruled_59</v>
      </c>
      <c r="M8" s="105" t="str">
        <f t="shared" ca="1" si="2"/>
        <v>API sand</v>
      </c>
      <c r="N8" s="47">
        <f t="shared" ca="1" si="3"/>
        <v>9.6000000000000014</v>
      </c>
      <c r="O8" s="63">
        <f t="shared" ca="1" si="4"/>
        <v>0</v>
      </c>
      <c r="P8" s="63">
        <f t="shared" ca="1" si="5"/>
        <v>0</v>
      </c>
      <c r="Q8" s="47">
        <f t="shared" ca="1" si="6"/>
        <v>37</v>
      </c>
      <c r="R8" s="47">
        <f t="shared" ca="1" si="7"/>
        <v>32</v>
      </c>
      <c r="S8" s="47">
        <f t="shared" ca="1" si="8"/>
        <v>1.4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22900</v>
      </c>
      <c r="Y8" s="47">
        <f t="shared" ca="1" si="14"/>
        <v>0</v>
      </c>
      <c r="Z8" s="47">
        <f t="shared" ca="1" si="15"/>
        <v>103.59999999999997</v>
      </c>
      <c r="AA8" s="47">
        <f t="shared" ca="1" si="16"/>
        <v>1</v>
      </c>
      <c r="AB8" s="47">
        <f t="shared" ca="1" si="17"/>
        <v>10560</v>
      </c>
      <c r="AC8" s="63">
        <f t="shared" ca="1" si="18"/>
        <v>44000</v>
      </c>
      <c r="AD8" s="63">
        <f t="shared" ca="1" si="19"/>
        <v>5199.9999999999991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44.000000000000007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59</v>
      </c>
      <c r="AS8" s="33">
        <f t="shared" ca="1" si="34"/>
        <v>0.4</v>
      </c>
      <c r="AW8" s="2">
        <v>0.4</v>
      </c>
      <c r="AX8" s="2" t="s">
        <v>255</v>
      </c>
      <c r="AY8" s="130">
        <v>23.1</v>
      </c>
      <c r="AZ8" s="2">
        <v>20.2</v>
      </c>
      <c r="BA8" s="2">
        <v>18</v>
      </c>
      <c r="BB8" s="2">
        <v>28</v>
      </c>
      <c r="BC8" s="2">
        <v>5</v>
      </c>
      <c r="BD8" s="2">
        <v>0.2</v>
      </c>
      <c r="BE8" s="2">
        <v>0.6</v>
      </c>
      <c r="BF8" s="2">
        <v>0.7</v>
      </c>
      <c r="BG8" s="2">
        <v>0.9</v>
      </c>
      <c r="BH8" s="2">
        <v>1.1000000000000001</v>
      </c>
      <c r="BI8" s="2">
        <v>0</v>
      </c>
      <c r="BJ8" s="2">
        <v>24</v>
      </c>
      <c r="BK8" s="2">
        <v>39</v>
      </c>
      <c r="BL8" s="2">
        <v>55</v>
      </c>
      <c r="BM8" s="2">
        <v>90</v>
      </c>
      <c r="BN8" s="2"/>
      <c r="BO8" s="2"/>
      <c r="BP8" s="2"/>
      <c r="BQ8" s="2"/>
      <c r="BR8" s="2"/>
      <c r="BS8" s="2"/>
      <c r="BT8" s="2">
        <v>0</v>
      </c>
      <c r="BU8" s="2">
        <v>11</v>
      </c>
      <c r="BV8" s="2">
        <v>29</v>
      </c>
      <c r="BW8" s="2">
        <v>47</v>
      </c>
      <c r="BX8" s="2">
        <v>82</v>
      </c>
      <c r="BY8" s="2">
        <v>10.6</v>
      </c>
      <c r="BZ8" s="2">
        <v>23</v>
      </c>
      <c r="CA8" s="2">
        <v>3</v>
      </c>
      <c r="CB8" s="2">
        <v>7.9754318943060398E-7</v>
      </c>
      <c r="CC8" s="2">
        <v>1.8</v>
      </c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11b</v>
      </c>
      <c r="J9" s="47">
        <f t="shared" ca="1" si="35"/>
        <v>4</v>
      </c>
      <c r="K9" s="19">
        <f t="shared" ca="1" si="36"/>
        <v>-4.4000000000000004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9.5</v>
      </c>
      <c r="O9" s="63">
        <f t="shared" ca="1" si="4"/>
        <v>137</v>
      </c>
      <c r="P9" s="63">
        <f t="shared" ca="1" si="5"/>
        <v>26.666666666666668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28500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168000</v>
      </c>
      <c r="AD9" s="63">
        <f t="shared" ca="1" si="19"/>
        <v>30555.555555555558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1.9</v>
      </c>
      <c r="AX9" s="2" t="s">
        <v>255</v>
      </c>
      <c r="AY9" s="130">
        <v>23.1</v>
      </c>
      <c r="AZ9" s="2">
        <v>20.2</v>
      </c>
      <c r="BA9" s="2">
        <v>18</v>
      </c>
      <c r="BB9" s="2">
        <v>28</v>
      </c>
      <c r="BC9" s="2">
        <v>5</v>
      </c>
      <c r="BD9" s="2">
        <v>1.3</v>
      </c>
      <c r="BE9" s="2">
        <v>1.7</v>
      </c>
      <c r="BF9" s="2">
        <v>1.8</v>
      </c>
      <c r="BG9" s="2">
        <v>1.9</v>
      </c>
      <c r="BH9" s="2">
        <v>2.2000000000000002</v>
      </c>
      <c r="BI9" s="2">
        <v>46</v>
      </c>
      <c r="BJ9" s="2">
        <v>83</v>
      </c>
      <c r="BK9" s="2">
        <v>98</v>
      </c>
      <c r="BL9" s="2">
        <v>114</v>
      </c>
      <c r="BM9" s="2">
        <v>149</v>
      </c>
      <c r="BN9" s="2"/>
      <c r="BO9" s="2"/>
      <c r="BP9" s="2"/>
      <c r="BQ9" s="2"/>
      <c r="BR9" s="2"/>
      <c r="BS9" s="2"/>
      <c r="BT9" s="2">
        <v>17</v>
      </c>
      <c r="BU9" s="2">
        <v>53</v>
      </c>
      <c r="BV9" s="2">
        <v>71</v>
      </c>
      <c r="BW9" s="2">
        <v>89</v>
      </c>
      <c r="BX9" s="2">
        <v>125</v>
      </c>
      <c r="BY9" s="2">
        <v>10.6</v>
      </c>
      <c r="BZ9" s="2">
        <v>23</v>
      </c>
      <c r="CA9" s="2">
        <v>3</v>
      </c>
      <c r="CB9" s="2">
        <v>7.9754318943060398E-7</v>
      </c>
      <c r="CC9" s="2">
        <v>1.8</v>
      </c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12b</v>
      </c>
      <c r="J10" s="47">
        <f t="shared" ca="1" si="35"/>
        <v>5</v>
      </c>
      <c r="K10" s="19">
        <f t="shared" ca="1" si="36"/>
        <v>-6.2</v>
      </c>
      <c r="L10" s="116" t="str">
        <f t="shared" ca="1" si="1"/>
        <v>EW_sand_Ruled_73</v>
      </c>
      <c r="M10" s="105" t="str">
        <f t="shared" ca="1" si="2"/>
        <v>API sand</v>
      </c>
      <c r="N10" s="47">
        <f t="shared" ca="1" si="3"/>
        <v>10.199999999999999</v>
      </c>
      <c r="O10" s="63">
        <f t="shared" ca="1" si="4"/>
        <v>0</v>
      </c>
      <c r="P10" s="63">
        <f t="shared" ca="1" si="5"/>
        <v>0</v>
      </c>
      <c r="Q10" s="47">
        <f t="shared" ca="1" si="6"/>
        <v>39</v>
      </c>
      <c r="R10" s="47">
        <f t="shared" ca="1" si="7"/>
        <v>34</v>
      </c>
      <c r="S10" s="47">
        <f t="shared" ca="1" si="8"/>
        <v>1.3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61600</v>
      </c>
      <c r="Y10" s="47">
        <f t="shared" ca="1" si="14"/>
        <v>0</v>
      </c>
      <c r="Z10" s="47">
        <f t="shared" ca="1" si="15"/>
        <v>111.19999999999996</v>
      </c>
      <c r="AA10" s="47">
        <f t="shared" ca="1" si="16"/>
        <v>1</v>
      </c>
      <c r="AB10" s="47">
        <f t="shared" ca="1" si="17"/>
        <v>11520</v>
      </c>
      <c r="AC10" s="63">
        <f t="shared" ca="1" si="18"/>
        <v>80000</v>
      </c>
      <c r="AD10" s="63">
        <f t="shared" ca="1" si="19"/>
        <v>10769.23076923077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48.000000000000007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73</v>
      </c>
      <c r="AS10" s="33">
        <f t="shared" ca="1" si="34"/>
        <v>0.4</v>
      </c>
      <c r="AW10" s="2">
        <v>1.9</v>
      </c>
      <c r="AX10" s="2" t="s">
        <v>293</v>
      </c>
      <c r="AY10" s="130">
        <v>25.8</v>
      </c>
      <c r="AZ10" s="2">
        <v>19.600000000000001</v>
      </c>
      <c r="BA10" s="2"/>
      <c r="BB10" s="2">
        <v>22</v>
      </c>
      <c r="BC10" s="2"/>
      <c r="BD10" s="2">
        <v>4.9000000000000004</v>
      </c>
      <c r="BE10" s="2">
        <v>5.3</v>
      </c>
      <c r="BF10" s="2">
        <v>5.5</v>
      </c>
      <c r="BG10" s="2">
        <v>5.6</v>
      </c>
      <c r="BH10" s="2">
        <v>6.1</v>
      </c>
      <c r="BI10" s="2"/>
      <c r="BJ10" s="2"/>
      <c r="BK10" s="2"/>
      <c r="BL10" s="2"/>
      <c r="BM10" s="2"/>
      <c r="BN10" s="2">
        <v>59</v>
      </c>
      <c r="BO10" s="2">
        <v>31</v>
      </c>
      <c r="BP10" s="2">
        <v>37</v>
      </c>
      <c r="BQ10" s="2">
        <v>40</v>
      </c>
      <c r="BR10" s="2">
        <v>43</v>
      </c>
      <c r="BS10" s="2">
        <v>48</v>
      </c>
      <c r="BT10" s="2">
        <v>2</v>
      </c>
      <c r="BU10" s="2">
        <v>32</v>
      </c>
      <c r="BV10" s="2">
        <v>44</v>
      </c>
      <c r="BW10" s="2">
        <v>56</v>
      </c>
      <c r="BX10" s="2">
        <v>86</v>
      </c>
      <c r="BY10" s="2">
        <v>22.9</v>
      </c>
      <c r="BZ10" s="2">
        <v>5.7</v>
      </c>
      <c r="CA10" s="2">
        <v>1.4</v>
      </c>
      <c r="CB10" s="2">
        <v>3.9311221442384798E-6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12b</v>
      </c>
      <c r="J11" s="47">
        <f t="shared" ca="1" si="35"/>
        <v>6</v>
      </c>
      <c r="K11" s="19">
        <f t="shared" ca="1" si="36"/>
        <v>-7.5</v>
      </c>
      <c r="L11" s="116" t="str">
        <f t="shared" ca="1" si="1"/>
        <v>EW_sand_Ruled_75</v>
      </c>
      <c r="M11" s="105" t="str">
        <f t="shared" ca="1" si="2"/>
        <v>API sand</v>
      </c>
      <c r="N11" s="47">
        <f t="shared" ca="1" si="3"/>
        <v>10.199999999999999</v>
      </c>
      <c r="O11" s="63">
        <f t="shared" ca="1" si="4"/>
        <v>0</v>
      </c>
      <c r="P11" s="63">
        <f t="shared" ca="1" si="5"/>
        <v>0</v>
      </c>
      <c r="Q11" s="47">
        <f t="shared" ca="1" si="6"/>
        <v>39</v>
      </c>
      <c r="R11" s="47">
        <f t="shared" ca="1" si="7"/>
        <v>34</v>
      </c>
      <c r="S11" s="47">
        <f t="shared" ca="1" si="8"/>
        <v>1.2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72700</v>
      </c>
      <c r="Y11" s="47">
        <f t="shared" ca="1" si="14"/>
        <v>0</v>
      </c>
      <c r="Z11" s="47">
        <f t="shared" ca="1" si="15"/>
        <v>111.19999999999996</v>
      </c>
      <c r="AA11" s="47">
        <f t="shared" ca="1" si="16"/>
        <v>1</v>
      </c>
      <c r="AB11" s="47">
        <f t="shared" ca="1" si="17"/>
        <v>11520</v>
      </c>
      <c r="AC11" s="63">
        <f t="shared" ca="1" si="18"/>
        <v>93000</v>
      </c>
      <c r="AD11" s="63">
        <f t="shared" ca="1" si="19"/>
        <v>5777.7777777777774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48.000000000000007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75</v>
      </c>
      <c r="AS11" s="33">
        <f t="shared" ca="1" si="34"/>
        <v>0.4</v>
      </c>
      <c r="AW11" s="2">
        <v>4.4000000000000004</v>
      </c>
      <c r="AX11" s="2" t="s">
        <v>293</v>
      </c>
      <c r="AY11" s="130">
        <v>25.8</v>
      </c>
      <c r="AZ11" s="2">
        <v>19.600000000000001</v>
      </c>
      <c r="BA11" s="2"/>
      <c r="BB11" s="2">
        <v>22</v>
      </c>
      <c r="BC11" s="2"/>
      <c r="BD11" s="2">
        <v>5.4</v>
      </c>
      <c r="BE11" s="2">
        <v>5.8</v>
      </c>
      <c r="BF11" s="2">
        <v>6</v>
      </c>
      <c r="BG11" s="2">
        <v>6.1</v>
      </c>
      <c r="BH11" s="2">
        <v>6.5</v>
      </c>
      <c r="BI11" s="2"/>
      <c r="BJ11" s="2"/>
      <c r="BK11" s="2"/>
      <c r="BL11" s="2"/>
      <c r="BM11" s="2"/>
      <c r="BN11" s="2">
        <v>59</v>
      </c>
      <c r="BO11" s="2">
        <v>31</v>
      </c>
      <c r="BP11" s="2">
        <v>37</v>
      </c>
      <c r="BQ11" s="2">
        <v>40</v>
      </c>
      <c r="BR11" s="2">
        <v>43</v>
      </c>
      <c r="BS11" s="2">
        <v>48</v>
      </c>
      <c r="BT11" s="2">
        <v>16</v>
      </c>
      <c r="BU11" s="2">
        <v>45</v>
      </c>
      <c r="BV11" s="2">
        <v>57</v>
      </c>
      <c r="BW11" s="2">
        <v>70</v>
      </c>
      <c r="BX11" s="2">
        <v>99</v>
      </c>
      <c r="BY11" s="2">
        <v>22.9</v>
      </c>
      <c r="BZ11" s="2">
        <v>5.7</v>
      </c>
      <c r="CA11" s="2">
        <v>1.4</v>
      </c>
      <c r="CB11" s="2">
        <v>3.9311221442384798E-6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21a</v>
      </c>
      <c r="J12" s="47">
        <f t="shared" ca="1" si="35"/>
        <v>7</v>
      </c>
      <c r="K12" s="19">
        <f t="shared" ca="1" si="36"/>
        <v>-12</v>
      </c>
      <c r="L12" s="116" t="str">
        <f t="shared" ca="1" si="1"/>
        <v>EW_sand_Ruled_86</v>
      </c>
      <c r="M12" s="105" t="str">
        <f t="shared" ca="1" si="2"/>
        <v>API sand</v>
      </c>
      <c r="N12" s="47">
        <f t="shared" ca="1" si="3"/>
        <v>9.8000000000000007</v>
      </c>
      <c r="O12" s="63">
        <f t="shared" ca="1" si="4"/>
        <v>0</v>
      </c>
      <c r="P12" s="63">
        <f t="shared" ca="1" si="5"/>
        <v>0</v>
      </c>
      <c r="Q12" s="47">
        <f t="shared" ca="1" si="6"/>
        <v>30</v>
      </c>
      <c r="R12" s="47">
        <f t="shared" ca="1" si="7"/>
        <v>25</v>
      </c>
      <c r="S12" s="47">
        <f t="shared" ca="1" si="8"/>
        <v>2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51100</v>
      </c>
      <c r="Y12" s="47">
        <f t="shared" ca="1" si="14"/>
        <v>0</v>
      </c>
      <c r="Z12" s="47">
        <f t="shared" ca="1" si="15"/>
        <v>80.999999999999972</v>
      </c>
      <c r="AA12" s="47">
        <f t="shared" ca="1" si="16"/>
        <v>1</v>
      </c>
      <c r="AB12" s="47">
        <f t="shared" ca="1" si="17"/>
        <v>4800</v>
      </c>
      <c r="AC12" s="63">
        <f t="shared" ca="1" si="18"/>
        <v>120000</v>
      </c>
      <c r="AD12" s="63">
        <f t="shared" ca="1" si="19"/>
        <v>12666.666666666666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20.000000000000007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86</v>
      </c>
      <c r="AS12" s="33">
        <f t="shared" ca="1" si="34"/>
        <v>0.2</v>
      </c>
      <c r="AW12" s="2">
        <v>4.4000000000000004</v>
      </c>
      <c r="AX12" s="2" t="s">
        <v>299</v>
      </c>
      <c r="AY12" s="130">
        <v>29</v>
      </c>
      <c r="AZ12" s="2">
        <v>19.5</v>
      </c>
      <c r="BA12" s="2">
        <v>13</v>
      </c>
      <c r="BB12" s="2">
        <v>64</v>
      </c>
      <c r="BC12" s="2">
        <v>4</v>
      </c>
      <c r="BD12" s="2">
        <v>1.1000000000000001</v>
      </c>
      <c r="BE12" s="2">
        <v>3</v>
      </c>
      <c r="BF12" s="2">
        <v>3.5</v>
      </c>
      <c r="BG12" s="2">
        <v>3.9</v>
      </c>
      <c r="BH12" s="2">
        <v>5.4</v>
      </c>
      <c r="BI12" s="2">
        <v>6</v>
      </c>
      <c r="BJ12" s="2">
        <v>137</v>
      </c>
      <c r="BK12" s="2">
        <v>188</v>
      </c>
      <c r="BL12" s="2">
        <v>237</v>
      </c>
      <c r="BM12" s="2">
        <v>363</v>
      </c>
      <c r="BN12" s="2"/>
      <c r="BO12" s="2"/>
      <c r="BP12" s="2"/>
      <c r="BQ12" s="2"/>
      <c r="BR12" s="2"/>
      <c r="BS12" s="2"/>
      <c r="BT12" s="2">
        <v>4</v>
      </c>
      <c r="BU12" s="2">
        <v>95</v>
      </c>
      <c r="BV12" s="2">
        <v>168</v>
      </c>
      <c r="BW12" s="2">
        <v>239</v>
      </c>
      <c r="BX12" s="2">
        <v>401</v>
      </c>
      <c r="BY12" s="2">
        <v>28.5</v>
      </c>
      <c r="BZ12" s="2">
        <v>14.1</v>
      </c>
      <c r="CA12" s="2">
        <v>3</v>
      </c>
      <c r="CB12" s="2">
        <v>1.5943662424637001E-8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21a</v>
      </c>
      <c r="J13" s="47">
        <f t="shared" ca="1" si="35"/>
        <v>8</v>
      </c>
      <c r="K13" s="19">
        <f t="shared" ca="1" si="36"/>
        <v>-15</v>
      </c>
      <c r="L13" s="116" t="str">
        <f t="shared" ca="1" si="1"/>
        <v>EW_sand_Ruled_74</v>
      </c>
      <c r="M13" s="105" t="str">
        <f t="shared" ca="1" si="2"/>
        <v>API sand</v>
      </c>
      <c r="N13" s="47">
        <f t="shared" ca="1" si="3"/>
        <v>9.8000000000000007</v>
      </c>
      <c r="O13" s="63">
        <f t="shared" ca="1" si="4"/>
        <v>0</v>
      </c>
      <c r="P13" s="63">
        <f t="shared" ca="1" si="5"/>
        <v>0</v>
      </c>
      <c r="Q13" s="47">
        <f t="shared" ca="1" si="6"/>
        <v>29</v>
      </c>
      <c r="R13" s="47">
        <f t="shared" ca="1" si="7"/>
        <v>24</v>
      </c>
      <c r="S13" s="47">
        <f t="shared" ca="1" si="8"/>
        <v>1.6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37200</v>
      </c>
      <c r="Y13" s="47">
        <f t="shared" ca="1" si="14"/>
        <v>0</v>
      </c>
      <c r="Z13" s="47">
        <f t="shared" ca="1" si="15"/>
        <v>78.199999999999974</v>
      </c>
      <c r="AA13" s="47">
        <f t="shared" ca="1" si="16"/>
        <v>1</v>
      </c>
      <c r="AB13" s="47">
        <f t="shared" ca="1" si="17"/>
        <v>4420</v>
      </c>
      <c r="AC13" s="63">
        <f t="shared" ca="1" si="18"/>
        <v>153000</v>
      </c>
      <c r="AD13" s="63">
        <f t="shared" ca="1" si="19"/>
        <v>-11000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18.400000000000006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74</v>
      </c>
      <c r="AS13" s="33">
        <f t="shared" ca="1" si="34"/>
        <v>0.2</v>
      </c>
      <c r="AW13" s="2">
        <v>6.2</v>
      </c>
      <c r="AX13" s="2" t="s">
        <v>299</v>
      </c>
      <c r="AY13" s="130">
        <v>29</v>
      </c>
      <c r="AZ13" s="2">
        <v>19.5</v>
      </c>
      <c r="BA13" s="2">
        <v>13</v>
      </c>
      <c r="BB13" s="2">
        <v>64</v>
      </c>
      <c r="BC13" s="2">
        <v>4</v>
      </c>
      <c r="BD13" s="2">
        <v>2</v>
      </c>
      <c r="BE13" s="2">
        <v>3.9</v>
      </c>
      <c r="BF13" s="2">
        <v>4.4000000000000004</v>
      </c>
      <c r="BG13" s="2">
        <v>4.8</v>
      </c>
      <c r="BH13" s="2">
        <v>6.3</v>
      </c>
      <c r="BI13" s="2">
        <v>53</v>
      </c>
      <c r="BJ13" s="2">
        <v>185</v>
      </c>
      <c r="BK13" s="2">
        <v>235</v>
      </c>
      <c r="BL13" s="2">
        <v>285</v>
      </c>
      <c r="BM13" s="2">
        <v>410</v>
      </c>
      <c r="BN13" s="2"/>
      <c r="BO13" s="2"/>
      <c r="BP13" s="2"/>
      <c r="BQ13" s="2"/>
      <c r="BR13" s="2"/>
      <c r="BS13" s="2"/>
      <c r="BT13" s="2">
        <v>59</v>
      </c>
      <c r="BU13" s="2">
        <v>150</v>
      </c>
      <c r="BV13" s="2">
        <v>223</v>
      </c>
      <c r="BW13" s="2">
        <v>294</v>
      </c>
      <c r="BX13" s="2">
        <v>456</v>
      </c>
      <c r="BY13" s="2">
        <v>28.5</v>
      </c>
      <c r="BZ13" s="2">
        <v>14.1</v>
      </c>
      <c r="CA13" s="2">
        <v>3</v>
      </c>
      <c r="CB13" s="2">
        <v>1.5943662424637001E-8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23e</v>
      </c>
      <c r="J14" s="47">
        <f t="shared" ca="1" si="35"/>
        <v>9</v>
      </c>
      <c r="K14" s="19">
        <f t="shared" ca="1" si="36"/>
        <v>-18</v>
      </c>
      <c r="L14" s="116" t="str">
        <f t="shared" ca="1" si="1"/>
        <v>EW_sand_Ruled_58</v>
      </c>
      <c r="M14" s="105" t="str">
        <f t="shared" ca="1" si="2"/>
        <v>API sand</v>
      </c>
      <c r="N14" s="47">
        <f t="shared" ca="1" si="3"/>
        <v>9</v>
      </c>
      <c r="O14" s="63">
        <f t="shared" ca="1" si="4"/>
        <v>0</v>
      </c>
      <c r="P14" s="63">
        <f t="shared" ca="1" si="5"/>
        <v>0</v>
      </c>
      <c r="Q14" s="47">
        <f t="shared" ca="1" si="6"/>
        <v>28</v>
      </c>
      <c r="R14" s="47">
        <f t="shared" ca="1" si="7"/>
        <v>23</v>
      </c>
      <c r="S14" s="47">
        <f t="shared" ca="1" si="8"/>
        <v>1.1000000000000001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23100</v>
      </c>
      <c r="Y14" s="47">
        <f t="shared" ca="1" si="14"/>
        <v>0</v>
      </c>
      <c r="Z14" s="47">
        <f t="shared" ca="1" si="15"/>
        <v>75.399999999999977</v>
      </c>
      <c r="AA14" s="47">
        <f t="shared" ca="1" si="16"/>
        <v>1</v>
      </c>
      <c r="AB14" s="47">
        <f t="shared" ca="1" si="17"/>
        <v>4040</v>
      </c>
      <c r="AC14" s="63">
        <f t="shared" ca="1" si="18"/>
        <v>116000</v>
      </c>
      <c r="AD14" s="63">
        <f t="shared" ca="1" si="19"/>
        <v>8333.3333333333339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16.800000000000004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58</v>
      </c>
      <c r="AS14" s="33">
        <f t="shared" ca="1" si="34"/>
        <v>0.4</v>
      </c>
      <c r="AW14" s="2">
        <v>6.2</v>
      </c>
      <c r="AX14" s="2" t="s">
        <v>292</v>
      </c>
      <c r="AY14" s="130">
        <v>21.3</v>
      </c>
      <c r="AZ14" s="2">
        <v>20.2</v>
      </c>
      <c r="BA14" s="2"/>
      <c r="BB14" s="2">
        <v>10</v>
      </c>
      <c r="BC14" s="2"/>
      <c r="BD14" s="2">
        <v>4.2</v>
      </c>
      <c r="BE14" s="2">
        <v>10.1</v>
      </c>
      <c r="BF14" s="2">
        <v>11.8</v>
      </c>
      <c r="BG14" s="2">
        <v>13</v>
      </c>
      <c r="BH14" s="2">
        <f>10+17.2</f>
        <v>27.2</v>
      </c>
      <c r="BI14" s="2"/>
      <c r="BJ14" s="2"/>
      <c r="BK14" s="2"/>
      <c r="BL14" s="2"/>
      <c r="BM14" s="2"/>
      <c r="BN14" s="2">
        <v>73</v>
      </c>
      <c r="BO14" s="2">
        <v>32</v>
      </c>
      <c r="BP14" s="2">
        <v>39</v>
      </c>
      <c r="BQ14" s="2">
        <v>43</v>
      </c>
      <c r="BR14" s="2">
        <v>46</v>
      </c>
      <c r="BS14" s="2">
        <v>52</v>
      </c>
      <c r="BT14" s="2">
        <v>6</v>
      </c>
      <c r="BU14" s="2">
        <v>59</v>
      </c>
      <c r="BV14" s="2">
        <v>80</v>
      </c>
      <c r="BW14" s="2">
        <v>101</v>
      </c>
      <c r="BX14" s="2">
        <v>152</v>
      </c>
      <c r="BY14" s="2">
        <v>61.6</v>
      </c>
      <c r="BZ14" s="2">
        <v>5.0999999999999996</v>
      </c>
      <c r="CA14" s="2">
        <v>1.3</v>
      </c>
      <c r="CB14" s="2">
        <v>6.8976405469218498E-6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23i</v>
      </c>
      <c r="J15" s="47">
        <f t="shared" ca="1" si="35"/>
        <v>10</v>
      </c>
      <c r="K15" s="19">
        <f t="shared" ca="1" si="36"/>
        <v>-21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8.3000000000000007</v>
      </c>
      <c r="O15" s="63">
        <f t="shared" ca="1" si="4"/>
        <v>199</v>
      </c>
      <c r="P15" s="63">
        <f t="shared" ca="1" si="5"/>
        <v>4.8571428571428568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2.5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0.5</v>
      </c>
      <c r="X15" s="47">
        <f t="shared" ca="1" si="13"/>
        <v>22700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263000</v>
      </c>
      <c r="AD15" s="63">
        <f t="shared" ca="1" si="19"/>
        <v>7523.8095238095239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7.5</v>
      </c>
      <c r="AX15" s="2" t="s">
        <v>292</v>
      </c>
      <c r="AY15" s="130">
        <v>21.3</v>
      </c>
      <c r="AZ15" s="2">
        <v>20.2</v>
      </c>
      <c r="BA15" s="2"/>
      <c r="BB15" s="2">
        <v>10</v>
      </c>
      <c r="BC15" s="2"/>
      <c r="BD15" s="2">
        <v>11</v>
      </c>
      <c r="BE15" s="2">
        <v>16.8</v>
      </c>
      <c r="BF15" s="2">
        <v>18.5</v>
      </c>
      <c r="BG15" s="2">
        <v>19.8</v>
      </c>
      <c r="BH15" s="2">
        <f>10+24</f>
        <v>34</v>
      </c>
      <c r="BI15" s="2"/>
      <c r="BJ15" s="2"/>
      <c r="BK15" s="2"/>
      <c r="BL15" s="2"/>
      <c r="BM15" s="2"/>
      <c r="BN15" s="2">
        <v>73</v>
      </c>
      <c r="BO15" s="2">
        <v>32</v>
      </c>
      <c r="BP15" s="2">
        <v>39</v>
      </c>
      <c r="BQ15" s="2">
        <v>43</v>
      </c>
      <c r="BR15" s="2">
        <v>46</v>
      </c>
      <c r="BS15" s="2">
        <v>52</v>
      </c>
      <c r="BT15" s="2">
        <v>20</v>
      </c>
      <c r="BU15" s="2">
        <v>73</v>
      </c>
      <c r="BV15" s="2">
        <v>94</v>
      </c>
      <c r="BW15" s="2">
        <v>115</v>
      </c>
      <c r="BX15" s="2">
        <v>166</v>
      </c>
      <c r="BY15" s="2">
        <v>61.6</v>
      </c>
      <c r="BZ15" s="2">
        <v>5.0999999999999996</v>
      </c>
      <c r="CA15" s="2">
        <v>1.3</v>
      </c>
      <c r="CB15" s="2">
        <v>6.8976405469218498E-6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23l</v>
      </c>
      <c r="J16" s="47">
        <f t="shared" ca="1" si="35"/>
        <v>11</v>
      </c>
      <c r="K16" s="19">
        <f t="shared" ca="1" si="36"/>
        <v>-42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8.8000000000000007</v>
      </c>
      <c r="O16" s="63">
        <f t="shared" ca="1" si="4"/>
        <v>264</v>
      </c>
      <c r="P16" s="63">
        <f t="shared" ca="1" si="5"/>
        <v>27.333333333333332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2.7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47700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366000</v>
      </c>
      <c r="AD16" s="63">
        <f t="shared" ca="1" si="19"/>
        <v>45904.761904761908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7.5</v>
      </c>
      <c r="AX16" s="2" t="s">
        <v>292</v>
      </c>
      <c r="AY16" s="130">
        <v>21.3</v>
      </c>
      <c r="AZ16" s="2">
        <v>20.2</v>
      </c>
      <c r="BA16" s="2"/>
      <c r="BB16" s="2">
        <v>10</v>
      </c>
      <c r="BC16" s="2"/>
      <c r="BD16" s="2">
        <v>11.8</v>
      </c>
      <c r="BE16" s="2">
        <v>14.8</v>
      </c>
      <c r="BF16" s="2">
        <v>15.3</v>
      </c>
      <c r="BG16" s="2">
        <v>16.100000000000001</v>
      </c>
      <c r="BH16" s="2">
        <v>22.2</v>
      </c>
      <c r="BI16" s="2"/>
      <c r="BJ16" s="2"/>
      <c r="BK16" s="2"/>
      <c r="BL16" s="2"/>
      <c r="BM16" s="2"/>
      <c r="BN16" s="2">
        <v>75</v>
      </c>
      <c r="BO16" s="2">
        <v>34</v>
      </c>
      <c r="BP16" s="2">
        <v>39</v>
      </c>
      <c r="BQ16" s="2">
        <v>43</v>
      </c>
      <c r="BR16" s="2">
        <v>46</v>
      </c>
      <c r="BS16" s="2">
        <v>52</v>
      </c>
      <c r="BT16" s="2">
        <v>7</v>
      </c>
      <c r="BU16" s="2">
        <v>68</v>
      </c>
      <c r="BV16" s="2">
        <v>93</v>
      </c>
      <c r="BW16" s="2">
        <v>118</v>
      </c>
      <c r="BX16" s="2">
        <v>179</v>
      </c>
      <c r="BY16" s="2">
        <v>72.7</v>
      </c>
      <c r="BZ16" s="2">
        <v>4</v>
      </c>
      <c r="CA16" s="2">
        <v>1.2</v>
      </c>
      <c r="CB16" s="2">
        <v>4.11730151740334E-6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23m</v>
      </c>
      <c r="J17" s="47">
        <f t="shared" ca="1" si="35"/>
        <v>12</v>
      </c>
      <c r="K17" s="19">
        <f t="shared" ca="1" si="36"/>
        <v>-63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8.5</v>
      </c>
      <c r="O17" s="63">
        <f t="shared" ca="1" si="4"/>
        <v>131</v>
      </c>
      <c r="P17" s="63">
        <f t="shared" ca="1" si="5"/>
        <v>2.4117647058823528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0.6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0.5</v>
      </c>
      <c r="X17" s="47">
        <f t="shared" ca="1" si="13"/>
        <v>14800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217000</v>
      </c>
      <c r="AD17" s="63">
        <f t="shared" ca="1" si="19"/>
        <v>4176.4705882352946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12</v>
      </c>
      <c r="AX17" s="2" t="s">
        <v>292</v>
      </c>
      <c r="AY17" s="130">
        <v>21.3</v>
      </c>
      <c r="AZ17" s="2">
        <v>20.2</v>
      </c>
      <c r="BA17" s="2"/>
      <c r="BB17" s="2">
        <v>10</v>
      </c>
      <c r="BC17" s="2"/>
      <c r="BD17" s="2">
        <v>19</v>
      </c>
      <c r="BE17" s="2">
        <v>22.1</v>
      </c>
      <c r="BF17" s="2">
        <v>22.5</v>
      </c>
      <c r="BG17" s="2">
        <v>23.4</v>
      </c>
      <c r="BH17" s="2">
        <v>29.5</v>
      </c>
      <c r="BI17" s="2"/>
      <c r="BJ17" s="2"/>
      <c r="BK17" s="2"/>
      <c r="BL17" s="2"/>
      <c r="BM17" s="2"/>
      <c r="BN17" s="2">
        <v>75</v>
      </c>
      <c r="BO17" s="2">
        <v>34</v>
      </c>
      <c r="BP17" s="2">
        <v>39</v>
      </c>
      <c r="BQ17" s="2">
        <v>43</v>
      </c>
      <c r="BR17" s="2">
        <v>46</v>
      </c>
      <c r="BS17" s="2">
        <v>52</v>
      </c>
      <c r="BT17" s="2">
        <v>33</v>
      </c>
      <c r="BU17" s="2">
        <v>94</v>
      </c>
      <c r="BV17" s="2">
        <v>119</v>
      </c>
      <c r="BW17" s="2">
        <v>143</v>
      </c>
      <c r="BX17" s="2">
        <v>205</v>
      </c>
      <c r="BY17" s="2">
        <v>72.7</v>
      </c>
      <c r="BZ17" s="2">
        <v>4</v>
      </c>
      <c r="CA17" s="2">
        <v>1.2</v>
      </c>
      <c r="CB17" s="2">
        <v>4.11730151740334E-6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12</v>
      </c>
      <c r="AX18" s="2" t="s">
        <v>271</v>
      </c>
      <c r="AY18" s="130">
        <v>24.7</v>
      </c>
      <c r="AZ18" s="2">
        <v>19.8</v>
      </c>
      <c r="BA18" s="2"/>
      <c r="BB18" s="2">
        <v>11</v>
      </c>
      <c r="BC18" s="2"/>
      <c r="BD18" s="2">
        <v>14.2</v>
      </c>
      <c r="BE18" s="2">
        <v>18.7</v>
      </c>
      <c r="BF18" s="2">
        <v>19.600000000000001</v>
      </c>
      <c r="BG18" s="2">
        <v>20.3</v>
      </c>
      <c r="BH18" s="2">
        <v>24.4</v>
      </c>
      <c r="BI18" s="2"/>
      <c r="BJ18" s="2"/>
      <c r="BK18" s="2"/>
      <c r="BL18" s="2"/>
      <c r="BM18" s="2"/>
      <c r="BN18" s="2">
        <v>86</v>
      </c>
      <c r="BO18" s="2">
        <v>26</v>
      </c>
      <c r="BP18" s="2">
        <v>30</v>
      </c>
      <c r="BQ18" s="2">
        <v>32</v>
      </c>
      <c r="BR18" s="2">
        <v>35</v>
      </c>
      <c r="BS18" s="2">
        <v>39</v>
      </c>
      <c r="BT18" s="2">
        <v>12</v>
      </c>
      <c r="BU18" s="2">
        <v>87</v>
      </c>
      <c r="BV18" s="2">
        <v>120</v>
      </c>
      <c r="BW18" s="2">
        <v>152</v>
      </c>
      <c r="BX18" s="2">
        <v>233</v>
      </c>
      <c r="BY18" s="2">
        <v>51.1</v>
      </c>
      <c r="BZ18" s="2">
        <v>10.4</v>
      </c>
      <c r="CA18" s="2">
        <v>2</v>
      </c>
      <c r="CB18" s="2">
        <v>1.9534838108798101E-5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15</v>
      </c>
      <c r="AX19" s="2" t="s">
        <v>271</v>
      </c>
      <c r="AY19" s="130">
        <v>24.7</v>
      </c>
      <c r="AZ19" s="2">
        <v>19.8</v>
      </c>
      <c r="BA19" s="2"/>
      <c r="BB19" s="2">
        <v>11</v>
      </c>
      <c r="BC19" s="2"/>
      <c r="BD19" s="2">
        <v>43.6</v>
      </c>
      <c r="BE19" s="2">
        <v>48.1</v>
      </c>
      <c r="BF19" s="2">
        <v>48.9</v>
      </c>
      <c r="BG19" s="2">
        <v>49.7</v>
      </c>
      <c r="BH19" s="2">
        <f>15+53.8</f>
        <v>68.8</v>
      </c>
      <c r="BI19" s="2"/>
      <c r="BJ19" s="2"/>
      <c r="BK19" s="2"/>
      <c r="BL19" s="2"/>
      <c r="BM19" s="2"/>
      <c r="BN19" s="2">
        <v>86</v>
      </c>
      <c r="BO19" s="2">
        <v>26</v>
      </c>
      <c r="BP19" s="2">
        <v>30</v>
      </c>
      <c r="BQ19" s="2">
        <v>32</v>
      </c>
      <c r="BR19" s="2">
        <v>35</v>
      </c>
      <c r="BS19" s="2">
        <v>39</v>
      </c>
      <c r="BT19" s="2">
        <v>50</v>
      </c>
      <c r="BU19" s="2">
        <v>126</v>
      </c>
      <c r="BV19" s="2">
        <v>158</v>
      </c>
      <c r="BW19" s="2">
        <v>191</v>
      </c>
      <c r="BX19" s="2">
        <v>272</v>
      </c>
      <c r="BY19" s="2">
        <v>51.1</v>
      </c>
      <c r="BZ19" s="2">
        <v>10.4</v>
      </c>
      <c r="CA19" s="2">
        <v>2</v>
      </c>
      <c r="CB19" s="2">
        <v>1.9534838108798101E-5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15</v>
      </c>
      <c r="AX20" s="2" t="s">
        <v>271</v>
      </c>
      <c r="AY20" s="130">
        <v>24.7</v>
      </c>
      <c r="AZ20" s="2">
        <v>19.8</v>
      </c>
      <c r="BA20" s="2"/>
      <c r="BB20" s="2">
        <v>11</v>
      </c>
      <c r="BC20" s="2"/>
      <c r="BD20" s="2">
        <v>33.5</v>
      </c>
      <c r="BE20" s="2">
        <v>38.200000000000003</v>
      </c>
      <c r="BF20" s="2">
        <v>39.1</v>
      </c>
      <c r="BG20" s="2">
        <v>39.799999999999997</v>
      </c>
      <c r="BH20" s="2">
        <f>15+43.9</f>
        <v>58.9</v>
      </c>
      <c r="BI20" s="2"/>
      <c r="BJ20" s="2"/>
      <c r="BK20" s="2"/>
      <c r="BL20" s="2"/>
      <c r="BM20" s="2"/>
      <c r="BN20" s="2">
        <v>74</v>
      </c>
      <c r="BO20" s="2">
        <v>26</v>
      </c>
      <c r="BP20" s="2">
        <v>29</v>
      </c>
      <c r="BQ20" s="2">
        <v>31</v>
      </c>
      <c r="BR20" s="2">
        <v>34</v>
      </c>
      <c r="BS20" s="2">
        <v>38</v>
      </c>
      <c r="BT20" s="2">
        <v>51</v>
      </c>
      <c r="BU20" s="2">
        <v>121</v>
      </c>
      <c r="BV20" s="2">
        <v>153</v>
      </c>
      <c r="BW20" s="2">
        <v>186</v>
      </c>
      <c r="BX20" s="2">
        <v>265</v>
      </c>
      <c r="BY20" s="2">
        <v>37.200000000000003</v>
      </c>
      <c r="BZ20" s="2">
        <v>6.6</v>
      </c>
      <c r="CA20" s="2">
        <v>1.6</v>
      </c>
      <c r="CB20" s="2">
        <v>2.7131759550200699E-6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18</v>
      </c>
      <c r="AX21" s="2" t="s">
        <v>271</v>
      </c>
      <c r="AY21" s="130">
        <v>24.7</v>
      </c>
      <c r="AZ21" s="2">
        <v>19.8</v>
      </c>
      <c r="BA21" s="2"/>
      <c r="BB21" s="2">
        <v>11</v>
      </c>
      <c r="BC21" s="2"/>
      <c r="BD21" s="2">
        <v>6.9</v>
      </c>
      <c r="BE21" s="2">
        <v>11.6</v>
      </c>
      <c r="BF21" s="2">
        <v>12.4</v>
      </c>
      <c r="BG21" s="2">
        <v>13.2</v>
      </c>
      <c r="BH21" s="2">
        <v>17.3</v>
      </c>
      <c r="BI21" s="2"/>
      <c r="BJ21" s="2"/>
      <c r="BK21" s="2"/>
      <c r="BL21" s="2"/>
      <c r="BM21" s="2"/>
      <c r="BN21" s="2">
        <v>74</v>
      </c>
      <c r="BO21" s="2">
        <v>26</v>
      </c>
      <c r="BP21" s="2">
        <v>29</v>
      </c>
      <c r="BQ21" s="2">
        <v>31</v>
      </c>
      <c r="BR21" s="2">
        <v>34</v>
      </c>
      <c r="BS21" s="2">
        <v>38</v>
      </c>
      <c r="BT21" s="2">
        <v>17</v>
      </c>
      <c r="BU21" s="2">
        <v>88</v>
      </c>
      <c r="BV21" s="2">
        <v>120</v>
      </c>
      <c r="BW21" s="2">
        <v>152</v>
      </c>
      <c r="BX21" s="2">
        <v>232</v>
      </c>
      <c r="BY21" s="2">
        <v>37.200000000000003</v>
      </c>
      <c r="BZ21" s="2">
        <v>6.6</v>
      </c>
      <c r="CA21" s="2">
        <v>1.6</v>
      </c>
      <c r="CB21" s="2">
        <v>2.7131759550200699E-6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18</v>
      </c>
      <c r="AX22" s="2" t="s">
        <v>289</v>
      </c>
      <c r="AY22" s="130">
        <v>28.8</v>
      </c>
      <c r="AZ22" s="2">
        <v>19</v>
      </c>
      <c r="BA22" s="2"/>
      <c r="BB22" s="2">
        <v>10</v>
      </c>
      <c r="BC22" s="2"/>
      <c r="BD22" s="2">
        <v>0.6</v>
      </c>
      <c r="BE22" s="2">
        <v>7.4</v>
      </c>
      <c r="BF22" s="2">
        <v>10.199999999999999</v>
      </c>
      <c r="BG22" s="2">
        <v>13</v>
      </c>
      <c r="BH22" s="2">
        <v>22.5</v>
      </c>
      <c r="BI22" s="2"/>
      <c r="BJ22" s="2"/>
      <c r="BK22" s="2"/>
      <c r="BL22" s="2"/>
      <c r="BM22" s="2"/>
      <c r="BN22" s="2">
        <v>58</v>
      </c>
      <c r="BO22" s="2">
        <v>26</v>
      </c>
      <c r="BP22" s="2">
        <v>28</v>
      </c>
      <c r="BQ22" s="2">
        <v>30</v>
      </c>
      <c r="BR22" s="2">
        <v>32</v>
      </c>
      <c r="BS22" s="2">
        <v>36</v>
      </c>
      <c r="BT22" s="2">
        <v>18</v>
      </c>
      <c r="BU22" s="2">
        <v>86</v>
      </c>
      <c r="BV22" s="2">
        <v>116</v>
      </c>
      <c r="BW22" s="2">
        <v>146</v>
      </c>
      <c r="BX22" s="2">
        <v>221</v>
      </c>
      <c r="BY22" s="2">
        <v>23.1</v>
      </c>
      <c r="BZ22" s="2">
        <v>3.7</v>
      </c>
      <c r="CA22" s="2">
        <v>1.1000000000000001</v>
      </c>
      <c r="CB22" s="2">
        <v>2.0534031539724701E-7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21</v>
      </c>
      <c r="AX23" s="2" t="s">
        <v>289</v>
      </c>
      <c r="AY23" s="130">
        <v>28.8</v>
      </c>
      <c r="AZ23" s="2">
        <v>19</v>
      </c>
      <c r="BA23" s="2"/>
      <c r="BB23" s="2">
        <v>10</v>
      </c>
      <c r="BC23" s="2"/>
      <c r="BD23" s="2">
        <v>9.1</v>
      </c>
      <c r="BE23" s="2">
        <v>15.8</v>
      </c>
      <c r="BF23" s="2">
        <v>18.600000000000001</v>
      </c>
      <c r="BG23" s="2">
        <v>21.5</v>
      </c>
      <c r="BH23" s="2">
        <v>30.9</v>
      </c>
      <c r="BI23" s="2"/>
      <c r="BJ23" s="2"/>
      <c r="BK23" s="2"/>
      <c r="BL23" s="2"/>
      <c r="BM23" s="2"/>
      <c r="BN23" s="2">
        <v>58</v>
      </c>
      <c r="BO23" s="2">
        <v>26</v>
      </c>
      <c r="BP23" s="2">
        <v>28</v>
      </c>
      <c r="BQ23" s="2">
        <v>30</v>
      </c>
      <c r="BR23" s="2">
        <v>32</v>
      </c>
      <c r="BS23" s="2">
        <v>36</v>
      </c>
      <c r="BT23" s="2">
        <v>43</v>
      </c>
      <c r="BU23" s="2">
        <v>111</v>
      </c>
      <c r="BV23" s="2">
        <v>141</v>
      </c>
      <c r="BW23" s="2">
        <v>172</v>
      </c>
      <c r="BX23" s="2">
        <v>247</v>
      </c>
      <c r="BY23" s="2">
        <v>23.1</v>
      </c>
      <c r="BZ23" s="2">
        <v>3.7</v>
      </c>
      <c r="CA23" s="2">
        <v>1.1000000000000001</v>
      </c>
      <c r="CB23" s="2">
        <v>2.0534031539724701E-7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21</v>
      </c>
      <c r="AX24" s="2" t="s">
        <v>218</v>
      </c>
      <c r="AY24" s="130">
        <v>37</v>
      </c>
      <c r="AZ24" s="2">
        <v>18.3</v>
      </c>
      <c r="BA24" s="2">
        <v>59</v>
      </c>
      <c r="BB24" s="2">
        <v>77</v>
      </c>
      <c r="BC24" s="2">
        <v>3</v>
      </c>
      <c r="BD24" s="2">
        <f>-2+4.5</f>
        <v>2.5</v>
      </c>
      <c r="BE24" s="2">
        <v>5.2</v>
      </c>
      <c r="BF24" s="2">
        <v>5.3</v>
      </c>
      <c r="BG24" s="2">
        <v>5.4</v>
      </c>
      <c r="BH24" s="2">
        <f>10+6.1</f>
        <v>16.100000000000001</v>
      </c>
      <c r="BI24" s="2">
        <v>103</v>
      </c>
      <c r="BJ24" s="2">
        <v>199</v>
      </c>
      <c r="BK24" s="2">
        <v>244</v>
      </c>
      <c r="BL24" s="2">
        <v>290</v>
      </c>
      <c r="BM24" s="2">
        <v>385</v>
      </c>
      <c r="BN24" s="2"/>
      <c r="BO24" s="2"/>
      <c r="BP24" s="2"/>
      <c r="BQ24" s="2"/>
      <c r="BR24" s="2"/>
      <c r="BS24" s="2"/>
      <c r="BT24" s="2">
        <v>21</v>
      </c>
      <c r="BU24" s="2">
        <v>170</v>
      </c>
      <c r="BV24" s="2">
        <v>263</v>
      </c>
      <c r="BW24" s="2">
        <v>355</v>
      </c>
      <c r="BX24" s="2">
        <v>542</v>
      </c>
      <c r="BY24" s="2">
        <v>22.7</v>
      </c>
      <c r="BZ24" s="2">
        <v>6.7</v>
      </c>
      <c r="CA24" s="2">
        <v>2.5</v>
      </c>
      <c r="CB24" s="2">
        <v>2.9531500453811899E-10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42</v>
      </c>
      <c r="AX25" s="2" t="s">
        <v>218</v>
      </c>
      <c r="AY25" s="130">
        <v>37</v>
      </c>
      <c r="AZ25" s="2">
        <v>18.3</v>
      </c>
      <c r="BA25" s="2">
        <v>59</v>
      </c>
      <c r="BB25" s="2">
        <v>77</v>
      </c>
      <c r="BC25" s="2">
        <v>3</v>
      </c>
      <c r="BD25" s="2">
        <f>-2+6.8</f>
        <v>4.8</v>
      </c>
      <c r="BE25" s="2">
        <v>7.5</v>
      </c>
      <c r="BF25" s="2">
        <v>7.6</v>
      </c>
      <c r="BG25" s="2">
        <v>7.7</v>
      </c>
      <c r="BH25" s="2">
        <f>10+8.4</f>
        <v>18.399999999999999</v>
      </c>
      <c r="BI25" s="2">
        <v>206</v>
      </c>
      <c r="BJ25" s="2">
        <v>301</v>
      </c>
      <c r="BK25" s="2">
        <v>347</v>
      </c>
      <c r="BL25" s="2">
        <v>393</v>
      </c>
      <c r="BM25" s="2">
        <v>488</v>
      </c>
      <c r="BN25" s="2"/>
      <c r="BO25" s="2"/>
      <c r="BP25" s="2"/>
      <c r="BQ25" s="2"/>
      <c r="BR25" s="2"/>
      <c r="BS25" s="2"/>
      <c r="BT25" s="2">
        <v>179</v>
      </c>
      <c r="BU25" s="2">
        <v>329</v>
      </c>
      <c r="BV25" s="2">
        <v>421</v>
      </c>
      <c r="BW25" s="2">
        <v>513</v>
      </c>
      <c r="BX25" s="2">
        <v>701</v>
      </c>
      <c r="BY25" s="2">
        <v>22.7</v>
      </c>
      <c r="BZ25" s="2">
        <v>6.7</v>
      </c>
      <c r="CA25" s="2">
        <v>2.5</v>
      </c>
      <c r="CB25" s="2">
        <v>2.9531500453811899E-10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K26" s="19" t="str">
        <f t="shared" ca="1" si="36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42</v>
      </c>
      <c r="AX26" s="2" t="s">
        <v>220</v>
      </c>
      <c r="AY26" s="130">
        <v>29.5</v>
      </c>
      <c r="AZ26" s="2">
        <v>18.8</v>
      </c>
      <c r="BA26" s="2">
        <v>48</v>
      </c>
      <c r="BB26" s="2">
        <v>77</v>
      </c>
      <c r="BC26" s="2">
        <v>3</v>
      </c>
      <c r="BD26" s="2">
        <v>1.5</v>
      </c>
      <c r="BE26" s="2">
        <v>5</v>
      </c>
      <c r="BF26" s="2">
        <v>7</v>
      </c>
      <c r="BG26" s="2">
        <v>22.7</v>
      </c>
      <c r="BH26" s="2">
        <v>71.5</v>
      </c>
      <c r="BI26" s="2">
        <v>178</v>
      </c>
      <c r="BJ26" s="2">
        <v>264</v>
      </c>
      <c r="BK26" s="2">
        <v>307</v>
      </c>
      <c r="BL26" s="2">
        <v>351</v>
      </c>
      <c r="BM26" s="2">
        <v>437</v>
      </c>
      <c r="BN26" s="2"/>
      <c r="BO26" s="2"/>
      <c r="BP26" s="2"/>
      <c r="BQ26" s="2"/>
      <c r="BR26" s="2"/>
      <c r="BS26" s="2"/>
      <c r="BT26" s="2">
        <v>103</v>
      </c>
      <c r="BU26" s="2">
        <v>278</v>
      </c>
      <c r="BV26" s="2">
        <v>366</v>
      </c>
      <c r="BW26" s="2">
        <v>454</v>
      </c>
      <c r="BX26" s="2">
        <v>630</v>
      </c>
      <c r="BY26" s="2">
        <v>47.7</v>
      </c>
      <c r="BZ26" s="2">
        <v>7.5</v>
      </c>
      <c r="CA26" s="2">
        <v>2.7</v>
      </c>
      <c r="CB26" s="2">
        <v>2.3310150225134299E-12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63</v>
      </c>
      <c r="AX27" s="2" t="s">
        <v>220</v>
      </c>
      <c r="AY27" s="130">
        <v>29.5</v>
      </c>
      <c r="AZ27" s="2">
        <v>18.8</v>
      </c>
      <c r="BA27" s="2">
        <v>48</v>
      </c>
      <c r="BB27" s="2">
        <v>77</v>
      </c>
      <c r="BC27" s="2">
        <v>3</v>
      </c>
      <c r="BD27" s="2">
        <v>13.4</v>
      </c>
      <c r="BE27" s="2">
        <v>15</v>
      </c>
      <c r="BF27" s="2">
        <v>18.8</v>
      </c>
      <c r="BG27" s="2">
        <v>34.6</v>
      </c>
      <c r="BH27" s="2">
        <v>83.4</v>
      </c>
      <c r="BI27" s="2">
        <v>752</v>
      </c>
      <c r="BJ27" s="2">
        <v>838</v>
      </c>
      <c r="BK27" s="2">
        <v>881</v>
      </c>
      <c r="BL27" s="2">
        <v>925</v>
      </c>
      <c r="BM27" s="2">
        <v>1011</v>
      </c>
      <c r="BN27" s="2"/>
      <c r="BO27" s="2"/>
      <c r="BP27" s="2"/>
      <c r="BQ27" s="2"/>
      <c r="BR27" s="2"/>
      <c r="BS27" s="2"/>
      <c r="BT27" s="2">
        <v>1067</v>
      </c>
      <c r="BU27" s="2">
        <v>1242</v>
      </c>
      <c r="BV27" s="2">
        <v>1330</v>
      </c>
      <c r="BW27" s="2">
        <v>1418</v>
      </c>
      <c r="BX27" s="2">
        <v>1593</v>
      </c>
      <c r="BY27" s="2">
        <v>47.7</v>
      </c>
      <c r="BZ27" s="2">
        <v>7.5</v>
      </c>
      <c r="CA27" s="2">
        <v>2.7</v>
      </c>
      <c r="CB27" s="2">
        <v>2.3310150225134299E-12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63</v>
      </c>
      <c r="AX28" s="2" t="s">
        <v>221</v>
      </c>
      <c r="AY28" s="130">
        <v>36.1</v>
      </c>
      <c r="AZ28" s="2">
        <v>18.5</v>
      </c>
      <c r="BA28" s="2">
        <v>21</v>
      </c>
      <c r="BB28" s="2">
        <v>72</v>
      </c>
      <c r="BC28" s="2">
        <v>3</v>
      </c>
      <c r="BD28" s="2">
        <v>2.2999999999999998</v>
      </c>
      <c r="BE28" s="2">
        <v>3</v>
      </c>
      <c r="BF28" s="2">
        <v>4.5</v>
      </c>
      <c r="BG28" s="2">
        <v>10.8</v>
      </c>
      <c r="BH28" s="2">
        <v>30.3</v>
      </c>
      <c r="BI28" s="2">
        <v>88</v>
      </c>
      <c r="BJ28" s="2">
        <v>131</v>
      </c>
      <c r="BK28" s="2">
        <v>162</v>
      </c>
      <c r="BL28" s="2">
        <v>195</v>
      </c>
      <c r="BM28" s="2">
        <v>258</v>
      </c>
      <c r="BN28" s="2"/>
      <c r="BO28" s="2"/>
      <c r="BP28" s="2"/>
      <c r="BQ28" s="2"/>
      <c r="BR28" s="2"/>
      <c r="BS28" s="2"/>
      <c r="BT28" s="2">
        <v>63</v>
      </c>
      <c r="BU28" s="2">
        <v>131</v>
      </c>
      <c r="BV28" s="2">
        <v>217</v>
      </c>
      <c r="BW28" s="2">
        <v>304</v>
      </c>
      <c r="BX28" s="2">
        <v>476</v>
      </c>
      <c r="BY28" s="2">
        <v>14.8</v>
      </c>
      <c r="BZ28" s="2">
        <v>1.7</v>
      </c>
      <c r="CA28" s="2">
        <v>0.6</v>
      </c>
      <c r="CB28" s="2">
        <v>1.7167932006052601E-13</v>
      </c>
      <c r="CC28" s="2">
        <v>1.8</v>
      </c>
    </row>
    <row r="29" spans="1:81" x14ac:dyDescent="0.25">
      <c r="A29" s="66"/>
      <c r="B29" s="66"/>
      <c r="C29" s="67"/>
      <c r="D29" s="35"/>
      <c r="AW29" s="2">
        <v>80</v>
      </c>
      <c r="AX29" s="2" t="s">
        <v>221</v>
      </c>
      <c r="AY29" s="130">
        <v>36.1</v>
      </c>
      <c r="AZ29" s="2">
        <v>18.5</v>
      </c>
      <c r="BA29" s="2">
        <v>21</v>
      </c>
      <c r="BB29" s="2">
        <v>72</v>
      </c>
      <c r="BC29" s="2">
        <v>3</v>
      </c>
      <c r="BD29" s="2">
        <v>3.4</v>
      </c>
      <c r="BE29" s="2">
        <v>4</v>
      </c>
      <c r="BF29" s="2">
        <v>5.6</v>
      </c>
      <c r="BG29" s="2">
        <v>11.9</v>
      </c>
      <c r="BH29" s="2">
        <v>31.4</v>
      </c>
      <c r="BI29" s="2">
        <v>129</v>
      </c>
      <c r="BJ29" s="2">
        <v>172</v>
      </c>
      <c r="BK29" s="2">
        <v>203</v>
      </c>
      <c r="BL29" s="2">
        <v>236</v>
      </c>
      <c r="BM29" s="2">
        <v>299</v>
      </c>
      <c r="BN29" s="2"/>
      <c r="BO29" s="2"/>
      <c r="BP29" s="2"/>
      <c r="BQ29" s="2"/>
      <c r="BR29" s="2"/>
      <c r="BS29" s="2"/>
      <c r="BT29" s="2">
        <v>133</v>
      </c>
      <c r="BU29" s="2">
        <v>201</v>
      </c>
      <c r="BV29" s="2">
        <v>288</v>
      </c>
      <c r="BW29" s="2">
        <v>374</v>
      </c>
      <c r="BX29" s="2">
        <v>546</v>
      </c>
      <c r="BY29" s="2">
        <v>14.8</v>
      </c>
      <c r="BZ29" s="2">
        <v>1.7</v>
      </c>
      <c r="CA29" s="2">
        <v>0.6</v>
      </c>
      <c r="CB29" s="2">
        <v>1.7167932006052601E-13</v>
      </c>
      <c r="CC29" s="2">
        <v>1.8</v>
      </c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609" priority="12">
      <formula>$L32="API sand"</formula>
    </cfRule>
  </conditionalFormatting>
  <conditionalFormatting sqref="R32:S36 AB32:AB35 AJ32:AL36 Z32:Z36 N32:N36">
    <cfRule type="expression" dxfId="2608" priority="11">
      <formula>$M32="API sand"</formula>
    </cfRule>
  </conditionalFormatting>
  <conditionalFormatting sqref="R32:T36 Z32:AB35 AK32:AL36 N32:N36">
    <cfRule type="expression" dxfId="2607" priority="10">
      <formula>$M32="API clay"</formula>
    </cfRule>
  </conditionalFormatting>
  <conditionalFormatting sqref="U32:W36 AM32:AP36 N32:P36">
    <cfRule type="expression" dxfId="2606" priority="7">
      <formula>$L32="Stiff clay w/o free water"</formula>
    </cfRule>
    <cfRule type="expression" dxfId="2605" priority="9">
      <formula>$L32="API clay"</formula>
    </cfRule>
  </conditionalFormatting>
  <conditionalFormatting sqref="U32:Y36 AM32:AP36 N32:P36">
    <cfRule type="expression" dxfId="2604" priority="8">
      <formula>$L32="Kirsch soft clay"</formula>
    </cfRule>
  </conditionalFormatting>
  <conditionalFormatting sqref="U32:Y36 AM32:AP36 N32:P36">
    <cfRule type="expression" dxfId="2603" priority="6">
      <formula>$L32="Kirsch stiff clay"</formula>
    </cfRule>
  </conditionalFormatting>
  <conditionalFormatting sqref="AM32:AP36 Q32:Q36 X32:Y36 N32:N36">
    <cfRule type="expression" dxfId="2602" priority="5">
      <formula>$L32="Kirsch sand"</formula>
    </cfRule>
  </conditionalFormatting>
  <conditionalFormatting sqref="AC32:AD36 AI32:AI36 AM32:AP36 N32:N36">
    <cfRule type="expression" dxfId="2601" priority="4">
      <formula>$L32="Modified Weak rock"</formula>
    </cfRule>
  </conditionalFormatting>
  <conditionalFormatting sqref="AM32:AP36 N32:P36 U32:V36">
    <cfRule type="expression" dxfId="2600" priority="3">
      <formula>$L32="Reese stiff clay"</formula>
    </cfRule>
  </conditionalFormatting>
  <conditionalFormatting sqref="AB36">
    <cfRule type="expression" dxfId="2599" priority="2">
      <formula>$M36="API sand"</formula>
    </cfRule>
  </conditionalFormatting>
  <conditionalFormatting sqref="Z36:AB36">
    <cfRule type="expression" dxfId="2598" priority="1">
      <formula>$M36="API clay"</formula>
    </cfRule>
  </conditionalFormatting>
  <conditionalFormatting sqref="AE37:AH37">
    <cfRule type="expression" dxfId="2597" priority="13">
      <formula>#REF!="Modified Weak rock"</formula>
    </cfRule>
  </conditionalFormatting>
  <dataValidations count="4">
    <dataValidation type="list" showInputMessage="1" showErrorMessage="1" sqref="M32:M36" xr:uid="{285A9A97-31D3-4464-A860-A965C132F806}">
      <formula1>"',API sand,API clay"</formula1>
    </dataValidation>
    <dataValidation type="list" showInputMessage="1" showErrorMessage="1" sqref="L32:L255" xr:uid="{FF9C0556-AB5B-4528-945F-EA4A0CB216E0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E705AE10-DEA5-4AA3-BE35-A1ED41A42430}"/>
    <dataValidation type="textLength" showInputMessage="1" showErrorMessage="1" sqref="M27:M31" xr:uid="{051571AF-CD94-4822-BE0B-610ED85BEC4B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F369B-0387-4A0A-842B-9A5E553FFAB6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Ak_Pisa_WTG20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16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EW_sand_Ruled_97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39</v>
      </c>
      <c r="R6" s="47">
        <f t="shared" ref="R6:R26" ca="1" si="7">IF(I6="","",IF(Q6&lt;&gt;0,Q6-5,NA()))</f>
        <v>34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16800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111.19999999999996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11520</v>
      </c>
      <c r="AC6" s="63">
        <f t="shared" ref="AC6:AC26" ca="1" si="18">IF(I6="","",IF(OFFSET($BV$6,(ROW()-6)*2,0)=0,0,OFFSET($BV$6,(ROW()-6)*2,0)*1000))</f>
        <v>12000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97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1.3</v>
      </c>
      <c r="BF6" s="2">
        <v>2.5</v>
      </c>
      <c r="BG6" s="2">
        <v>3.6</v>
      </c>
      <c r="BH6" s="2">
        <v>6.6</v>
      </c>
      <c r="BI6" s="2"/>
      <c r="BJ6" s="2"/>
      <c r="BK6" s="2"/>
      <c r="BL6" s="2"/>
      <c r="BM6" s="2"/>
      <c r="BN6" s="2">
        <v>97</v>
      </c>
      <c r="BO6" s="2">
        <v>28</v>
      </c>
      <c r="BP6" s="2">
        <v>39</v>
      </c>
      <c r="BQ6" s="2">
        <v>43</v>
      </c>
      <c r="BR6" s="2">
        <v>46</v>
      </c>
      <c r="BS6" s="2">
        <v>55</v>
      </c>
      <c r="BT6" s="2">
        <v>0</v>
      </c>
      <c r="BU6" s="2">
        <v>6</v>
      </c>
      <c r="BV6" s="2">
        <v>12</v>
      </c>
      <c r="BW6" s="2">
        <v>18</v>
      </c>
      <c r="BX6" s="2">
        <v>31</v>
      </c>
      <c r="BY6" s="2">
        <v>16.8</v>
      </c>
      <c r="BZ6" s="2">
        <v>1</v>
      </c>
      <c r="CA6" s="2">
        <v>0.5</v>
      </c>
      <c r="CB6" s="2">
        <v>5.3762733032737997E-4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-1</v>
      </c>
      <c r="L7" s="116" t="str">
        <f t="shared" ca="1" si="1"/>
        <v>EW_sand_Ruled_85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40</v>
      </c>
      <c r="R7" s="47">
        <f t="shared" ca="1" si="7"/>
        <v>35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37800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41000</v>
      </c>
      <c r="AD7" s="63">
        <f t="shared" ca="1" si="19"/>
        <v>6666.666666666667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85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2.7</v>
      </c>
      <c r="BE7" s="2">
        <v>6</v>
      </c>
      <c r="BF7" s="2">
        <v>7.2</v>
      </c>
      <c r="BG7" s="2">
        <v>8.3000000000000007</v>
      </c>
      <c r="BH7" s="2">
        <v>11.3</v>
      </c>
      <c r="BI7" s="2"/>
      <c r="BJ7" s="2"/>
      <c r="BK7" s="2"/>
      <c r="BL7" s="2"/>
      <c r="BM7" s="2"/>
      <c r="BN7" s="2">
        <v>97</v>
      </c>
      <c r="BO7" s="2">
        <v>28</v>
      </c>
      <c r="BP7" s="2">
        <v>39</v>
      </c>
      <c r="BQ7" s="2">
        <v>43</v>
      </c>
      <c r="BR7" s="2">
        <v>46</v>
      </c>
      <c r="BS7" s="2">
        <v>55</v>
      </c>
      <c r="BT7" s="2">
        <v>15</v>
      </c>
      <c r="BU7" s="2">
        <v>28</v>
      </c>
      <c r="BV7" s="2">
        <v>34</v>
      </c>
      <c r="BW7" s="2">
        <v>40</v>
      </c>
      <c r="BX7" s="2">
        <v>53</v>
      </c>
      <c r="BY7" s="2">
        <v>16.8</v>
      </c>
      <c r="BZ7" s="2">
        <v>1</v>
      </c>
      <c r="CA7" s="2">
        <v>0.5</v>
      </c>
      <c r="CB7" s="2">
        <v>5.3762733032737997E-4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10b</v>
      </c>
      <c r="J8" s="47">
        <f t="shared" ca="1" si="35"/>
        <v>3</v>
      </c>
      <c r="K8" s="19">
        <f t="shared" ca="1" si="36"/>
        <v>-2.5</v>
      </c>
      <c r="L8" s="116" t="str">
        <f t="shared" ca="1" si="1"/>
        <v>EW_sand_Ruled_51</v>
      </c>
      <c r="M8" s="105" t="str">
        <f t="shared" ca="1" si="2"/>
        <v>API sand</v>
      </c>
      <c r="N8" s="47">
        <f t="shared" ca="1" si="3"/>
        <v>9.8999999999999986</v>
      </c>
      <c r="O8" s="63">
        <f t="shared" ca="1" si="4"/>
        <v>0</v>
      </c>
      <c r="P8" s="63">
        <f t="shared" ca="1" si="5"/>
        <v>0</v>
      </c>
      <c r="Q8" s="47">
        <f t="shared" ca="1" si="6"/>
        <v>37</v>
      </c>
      <c r="R8" s="47">
        <f t="shared" ca="1" si="7"/>
        <v>32</v>
      </c>
      <c r="S8" s="47">
        <f t="shared" ca="1" si="8"/>
        <v>1.4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26000</v>
      </c>
      <c r="Y8" s="47">
        <f t="shared" ca="1" si="14"/>
        <v>0</v>
      </c>
      <c r="Z8" s="47">
        <f t="shared" ca="1" si="15"/>
        <v>103.59999999999997</v>
      </c>
      <c r="AA8" s="47">
        <f t="shared" ca="1" si="16"/>
        <v>1</v>
      </c>
      <c r="AB8" s="47">
        <f t="shared" ca="1" si="17"/>
        <v>10560</v>
      </c>
      <c r="AC8" s="63">
        <f t="shared" ca="1" si="18"/>
        <v>50000</v>
      </c>
      <c r="AD8" s="63">
        <f t="shared" ca="1" si="19"/>
        <v>4666.666666666667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44.000000000000007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51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5</v>
      </c>
      <c r="BE8" s="2">
        <v>9</v>
      </c>
      <c r="BF8" s="2">
        <v>10.1</v>
      </c>
      <c r="BG8" s="2">
        <v>11</v>
      </c>
      <c r="BH8" s="2">
        <v>14.1</v>
      </c>
      <c r="BI8" s="2"/>
      <c r="BJ8" s="2"/>
      <c r="BK8" s="2"/>
      <c r="BL8" s="2"/>
      <c r="BM8" s="2"/>
      <c r="BN8" s="2">
        <v>85</v>
      </c>
      <c r="BO8" s="2">
        <v>34</v>
      </c>
      <c r="BP8" s="2">
        <v>40</v>
      </c>
      <c r="BQ8" s="2">
        <v>43</v>
      </c>
      <c r="BR8" s="2">
        <v>46</v>
      </c>
      <c r="BS8" s="2">
        <v>53</v>
      </c>
      <c r="BT8" s="2">
        <v>3</v>
      </c>
      <c r="BU8" s="2">
        <v>30</v>
      </c>
      <c r="BV8" s="2">
        <v>41</v>
      </c>
      <c r="BW8" s="2">
        <v>52</v>
      </c>
      <c r="BX8" s="2">
        <v>79</v>
      </c>
      <c r="BY8" s="2">
        <v>37.799999999999997</v>
      </c>
      <c r="BZ8" s="2">
        <v>1</v>
      </c>
      <c r="CA8" s="2">
        <v>0.5</v>
      </c>
      <c r="CB8" s="2">
        <v>2.0685298722707501E-4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10b</v>
      </c>
      <c r="J9" s="47">
        <f t="shared" ca="1" si="35"/>
        <v>4</v>
      </c>
      <c r="K9" s="19">
        <f t="shared" ca="1" si="36"/>
        <v>-4</v>
      </c>
      <c r="L9" s="116" t="str">
        <f t="shared" ca="1" si="1"/>
        <v>EW_sand_Ruled_47</v>
      </c>
      <c r="M9" s="105" t="str">
        <f t="shared" ca="1" si="2"/>
        <v>API sand</v>
      </c>
      <c r="N9" s="47">
        <f t="shared" ca="1" si="3"/>
        <v>9.8999999999999986</v>
      </c>
      <c r="O9" s="63">
        <f t="shared" ca="1" si="4"/>
        <v>0</v>
      </c>
      <c r="P9" s="63">
        <f t="shared" ca="1" si="5"/>
        <v>0</v>
      </c>
      <c r="Q9" s="47">
        <f t="shared" ca="1" si="6"/>
        <v>36</v>
      </c>
      <c r="R9" s="47">
        <f t="shared" ca="1" si="7"/>
        <v>31</v>
      </c>
      <c r="S9" s="47">
        <f t="shared" ca="1" si="8"/>
        <v>1.1000000000000001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27100</v>
      </c>
      <c r="Y9" s="47">
        <f t="shared" ca="1" si="14"/>
        <v>0</v>
      </c>
      <c r="Z9" s="47">
        <f t="shared" ca="1" si="15"/>
        <v>99.799999999999969</v>
      </c>
      <c r="AA9" s="47">
        <f t="shared" ca="1" si="16"/>
        <v>1</v>
      </c>
      <c r="AB9" s="47">
        <f t="shared" ca="1" si="17"/>
        <v>10080</v>
      </c>
      <c r="AC9" s="63">
        <f t="shared" ca="1" si="18"/>
        <v>65000</v>
      </c>
      <c r="AD9" s="63">
        <f t="shared" ca="1" si="19"/>
        <v>-666.66666666666663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42.000000000000007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47</v>
      </c>
      <c r="AS9" s="33">
        <f t="shared" ca="1" si="34"/>
        <v>0.4</v>
      </c>
      <c r="AW9" s="2">
        <v>2.5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2.8</v>
      </c>
      <c r="BE9" s="2">
        <v>6.8</v>
      </c>
      <c r="BF9" s="2">
        <v>7.9</v>
      </c>
      <c r="BG9" s="2">
        <v>8.8000000000000007</v>
      </c>
      <c r="BH9" s="2">
        <v>11.9</v>
      </c>
      <c r="BI9" s="2"/>
      <c r="BJ9" s="2"/>
      <c r="BK9" s="2"/>
      <c r="BL9" s="2"/>
      <c r="BM9" s="2"/>
      <c r="BN9" s="2">
        <v>85</v>
      </c>
      <c r="BO9" s="2">
        <v>34</v>
      </c>
      <c r="BP9" s="2">
        <v>40</v>
      </c>
      <c r="BQ9" s="2">
        <v>43</v>
      </c>
      <c r="BR9" s="2">
        <v>46</v>
      </c>
      <c r="BS9" s="2">
        <v>53</v>
      </c>
      <c r="BT9" s="2">
        <v>12</v>
      </c>
      <c r="BU9" s="2">
        <v>40</v>
      </c>
      <c r="BV9" s="2">
        <v>51</v>
      </c>
      <c r="BW9" s="2">
        <v>62</v>
      </c>
      <c r="BX9" s="2">
        <v>89</v>
      </c>
      <c r="BY9" s="2">
        <v>37.799999999999997</v>
      </c>
      <c r="BZ9" s="2">
        <v>1</v>
      </c>
      <c r="CA9" s="2">
        <v>0.5</v>
      </c>
      <c r="CB9" s="2">
        <v>2.0685298722707501E-4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10c</v>
      </c>
      <c r="J10" s="47">
        <f t="shared" ca="1" si="35"/>
        <v>5</v>
      </c>
      <c r="K10" s="19">
        <f t="shared" ca="1" si="36"/>
        <v>-7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8.3999999999999986</v>
      </c>
      <c r="O10" s="63">
        <f t="shared" ca="1" si="4"/>
        <v>68</v>
      </c>
      <c r="P10" s="63">
        <f t="shared" ca="1" si="5"/>
        <v>22.500000000000004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0.5</v>
      </c>
      <c r="X10" s="47">
        <f t="shared" ca="1" si="13"/>
        <v>15200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67000</v>
      </c>
      <c r="AD10" s="63">
        <f t="shared" ca="1" si="19"/>
        <v>20000.000000000004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2.5</v>
      </c>
      <c r="AX10" s="2" t="s">
        <v>261</v>
      </c>
      <c r="AY10" s="130">
        <v>24</v>
      </c>
      <c r="AZ10" s="2">
        <v>19.899999999999999</v>
      </c>
      <c r="BA10" s="2"/>
      <c r="BB10" s="2">
        <v>6</v>
      </c>
      <c r="BC10" s="2"/>
      <c r="BD10" s="2">
        <v>5.7</v>
      </c>
      <c r="BE10" s="2">
        <v>6.3</v>
      </c>
      <c r="BF10" s="2">
        <v>6.5</v>
      </c>
      <c r="BG10" s="2">
        <v>6.7</v>
      </c>
      <c r="BH10" s="2">
        <v>7.2</v>
      </c>
      <c r="BI10" s="2"/>
      <c r="BJ10" s="2"/>
      <c r="BK10" s="2"/>
      <c r="BL10" s="2"/>
      <c r="BM10" s="2"/>
      <c r="BN10" s="2">
        <v>51</v>
      </c>
      <c r="BO10" s="2">
        <v>32</v>
      </c>
      <c r="BP10" s="2">
        <v>37</v>
      </c>
      <c r="BQ10" s="2">
        <v>40</v>
      </c>
      <c r="BR10" s="2">
        <v>43</v>
      </c>
      <c r="BS10" s="2">
        <v>49</v>
      </c>
      <c r="BT10" s="2">
        <v>6</v>
      </c>
      <c r="BU10" s="2">
        <v>37</v>
      </c>
      <c r="BV10" s="2">
        <v>50</v>
      </c>
      <c r="BW10" s="2">
        <v>63</v>
      </c>
      <c r="BX10" s="2">
        <v>94</v>
      </c>
      <c r="BY10" s="2">
        <v>26</v>
      </c>
      <c r="BZ10" s="2">
        <v>5.8</v>
      </c>
      <c r="CA10" s="2">
        <v>1.4</v>
      </c>
      <c r="CB10" s="2">
        <v>6.43740771563732E-6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11a</v>
      </c>
      <c r="J11" s="47">
        <f t="shared" ca="1" si="35"/>
        <v>6</v>
      </c>
      <c r="K11" s="19">
        <f t="shared" ca="1" si="36"/>
        <v>-7.8</v>
      </c>
      <c r="L11" s="116" t="str">
        <f t="shared" ca="1" si="1"/>
        <v>EW_sand_Ruled_57</v>
      </c>
      <c r="M11" s="105" t="str">
        <f t="shared" ca="1" si="2"/>
        <v>API sand</v>
      </c>
      <c r="N11" s="47">
        <f t="shared" ca="1" si="3"/>
        <v>9.6000000000000014</v>
      </c>
      <c r="O11" s="63">
        <f t="shared" ca="1" si="4"/>
        <v>0</v>
      </c>
      <c r="P11" s="63">
        <f t="shared" ca="1" si="5"/>
        <v>0</v>
      </c>
      <c r="Q11" s="47">
        <f t="shared" ca="1" si="6"/>
        <v>36</v>
      </c>
      <c r="R11" s="47">
        <f t="shared" ca="1" si="7"/>
        <v>31</v>
      </c>
      <c r="S11" s="47">
        <f t="shared" ca="1" si="8"/>
        <v>0.9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27300</v>
      </c>
      <c r="Y11" s="47">
        <f t="shared" ca="1" si="14"/>
        <v>0</v>
      </c>
      <c r="Z11" s="47">
        <f t="shared" ca="1" si="15"/>
        <v>99.799999999999969</v>
      </c>
      <c r="AA11" s="47">
        <f t="shared" ca="1" si="16"/>
        <v>1</v>
      </c>
      <c r="AB11" s="47">
        <f t="shared" ca="1" si="17"/>
        <v>10080</v>
      </c>
      <c r="AC11" s="63">
        <f t="shared" ca="1" si="18"/>
        <v>69000</v>
      </c>
      <c r="AD11" s="63">
        <f t="shared" ca="1" si="19"/>
        <v>19166.666666666664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42.000000000000007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57</v>
      </c>
      <c r="AS11" s="33">
        <f t="shared" ca="1" si="34"/>
        <v>0.4</v>
      </c>
      <c r="AW11" s="2">
        <v>4</v>
      </c>
      <c r="AX11" s="2" t="s">
        <v>261</v>
      </c>
      <c r="AY11" s="130">
        <v>24</v>
      </c>
      <c r="AZ11" s="2">
        <v>19.899999999999999</v>
      </c>
      <c r="BA11" s="2"/>
      <c r="BB11" s="2">
        <v>6</v>
      </c>
      <c r="BC11" s="2"/>
      <c r="BD11" s="2">
        <v>5.7</v>
      </c>
      <c r="BE11" s="2">
        <v>6.3</v>
      </c>
      <c r="BF11" s="2">
        <v>6.5</v>
      </c>
      <c r="BG11" s="2">
        <v>6.7</v>
      </c>
      <c r="BH11" s="2">
        <v>7.2</v>
      </c>
      <c r="BI11" s="2"/>
      <c r="BJ11" s="2"/>
      <c r="BK11" s="2"/>
      <c r="BL11" s="2"/>
      <c r="BM11" s="2"/>
      <c r="BN11" s="2">
        <v>51</v>
      </c>
      <c r="BO11" s="2">
        <v>32</v>
      </c>
      <c r="BP11" s="2">
        <v>37</v>
      </c>
      <c r="BQ11" s="2">
        <v>40</v>
      </c>
      <c r="BR11" s="2">
        <v>43</v>
      </c>
      <c r="BS11" s="2">
        <v>49</v>
      </c>
      <c r="BT11" s="2">
        <v>13</v>
      </c>
      <c r="BU11" s="2">
        <v>44</v>
      </c>
      <c r="BV11" s="2">
        <v>57</v>
      </c>
      <c r="BW11" s="2">
        <v>70</v>
      </c>
      <c r="BX11" s="2">
        <v>101</v>
      </c>
      <c r="BY11" s="2">
        <v>26</v>
      </c>
      <c r="BZ11" s="2">
        <v>5.8</v>
      </c>
      <c r="CA11" s="2">
        <v>1.4</v>
      </c>
      <c r="CB11" s="2">
        <v>6.43740771563732E-6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11a</v>
      </c>
      <c r="J12" s="47">
        <f t="shared" ca="1" si="35"/>
        <v>7</v>
      </c>
      <c r="K12" s="19">
        <f t="shared" ca="1" si="36"/>
        <v>-9</v>
      </c>
      <c r="L12" s="116" t="str">
        <f t="shared" ca="1" si="1"/>
        <v>EW_sand_Ruled_95</v>
      </c>
      <c r="M12" s="105" t="str">
        <f t="shared" ca="1" si="2"/>
        <v>API sand</v>
      </c>
      <c r="N12" s="47">
        <f t="shared" ca="1" si="3"/>
        <v>9.6000000000000014</v>
      </c>
      <c r="O12" s="63">
        <f t="shared" ca="1" si="4"/>
        <v>0</v>
      </c>
      <c r="P12" s="63">
        <f t="shared" ca="1" si="5"/>
        <v>0</v>
      </c>
      <c r="Q12" s="47">
        <f t="shared" ca="1" si="6"/>
        <v>42</v>
      </c>
      <c r="R12" s="47">
        <f t="shared" ca="1" si="7"/>
        <v>37</v>
      </c>
      <c r="S12" s="47">
        <f t="shared" ca="1" si="8"/>
        <v>1.5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121700</v>
      </c>
      <c r="Y12" s="47">
        <f t="shared" ca="1" si="14"/>
        <v>0</v>
      </c>
      <c r="Z12" s="47">
        <f t="shared" ca="1" si="15"/>
        <v>114.99999999999996</v>
      </c>
      <c r="AA12" s="47">
        <f t="shared" ca="1" si="16"/>
        <v>1</v>
      </c>
      <c r="AB12" s="47">
        <f t="shared" ca="1" si="17"/>
        <v>12000</v>
      </c>
      <c r="AC12" s="63">
        <f t="shared" ca="1" si="18"/>
        <v>115000</v>
      </c>
      <c r="AD12" s="63">
        <f t="shared" ca="1" si="19"/>
        <v>5714.2857142857129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50.000000000000007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95</v>
      </c>
      <c r="AS12" s="33">
        <f t="shared" ca="1" si="34"/>
        <v>0.4</v>
      </c>
      <c r="AW12" s="2">
        <v>4</v>
      </c>
      <c r="AX12" s="2" t="s">
        <v>261</v>
      </c>
      <c r="AY12" s="130">
        <v>24</v>
      </c>
      <c r="AZ12" s="2">
        <v>19.899999999999999</v>
      </c>
      <c r="BA12" s="2"/>
      <c r="BB12" s="2">
        <v>6</v>
      </c>
      <c r="BC12" s="2"/>
      <c r="BD12" s="2">
        <v>7.7</v>
      </c>
      <c r="BE12" s="2">
        <v>8.6</v>
      </c>
      <c r="BF12" s="2">
        <v>8.8000000000000007</v>
      </c>
      <c r="BG12" s="2">
        <v>9</v>
      </c>
      <c r="BH12" s="2">
        <v>9.8000000000000007</v>
      </c>
      <c r="BI12" s="2"/>
      <c r="BJ12" s="2"/>
      <c r="BK12" s="2"/>
      <c r="BL12" s="2"/>
      <c r="BM12" s="2"/>
      <c r="BN12" s="2">
        <v>47</v>
      </c>
      <c r="BO12" s="2">
        <v>29</v>
      </c>
      <c r="BP12" s="2">
        <v>36</v>
      </c>
      <c r="BQ12" s="2">
        <v>39</v>
      </c>
      <c r="BR12" s="2">
        <v>42</v>
      </c>
      <c r="BS12" s="2">
        <v>48</v>
      </c>
      <c r="BT12" s="2">
        <v>13</v>
      </c>
      <c r="BU12" s="2">
        <v>50</v>
      </c>
      <c r="BV12" s="2">
        <v>65</v>
      </c>
      <c r="BW12" s="2">
        <v>80</v>
      </c>
      <c r="BX12" s="2">
        <v>117</v>
      </c>
      <c r="BY12" s="2">
        <v>27.1</v>
      </c>
      <c r="BZ12" s="2">
        <v>3.5</v>
      </c>
      <c r="CA12" s="2">
        <v>1.1000000000000001</v>
      </c>
      <c r="CB12" s="2">
        <v>8.0558356396258597E-7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12b</v>
      </c>
      <c r="J13" s="47">
        <f t="shared" ca="1" si="35"/>
        <v>8</v>
      </c>
      <c r="K13" s="19">
        <f t="shared" ca="1" si="36"/>
        <v>-10.4</v>
      </c>
      <c r="L13" s="116" t="str">
        <f t="shared" ca="1" si="1"/>
        <v>EW_sand_Ruled_73</v>
      </c>
      <c r="M13" s="105" t="str">
        <f t="shared" ca="1" si="2"/>
        <v>API sand</v>
      </c>
      <c r="N13" s="47">
        <f t="shared" ca="1" si="3"/>
        <v>10.199999999999999</v>
      </c>
      <c r="O13" s="63">
        <f t="shared" ca="1" si="4"/>
        <v>0</v>
      </c>
      <c r="P13" s="63">
        <f t="shared" ca="1" si="5"/>
        <v>0</v>
      </c>
      <c r="Q13" s="47">
        <f t="shared" ca="1" si="6"/>
        <v>39</v>
      </c>
      <c r="R13" s="47">
        <f t="shared" ca="1" si="7"/>
        <v>34</v>
      </c>
      <c r="S13" s="47">
        <f t="shared" ca="1" si="8"/>
        <v>1.1000000000000001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68700</v>
      </c>
      <c r="Y13" s="47">
        <f t="shared" ca="1" si="14"/>
        <v>0</v>
      </c>
      <c r="Z13" s="47">
        <f t="shared" ca="1" si="15"/>
        <v>111.19999999999996</v>
      </c>
      <c r="AA13" s="47">
        <f t="shared" ca="1" si="16"/>
        <v>1</v>
      </c>
      <c r="AB13" s="47">
        <f t="shared" ca="1" si="17"/>
        <v>11520</v>
      </c>
      <c r="AC13" s="63">
        <f t="shared" ca="1" si="18"/>
        <v>113000</v>
      </c>
      <c r="AD13" s="63">
        <f t="shared" ca="1" si="19"/>
        <v>-10000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48.000000000000007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73</v>
      </c>
      <c r="AS13" s="33">
        <f t="shared" ca="1" si="34"/>
        <v>0.4</v>
      </c>
      <c r="AW13" s="2">
        <v>7</v>
      </c>
      <c r="AX13" s="2" t="s">
        <v>261</v>
      </c>
      <c r="AY13" s="130">
        <v>24</v>
      </c>
      <c r="AZ13" s="2">
        <v>19.899999999999999</v>
      </c>
      <c r="BA13" s="2"/>
      <c r="BB13" s="2">
        <v>6</v>
      </c>
      <c r="BC13" s="2"/>
      <c r="BD13" s="2">
        <v>2.4</v>
      </c>
      <c r="BE13" s="2">
        <v>3.2</v>
      </c>
      <c r="BF13" s="2">
        <v>3.4</v>
      </c>
      <c r="BG13" s="2">
        <v>3.6</v>
      </c>
      <c r="BH13" s="2">
        <v>4.5</v>
      </c>
      <c r="BI13" s="2"/>
      <c r="BJ13" s="2"/>
      <c r="BK13" s="2"/>
      <c r="BL13" s="2"/>
      <c r="BM13" s="2"/>
      <c r="BN13" s="2">
        <v>47</v>
      </c>
      <c r="BO13" s="2">
        <v>29</v>
      </c>
      <c r="BP13" s="2">
        <v>36</v>
      </c>
      <c r="BQ13" s="2">
        <v>39</v>
      </c>
      <c r="BR13" s="2">
        <v>42</v>
      </c>
      <c r="BS13" s="2">
        <v>48</v>
      </c>
      <c r="BT13" s="2">
        <v>10</v>
      </c>
      <c r="BU13" s="2">
        <v>47</v>
      </c>
      <c r="BV13" s="2">
        <v>63</v>
      </c>
      <c r="BW13" s="2">
        <v>78</v>
      </c>
      <c r="BX13" s="2">
        <v>115</v>
      </c>
      <c r="BY13" s="2">
        <v>27.1</v>
      </c>
      <c r="BZ13" s="2">
        <v>3.5</v>
      </c>
      <c r="CA13" s="2">
        <v>1.1000000000000001</v>
      </c>
      <c r="CB13" s="2">
        <v>8.0558356396258597E-7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12b</v>
      </c>
      <c r="J14" s="47">
        <f t="shared" ca="1" si="35"/>
        <v>9</v>
      </c>
      <c r="K14" s="19">
        <f t="shared" ca="1" si="36"/>
        <v>-11.4</v>
      </c>
      <c r="L14" s="116" t="str">
        <f t="shared" ca="1" si="1"/>
        <v>EW_sand_Ruled_84</v>
      </c>
      <c r="M14" s="105" t="str">
        <f t="shared" ca="1" si="2"/>
        <v>API sand</v>
      </c>
      <c r="N14" s="47">
        <f t="shared" ca="1" si="3"/>
        <v>10.199999999999999</v>
      </c>
      <c r="O14" s="63">
        <f t="shared" ca="1" si="4"/>
        <v>0</v>
      </c>
      <c r="P14" s="63">
        <f t="shared" ca="1" si="5"/>
        <v>0</v>
      </c>
      <c r="Q14" s="47">
        <f t="shared" ca="1" si="6"/>
        <v>40</v>
      </c>
      <c r="R14" s="47">
        <f t="shared" ca="1" si="7"/>
        <v>35</v>
      </c>
      <c r="S14" s="47">
        <f t="shared" ca="1" si="8"/>
        <v>1.1000000000000001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102900</v>
      </c>
      <c r="Y14" s="47">
        <f t="shared" ca="1" si="14"/>
        <v>0</v>
      </c>
      <c r="Z14" s="47">
        <f t="shared" ca="1" si="15"/>
        <v>114.99999999999996</v>
      </c>
      <c r="AA14" s="47">
        <f t="shared" ca="1" si="16"/>
        <v>1</v>
      </c>
      <c r="AB14" s="47">
        <f t="shared" ca="1" si="17"/>
        <v>12000</v>
      </c>
      <c r="AC14" s="63">
        <f t="shared" ca="1" si="18"/>
        <v>114000</v>
      </c>
      <c r="AD14" s="63">
        <f t="shared" ca="1" si="19"/>
        <v>11153.846153846154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50.000000000000007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84</v>
      </c>
      <c r="AS14" s="33">
        <f t="shared" ca="1" si="34"/>
        <v>0.4</v>
      </c>
      <c r="AW14" s="2">
        <v>7</v>
      </c>
      <c r="AX14" s="2" t="s">
        <v>287</v>
      </c>
      <c r="AY14" s="130">
        <v>36</v>
      </c>
      <c r="AZ14" s="2">
        <v>18.399999999999999</v>
      </c>
      <c r="BA14" s="2">
        <v>23</v>
      </c>
      <c r="BB14" s="2">
        <v>53</v>
      </c>
      <c r="BC14" s="2">
        <v>4</v>
      </c>
      <c r="BD14" s="2">
        <v>1.6</v>
      </c>
      <c r="BE14" s="2">
        <v>1.7</v>
      </c>
      <c r="BF14" s="2">
        <v>1.7</v>
      </c>
      <c r="BG14" s="2">
        <v>2</v>
      </c>
      <c r="BH14" s="2">
        <v>2.4</v>
      </c>
      <c r="BI14" s="2">
        <v>24</v>
      </c>
      <c r="BJ14" s="2">
        <v>68</v>
      </c>
      <c r="BK14" s="2">
        <v>88</v>
      </c>
      <c r="BL14" s="2">
        <v>112</v>
      </c>
      <c r="BM14" s="2">
        <v>163</v>
      </c>
      <c r="BN14" s="2"/>
      <c r="BO14" s="2"/>
      <c r="BP14" s="2"/>
      <c r="BQ14" s="2"/>
      <c r="BR14" s="2"/>
      <c r="BS14" s="2"/>
      <c r="BT14" s="2">
        <v>7</v>
      </c>
      <c r="BU14" s="2">
        <v>40</v>
      </c>
      <c r="BV14" s="2">
        <v>67</v>
      </c>
      <c r="BW14" s="2">
        <v>94</v>
      </c>
      <c r="BX14" s="2">
        <v>151</v>
      </c>
      <c r="BY14" s="2">
        <v>15.2</v>
      </c>
      <c r="BZ14" s="2">
        <v>4.9000000000000004</v>
      </c>
      <c r="CA14" s="2">
        <v>3</v>
      </c>
      <c r="CB14" s="2">
        <v>8.4459492599425899E-10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21c</v>
      </c>
      <c r="J15" s="47">
        <f t="shared" ca="1" si="35"/>
        <v>10</v>
      </c>
      <c r="K15" s="19">
        <f t="shared" ca="1" si="36"/>
        <v>-14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9.3000000000000007</v>
      </c>
      <c r="O15" s="63">
        <f t="shared" ca="1" si="4"/>
        <v>137</v>
      </c>
      <c r="P15" s="63">
        <f t="shared" ca="1" si="5"/>
        <v>6.666666666666667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0.5</v>
      </c>
      <c r="X15" s="47">
        <f t="shared" ca="1" si="13"/>
        <v>13400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163000</v>
      </c>
      <c r="AD15" s="63">
        <f t="shared" ca="1" si="19"/>
        <v>7333.333333333333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7.8</v>
      </c>
      <c r="AX15" s="2" t="s">
        <v>287</v>
      </c>
      <c r="AY15" s="130">
        <v>36</v>
      </c>
      <c r="AZ15" s="2">
        <v>18.399999999999999</v>
      </c>
      <c r="BA15" s="2">
        <v>23</v>
      </c>
      <c r="BB15" s="2">
        <v>53</v>
      </c>
      <c r="BC15" s="2">
        <v>4</v>
      </c>
      <c r="BD15" s="2">
        <v>1.9</v>
      </c>
      <c r="BE15" s="2">
        <v>2</v>
      </c>
      <c r="BF15" s="2">
        <v>2.1</v>
      </c>
      <c r="BG15" s="2">
        <v>2.2999999999999998</v>
      </c>
      <c r="BH15" s="2">
        <v>2.8</v>
      </c>
      <c r="BI15" s="2">
        <v>42</v>
      </c>
      <c r="BJ15" s="2">
        <v>86</v>
      </c>
      <c r="BK15" s="2">
        <v>107</v>
      </c>
      <c r="BL15" s="2">
        <v>130</v>
      </c>
      <c r="BM15" s="2">
        <v>181</v>
      </c>
      <c r="BN15" s="2"/>
      <c r="BO15" s="2"/>
      <c r="BP15" s="2"/>
      <c r="BQ15" s="2"/>
      <c r="BR15" s="2"/>
      <c r="BS15" s="2"/>
      <c r="BT15" s="2">
        <v>23</v>
      </c>
      <c r="BU15" s="2">
        <v>57</v>
      </c>
      <c r="BV15" s="2">
        <v>83</v>
      </c>
      <c r="BW15" s="2">
        <v>111</v>
      </c>
      <c r="BX15" s="2">
        <v>168</v>
      </c>
      <c r="BY15" s="2">
        <v>15.2</v>
      </c>
      <c r="BZ15" s="2">
        <v>4.9000000000000004</v>
      </c>
      <c r="CA15" s="2">
        <v>3</v>
      </c>
      <c r="CB15" s="2">
        <v>8.4459492599425899E-10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21d</v>
      </c>
      <c r="J16" s="47">
        <f t="shared" ca="1" si="35"/>
        <v>11</v>
      </c>
      <c r="K16" s="19">
        <f t="shared" ca="1" si="36"/>
        <v>-15.5</v>
      </c>
      <c r="L16" s="116" t="str">
        <f t="shared" ca="1" si="1"/>
        <v>EW_sand_Ruled_76</v>
      </c>
      <c r="M16" s="105" t="str">
        <f t="shared" ca="1" si="2"/>
        <v>API sand</v>
      </c>
      <c r="N16" s="47">
        <f t="shared" ca="1" si="3"/>
        <v>10</v>
      </c>
      <c r="O16" s="63">
        <f t="shared" ca="1" si="4"/>
        <v>0</v>
      </c>
      <c r="P16" s="63">
        <f t="shared" ca="1" si="5"/>
        <v>0</v>
      </c>
      <c r="Q16" s="47">
        <f t="shared" ca="1" si="6"/>
        <v>29</v>
      </c>
      <c r="R16" s="47">
        <f t="shared" ca="1" si="7"/>
        <v>24</v>
      </c>
      <c r="S16" s="47">
        <f t="shared" ca="1" si="8"/>
        <v>1.5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36000</v>
      </c>
      <c r="Y16" s="47">
        <f t="shared" ca="1" si="14"/>
        <v>0</v>
      </c>
      <c r="Z16" s="47">
        <f t="shared" ca="1" si="15"/>
        <v>78.199999999999974</v>
      </c>
      <c r="AA16" s="47">
        <f t="shared" ca="1" si="16"/>
        <v>1</v>
      </c>
      <c r="AB16" s="47">
        <f t="shared" ca="1" si="17"/>
        <v>4420</v>
      </c>
      <c r="AC16" s="63">
        <f t="shared" ca="1" si="18"/>
        <v>119000</v>
      </c>
      <c r="AD16" s="63">
        <f t="shared" ca="1" si="19"/>
        <v>9750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18.400000000000006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76</v>
      </c>
      <c r="AS16" s="33">
        <f t="shared" ca="1" si="34"/>
        <v>0.4</v>
      </c>
      <c r="AW16" s="2">
        <v>7.8</v>
      </c>
      <c r="AX16" s="2" t="s">
        <v>293</v>
      </c>
      <c r="AY16" s="130">
        <v>25.8</v>
      </c>
      <c r="AZ16" s="2">
        <v>19.600000000000001</v>
      </c>
      <c r="BA16" s="2"/>
      <c r="BB16" s="2">
        <v>22</v>
      </c>
      <c r="BC16" s="2"/>
      <c r="BD16" s="2">
        <v>0.2</v>
      </c>
      <c r="BE16" s="2">
        <v>2.9</v>
      </c>
      <c r="BF16" s="2">
        <v>4.9000000000000004</v>
      </c>
      <c r="BG16" s="2">
        <v>6.8</v>
      </c>
      <c r="BH16" s="2">
        <v>12.9</v>
      </c>
      <c r="BI16" s="2"/>
      <c r="BJ16" s="2"/>
      <c r="BK16" s="2"/>
      <c r="BL16" s="2"/>
      <c r="BM16" s="2"/>
      <c r="BN16" s="2">
        <v>57</v>
      </c>
      <c r="BO16" s="2">
        <v>30</v>
      </c>
      <c r="BP16" s="2">
        <v>36</v>
      </c>
      <c r="BQ16" s="2">
        <v>39</v>
      </c>
      <c r="BR16" s="2">
        <v>42</v>
      </c>
      <c r="BS16" s="2">
        <v>48</v>
      </c>
      <c r="BT16" s="2">
        <v>7</v>
      </c>
      <c r="BU16" s="2">
        <v>50</v>
      </c>
      <c r="BV16" s="2">
        <v>69</v>
      </c>
      <c r="BW16" s="2">
        <v>89</v>
      </c>
      <c r="BX16" s="2">
        <v>138</v>
      </c>
      <c r="BY16" s="2">
        <v>27.3</v>
      </c>
      <c r="BZ16" s="2">
        <v>2.4</v>
      </c>
      <c r="CA16" s="2">
        <v>0.9</v>
      </c>
      <c r="CB16" s="2">
        <v>5.7693033818188299E-8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21d</v>
      </c>
      <c r="J17" s="47">
        <f t="shared" ca="1" si="35"/>
        <v>12</v>
      </c>
      <c r="K17" s="19">
        <f t="shared" ca="1" si="36"/>
        <v>-19.5</v>
      </c>
      <c r="L17" s="116" t="str">
        <f t="shared" ca="1" si="1"/>
        <v>EW_sand_Ruled_72</v>
      </c>
      <c r="M17" s="105" t="str">
        <f t="shared" ca="1" si="2"/>
        <v>API sand</v>
      </c>
      <c r="N17" s="47">
        <f t="shared" ca="1" si="3"/>
        <v>10</v>
      </c>
      <c r="O17" s="63">
        <f t="shared" ca="1" si="4"/>
        <v>0</v>
      </c>
      <c r="P17" s="63">
        <f t="shared" ca="1" si="5"/>
        <v>0</v>
      </c>
      <c r="Q17" s="47">
        <f t="shared" ca="1" si="6"/>
        <v>28</v>
      </c>
      <c r="R17" s="47">
        <f t="shared" ca="1" si="7"/>
        <v>23</v>
      </c>
      <c r="S17" s="47">
        <f t="shared" ca="1" si="8"/>
        <v>1.3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32299.999999999996</v>
      </c>
      <c r="Y17" s="47">
        <f t="shared" ca="1" si="14"/>
        <v>0</v>
      </c>
      <c r="Z17" s="47">
        <f t="shared" ca="1" si="15"/>
        <v>75.399999999999977</v>
      </c>
      <c r="AA17" s="47">
        <f t="shared" ca="1" si="16"/>
        <v>1</v>
      </c>
      <c r="AB17" s="47">
        <f t="shared" ca="1" si="17"/>
        <v>4040</v>
      </c>
      <c r="AC17" s="63">
        <f t="shared" ca="1" si="18"/>
        <v>146000</v>
      </c>
      <c r="AD17" s="63">
        <f t="shared" ca="1" si="19"/>
        <v>810.81081081081095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16.800000000000004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72</v>
      </c>
      <c r="AS17" s="33">
        <f t="shared" ca="1" si="34"/>
        <v>0.4</v>
      </c>
      <c r="AW17" s="2">
        <v>9</v>
      </c>
      <c r="AX17" s="2" t="s">
        <v>293</v>
      </c>
      <c r="AY17" s="130">
        <v>25.8</v>
      </c>
      <c r="AZ17" s="2">
        <v>19.600000000000001</v>
      </c>
      <c r="BA17" s="2"/>
      <c r="BB17" s="2">
        <v>22</v>
      </c>
      <c r="BC17" s="2"/>
      <c r="BD17" s="2">
        <v>7.1</v>
      </c>
      <c r="BE17" s="2">
        <v>9.6999999999999993</v>
      </c>
      <c r="BF17" s="2">
        <v>11.7</v>
      </c>
      <c r="BG17" s="2">
        <v>13.6</v>
      </c>
      <c r="BH17" s="2">
        <v>19.7</v>
      </c>
      <c r="BI17" s="2"/>
      <c r="BJ17" s="2"/>
      <c r="BK17" s="2"/>
      <c r="BL17" s="2"/>
      <c r="BM17" s="2"/>
      <c r="BN17" s="2">
        <v>57</v>
      </c>
      <c r="BO17" s="2">
        <v>30</v>
      </c>
      <c r="BP17" s="2">
        <v>36</v>
      </c>
      <c r="BQ17" s="2">
        <v>39</v>
      </c>
      <c r="BR17" s="2">
        <v>42</v>
      </c>
      <c r="BS17" s="2">
        <v>48</v>
      </c>
      <c r="BT17" s="2">
        <v>30</v>
      </c>
      <c r="BU17" s="2">
        <v>72</v>
      </c>
      <c r="BV17" s="2">
        <v>92</v>
      </c>
      <c r="BW17" s="2">
        <v>112</v>
      </c>
      <c r="BX17" s="2">
        <v>161</v>
      </c>
      <c r="BY17" s="2">
        <v>27.3</v>
      </c>
      <c r="BZ17" s="2">
        <v>2.4</v>
      </c>
      <c r="CA17" s="2">
        <v>0.9</v>
      </c>
      <c r="CB17" s="2">
        <v>5.7693033818188299E-8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23d</v>
      </c>
      <c r="J18" s="47">
        <f t="shared" ca="1" si="35"/>
        <v>13</v>
      </c>
      <c r="K18" s="19">
        <f t="shared" ca="1" si="36"/>
        <v>-23.2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8.8999999999999986</v>
      </c>
      <c r="O18" s="63">
        <f t="shared" ca="1" si="4"/>
        <v>88</v>
      </c>
      <c r="P18" s="63">
        <f t="shared" ca="1" si="5"/>
        <v>45.172413793103445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3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0.5</v>
      </c>
      <c r="X18" s="47">
        <f t="shared" ca="1" si="13"/>
        <v>21300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125000</v>
      </c>
      <c r="AD18" s="63">
        <f t="shared" ca="1" si="19"/>
        <v>63275.862068965507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9</v>
      </c>
      <c r="AX18" s="2" t="s">
        <v>293</v>
      </c>
      <c r="AY18" s="130">
        <v>25.8</v>
      </c>
      <c r="AZ18" s="2">
        <v>19.600000000000001</v>
      </c>
      <c r="BA18" s="2"/>
      <c r="BB18" s="2">
        <v>22</v>
      </c>
      <c r="BC18" s="2"/>
      <c r="BD18" s="2">
        <v>25.7</v>
      </c>
      <c r="BE18" s="2">
        <v>28.1</v>
      </c>
      <c r="BF18" s="2">
        <v>28.9</v>
      </c>
      <c r="BG18" s="2">
        <v>29.6</v>
      </c>
      <c r="BH18" s="2">
        <v>31.9</v>
      </c>
      <c r="BI18" s="2"/>
      <c r="BJ18" s="2"/>
      <c r="BK18" s="2"/>
      <c r="BL18" s="2"/>
      <c r="BM18" s="2"/>
      <c r="BN18" s="2">
        <v>95</v>
      </c>
      <c r="BO18" s="2">
        <v>36</v>
      </c>
      <c r="BP18" s="2">
        <v>42</v>
      </c>
      <c r="BQ18" s="2">
        <v>45</v>
      </c>
      <c r="BR18" s="2">
        <v>48</v>
      </c>
      <c r="BS18" s="2">
        <v>54</v>
      </c>
      <c r="BT18" s="2">
        <v>18</v>
      </c>
      <c r="BU18" s="2">
        <v>87</v>
      </c>
      <c r="BV18" s="2">
        <v>115</v>
      </c>
      <c r="BW18" s="2">
        <v>143</v>
      </c>
      <c r="BX18" s="2">
        <v>213</v>
      </c>
      <c r="BY18" s="2">
        <v>121.7</v>
      </c>
      <c r="BZ18" s="2">
        <v>5.9</v>
      </c>
      <c r="CA18" s="2">
        <v>1.5</v>
      </c>
      <c r="CB18" s="2">
        <v>2.9454111022546699E-5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23i</v>
      </c>
      <c r="J19" s="47">
        <f t="shared" ca="1" si="35"/>
        <v>14</v>
      </c>
      <c r="K19" s="19">
        <f t="shared" ca="1" si="36"/>
        <v>-29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8.3000000000000007</v>
      </c>
      <c r="O19" s="63">
        <f t="shared" ca="1" si="4"/>
        <v>218</v>
      </c>
      <c r="P19" s="63">
        <f t="shared" ca="1" si="5"/>
        <v>6.8518518518518521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2.2999999999999998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0.5</v>
      </c>
      <c r="X19" s="47">
        <f t="shared" ca="1" si="13"/>
        <v>28600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298000</v>
      </c>
      <c r="AD19" s="63">
        <f t="shared" ca="1" si="19"/>
        <v>10740.740740740741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10.4</v>
      </c>
      <c r="AX19" s="2" t="s">
        <v>293</v>
      </c>
      <c r="AY19" s="130">
        <v>25.8</v>
      </c>
      <c r="AZ19" s="2">
        <v>19.600000000000001</v>
      </c>
      <c r="BA19" s="2"/>
      <c r="BB19" s="2">
        <v>22</v>
      </c>
      <c r="BC19" s="2"/>
      <c r="BD19" s="2">
        <v>30</v>
      </c>
      <c r="BE19" s="2">
        <v>32.4</v>
      </c>
      <c r="BF19" s="2">
        <v>33.200000000000003</v>
      </c>
      <c r="BG19" s="2">
        <v>33.9</v>
      </c>
      <c r="BH19" s="2">
        <v>36.200000000000003</v>
      </c>
      <c r="BI19" s="2"/>
      <c r="BJ19" s="2"/>
      <c r="BK19" s="2"/>
      <c r="BL19" s="2"/>
      <c r="BM19" s="2"/>
      <c r="BN19" s="2">
        <v>95</v>
      </c>
      <c r="BO19" s="2">
        <v>36</v>
      </c>
      <c r="BP19" s="2">
        <v>42</v>
      </c>
      <c r="BQ19" s="2">
        <v>45</v>
      </c>
      <c r="BR19" s="2">
        <v>48</v>
      </c>
      <c r="BS19" s="2">
        <v>54</v>
      </c>
      <c r="BT19" s="2">
        <v>26</v>
      </c>
      <c r="BU19" s="2">
        <v>95</v>
      </c>
      <c r="BV19" s="2">
        <v>123</v>
      </c>
      <c r="BW19" s="2">
        <v>152</v>
      </c>
      <c r="BX19" s="2">
        <v>221</v>
      </c>
      <c r="BY19" s="2">
        <v>121.7</v>
      </c>
      <c r="BZ19" s="2">
        <v>5.9</v>
      </c>
      <c r="CA19" s="2">
        <v>1.5</v>
      </c>
      <c r="CB19" s="2">
        <v>2.9454111022546699E-5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23l</v>
      </c>
      <c r="J20" s="47">
        <f t="shared" ca="1" si="35"/>
        <v>15</v>
      </c>
      <c r="K20" s="19">
        <f t="shared" ca="1" si="36"/>
        <v>-56</v>
      </c>
      <c r="L20" s="116" t="str">
        <f t="shared" ca="1" si="1"/>
        <v>Cowden Clay</v>
      </c>
      <c r="M20" s="105" t="str">
        <f t="shared" ca="1" si="2"/>
        <v>API clay</v>
      </c>
      <c r="N20" s="47">
        <f t="shared" ca="1" si="3"/>
        <v>8.8000000000000007</v>
      </c>
      <c r="O20" s="63">
        <f t="shared" ca="1" si="4"/>
        <v>748</v>
      </c>
      <c r="P20" s="63">
        <f t="shared" ca="1" si="5"/>
        <v>22.277777777777779</v>
      </c>
      <c r="Q20" s="47">
        <f t="shared" ca="1" si="6"/>
        <v>0</v>
      </c>
      <c r="R20" s="47" t="e">
        <f t="shared" ca="1" si="7"/>
        <v>#N/A</v>
      </c>
      <c r="S20" s="47">
        <f t="shared" ca="1" si="8"/>
        <v>3</v>
      </c>
      <c r="T20" s="47">
        <f t="shared" ca="1" si="9"/>
        <v>0</v>
      </c>
      <c r="U20" s="75">
        <f t="shared" ca="1" si="10"/>
        <v>1.7999999999999999E-2</v>
      </c>
      <c r="V20" s="75">
        <f t="shared" ca="1" si="11"/>
        <v>0</v>
      </c>
      <c r="W20" s="47">
        <f t="shared" ca="1" si="12"/>
        <v>0.25</v>
      </c>
      <c r="X20" s="47">
        <f t="shared" ca="1" si="13"/>
        <v>80000</v>
      </c>
      <c r="Y20" s="47">
        <f t="shared" ca="1" si="14"/>
        <v>0</v>
      </c>
      <c r="Z20" s="47" t="e">
        <f t="shared" ca="1" si="15"/>
        <v>#N/A</v>
      </c>
      <c r="AA20" s="47">
        <f t="shared" ca="1" si="16"/>
        <v>1</v>
      </c>
      <c r="AB20" s="47" t="e">
        <f t="shared" ca="1" si="17"/>
        <v>#N/A</v>
      </c>
      <c r="AC20" s="63">
        <f t="shared" ca="1" si="18"/>
        <v>1170000</v>
      </c>
      <c r="AD20" s="63">
        <f t="shared" ca="1" si="19"/>
        <v>42611.111111111117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 t="e">
        <f t="shared" ca="1" si="25"/>
        <v>#N/A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0</v>
      </c>
      <c r="AS20" s="33">
        <f t="shared" ca="1" si="34"/>
        <v>0.4</v>
      </c>
      <c r="AW20" s="2">
        <v>10.4</v>
      </c>
      <c r="AX20" s="2" t="s">
        <v>292</v>
      </c>
      <c r="AY20" s="130">
        <v>21.3</v>
      </c>
      <c r="AZ20" s="2">
        <v>20.2</v>
      </c>
      <c r="BA20" s="2"/>
      <c r="BB20" s="2">
        <v>10</v>
      </c>
      <c r="BC20" s="2"/>
      <c r="BD20" s="2">
        <v>20.399999999999999</v>
      </c>
      <c r="BE20" s="2">
        <v>21.1</v>
      </c>
      <c r="BF20" s="2">
        <v>21.3</v>
      </c>
      <c r="BG20" s="2">
        <v>21.7</v>
      </c>
      <c r="BH20" s="2">
        <f>15+22.5</f>
        <v>37.5</v>
      </c>
      <c r="BI20" s="2"/>
      <c r="BJ20" s="2"/>
      <c r="BK20" s="2"/>
      <c r="BL20" s="2"/>
      <c r="BM20" s="2"/>
      <c r="BN20" s="2">
        <v>73</v>
      </c>
      <c r="BO20" s="2">
        <v>33</v>
      </c>
      <c r="BP20" s="2">
        <v>39</v>
      </c>
      <c r="BQ20" s="2">
        <v>42</v>
      </c>
      <c r="BR20" s="2">
        <v>45</v>
      </c>
      <c r="BS20" s="2">
        <v>51</v>
      </c>
      <c r="BT20" s="2">
        <v>25</v>
      </c>
      <c r="BU20" s="2">
        <v>87</v>
      </c>
      <c r="BV20" s="2">
        <v>113</v>
      </c>
      <c r="BW20" s="2">
        <v>138</v>
      </c>
      <c r="BX20" s="2">
        <v>200</v>
      </c>
      <c r="BY20" s="2">
        <v>68.7</v>
      </c>
      <c r="BZ20" s="2">
        <v>3.4</v>
      </c>
      <c r="CA20" s="2">
        <v>1.1000000000000001</v>
      </c>
      <c r="CB20" s="2">
        <v>1.27005403717834E-6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>23m</v>
      </c>
      <c r="J21" s="47">
        <f t="shared" ca="1" si="35"/>
        <v>16</v>
      </c>
      <c r="K21" s="19">
        <f t="shared" ca="1" si="36"/>
        <v>-74</v>
      </c>
      <c r="L21" s="116" t="str">
        <f t="shared" ca="1" si="1"/>
        <v>Cowden Clay</v>
      </c>
      <c r="M21" s="105" t="str">
        <f t="shared" ca="1" si="2"/>
        <v>API clay</v>
      </c>
      <c r="N21" s="47">
        <f t="shared" ca="1" si="3"/>
        <v>8.5</v>
      </c>
      <c r="O21" s="63">
        <f t="shared" ca="1" si="4"/>
        <v>157</v>
      </c>
      <c r="P21" s="63">
        <f t="shared" ca="1" si="5"/>
        <v>1.6666666666666667</v>
      </c>
      <c r="Q21" s="47">
        <f t="shared" ca="1" si="6"/>
        <v>0</v>
      </c>
      <c r="R21" s="47" t="e">
        <f t="shared" ca="1" si="7"/>
        <v>#N/A</v>
      </c>
      <c r="S21" s="47">
        <f t="shared" ca="1" si="8"/>
        <v>0.7</v>
      </c>
      <c r="T21" s="47">
        <f t="shared" ca="1" si="9"/>
        <v>0</v>
      </c>
      <c r="U21" s="75">
        <f t="shared" ca="1" si="10"/>
        <v>1.7999999999999999E-2</v>
      </c>
      <c r="V21" s="75">
        <f t="shared" ca="1" si="11"/>
        <v>0</v>
      </c>
      <c r="W21" s="47">
        <f t="shared" ca="1" si="12"/>
        <v>0.5</v>
      </c>
      <c r="X21" s="47">
        <f t="shared" ca="1" si="13"/>
        <v>16300</v>
      </c>
      <c r="Y21" s="47">
        <f t="shared" ca="1" si="14"/>
        <v>0</v>
      </c>
      <c r="Z21" s="47" t="e">
        <f t="shared" ca="1" si="15"/>
        <v>#N/A</v>
      </c>
      <c r="AA21" s="47">
        <f t="shared" ca="1" si="16"/>
        <v>1</v>
      </c>
      <c r="AB21" s="47" t="e">
        <f t="shared" ca="1" si="17"/>
        <v>#N/A</v>
      </c>
      <c r="AC21" s="63">
        <f t="shared" ca="1" si="18"/>
        <v>267000</v>
      </c>
      <c r="AD21" s="63">
        <f t="shared" ca="1" si="19"/>
        <v>3000</v>
      </c>
      <c r="AE21" s="63">
        <f t="shared" ca="1" si="20"/>
        <v>0.3</v>
      </c>
      <c r="AF21" s="63">
        <f t="shared" ca="1" si="21"/>
        <v>0</v>
      </c>
      <c r="AG21" s="63">
        <f t="shared" ca="1" si="22"/>
        <v>0</v>
      </c>
      <c r="AH21" s="63">
        <f t="shared" ca="1" si="23"/>
        <v>0</v>
      </c>
      <c r="AI21" s="63">
        <f t="shared" ca="1" si="24"/>
        <v>0</v>
      </c>
      <c r="AJ21" s="47" t="e">
        <f t="shared" ca="1" si="25"/>
        <v>#N/A</v>
      </c>
      <c r="AK21" s="47">
        <f t="shared" ca="1" si="26"/>
        <v>1</v>
      </c>
      <c r="AL21" s="47">
        <f t="shared" ca="1" si="27"/>
        <v>1</v>
      </c>
      <c r="AM21" s="47">
        <f t="shared" ca="1" si="28"/>
        <v>1</v>
      </c>
      <c r="AN21" s="47">
        <f t="shared" ca="1" si="29"/>
        <v>1</v>
      </c>
      <c r="AO21" s="47">
        <f t="shared" ca="1" si="30"/>
        <v>1</v>
      </c>
      <c r="AP21" s="47">
        <f t="shared" ca="1" si="31"/>
        <v>1</v>
      </c>
      <c r="AQ21" s="47">
        <f t="shared" ca="1" si="32"/>
        <v>0</v>
      </c>
      <c r="AR21" s="47">
        <f t="shared" ca="1" si="33"/>
        <v>0</v>
      </c>
      <c r="AS21" s="33">
        <f t="shared" ca="1" si="34"/>
        <v>0.4</v>
      </c>
      <c r="AW21" s="2">
        <v>11.4</v>
      </c>
      <c r="AX21" s="2" t="s">
        <v>292</v>
      </c>
      <c r="AY21" s="130">
        <v>21.3</v>
      </c>
      <c r="AZ21" s="2">
        <v>20.2</v>
      </c>
      <c r="BA21" s="2"/>
      <c r="BB21" s="2">
        <v>10</v>
      </c>
      <c r="BC21" s="2"/>
      <c r="BD21" s="2">
        <v>12.7</v>
      </c>
      <c r="BE21" s="2">
        <v>13.3</v>
      </c>
      <c r="BF21" s="2">
        <v>13.6</v>
      </c>
      <c r="BG21" s="2">
        <v>13.9</v>
      </c>
      <c r="BH21" s="2">
        <f>15+14.8</f>
        <v>29.8</v>
      </c>
      <c r="BI21" s="2"/>
      <c r="BJ21" s="2"/>
      <c r="BK21" s="2"/>
      <c r="BL21" s="2"/>
      <c r="BM21" s="2"/>
      <c r="BN21" s="2">
        <v>73</v>
      </c>
      <c r="BO21" s="2">
        <v>33</v>
      </c>
      <c r="BP21" s="2">
        <v>39</v>
      </c>
      <c r="BQ21" s="2">
        <v>42</v>
      </c>
      <c r="BR21" s="2">
        <v>45</v>
      </c>
      <c r="BS21" s="2">
        <v>51</v>
      </c>
      <c r="BT21" s="2">
        <v>15</v>
      </c>
      <c r="BU21" s="2">
        <v>78</v>
      </c>
      <c r="BV21" s="2">
        <v>103</v>
      </c>
      <c r="BW21" s="2">
        <v>128</v>
      </c>
      <c r="BX21" s="2">
        <v>191</v>
      </c>
      <c r="BY21" s="2">
        <v>68.7</v>
      </c>
      <c r="BZ21" s="2">
        <v>3.4</v>
      </c>
      <c r="CA21" s="2">
        <v>1.1000000000000001</v>
      </c>
      <c r="CB21" s="2">
        <v>1.27005403717834E-6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11.4</v>
      </c>
      <c r="AX22" s="2" t="s">
        <v>292</v>
      </c>
      <c r="AY22" s="130">
        <v>21.3</v>
      </c>
      <c r="AZ22" s="2">
        <v>20.2</v>
      </c>
      <c r="BA22" s="2"/>
      <c r="BB22" s="2">
        <v>10</v>
      </c>
      <c r="BC22" s="2"/>
      <c r="BD22" s="2">
        <v>13.1</v>
      </c>
      <c r="BE22" s="2">
        <v>17.3</v>
      </c>
      <c r="BF22" s="2">
        <v>18.2</v>
      </c>
      <c r="BG22" s="2">
        <v>19</v>
      </c>
      <c r="BH22" s="2">
        <v>23</v>
      </c>
      <c r="BI22" s="2"/>
      <c r="BJ22" s="2"/>
      <c r="BK22" s="2"/>
      <c r="BL22" s="2"/>
      <c r="BM22" s="2"/>
      <c r="BN22" s="2">
        <v>84</v>
      </c>
      <c r="BO22" s="2">
        <v>35</v>
      </c>
      <c r="BP22" s="2">
        <v>40</v>
      </c>
      <c r="BQ22" s="2">
        <v>44</v>
      </c>
      <c r="BR22" s="2">
        <v>47</v>
      </c>
      <c r="BS22" s="2">
        <v>53</v>
      </c>
      <c r="BT22" s="2">
        <v>11</v>
      </c>
      <c r="BU22" s="2">
        <v>84</v>
      </c>
      <c r="BV22" s="2">
        <v>114</v>
      </c>
      <c r="BW22" s="2">
        <v>144</v>
      </c>
      <c r="BX22" s="2">
        <v>219</v>
      </c>
      <c r="BY22" s="2">
        <v>102.9</v>
      </c>
      <c r="BZ22" s="2">
        <v>4</v>
      </c>
      <c r="CA22" s="2">
        <v>1.1000000000000001</v>
      </c>
      <c r="CB22" s="2">
        <v>6.5230155054916203E-6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14</v>
      </c>
      <c r="AX23" s="2" t="s">
        <v>292</v>
      </c>
      <c r="AY23" s="130">
        <v>21.3</v>
      </c>
      <c r="AZ23" s="2">
        <v>20.2</v>
      </c>
      <c r="BA23" s="2"/>
      <c r="BB23" s="2">
        <v>10</v>
      </c>
      <c r="BC23" s="2"/>
      <c r="BD23" s="2">
        <v>32.6</v>
      </c>
      <c r="BE23" s="2">
        <v>36.9</v>
      </c>
      <c r="BF23" s="2">
        <v>37.700000000000003</v>
      </c>
      <c r="BG23" s="2">
        <v>38.5</v>
      </c>
      <c r="BH23" s="2">
        <v>42.6</v>
      </c>
      <c r="BI23" s="2"/>
      <c r="BJ23" s="2"/>
      <c r="BK23" s="2"/>
      <c r="BL23" s="2"/>
      <c r="BM23" s="2"/>
      <c r="BN23" s="2">
        <v>84</v>
      </c>
      <c r="BO23" s="2">
        <v>35</v>
      </c>
      <c r="BP23" s="2">
        <v>40</v>
      </c>
      <c r="BQ23" s="2">
        <v>44</v>
      </c>
      <c r="BR23" s="2">
        <v>47</v>
      </c>
      <c r="BS23" s="2">
        <v>53</v>
      </c>
      <c r="BT23" s="2">
        <v>40</v>
      </c>
      <c r="BU23" s="2">
        <v>113</v>
      </c>
      <c r="BV23" s="2">
        <v>143</v>
      </c>
      <c r="BW23" s="2">
        <v>173</v>
      </c>
      <c r="BX23" s="2">
        <v>248</v>
      </c>
      <c r="BY23" s="2">
        <v>102.9</v>
      </c>
      <c r="BZ23" s="2">
        <v>4</v>
      </c>
      <c r="CA23" s="2">
        <v>1.1000000000000001</v>
      </c>
      <c r="CB23" s="2">
        <v>6.5230155054916203E-6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14</v>
      </c>
      <c r="AX24" s="2" t="s">
        <v>216</v>
      </c>
      <c r="AY24" s="130">
        <v>31.7</v>
      </c>
      <c r="AZ24" s="2">
        <v>19.3</v>
      </c>
      <c r="BA24" s="2">
        <v>20</v>
      </c>
      <c r="BB24" s="2">
        <v>45</v>
      </c>
      <c r="BC24" s="2">
        <v>4</v>
      </c>
      <c r="BD24" s="2">
        <v>3.2</v>
      </c>
      <c r="BE24" s="2">
        <v>3.3</v>
      </c>
      <c r="BF24" s="2">
        <v>3.4</v>
      </c>
      <c r="BG24" s="2">
        <v>3.6</v>
      </c>
      <c r="BH24" s="2">
        <v>4</v>
      </c>
      <c r="BI24" s="2">
        <v>57</v>
      </c>
      <c r="BJ24" s="2">
        <v>137</v>
      </c>
      <c r="BK24" s="2">
        <v>174</v>
      </c>
      <c r="BL24" s="2">
        <v>212</v>
      </c>
      <c r="BM24" s="2">
        <v>295</v>
      </c>
      <c r="BN24" s="2"/>
      <c r="BO24" s="2"/>
      <c r="BP24" s="2"/>
      <c r="BQ24" s="2"/>
      <c r="BR24" s="2"/>
      <c r="BS24" s="2"/>
      <c r="BT24" s="2">
        <v>14</v>
      </c>
      <c r="BU24" s="2">
        <v>104</v>
      </c>
      <c r="BV24" s="2">
        <v>163</v>
      </c>
      <c r="BW24" s="2">
        <v>222</v>
      </c>
      <c r="BX24" s="2">
        <v>340</v>
      </c>
      <c r="BY24" s="2">
        <v>13.4</v>
      </c>
      <c r="BZ24" s="2">
        <v>6.7</v>
      </c>
      <c r="CA24" s="2">
        <v>3</v>
      </c>
      <c r="CB24" s="2">
        <v>9.5049700389870701E-10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15.5</v>
      </c>
      <c r="AX25" s="2" t="s">
        <v>216</v>
      </c>
      <c r="AY25" s="130">
        <v>31.7</v>
      </c>
      <c r="AZ25" s="2">
        <v>19.3</v>
      </c>
      <c r="BA25" s="2">
        <v>20</v>
      </c>
      <c r="BB25" s="2">
        <v>45</v>
      </c>
      <c r="BC25" s="2">
        <v>4</v>
      </c>
      <c r="BD25" s="2">
        <v>3.4</v>
      </c>
      <c r="BE25" s="2">
        <v>3.5</v>
      </c>
      <c r="BF25" s="2">
        <v>3.6</v>
      </c>
      <c r="BG25" s="2">
        <v>3.8</v>
      </c>
      <c r="BH25" s="2">
        <v>4.2</v>
      </c>
      <c r="BI25" s="2">
        <v>67</v>
      </c>
      <c r="BJ25" s="2">
        <v>147</v>
      </c>
      <c r="BK25" s="2">
        <v>184</v>
      </c>
      <c r="BL25" s="2">
        <v>223</v>
      </c>
      <c r="BM25" s="2">
        <v>305</v>
      </c>
      <c r="BN25" s="2"/>
      <c r="BO25" s="2"/>
      <c r="BP25" s="2"/>
      <c r="BQ25" s="2"/>
      <c r="BR25" s="2"/>
      <c r="BS25" s="2"/>
      <c r="BT25" s="2">
        <v>25</v>
      </c>
      <c r="BU25" s="2">
        <v>116</v>
      </c>
      <c r="BV25" s="2">
        <v>174</v>
      </c>
      <c r="BW25" s="2">
        <v>233</v>
      </c>
      <c r="BX25" s="2">
        <v>351</v>
      </c>
      <c r="BY25" s="2">
        <v>13.4</v>
      </c>
      <c r="BZ25" s="2">
        <v>6.7</v>
      </c>
      <c r="CA25" s="2">
        <v>3</v>
      </c>
      <c r="CB25" s="2">
        <v>9.5049700389870701E-10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15.5</v>
      </c>
      <c r="AX26" s="2" t="s">
        <v>217</v>
      </c>
      <c r="AY26" s="130">
        <v>23.6</v>
      </c>
      <c r="AZ26" s="2">
        <v>20</v>
      </c>
      <c r="BA26" s="2"/>
      <c r="BB26" s="2">
        <v>18</v>
      </c>
      <c r="BC26" s="2"/>
      <c r="BD26" s="2">
        <v>7</v>
      </c>
      <c r="BE26" s="2">
        <v>12.9</v>
      </c>
      <c r="BF26" s="2">
        <v>13.8</v>
      </c>
      <c r="BG26" s="2">
        <v>14.8</v>
      </c>
      <c r="BH26" s="2">
        <v>21.9</v>
      </c>
      <c r="BI26" s="2"/>
      <c r="BJ26" s="2"/>
      <c r="BK26" s="2"/>
      <c r="BL26" s="2"/>
      <c r="BM26" s="2"/>
      <c r="BN26" s="2">
        <v>76</v>
      </c>
      <c r="BO26" s="2">
        <v>26</v>
      </c>
      <c r="BP26" s="2">
        <v>29</v>
      </c>
      <c r="BQ26" s="2">
        <v>31</v>
      </c>
      <c r="BR26" s="2">
        <v>34</v>
      </c>
      <c r="BS26" s="2">
        <v>38</v>
      </c>
      <c r="BT26" s="2">
        <v>15</v>
      </c>
      <c r="BU26" s="2">
        <v>87</v>
      </c>
      <c r="BV26" s="2">
        <v>119</v>
      </c>
      <c r="BW26" s="2">
        <v>152</v>
      </c>
      <c r="BX26" s="2">
        <v>233</v>
      </c>
      <c r="BY26" s="2">
        <v>36</v>
      </c>
      <c r="BZ26" s="2">
        <v>5.9</v>
      </c>
      <c r="CA26" s="2">
        <v>1.5</v>
      </c>
      <c r="CB26" s="2">
        <v>1.88334756015791E-6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19.5</v>
      </c>
      <c r="AX27" s="2" t="s">
        <v>217</v>
      </c>
      <c r="AY27" s="130">
        <v>23.6</v>
      </c>
      <c r="AZ27" s="2">
        <v>20</v>
      </c>
      <c r="BA27" s="2"/>
      <c r="BB27" s="2">
        <v>18</v>
      </c>
      <c r="BC27" s="2"/>
      <c r="BD27" s="2">
        <v>26.3</v>
      </c>
      <c r="BE27" s="2">
        <v>32.200000000000003</v>
      </c>
      <c r="BF27" s="2">
        <v>33.1</v>
      </c>
      <c r="BG27" s="2">
        <v>34.200000000000003</v>
      </c>
      <c r="BH27" s="2">
        <v>41.2</v>
      </c>
      <c r="BI27" s="2"/>
      <c r="BJ27" s="2"/>
      <c r="BK27" s="2"/>
      <c r="BL27" s="2"/>
      <c r="BM27" s="2"/>
      <c r="BN27" s="2">
        <v>76</v>
      </c>
      <c r="BO27" s="2">
        <v>26</v>
      </c>
      <c r="BP27" s="2">
        <v>29</v>
      </c>
      <c r="BQ27" s="2">
        <v>31</v>
      </c>
      <c r="BR27" s="2">
        <v>34</v>
      </c>
      <c r="BS27" s="2">
        <v>38</v>
      </c>
      <c r="BT27" s="2">
        <v>53</v>
      </c>
      <c r="BU27" s="2">
        <v>125</v>
      </c>
      <c r="BV27" s="2">
        <v>158</v>
      </c>
      <c r="BW27" s="2">
        <v>190</v>
      </c>
      <c r="BX27" s="2">
        <v>271</v>
      </c>
      <c r="BY27" s="2">
        <v>36</v>
      </c>
      <c r="BZ27" s="2">
        <v>5.9</v>
      </c>
      <c r="CA27" s="2">
        <v>1.5</v>
      </c>
      <c r="CB27" s="2">
        <v>1.88334756015791E-6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19.5</v>
      </c>
      <c r="AX28" s="2" t="s">
        <v>217</v>
      </c>
      <c r="AY28" s="130">
        <v>23.6</v>
      </c>
      <c r="AZ28" s="2">
        <v>20</v>
      </c>
      <c r="BA28" s="2"/>
      <c r="BB28" s="2">
        <v>18</v>
      </c>
      <c r="BC28" s="2"/>
      <c r="BD28" s="2">
        <v>20.5</v>
      </c>
      <c r="BE28" s="2">
        <v>22.9</v>
      </c>
      <c r="BF28" s="2">
        <v>23.3</v>
      </c>
      <c r="BG28" s="2">
        <v>24</v>
      </c>
      <c r="BH28" s="2">
        <v>28.7</v>
      </c>
      <c r="BI28" s="2"/>
      <c r="BJ28" s="2"/>
      <c r="BK28" s="2"/>
      <c r="BL28" s="2"/>
      <c r="BM28" s="2"/>
      <c r="BN28" s="2">
        <v>72</v>
      </c>
      <c r="BO28" s="2">
        <v>26</v>
      </c>
      <c r="BP28" s="2">
        <v>28</v>
      </c>
      <c r="BQ28" s="2">
        <v>31</v>
      </c>
      <c r="BR28" s="2">
        <v>33</v>
      </c>
      <c r="BS28" s="2">
        <v>37</v>
      </c>
      <c r="BT28" s="2">
        <v>26</v>
      </c>
      <c r="BU28" s="2">
        <v>112</v>
      </c>
      <c r="BV28" s="2">
        <v>146</v>
      </c>
      <c r="BW28" s="2">
        <v>181</v>
      </c>
      <c r="BX28" s="2">
        <v>267</v>
      </c>
      <c r="BY28" s="2">
        <v>32.299999999999997</v>
      </c>
      <c r="BZ28" s="2">
        <v>4.7</v>
      </c>
      <c r="CA28" s="2">
        <v>1.3</v>
      </c>
      <c r="CB28" s="2">
        <v>9.8834092478982703E-7</v>
      </c>
      <c r="CC28" s="2"/>
    </row>
    <row r="29" spans="1:81" x14ac:dyDescent="0.25">
      <c r="A29" s="66"/>
      <c r="B29" s="66"/>
      <c r="C29" s="67"/>
      <c r="D29" s="35"/>
      <c r="AW29" s="2">
        <v>23.2</v>
      </c>
      <c r="AX29" s="2" t="s">
        <v>217</v>
      </c>
      <c r="AY29" s="130">
        <v>23.6</v>
      </c>
      <c r="AZ29" s="2">
        <v>20</v>
      </c>
      <c r="BA29" s="2"/>
      <c r="BB29" s="2">
        <v>18</v>
      </c>
      <c r="BC29" s="2"/>
      <c r="BD29" s="2">
        <v>17.600000000000001</v>
      </c>
      <c r="BE29" s="2">
        <v>19.899999999999999</v>
      </c>
      <c r="BF29" s="2">
        <v>20.399999999999999</v>
      </c>
      <c r="BG29" s="2">
        <v>21.1</v>
      </c>
      <c r="BH29" s="2">
        <v>25.8</v>
      </c>
      <c r="BI29" s="2"/>
      <c r="BJ29" s="2"/>
      <c r="BK29" s="2"/>
      <c r="BL29" s="2"/>
      <c r="BM29" s="2"/>
      <c r="BN29" s="2">
        <v>72</v>
      </c>
      <c r="BO29" s="2">
        <v>26</v>
      </c>
      <c r="BP29" s="2">
        <v>28</v>
      </c>
      <c r="BQ29" s="2">
        <v>31</v>
      </c>
      <c r="BR29" s="2">
        <v>33</v>
      </c>
      <c r="BS29" s="2">
        <v>37</v>
      </c>
      <c r="BT29" s="2">
        <v>29</v>
      </c>
      <c r="BU29" s="2">
        <v>115</v>
      </c>
      <c r="BV29" s="2">
        <v>149</v>
      </c>
      <c r="BW29" s="2">
        <v>184</v>
      </c>
      <c r="BX29" s="2">
        <v>270</v>
      </c>
      <c r="BY29" s="2">
        <v>32.299999999999997</v>
      </c>
      <c r="BZ29" s="2">
        <v>4.7</v>
      </c>
      <c r="CA29" s="2">
        <v>1.3</v>
      </c>
      <c r="CB29" s="2">
        <v>9.8834092478982703E-7</v>
      </c>
      <c r="CC29" s="2"/>
    </row>
    <row r="30" spans="1:81" x14ac:dyDescent="0.25">
      <c r="A30" s="66"/>
      <c r="B30" s="66"/>
      <c r="C30" s="67"/>
      <c r="D30" s="35"/>
      <c r="AW30" s="2">
        <v>23.2</v>
      </c>
      <c r="AX30" s="2" t="s">
        <v>273</v>
      </c>
      <c r="AY30" s="130">
        <v>32</v>
      </c>
      <c r="AZ30" s="2">
        <v>18.899999999999999</v>
      </c>
      <c r="BA30" s="2">
        <v>47</v>
      </c>
      <c r="BB30" s="2">
        <v>85</v>
      </c>
      <c r="BC30" s="2">
        <v>3</v>
      </c>
      <c r="BD30" s="2">
        <v>2.2999999999999998</v>
      </c>
      <c r="BE30" s="2">
        <v>3</v>
      </c>
      <c r="BF30" s="2">
        <v>3.1</v>
      </c>
      <c r="BG30" s="2">
        <v>3.3</v>
      </c>
      <c r="BH30" s="2">
        <v>4.2</v>
      </c>
      <c r="BI30" s="2">
        <v>32</v>
      </c>
      <c r="BJ30" s="2">
        <v>88</v>
      </c>
      <c r="BK30" s="2">
        <v>133</v>
      </c>
      <c r="BL30" s="2">
        <v>178</v>
      </c>
      <c r="BM30" s="2">
        <v>276</v>
      </c>
      <c r="BN30" s="2"/>
      <c r="BO30" s="2"/>
      <c r="BP30" s="2"/>
      <c r="BQ30" s="2"/>
      <c r="BR30" s="2"/>
      <c r="BS30" s="2"/>
      <c r="BT30" s="2">
        <v>23</v>
      </c>
      <c r="BU30" s="2">
        <v>35</v>
      </c>
      <c r="BV30" s="2">
        <v>125</v>
      </c>
      <c r="BW30" s="2">
        <v>215</v>
      </c>
      <c r="BX30" s="2">
        <v>405</v>
      </c>
      <c r="BY30" s="2">
        <v>21.3</v>
      </c>
      <c r="BZ30" s="2">
        <v>6.1</v>
      </c>
      <c r="CA30" s="2">
        <v>3</v>
      </c>
      <c r="CB30" s="2">
        <v>2.8310601383399199E-10</v>
      </c>
      <c r="CC30" s="2">
        <v>1.8</v>
      </c>
    </row>
    <row r="31" spans="1:81" x14ac:dyDescent="0.25">
      <c r="A31" s="66"/>
      <c r="B31" s="66"/>
      <c r="C31" s="67"/>
      <c r="D31" s="35"/>
      <c r="AW31" s="2">
        <v>29</v>
      </c>
      <c r="AX31" s="2" t="s">
        <v>273</v>
      </c>
      <c r="AY31" s="130">
        <v>32</v>
      </c>
      <c r="AZ31" s="2">
        <v>18.899999999999999</v>
      </c>
      <c r="BA31" s="2">
        <v>47</v>
      </c>
      <c r="BB31" s="2">
        <v>85</v>
      </c>
      <c r="BC31" s="2">
        <v>3</v>
      </c>
      <c r="BD31" s="2">
        <v>7.7</v>
      </c>
      <c r="BE31" s="2">
        <v>8.3000000000000007</v>
      </c>
      <c r="BF31" s="2">
        <v>8.5</v>
      </c>
      <c r="BG31" s="2">
        <v>8.6</v>
      </c>
      <c r="BH31" s="2">
        <v>9.6</v>
      </c>
      <c r="BI31" s="2">
        <v>294</v>
      </c>
      <c r="BJ31" s="2">
        <v>350</v>
      </c>
      <c r="BK31" s="2">
        <v>394</v>
      </c>
      <c r="BL31" s="2">
        <v>440</v>
      </c>
      <c r="BM31" s="2">
        <v>537</v>
      </c>
      <c r="BN31" s="2"/>
      <c r="BO31" s="2"/>
      <c r="BP31" s="2"/>
      <c r="BQ31" s="2"/>
      <c r="BR31" s="2"/>
      <c r="BS31" s="2"/>
      <c r="BT31" s="2">
        <v>390</v>
      </c>
      <c r="BU31" s="2">
        <v>402</v>
      </c>
      <c r="BV31" s="2">
        <v>492</v>
      </c>
      <c r="BW31" s="2">
        <v>583</v>
      </c>
      <c r="BX31" s="2">
        <v>772</v>
      </c>
      <c r="BY31" s="2">
        <v>21.3</v>
      </c>
      <c r="BZ31" s="2">
        <v>6.1</v>
      </c>
      <c r="CA31" s="2">
        <v>3</v>
      </c>
      <c r="CB31" s="2">
        <v>2.8310601383399199E-10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29</v>
      </c>
      <c r="AX32" s="2" t="s">
        <v>218</v>
      </c>
      <c r="AY32" s="130">
        <v>37</v>
      </c>
      <c r="AZ32" s="2">
        <v>18.3</v>
      </c>
      <c r="BA32" s="2">
        <v>59</v>
      </c>
      <c r="BB32" s="2">
        <v>77</v>
      </c>
      <c r="BC32" s="2">
        <v>3</v>
      </c>
      <c r="BD32" s="2">
        <v>1</v>
      </c>
      <c r="BE32" s="2">
        <v>4</v>
      </c>
      <c r="BF32" s="2">
        <v>5.8</v>
      </c>
      <c r="BG32" s="2">
        <v>15.4</v>
      </c>
      <c r="BH32" s="2">
        <v>44.8</v>
      </c>
      <c r="BI32" s="2">
        <v>131</v>
      </c>
      <c r="BJ32" s="2">
        <v>218</v>
      </c>
      <c r="BK32" s="2">
        <v>261</v>
      </c>
      <c r="BL32" s="2">
        <v>306</v>
      </c>
      <c r="BM32" s="2">
        <v>392</v>
      </c>
      <c r="BN32" s="2"/>
      <c r="BO32" s="2"/>
      <c r="BP32" s="2"/>
      <c r="BQ32" s="2"/>
      <c r="BR32" s="2"/>
      <c r="BS32" s="2"/>
      <c r="BT32" s="2">
        <v>35</v>
      </c>
      <c r="BU32" s="2">
        <v>210</v>
      </c>
      <c r="BV32" s="2">
        <v>298</v>
      </c>
      <c r="BW32" s="2">
        <v>386</v>
      </c>
      <c r="BX32" s="2">
        <v>560</v>
      </c>
      <c r="BY32" s="2">
        <v>28.6</v>
      </c>
      <c r="BZ32" s="2">
        <v>5.4</v>
      </c>
      <c r="CA32" s="2">
        <v>2.2999999999999998</v>
      </c>
      <c r="CB32" s="2">
        <v>3.0918980719249499E-12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56</v>
      </c>
      <c r="AX33" s="2" t="s">
        <v>218</v>
      </c>
      <c r="AY33" s="130">
        <v>37</v>
      </c>
      <c r="AZ33" s="2">
        <v>18.3</v>
      </c>
      <c r="BA33" s="2">
        <v>59</v>
      </c>
      <c r="BB33" s="2">
        <v>77</v>
      </c>
      <c r="BC33" s="2">
        <v>3</v>
      </c>
      <c r="BD33" s="2">
        <v>5.2</v>
      </c>
      <c r="BE33" s="2">
        <v>8</v>
      </c>
      <c r="BF33" s="2">
        <v>10</v>
      </c>
      <c r="BG33" s="2">
        <v>19.5</v>
      </c>
      <c r="BH33" s="2">
        <v>49</v>
      </c>
      <c r="BI33" s="2">
        <v>316</v>
      </c>
      <c r="BJ33" s="2">
        <v>403</v>
      </c>
      <c r="BK33" s="2">
        <v>446</v>
      </c>
      <c r="BL33" s="2">
        <v>491</v>
      </c>
      <c r="BM33" s="2">
        <v>577</v>
      </c>
      <c r="BN33" s="2"/>
      <c r="BO33" s="2"/>
      <c r="BP33" s="2"/>
      <c r="BQ33" s="2"/>
      <c r="BR33" s="2"/>
      <c r="BS33" s="2"/>
      <c r="BT33" s="2">
        <v>326</v>
      </c>
      <c r="BU33" s="2">
        <v>500</v>
      </c>
      <c r="BV33" s="2">
        <v>588</v>
      </c>
      <c r="BW33" s="2">
        <v>676</v>
      </c>
      <c r="BX33" s="2">
        <v>850</v>
      </c>
      <c r="BY33" s="2">
        <v>28.6</v>
      </c>
      <c r="BZ33" s="2">
        <v>5.4</v>
      </c>
      <c r="CA33" s="2">
        <v>2.2999999999999998</v>
      </c>
      <c r="CB33" s="2">
        <v>3.0918980719249499E-12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56</v>
      </c>
      <c r="AX34" s="2" t="s">
        <v>220</v>
      </c>
      <c r="AY34" s="130">
        <v>29.5</v>
      </c>
      <c r="AZ34" s="2">
        <v>18.8</v>
      </c>
      <c r="BA34" s="2">
        <v>48</v>
      </c>
      <c r="BB34" s="2">
        <v>77</v>
      </c>
      <c r="BC34" s="2">
        <v>3</v>
      </c>
      <c r="BD34" s="2">
        <v>2.1</v>
      </c>
      <c r="BE34" s="2">
        <v>15.7</v>
      </c>
      <c r="BF34" s="2">
        <v>16.899999999999999</v>
      </c>
      <c r="BG34" s="2">
        <v>42</v>
      </c>
      <c r="BH34" s="2">
        <v>120</v>
      </c>
      <c r="BI34" s="2">
        <v>662</v>
      </c>
      <c r="BJ34" s="2">
        <v>748</v>
      </c>
      <c r="BK34" s="2">
        <v>791</v>
      </c>
      <c r="BL34" s="2">
        <v>835</v>
      </c>
      <c r="BM34" s="2">
        <v>921</v>
      </c>
      <c r="BN34" s="2"/>
      <c r="BO34" s="2"/>
      <c r="BP34" s="2"/>
      <c r="BQ34" s="2"/>
      <c r="BR34" s="2"/>
      <c r="BS34" s="2"/>
      <c r="BT34" s="2">
        <v>911</v>
      </c>
      <c r="BU34" s="2">
        <v>1083</v>
      </c>
      <c r="BV34" s="2">
        <v>1170</v>
      </c>
      <c r="BW34" s="2">
        <v>1257</v>
      </c>
      <c r="BX34" s="2">
        <v>1429</v>
      </c>
      <c r="BY34" s="2">
        <v>80</v>
      </c>
      <c r="BZ34" s="2">
        <v>10.199999999999999</v>
      </c>
      <c r="CA34" s="2">
        <v>3</v>
      </c>
      <c r="CB34" s="2">
        <v>4.3888370637106297E-12</v>
      </c>
      <c r="CC34" s="2">
        <v>1.8</v>
      </c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74</v>
      </c>
      <c r="AX35" s="2" t="s">
        <v>220</v>
      </c>
      <c r="AY35" s="130">
        <v>29.5</v>
      </c>
      <c r="AZ35" s="2">
        <v>18.8</v>
      </c>
      <c r="BA35" s="2">
        <v>48</v>
      </c>
      <c r="BB35" s="2">
        <v>77</v>
      </c>
      <c r="BC35" s="2">
        <v>3</v>
      </c>
      <c r="BD35" s="2">
        <v>10.4</v>
      </c>
      <c r="BE35" s="2">
        <v>24</v>
      </c>
      <c r="BF35" s="2">
        <v>25.2</v>
      </c>
      <c r="BG35" s="2">
        <v>50.4</v>
      </c>
      <c r="BH35" s="2">
        <v>128.30000000000001</v>
      </c>
      <c r="BI35" s="2">
        <v>1063</v>
      </c>
      <c r="BJ35" s="2">
        <v>1149</v>
      </c>
      <c r="BK35" s="2">
        <v>1192</v>
      </c>
      <c r="BL35" s="2">
        <v>1236</v>
      </c>
      <c r="BM35" s="2">
        <v>1322</v>
      </c>
      <c r="BN35" s="2"/>
      <c r="BO35" s="2"/>
      <c r="BP35" s="2"/>
      <c r="BQ35" s="2"/>
      <c r="BR35" s="2"/>
      <c r="BS35" s="2"/>
      <c r="BT35" s="2">
        <v>1678</v>
      </c>
      <c r="BU35" s="2">
        <v>1850</v>
      </c>
      <c r="BV35" s="2">
        <v>1937</v>
      </c>
      <c r="BW35" s="2">
        <v>2024</v>
      </c>
      <c r="BX35" s="2">
        <v>2196</v>
      </c>
      <c r="BY35" s="2">
        <v>80</v>
      </c>
      <c r="BZ35" s="2">
        <v>10.199999999999999</v>
      </c>
      <c r="CA35" s="2">
        <v>3</v>
      </c>
      <c r="CB35" s="2">
        <v>4.3888370637106297E-12</v>
      </c>
      <c r="CC35" s="2">
        <v>1.8</v>
      </c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>
        <v>74</v>
      </c>
      <c r="AX36" s="2" t="s">
        <v>221</v>
      </c>
      <c r="AY36" s="130">
        <v>36.1</v>
      </c>
      <c r="AZ36" s="2">
        <v>18.5</v>
      </c>
      <c r="BA36" s="2">
        <v>21</v>
      </c>
      <c r="BB36" s="2">
        <v>72</v>
      </c>
      <c r="BC36" s="2">
        <v>3</v>
      </c>
      <c r="BD36" s="2">
        <v>2.8</v>
      </c>
      <c r="BE36" s="2">
        <v>4</v>
      </c>
      <c r="BF36" s="2">
        <v>5.4</v>
      </c>
      <c r="BG36" s="2">
        <v>11.7</v>
      </c>
      <c r="BH36" s="2">
        <v>31.2</v>
      </c>
      <c r="BI36" s="2">
        <v>103</v>
      </c>
      <c r="BJ36" s="2">
        <v>157</v>
      </c>
      <c r="BK36" s="2">
        <v>191</v>
      </c>
      <c r="BL36" s="2">
        <v>226</v>
      </c>
      <c r="BM36" s="2">
        <v>294</v>
      </c>
      <c r="BN36" s="2"/>
      <c r="BO36" s="2"/>
      <c r="BP36" s="2"/>
      <c r="BQ36" s="2"/>
      <c r="BR36" s="2"/>
      <c r="BS36" s="2"/>
      <c r="BT36" s="2">
        <v>74</v>
      </c>
      <c r="BU36" s="2">
        <v>181</v>
      </c>
      <c r="BV36" s="2">
        <v>267</v>
      </c>
      <c r="BW36" s="2">
        <v>354</v>
      </c>
      <c r="BX36" s="2">
        <v>526</v>
      </c>
      <c r="BY36" s="2">
        <v>16.3</v>
      </c>
      <c r="BZ36" s="2">
        <v>1.7</v>
      </c>
      <c r="CA36" s="2">
        <v>0.7</v>
      </c>
      <c r="CB36" s="2">
        <v>1.7614696002161499E-13</v>
      </c>
      <c r="CC36" s="2">
        <v>1.8</v>
      </c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>
        <v>80</v>
      </c>
      <c r="AX37" s="2" t="s">
        <v>221</v>
      </c>
      <c r="AY37" s="130">
        <v>36.1</v>
      </c>
      <c r="AZ37" s="2">
        <v>18.5</v>
      </c>
      <c r="BA37" s="2">
        <v>21</v>
      </c>
      <c r="BB37" s="2">
        <v>72</v>
      </c>
      <c r="BC37" s="2">
        <v>3</v>
      </c>
      <c r="BD37" s="2">
        <v>3</v>
      </c>
      <c r="BE37" s="2">
        <v>4</v>
      </c>
      <c r="BF37" s="2">
        <v>5.5</v>
      </c>
      <c r="BG37" s="2">
        <v>11.8</v>
      </c>
      <c r="BH37" s="2">
        <v>31.3</v>
      </c>
      <c r="BI37" s="2">
        <v>113</v>
      </c>
      <c r="BJ37" s="2">
        <v>167</v>
      </c>
      <c r="BK37" s="2">
        <v>201</v>
      </c>
      <c r="BL37" s="2">
        <v>236</v>
      </c>
      <c r="BM37" s="2">
        <v>304</v>
      </c>
      <c r="BN37" s="2"/>
      <c r="BO37" s="2"/>
      <c r="BP37" s="2"/>
      <c r="BQ37" s="2"/>
      <c r="BR37" s="2"/>
      <c r="BS37" s="2"/>
      <c r="BT37" s="2">
        <v>91</v>
      </c>
      <c r="BU37" s="2">
        <v>198</v>
      </c>
      <c r="BV37" s="2">
        <v>285</v>
      </c>
      <c r="BW37" s="2">
        <v>372</v>
      </c>
      <c r="BX37" s="2">
        <v>544</v>
      </c>
      <c r="BY37" s="2">
        <v>16.3</v>
      </c>
      <c r="BZ37" s="2">
        <v>1.7</v>
      </c>
      <c r="CA37" s="2">
        <v>0.7</v>
      </c>
      <c r="CB37" s="2">
        <v>1.7614696002161499E-13</v>
      </c>
      <c r="CC37" s="2">
        <v>1.8</v>
      </c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596" priority="12">
      <formula>$L32="API sand"</formula>
    </cfRule>
  </conditionalFormatting>
  <conditionalFormatting sqref="R32:S36 AB32:AB35 AJ32:AL36 Z32:Z36 N32:N36">
    <cfRule type="expression" dxfId="2595" priority="11">
      <formula>$M32="API sand"</formula>
    </cfRule>
  </conditionalFormatting>
  <conditionalFormatting sqref="R32:T36 Z32:AB35 AK32:AL36 N32:N36">
    <cfRule type="expression" dxfId="2594" priority="10">
      <formula>$M32="API clay"</formula>
    </cfRule>
  </conditionalFormatting>
  <conditionalFormatting sqref="U32:W36 AM32:AP36 N32:P36">
    <cfRule type="expression" dxfId="2593" priority="7">
      <formula>$L32="Stiff clay w/o free water"</formula>
    </cfRule>
    <cfRule type="expression" dxfId="2592" priority="9">
      <formula>$L32="API clay"</formula>
    </cfRule>
  </conditionalFormatting>
  <conditionalFormatting sqref="U32:Y36 AM32:AP36 N32:P36">
    <cfRule type="expression" dxfId="2591" priority="8">
      <formula>$L32="Kirsch soft clay"</formula>
    </cfRule>
  </conditionalFormatting>
  <conditionalFormatting sqref="U32:Y36 AM32:AP36 N32:P36">
    <cfRule type="expression" dxfId="2590" priority="6">
      <formula>$L32="Kirsch stiff clay"</formula>
    </cfRule>
  </conditionalFormatting>
  <conditionalFormatting sqref="AM32:AP36 Q32:Q36 X32:Y36 N32:N36">
    <cfRule type="expression" dxfId="2589" priority="5">
      <formula>$L32="Kirsch sand"</formula>
    </cfRule>
  </conditionalFormatting>
  <conditionalFormatting sqref="AC32:AD36 AI32:AI36 AM32:AP36 N32:N36">
    <cfRule type="expression" dxfId="2588" priority="4">
      <formula>$L32="Modified Weak rock"</formula>
    </cfRule>
  </conditionalFormatting>
  <conditionalFormatting sqref="AM32:AP36 N32:P36 U32:V36">
    <cfRule type="expression" dxfId="2587" priority="3">
      <formula>$L32="Reese stiff clay"</formula>
    </cfRule>
  </conditionalFormatting>
  <conditionalFormatting sqref="AB36">
    <cfRule type="expression" dxfId="2586" priority="2">
      <formula>$M36="API sand"</formula>
    </cfRule>
  </conditionalFormatting>
  <conditionalFormatting sqref="Z36:AB36">
    <cfRule type="expression" dxfId="2585" priority="1">
      <formula>$M36="API clay"</formula>
    </cfRule>
  </conditionalFormatting>
  <conditionalFormatting sqref="AE37:AH37">
    <cfRule type="expression" dxfId="2584" priority="13">
      <formula>#REF!="Modified Weak rock"</formula>
    </cfRule>
  </conditionalFormatting>
  <dataValidations count="4">
    <dataValidation type="textLength" showInputMessage="1" showErrorMessage="1" sqref="M27:M31" xr:uid="{164901CB-485F-437B-9D2F-6EF629E5044A}">
      <formula1>0</formula1>
      <formula2>100</formula2>
    </dataValidation>
    <dataValidation showInputMessage="1" showErrorMessage="1" sqref="L6:M26" xr:uid="{01B82F4B-A287-496F-8850-09EB1630A58A}"/>
    <dataValidation type="list" showInputMessage="1" showErrorMessage="1" sqref="L32:L255" xr:uid="{B6E847B3-B4D8-4AA9-A9EA-66A9C273AEF2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EE8C249E-EFA2-40A4-A616-2CE136BAD51D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8961B-8B97-4C59-A063-B8CE9980C1AB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Ak_Pisa_WTG21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EW_sand_Ruled_66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32</v>
      </c>
      <c r="R6" s="47">
        <f t="shared" ref="R6:R26" ca="1" si="7">IF(I6="","",IF(Q6&lt;&gt;0,Q6-5,NA()))</f>
        <v>27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2300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86.999999999999972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6720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28.000000000000007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66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0.3</v>
      </c>
      <c r="BG6" s="2">
        <v>0.5</v>
      </c>
      <c r="BH6" s="2">
        <v>0.7</v>
      </c>
      <c r="BI6" s="2"/>
      <c r="BJ6" s="2"/>
      <c r="BK6" s="2"/>
      <c r="BL6" s="2"/>
      <c r="BM6" s="2"/>
      <c r="BN6" s="2">
        <v>66</v>
      </c>
      <c r="BO6" s="2">
        <v>22</v>
      </c>
      <c r="BP6" s="2">
        <v>32</v>
      </c>
      <c r="BQ6" s="2">
        <v>35</v>
      </c>
      <c r="BR6" s="2">
        <v>38</v>
      </c>
      <c r="BS6" s="2">
        <v>45</v>
      </c>
      <c r="BT6" s="2">
        <v>0</v>
      </c>
      <c r="BU6" s="2">
        <v>2</v>
      </c>
      <c r="BV6" s="2">
        <v>5</v>
      </c>
      <c r="BW6" s="2">
        <v>8</v>
      </c>
      <c r="BX6" s="2">
        <v>14</v>
      </c>
      <c r="BY6" s="2">
        <v>2.2999999999999998</v>
      </c>
      <c r="BZ6" s="2">
        <v>1</v>
      </c>
      <c r="CA6" s="2">
        <v>0.5</v>
      </c>
      <c r="CB6" s="2">
        <v>5.3762733032737997E-4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-0.5</v>
      </c>
      <c r="L7" s="116" t="str">
        <f t="shared" ca="1" si="1"/>
        <v>EW_sand_Ruled_43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35</v>
      </c>
      <c r="R7" s="47">
        <f t="shared" ca="1" si="7"/>
        <v>30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8600</v>
      </c>
      <c r="Y7" s="47">
        <f t="shared" ca="1" si="14"/>
        <v>0</v>
      </c>
      <c r="Z7" s="47">
        <f t="shared" ca="1" si="15"/>
        <v>95.999999999999972</v>
      </c>
      <c r="AA7" s="47">
        <f t="shared" ca="1" si="16"/>
        <v>1</v>
      </c>
      <c r="AB7" s="47">
        <f t="shared" ca="1" si="17"/>
        <v>9600</v>
      </c>
      <c r="AC7" s="63">
        <f t="shared" ca="1" si="18"/>
        <v>20000</v>
      </c>
      <c r="AD7" s="63">
        <f t="shared" ca="1" si="19"/>
        <v>11250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40.000000000000007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43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0.4</v>
      </c>
      <c r="BE7" s="2">
        <v>0.7</v>
      </c>
      <c r="BF7" s="2">
        <v>0.9</v>
      </c>
      <c r="BG7" s="2">
        <v>1.1000000000000001</v>
      </c>
      <c r="BH7" s="2">
        <v>1.4</v>
      </c>
      <c r="BI7" s="2"/>
      <c r="BJ7" s="2"/>
      <c r="BK7" s="2"/>
      <c r="BL7" s="2"/>
      <c r="BM7" s="2"/>
      <c r="BN7" s="2">
        <v>66</v>
      </c>
      <c r="BO7" s="2">
        <v>22</v>
      </c>
      <c r="BP7" s="2">
        <v>32</v>
      </c>
      <c r="BQ7" s="2">
        <v>35</v>
      </c>
      <c r="BR7" s="2">
        <v>38</v>
      </c>
      <c r="BS7" s="2">
        <v>45</v>
      </c>
      <c r="BT7" s="2">
        <v>7</v>
      </c>
      <c r="BU7" s="2">
        <v>13</v>
      </c>
      <c r="BV7" s="2">
        <v>16</v>
      </c>
      <c r="BW7" s="2">
        <v>18</v>
      </c>
      <c r="BX7" s="2">
        <v>24</v>
      </c>
      <c r="BY7" s="2">
        <v>2.2999999999999998</v>
      </c>
      <c r="BZ7" s="2">
        <v>1</v>
      </c>
      <c r="CA7" s="2">
        <v>0.5</v>
      </c>
      <c r="CB7" s="2">
        <v>5.3762733032737997E-4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11a</v>
      </c>
      <c r="J8" s="47">
        <f t="shared" ca="1" si="35"/>
        <v>3</v>
      </c>
      <c r="K8" s="19">
        <f t="shared" ca="1" si="36"/>
        <v>-1.3</v>
      </c>
      <c r="L8" s="116" t="str">
        <f t="shared" ca="1" si="1"/>
        <v>EW_sand_Ruled_69</v>
      </c>
      <c r="M8" s="105" t="str">
        <f t="shared" ca="1" si="2"/>
        <v>API sand</v>
      </c>
      <c r="N8" s="47">
        <f t="shared" ca="1" si="3"/>
        <v>9.6000000000000014</v>
      </c>
      <c r="O8" s="63">
        <f t="shared" ca="1" si="4"/>
        <v>0</v>
      </c>
      <c r="P8" s="63">
        <f t="shared" ca="1" si="5"/>
        <v>0</v>
      </c>
      <c r="Q8" s="47">
        <f t="shared" ca="1" si="6"/>
        <v>39</v>
      </c>
      <c r="R8" s="47">
        <f t="shared" ca="1" si="7"/>
        <v>34</v>
      </c>
      <c r="S8" s="47">
        <f t="shared" ca="1" si="8"/>
        <v>1.7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33300</v>
      </c>
      <c r="Y8" s="47">
        <f t="shared" ca="1" si="14"/>
        <v>0</v>
      </c>
      <c r="Z8" s="47">
        <f t="shared" ca="1" si="15"/>
        <v>111.19999999999996</v>
      </c>
      <c r="AA8" s="47">
        <f t="shared" ca="1" si="16"/>
        <v>1</v>
      </c>
      <c r="AB8" s="47">
        <f t="shared" ca="1" si="17"/>
        <v>11520</v>
      </c>
      <c r="AC8" s="63">
        <f t="shared" ca="1" si="18"/>
        <v>49000</v>
      </c>
      <c r="AD8" s="63">
        <f t="shared" ca="1" si="19"/>
        <v>2903.2258064516127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48.000000000000007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69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0.3</v>
      </c>
      <c r="BE8" s="2">
        <v>1</v>
      </c>
      <c r="BF8" s="2">
        <v>1.3</v>
      </c>
      <c r="BG8" s="2">
        <v>1.9</v>
      </c>
      <c r="BH8" s="2">
        <v>3.4</v>
      </c>
      <c r="BI8" s="2"/>
      <c r="BJ8" s="2"/>
      <c r="BK8" s="2"/>
      <c r="BL8" s="2"/>
      <c r="BM8" s="2"/>
      <c r="BN8" s="2">
        <v>43</v>
      </c>
      <c r="BO8" s="2">
        <v>30</v>
      </c>
      <c r="BP8" s="2">
        <v>35</v>
      </c>
      <c r="BQ8" s="2">
        <v>38</v>
      </c>
      <c r="BR8" s="2">
        <v>41</v>
      </c>
      <c r="BS8" s="2">
        <v>47</v>
      </c>
      <c r="BT8" s="2">
        <v>0</v>
      </c>
      <c r="BU8" s="2">
        <v>13</v>
      </c>
      <c r="BV8" s="2">
        <v>20</v>
      </c>
      <c r="BW8" s="2">
        <v>26</v>
      </c>
      <c r="BX8" s="2">
        <v>41</v>
      </c>
      <c r="BY8" s="2">
        <v>8.6</v>
      </c>
      <c r="BZ8" s="2">
        <v>1</v>
      </c>
      <c r="CA8" s="2">
        <v>0.5</v>
      </c>
      <c r="CB8" s="2">
        <v>8.7375182973609896E-8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11b</v>
      </c>
      <c r="J9" s="47">
        <f t="shared" ca="1" si="35"/>
        <v>4</v>
      </c>
      <c r="K9" s="19">
        <f t="shared" ca="1" si="36"/>
        <v>-4.4000000000000004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9.5</v>
      </c>
      <c r="O9" s="63">
        <f t="shared" ca="1" si="4"/>
        <v>153</v>
      </c>
      <c r="P9" s="63">
        <f t="shared" ca="1" si="5"/>
        <v>-19.615384615384617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24700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169000</v>
      </c>
      <c r="AD9" s="63">
        <f t="shared" ca="1" si="19"/>
        <v>-21538.461538461539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1.3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1.5</v>
      </c>
      <c r="BE9" s="2">
        <v>2.2999999999999998</v>
      </c>
      <c r="BF9" s="2">
        <v>2.6</v>
      </c>
      <c r="BG9" s="2">
        <v>3.1</v>
      </c>
      <c r="BH9" s="2">
        <v>4.5999999999999996</v>
      </c>
      <c r="BI9" s="2"/>
      <c r="BJ9" s="2"/>
      <c r="BK9" s="2"/>
      <c r="BL9" s="2"/>
      <c r="BM9" s="2"/>
      <c r="BN9" s="2">
        <v>43</v>
      </c>
      <c r="BO9" s="2">
        <v>30</v>
      </c>
      <c r="BP9" s="2">
        <v>35</v>
      </c>
      <c r="BQ9" s="2">
        <v>38</v>
      </c>
      <c r="BR9" s="2">
        <v>41</v>
      </c>
      <c r="BS9" s="2">
        <v>47</v>
      </c>
      <c r="BT9" s="2">
        <v>9</v>
      </c>
      <c r="BU9" s="2">
        <v>23</v>
      </c>
      <c r="BV9" s="2">
        <v>29</v>
      </c>
      <c r="BW9" s="2">
        <v>35</v>
      </c>
      <c r="BX9" s="2">
        <v>50</v>
      </c>
      <c r="BY9" s="2">
        <v>8.6</v>
      </c>
      <c r="BZ9" s="2">
        <v>1</v>
      </c>
      <c r="CA9" s="2">
        <v>0.5</v>
      </c>
      <c r="CB9" s="2">
        <v>8.7375182973609896E-8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12b</v>
      </c>
      <c r="J10" s="47">
        <f t="shared" ca="1" si="35"/>
        <v>5</v>
      </c>
      <c r="K10" s="19">
        <f t="shared" ca="1" si="36"/>
        <v>-7</v>
      </c>
      <c r="L10" s="116" t="str">
        <f t="shared" ca="1" si="1"/>
        <v>EW_sand_Ruled_86</v>
      </c>
      <c r="M10" s="105" t="str">
        <f t="shared" ca="1" si="2"/>
        <v>API sand</v>
      </c>
      <c r="N10" s="47">
        <f t="shared" ca="1" si="3"/>
        <v>10.199999999999999</v>
      </c>
      <c r="O10" s="63">
        <f t="shared" ca="1" si="4"/>
        <v>0</v>
      </c>
      <c r="P10" s="63">
        <f t="shared" ca="1" si="5"/>
        <v>0</v>
      </c>
      <c r="Q10" s="47">
        <f t="shared" ca="1" si="6"/>
        <v>41</v>
      </c>
      <c r="R10" s="47">
        <f t="shared" ca="1" si="7"/>
        <v>36</v>
      </c>
      <c r="S10" s="47">
        <f t="shared" ca="1" si="8"/>
        <v>1.4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98800</v>
      </c>
      <c r="Y10" s="47">
        <f t="shared" ca="1" si="14"/>
        <v>0</v>
      </c>
      <c r="Z10" s="47">
        <f t="shared" ca="1" si="15"/>
        <v>114.99999999999996</v>
      </c>
      <c r="AA10" s="47">
        <f t="shared" ca="1" si="16"/>
        <v>1</v>
      </c>
      <c r="AB10" s="47">
        <f t="shared" ca="1" si="17"/>
        <v>12000</v>
      </c>
      <c r="AC10" s="63">
        <f t="shared" ca="1" si="18"/>
        <v>86000</v>
      </c>
      <c r="AD10" s="63">
        <f t="shared" ca="1" si="19"/>
        <v>13600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50.000000000000007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86</v>
      </c>
      <c r="AS10" s="33">
        <f t="shared" ca="1" si="34"/>
        <v>0.4</v>
      </c>
      <c r="AW10" s="2">
        <v>1.3</v>
      </c>
      <c r="AX10" s="2" t="s">
        <v>293</v>
      </c>
      <c r="AY10" s="130">
        <v>25.8</v>
      </c>
      <c r="AZ10" s="2">
        <v>19.600000000000001</v>
      </c>
      <c r="BA10" s="2"/>
      <c r="BB10" s="2">
        <v>22</v>
      </c>
      <c r="BC10" s="2"/>
      <c r="BD10" s="2">
        <v>10.8</v>
      </c>
      <c r="BE10" s="2">
        <v>11.7</v>
      </c>
      <c r="BF10" s="2">
        <v>11.9</v>
      </c>
      <c r="BG10" s="2">
        <v>12.2</v>
      </c>
      <c r="BH10" s="2">
        <v>13.4</v>
      </c>
      <c r="BI10" s="2"/>
      <c r="BJ10" s="2"/>
      <c r="BK10" s="2"/>
      <c r="BL10" s="2"/>
      <c r="BM10" s="2"/>
      <c r="BN10" s="2">
        <v>69</v>
      </c>
      <c r="BO10" s="2">
        <v>32</v>
      </c>
      <c r="BP10" s="2">
        <v>39</v>
      </c>
      <c r="BQ10" s="2">
        <v>42</v>
      </c>
      <c r="BR10" s="2">
        <v>45</v>
      </c>
      <c r="BS10" s="2">
        <v>51</v>
      </c>
      <c r="BT10" s="2">
        <v>5</v>
      </c>
      <c r="BU10" s="2">
        <v>36</v>
      </c>
      <c r="BV10" s="2">
        <v>49</v>
      </c>
      <c r="BW10" s="2">
        <v>62</v>
      </c>
      <c r="BX10" s="2">
        <v>93</v>
      </c>
      <c r="BY10" s="2">
        <v>33.299999999999997</v>
      </c>
      <c r="BZ10" s="2">
        <v>8.1</v>
      </c>
      <c r="CA10" s="2">
        <v>1.7</v>
      </c>
      <c r="CB10" s="2">
        <v>1.6045492263323301E-5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12b</v>
      </c>
      <c r="J11" s="47">
        <f t="shared" ca="1" si="35"/>
        <v>6</v>
      </c>
      <c r="K11" s="19">
        <f t="shared" ca="1" si="36"/>
        <v>-9.5</v>
      </c>
      <c r="L11" s="116" t="str">
        <f t="shared" ca="1" si="1"/>
        <v>EW_sand_Ruled_85</v>
      </c>
      <c r="M11" s="105" t="str">
        <f t="shared" ca="1" si="2"/>
        <v>API sand</v>
      </c>
      <c r="N11" s="47">
        <f t="shared" ca="1" si="3"/>
        <v>10.199999999999999</v>
      </c>
      <c r="O11" s="63">
        <f t="shared" ca="1" si="4"/>
        <v>0</v>
      </c>
      <c r="P11" s="63">
        <f t="shared" ca="1" si="5"/>
        <v>0</v>
      </c>
      <c r="Q11" s="47">
        <f t="shared" ca="1" si="6"/>
        <v>40</v>
      </c>
      <c r="R11" s="47">
        <f t="shared" ca="1" si="7"/>
        <v>35</v>
      </c>
      <c r="S11" s="47">
        <f t="shared" ca="1" si="8"/>
        <v>1.1000000000000001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110200</v>
      </c>
      <c r="Y11" s="47">
        <f t="shared" ca="1" si="14"/>
        <v>0</v>
      </c>
      <c r="Z11" s="47">
        <f t="shared" ca="1" si="15"/>
        <v>114.99999999999996</v>
      </c>
      <c r="AA11" s="47">
        <f t="shared" ca="1" si="16"/>
        <v>1</v>
      </c>
      <c r="AB11" s="47">
        <f t="shared" ca="1" si="17"/>
        <v>12000</v>
      </c>
      <c r="AC11" s="63">
        <f t="shared" ca="1" si="18"/>
        <v>118000</v>
      </c>
      <c r="AD11" s="63">
        <f t="shared" ca="1" si="19"/>
        <v>3557.6923076923085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50.000000000000007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85</v>
      </c>
      <c r="AS11" s="33">
        <f t="shared" ca="1" si="34"/>
        <v>0.4</v>
      </c>
      <c r="AW11" s="2">
        <v>4.4000000000000004</v>
      </c>
      <c r="AX11" s="2" t="s">
        <v>293</v>
      </c>
      <c r="AY11" s="130">
        <v>25.8</v>
      </c>
      <c r="AZ11" s="2">
        <v>19.600000000000001</v>
      </c>
      <c r="BA11" s="2"/>
      <c r="BB11" s="2">
        <v>22</v>
      </c>
      <c r="BC11" s="2"/>
      <c r="BD11" s="2">
        <v>4.5999999999999996</v>
      </c>
      <c r="BE11" s="2">
        <v>5.6</v>
      </c>
      <c r="BF11" s="2">
        <v>5.8</v>
      </c>
      <c r="BG11" s="2">
        <v>6.1</v>
      </c>
      <c r="BH11" s="2">
        <v>7.3</v>
      </c>
      <c r="BI11" s="2"/>
      <c r="BJ11" s="2"/>
      <c r="BK11" s="2"/>
      <c r="BL11" s="2"/>
      <c r="BM11" s="2"/>
      <c r="BN11" s="2">
        <v>69</v>
      </c>
      <c r="BO11" s="2">
        <v>32</v>
      </c>
      <c r="BP11" s="2">
        <v>39</v>
      </c>
      <c r="BQ11" s="2">
        <v>42</v>
      </c>
      <c r="BR11" s="2">
        <v>45</v>
      </c>
      <c r="BS11" s="2">
        <v>51</v>
      </c>
      <c r="BT11" s="2">
        <v>14</v>
      </c>
      <c r="BU11" s="2">
        <v>45</v>
      </c>
      <c r="BV11" s="2">
        <v>58</v>
      </c>
      <c r="BW11" s="2">
        <v>71</v>
      </c>
      <c r="BX11" s="2">
        <v>102</v>
      </c>
      <c r="BY11" s="2">
        <v>33.299999999999997</v>
      </c>
      <c r="BZ11" s="2">
        <v>8.1</v>
      </c>
      <c r="CA11" s="2">
        <v>1.7</v>
      </c>
      <c r="CB11" s="2">
        <v>1.6045492263323301E-5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21a</v>
      </c>
      <c r="J12" s="47">
        <f t="shared" ca="1" si="35"/>
        <v>7</v>
      </c>
      <c r="K12" s="19">
        <f t="shared" ca="1" si="36"/>
        <v>-19.899999999999999</v>
      </c>
      <c r="L12" s="116" t="str">
        <f t="shared" ca="1" si="1"/>
        <v>EW_sand_Ruled_83</v>
      </c>
      <c r="M12" s="105" t="str">
        <f t="shared" ca="1" si="2"/>
        <v>API sand</v>
      </c>
      <c r="N12" s="47">
        <f t="shared" ca="1" si="3"/>
        <v>9.8000000000000007</v>
      </c>
      <c r="O12" s="63">
        <f t="shared" ca="1" si="4"/>
        <v>0</v>
      </c>
      <c r="P12" s="63">
        <f t="shared" ca="1" si="5"/>
        <v>0</v>
      </c>
      <c r="Q12" s="47">
        <f t="shared" ca="1" si="6"/>
        <v>29</v>
      </c>
      <c r="R12" s="47">
        <f t="shared" ca="1" si="7"/>
        <v>24</v>
      </c>
      <c r="S12" s="47">
        <f t="shared" ca="1" si="8"/>
        <v>1.6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75000</v>
      </c>
      <c r="Y12" s="47">
        <f t="shared" ca="1" si="14"/>
        <v>0</v>
      </c>
      <c r="Z12" s="47">
        <f t="shared" ca="1" si="15"/>
        <v>78.199999999999974</v>
      </c>
      <c r="AA12" s="47">
        <f t="shared" ca="1" si="16"/>
        <v>1</v>
      </c>
      <c r="AB12" s="47">
        <f t="shared" ca="1" si="17"/>
        <v>4420</v>
      </c>
      <c r="AC12" s="63">
        <f t="shared" ca="1" si="18"/>
        <v>176000</v>
      </c>
      <c r="AD12" s="63">
        <f t="shared" ca="1" si="19"/>
        <v>-9285.7142857142717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18.400000000000006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83</v>
      </c>
      <c r="AS12" s="33">
        <f t="shared" ca="1" si="34"/>
        <v>0.2</v>
      </c>
      <c r="AW12" s="2">
        <v>4.4000000000000004</v>
      </c>
      <c r="AX12" s="2" t="s">
        <v>299</v>
      </c>
      <c r="AY12" s="130">
        <v>29</v>
      </c>
      <c r="AZ12" s="2">
        <v>19.5</v>
      </c>
      <c r="BA12" s="2">
        <v>13</v>
      </c>
      <c r="BB12" s="2">
        <v>64</v>
      </c>
      <c r="BC12" s="2">
        <v>4</v>
      </c>
      <c r="BD12" s="2">
        <v>2.5</v>
      </c>
      <c r="BE12" s="2">
        <v>3.3</v>
      </c>
      <c r="BF12" s="2">
        <v>3.5</v>
      </c>
      <c r="BG12" s="2">
        <v>3.8</v>
      </c>
      <c r="BH12" s="2">
        <v>5.4</v>
      </c>
      <c r="BI12" s="2">
        <v>69</v>
      </c>
      <c r="BJ12" s="2">
        <v>153</v>
      </c>
      <c r="BK12" s="2">
        <v>188</v>
      </c>
      <c r="BL12" s="2">
        <v>226</v>
      </c>
      <c r="BM12" s="2">
        <v>336</v>
      </c>
      <c r="BN12" s="2"/>
      <c r="BO12" s="2"/>
      <c r="BP12" s="2"/>
      <c r="BQ12" s="2"/>
      <c r="BR12" s="2"/>
      <c r="BS12" s="2"/>
      <c r="BT12" s="2">
        <v>63</v>
      </c>
      <c r="BU12" s="2">
        <v>119</v>
      </c>
      <c r="BV12" s="2">
        <v>169</v>
      </c>
      <c r="BW12" s="2">
        <v>221</v>
      </c>
      <c r="BX12" s="2">
        <v>351</v>
      </c>
      <c r="BY12" s="2">
        <v>24.7</v>
      </c>
      <c r="BZ12" s="2">
        <v>11.5</v>
      </c>
      <c r="CA12" s="2">
        <v>3</v>
      </c>
      <c r="CB12" s="2">
        <v>6.6379717419813398E-9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23d</v>
      </c>
      <c r="J13" s="47">
        <f t="shared" ca="1" si="35"/>
        <v>8</v>
      </c>
      <c r="K13" s="19">
        <f t="shared" ca="1" si="36"/>
        <v>-21.3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8.8999999999999986</v>
      </c>
      <c r="O13" s="63">
        <f t="shared" ca="1" si="4"/>
        <v>221</v>
      </c>
      <c r="P13" s="63">
        <f t="shared" ca="1" si="5"/>
        <v>2.8877005347593583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2.5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0.5</v>
      </c>
      <c r="X13" s="47">
        <f t="shared" ca="1" si="13"/>
        <v>24200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302000</v>
      </c>
      <c r="AD13" s="63">
        <f t="shared" ca="1" si="19"/>
        <v>5240.6417112299468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7</v>
      </c>
      <c r="AX13" s="2" t="s">
        <v>299</v>
      </c>
      <c r="AY13" s="130">
        <v>29</v>
      </c>
      <c r="AZ13" s="2">
        <v>19.5</v>
      </c>
      <c r="BA13" s="2">
        <v>13</v>
      </c>
      <c r="BB13" s="2">
        <v>64</v>
      </c>
      <c r="BC13" s="2">
        <v>4</v>
      </c>
      <c r="BD13" s="2">
        <v>1.6</v>
      </c>
      <c r="BE13" s="2">
        <v>2.4</v>
      </c>
      <c r="BF13" s="2">
        <v>2.6</v>
      </c>
      <c r="BG13" s="2">
        <v>2.9</v>
      </c>
      <c r="BH13" s="2">
        <v>4.5</v>
      </c>
      <c r="BI13" s="2">
        <v>18</v>
      </c>
      <c r="BJ13" s="2">
        <v>102</v>
      </c>
      <c r="BK13" s="2">
        <v>136</v>
      </c>
      <c r="BL13" s="2">
        <v>175</v>
      </c>
      <c r="BM13" s="2">
        <v>285</v>
      </c>
      <c r="BN13" s="2"/>
      <c r="BO13" s="2"/>
      <c r="BP13" s="2"/>
      <c r="BQ13" s="2"/>
      <c r="BR13" s="2"/>
      <c r="BS13" s="2"/>
      <c r="BT13" s="2">
        <v>7</v>
      </c>
      <c r="BU13" s="2">
        <v>62</v>
      </c>
      <c r="BV13" s="2">
        <v>113</v>
      </c>
      <c r="BW13" s="2">
        <v>165</v>
      </c>
      <c r="BX13" s="2">
        <v>294</v>
      </c>
      <c r="BY13" s="2">
        <v>24.7</v>
      </c>
      <c r="BZ13" s="2">
        <v>11.5</v>
      </c>
      <c r="CA13" s="2">
        <v>3</v>
      </c>
      <c r="CB13" s="2">
        <v>6.6379717419813398E-9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23d</v>
      </c>
      <c r="J14" s="47">
        <f t="shared" ca="1" si="35"/>
        <v>9</v>
      </c>
      <c r="K14" s="19">
        <f t="shared" ca="1" si="36"/>
        <v>-40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8.8999999999999986</v>
      </c>
      <c r="O14" s="63">
        <f t="shared" ca="1" si="4"/>
        <v>334</v>
      </c>
      <c r="P14" s="63">
        <f t="shared" ca="1" si="5"/>
        <v>19.062500000000004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2.6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35500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487000</v>
      </c>
      <c r="AD14" s="63">
        <f t="shared" ca="1" si="19"/>
        <v>30156.250000000007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7</v>
      </c>
      <c r="AX14" s="2" t="s">
        <v>292</v>
      </c>
      <c r="AY14" s="130">
        <v>21.3</v>
      </c>
      <c r="AZ14" s="2">
        <v>20.2</v>
      </c>
      <c r="BA14" s="2"/>
      <c r="BB14" s="2">
        <v>10</v>
      </c>
      <c r="BC14" s="2"/>
      <c r="BD14" s="2">
        <v>5.9</v>
      </c>
      <c r="BE14" s="2">
        <v>11.8</v>
      </c>
      <c r="BF14" s="2">
        <v>13</v>
      </c>
      <c r="BG14" s="2">
        <v>14.1</v>
      </c>
      <c r="BH14" s="2">
        <v>19.7</v>
      </c>
      <c r="BI14" s="2"/>
      <c r="BJ14" s="2"/>
      <c r="BK14" s="2"/>
      <c r="BL14" s="2"/>
      <c r="BM14" s="2"/>
      <c r="BN14" s="2">
        <v>86</v>
      </c>
      <c r="BO14" s="2">
        <v>34</v>
      </c>
      <c r="BP14" s="2">
        <v>41</v>
      </c>
      <c r="BQ14" s="2">
        <v>44</v>
      </c>
      <c r="BR14" s="2">
        <v>48</v>
      </c>
      <c r="BS14" s="2">
        <v>54</v>
      </c>
      <c r="BT14" s="2">
        <v>7</v>
      </c>
      <c r="BU14" s="2">
        <v>62</v>
      </c>
      <c r="BV14" s="2">
        <v>86</v>
      </c>
      <c r="BW14" s="2">
        <v>111</v>
      </c>
      <c r="BX14" s="2">
        <v>171</v>
      </c>
      <c r="BY14" s="2">
        <v>98.8</v>
      </c>
      <c r="BZ14" s="2">
        <v>5.6</v>
      </c>
      <c r="CA14" s="2">
        <v>1.4</v>
      </c>
      <c r="CB14" s="2">
        <v>1.70970779115372E-5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23e</v>
      </c>
      <c r="J15" s="47">
        <f t="shared" ca="1" si="35"/>
        <v>10</v>
      </c>
      <c r="K15" s="19">
        <f t="shared" ca="1" si="36"/>
        <v>-46.4</v>
      </c>
      <c r="L15" s="116" t="str">
        <f t="shared" ca="1" si="1"/>
        <v>EW_sand_Ruled_71</v>
      </c>
      <c r="M15" s="105" t="str">
        <f t="shared" ca="1" si="2"/>
        <v>API sand</v>
      </c>
      <c r="N15" s="47">
        <f t="shared" ca="1" si="3"/>
        <v>9</v>
      </c>
      <c r="O15" s="63">
        <f t="shared" ca="1" si="4"/>
        <v>0</v>
      </c>
      <c r="P15" s="63">
        <f t="shared" ca="1" si="5"/>
        <v>0</v>
      </c>
      <c r="Q15" s="47">
        <f t="shared" ca="1" si="6"/>
        <v>28</v>
      </c>
      <c r="R15" s="47">
        <f t="shared" ca="1" si="7"/>
        <v>23</v>
      </c>
      <c r="S15" s="47">
        <f t="shared" ca="1" si="8"/>
        <v>0.9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48400</v>
      </c>
      <c r="Y15" s="47">
        <f t="shared" ca="1" si="14"/>
        <v>0</v>
      </c>
      <c r="Z15" s="47">
        <f t="shared" ca="1" si="15"/>
        <v>75.399999999999977</v>
      </c>
      <c r="AA15" s="47">
        <f t="shared" ca="1" si="16"/>
        <v>1</v>
      </c>
      <c r="AB15" s="47">
        <f t="shared" ca="1" si="17"/>
        <v>4040</v>
      </c>
      <c r="AC15" s="63">
        <f t="shared" ca="1" si="18"/>
        <v>212000</v>
      </c>
      <c r="AD15" s="63">
        <f t="shared" ca="1" si="19"/>
        <v>1881.7204301075267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16.800000000000004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71</v>
      </c>
      <c r="AS15" s="33">
        <f t="shared" ca="1" si="34"/>
        <v>0.4</v>
      </c>
      <c r="AW15" s="2">
        <v>9.5</v>
      </c>
      <c r="AX15" s="2" t="s">
        <v>292</v>
      </c>
      <c r="AY15" s="130">
        <v>21.3</v>
      </c>
      <c r="AZ15" s="2">
        <v>20.2</v>
      </c>
      <c r="BA15" s="2"/>
      <c r="BB15" s="2">
        <v>10</v>
      </c>
      <c r="BC15" s="2"/>
      <c r="BD15" s="2">
        <v>24.2</v>
      </c>
      <c r="BE15" s="2">
        <v>30</v>
      </c>
      <c r="BF15" s="2">
        <v>31.3</v>
      </c>
      <c r="BG15" s="2">
        <v>32.4</v>
      </c>
      <c r="BH15" s="2">
        <v>38</v>
      </c>
      <c r="BI15" s="2"/>
      <c r="BJ15" s="2"/>
      <c r="BK15" s="2"/>
      <c r="BL15" s="2"/>
      <c r="BM15" s="2"/>
      <c r="BN15" s="2">
        <v>86</v>
      </c>
      <c r="BO15" s="2">
        <v>34</v>
      </c>
      <c r="BP15" s="2">
        <v>41</v>
      </c>
      <c r="BQ15" s="2">
        <v>44</v>
      </c>
      <c r="BR15" s="2">
        <v>48</v>
      </c>
      <c r="BS15" s="2">
        <v>54</v>
      </c>
      <c r="BT15" s="2">
        <v>40</v>
      </c>
      <c r="BU15" s="2">
        <v>95</v>
      </c>
      <c r="BV15" s="2">
        <v>120</v>
      </c>
      <c r="BW15" s="2">
        <v>144</v>
      </c>
      <c r="BX15" s="2">
        <v>204</v>
      </c>
      <c r="BY15" s="2">
        <v>98.8</v>
      </c>
      <c r="BZ15" s="2">
        <v>5.6</v>
      </c>
      <c r="CA15" s="2">
        <v>1.4</v>
      </c>
      <c r="CB15" s="2">
        <v>1.70970779115372E-5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23l</v>
      </c>
      <c r="J16" s="47">
        <f t="shared" ca="1" si="35"/>
        <v>11</v>
      </c>
      <c r="K16" s="19">
        <f t="shared" ca="1" si="36"/>
        <v>-65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8.8000000000000007</v>
      </c>
      <c r="O16" s="63">
        <f t="shared" ca="1" si="4"/>
        <v>1091</v>
      </c>
      <c r="P16" s="63">
        <f t="shared" ca="1" si="5"/>
        <v>7.8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3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94000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1582000</v>
      </c>
      <c r="AD16" s="63">
        <f t="shared" ca="1" si="19"/>
        <v>42733.333333333336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9.5</v>
      </c>
      <c r="AX16" s="2" t="s">
        <v>292</v>
      </c>
      <c r="AY16" s="130">
        <v>21.3</v>
      </c>
      <c r="AZ16" s="2">
        <v>20.2</v>
      </c>
      <c r="BA16" s="2"/>
      <c r="BB16" s="2">
        <v>10</v>
      </c>
      <c r="BC16" s="2"/>
      <c r="BD16" s="2">
        <v>20.5</v>
      </c>
      <c r="BE16" s="2">
        <v>26.9</v>
      </c>
      <c r="BF16" s="2">
        <v>27.5</v>
      </c>
      <c r="BG16" s="2">
        <v>28.1</v>
      </c>
      <c r="BH16" s="2">
        <v>35.5</v>
      </c>
      <c r="BI16" s="2"/>
      <c r="BJ16" s="2"/>
      <c r="BK16" s="2"/>
      <c r="BL16" s="2"/>
      <c r="BM16" s="2"/>
      <c r="BN16" s="2">
        <v>85</v>
      </c>
      <c r="BO16" s="2">
        <v>34</v>
      </c>
      <c r="BP16" s="2">
        <v>40</v>
      </c>
      <c r="BQ16" s="2">
        <v>44</v>
      </c>
      <c r="BR16" s="2">
        <v>47</v>
      </c>
      <c r="BS16" s="2">
        <v>53</v>
      </c>
      <c r="BT16" s="2">
        <v>9</v>
      </c>
      <c r="BU16" s="2">
        <v>86</v>
      </c>
      <c r="BV16" s="2">
        <v>118</v>
      </c>
      <c r="BW16" s="2">
        <v>150</v>
      </c>
      <c r="BX16" s="2">
        <v>230</v>
      </c>
      <c r="BY16" s="2">
        <v>110.2</v>
      </c>
      <c r="BZ16" s="2">
        <v>3.5</v>
      </c>
      <c r="CA16" s="2">
        <v>1.1000000000000001</v>
      </c>
      <c r="CB16" s="2">
        <v>7.6440240429429499E-6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19.899999999999999</v>
      </c>
      <c r="AX17" s="2" t="s">
        <v>292</v>
      </c>
      <c r="AY17" s="130">
        <v>21.3</v>
      </c>
      <c r="AZ17" s="2">
        <v>20.2</v>
      </c>
      <c r="BA17" s="2"/>
      <c r="BB17" s="2">
        <v>10</v>
      </c>
      <c r="BC17" s="2"/>
      <c r="BD17" s="2">
        <v>21</v>
      </c>
      <c r="BE17" s="2">
        <v>27.5</v>
      </c>
      <c r="BF17" s="2">
        <v>28</v>
      </c>
      <c r="BG17" s="2">
        <v>28.7</v>
      </c>
      <c r="BH17" s="2">
        <v>36</v>
      </c>
      <c r="BI17" s="2"/>
      <c r="BJ17" s="2"/>
      <c r="BK17" s="2"/>
      <c r="BL17" s="2"/>
      <c r="BM17" s="2"/>
      <c r="BN17" s="2">
        <v>85</v>
      </c>
      <c r="BO17" s="2">
        <v>34</v>
      </c>
      <c r="BP17" s="2">
        <v>40</v>
      </c>
      <c r="BQ17" s="2">
        <v>44</v>
      </c>
      <c r="BR17" s="2">
        <v>47</v>
      </c>
      <c r="BS17" s="2">
        <v>53</v>
      </c>
      <c r="BT17" s="2">
        <v>45</v>
      </c>
      <c r="BU17" s="2">
        <v>123</v>
      </c>
      <c r="BV17" s="2">
        <v>155</v>
      </c>
      <c r="BW17" s="2">
        <v>187</v>
      </c>
      <c r="BX17" s="2">
        <v>266</v>
      </c>
      <c r="BY17" s="2">
        <v>110.2</v>
      </c>
      <c r="BZ17" s="2">
        <v>3.5</v>
      </c>
      <c r="CA17" s="2">
        <v>1.1000000000000001</v>
      </c>
      <c r="CB17" s="2">
        <v>7.6440240429429499E-6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19.899999999999999</v>
      </c>
      <c r="AX18" s="2" t="s">
        <v>271</v>
      </c>
      <c r="AY18" s="130">
        <v>24.7</v>
      </c>
      <c r="AZ18" s="2">
        <v>19.8</v>
      </c>
      <c r="BA18" s="2"/>
      <c r="BB18" s="2">
        <v>11</v>
      </c>
      <c r="BC18" s="2"/>
      <c r="BD18" s="2">
        <v>36.1</v>
      </c>
      <c r="BE18" s="2">
        <v>43.2</v>
      </c>
      <c r="BF18" s="2">
        <v>46.3</v>
      </c>
      <c r="BG18" s="2">
        <v>49.3</v>
      </c>
      <c r="BH18" s="2">
        <v>56.2</v>
      </c>
      <c r="BI18" s="2"/>
      <c r="BJ18" s="2"/>
      <c r="BK18" s="2"/>
      <c r="BL18" s="2"/>
      <c r="BM18" s="2"/>
      <c r="BN18" s="2">
        <v>83</v>
      </c>
      <c r="BO18" s="2">
        <v>26</v>
      </c>
      <c r="BP18" s="2">
        <v>29</v>
      </c>
      <c r="BQ18" s="2">
        <v>32</v>
      </c>
      <c r="BR18" s="2">
        <v>34</v>
      </c>
      <c r="BS18" s="2">
        <v>39</v>
      </c>
      <c r="BT18" s="2">
        <v>38</v>
      </c>
      <c r="BU18" s="2">
        <v>136</v>
      </c>
      <c r="BV18" s="2">
        <v>176</v>
      </c>
      <c r="BW18" s="2">
        <v>215</v>
      </c>
      <c r="BX18" s="2">
        <v>313</v>
      </c>
      <c r="BY18" s="2">
        <v>75</v>
      </c>
      <c r="BZ18" s="2">
        <v>6.7</v>
      </c>
      <c r="CA18" s="2">
        <v>1.6</v>
      </c>
      <c r="CB18" s="2">
        <v>2.0951801542191199E-6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21.3</v>
      </c>
      <c r="AX19" s="2" t="s">
        <v>271</v>
      </c>
      <c r="AY19" s="130">
        <v>24.7</v>
      </c>
      <c r="AZ19" s="2">
        <v>19.8</v>
      </c>
      <c r="BA19" s="2"/>
      <c r="BB19" s="2">
        <v>11</v>
      </c>
      <c r="BC19" s="2"/>
      <c r="BD19" s="2">
        <v>21.4</v>
      </c>
      <c r="BE19" s="2">
        <v>28.5</v>
      </c>
      <c r="BF19" s="2">
        <v>31.6</v>
      </c>
      <c r="BG19" s="2">
        <v>34.6</v>
      </c>
      <c r="BH19" s="2">
        <v>41.5</v>
      </c>
      <c r="BI19" s="2"/>
      <c r="BJ19" s="2"/>
      <c r="BK19" s="2"/>
      <c r="BL19" s="2"/>
      <c r="BM19" s="2"/>
      <c r="BN19" s="2">
        <v>83</v>
      </c>
      <c r="BO19" s="2">
        <v>26</v>
      </c>
      <c r="BP19" s="2">
        <v>29</v>
      </c>
      <c r="BQ19" s="2">
        <v>32</v>
      </c>
      <c r="BR19" s="2">
        <v>34</v>
      </c>
      <c r="BS19" s="2">
        <v>39</v>
      </c>
      <c r="BT19" s="2">
        <v>25</v>
      </c>
      <c r="BU19" s="2">
        <v>123</v>
      </c>
      <c r="BV19" s="2">
        <v>163</v>
      </c>
      <c r="BW19" s="2">
        <v>202</v>
      </c>
      <c r="BX19" s="2">
        <v>300</v>
      </c>
      <c r="BY19" s="2">
        <v>75</v>
      </c>
      <c r="BZ19" s="2">
        <v>6.7</v>
      </c>
      <c r="CA19" s="2">
        <v>1.6</v>
      </c>
      <c r="CB19" s="2">
        <v>2.0951801542191199E-6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21.3</v>
      </c>
      <c r="AX20" s="2" t="s">
        <v>273</v>
      </c>
      <c r="AY20" s="130">
        <v>32</v>
      </c>
      <c r="AZ20" s="2">
        <v>18.899999999999999</v>
      </c>
      <c r="BA20" s="2">
        <v>47</v>
      </c>
      <c r="BB20" s="2">
        <v>85</v>
      </c>
      <c r="BC20" s="2">
        <v>3</v>
      </c>
      <c r="BD20" s="2">
        <v>4.2</v>
      </c>
      <c r="BE20" s="2">
        <v>5.6</v>
      </c>
      <c r="BF20" s="2">
        <v>5.7</v>
      </c>
      <c r="BG20" s="2">
        <v>6</v>
      </c>
      <c r="BH20" s="2">
        <v>10</v>
      </c>
      <c r="BI20" s="2">
        <v>118</v>
      </c>
      <c r="BJ20" s="2">
        <v>221</v>
      </c>
      <c r="BK20" s="2">
        <v>263</v>
      </c>
      <c r="BL20" s="2">
        <v>308</v>
      </c>
      <c r="BM20" s="2">
        <v>512</v>
      </c>
      <c r="BN20" s="2"/>
      <c r="BO20" s="2"/>
      <c r="BP20" s="2"/>
      <c r="BQ20" s="2"/>
      <c r="BR20" s="2"/>
      <c r="BS20" s="2"/>
      <c r="BT20" s="2">
        <v>35</v>
      </c>
      <c r="BU20" s="2">
        <v>218</v>
      </c>
      <c r="BV20" s="2">
        <v>302</v>
      </c>
      <c r="BW20" s="2">
        <v>389</v>
      </c>
      <c r="BX20" s="2">
        <v>729</v>
      </c>
      <c r="BY20" s="2">
        <v>24.2</v>
      </c>
      <c r="BZ20" s="2">
        <v>5.8</v>
      </c>
      <c r="CA20" s="2">
        <v>2.5</v>
      </c>
      <c r="CB20" s="2">
        <v>3.7549253454944799E-10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40</v>
      </c>
      <c r="AX21" s="2" t="s">
        <v>273</v>
      </c>
      <c r="AY21" s="130">
        <v>32</v>
      </c>
      <c r="AZ21" s="2">
        <v>18.899999999999999</v>
      </c>
      <c r="BA21" s="2">
        <v>47</v>
      </c>
      <c r="BB21" s="2">
        <v>85</v>
      </c>
      <c r="BC21" s="2">
        <v>3</v>
      </c>
      <c r="BD21" s="2">
        <v>5.6</v>
      </c>
      <c r="BE21" s="2">
        <v>7</v>
      </c>
      <c r="BF21" s="2">
        <v>7.1</v>
      </c>
      <c r="BG21" s="2">
        <v>7.4</v>
      </c>
      <c r="BH21" s="2">
        <v>11.4</v>
      </c>
      <c r="BI21" s="2">
        <v>172</v>
      </c>
      <c r="BJ21" s="2">
        <v>275</v>
      </c>
      <c r="BK21" s="2">
        <v>317</v>
      </c>
      <c r="BL21" s="2">
        <v>362</v>
      </c>
      <c r="BM21" s="2">
        <v>566</v>
      </c>
      <c r="BN21" s="2"/>
      <c r="BO21" s="2"/>
      <c r="BP21" s="2"/>
      <c r="BQ21" s="2"/>
      <c r="BR21" s="2"/>
      <c r="BS21" s="2"/>
      <c r="BT21" s="2">
        <v>133</v>
      </c>
      <c r="BU21" s="2">
        <v>316</v>
      </c>
      <c r="BV21" s="2">
        <v>400</v>
      </c>
      <c r="BW21" s="2">
        <v>486</v>
      </c>
      <c r="BX21" s="2">
        <v>826</v>
      </c>
      <c r="BY21" s="2">
        <v>24.2</v>
      </c>
      <c r="BZ21" s="2">
        <v>5.8</v>
      </c>
      <c r="CA21" s="2">
        <v>2.5</v>
      </c>
      <c r="CB21" s="2">
        <v>3.7549253454944799E-10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40</v>
      </c>
      <c r="AX22" s="2" t="s">
        <v>273</v>
      </c>
      <c r="AY22" s="130">
        <v>32</v>
      </c>
      <c r="AZ22" s="2">
        <v>18.899999999999999</v>
      </c>
      <c r="BA22" s="2">
        <v>47</v>
      </c>
      <c r="BB22" s="2">
        <v>85</v>
      </c>
      <c r="BC22" s="2">
        <v>3</v>
      </c>
      <c r="BD22" s="2">
        <v>7.3</v>
      </c>
      <c r="BE22" s="2">
        <v>8.1999999999999993</v>
      </c>
      <c r="BF22" s="2">
        <v>8.3000000000000007</v>
      </c>
      <c r="BG22" s="2">
        <v>8.5</v>
      </c>
      <c r="BH22" s="2">
        <v>9.1999999999999993</v>
      </c>
      <c r="BI22" s="2">
        <v>240</v>
      </c>
      <c r="BJ22" s="2">
        <v>334</v>
      </c>
      <c r="BK22" s="2">
        <v>377</v>
      </c>
      <c r="BL22" s="2">
        <v>422</v>
      </c>
      <c r="BM22" s="2">
        <v>513</v>
      </c>
      <c r="BN22" s="2"/>
      <c r="BO22" s="2"/>
      <c r="BP22" s="2"/>
      <c r="BQ22" s="2"/>
      <c r="BR22" s="2"/>
      <c r="BS22" s="2"/>
      <c r="BT22" s="2">
        <v>220</v>
      </c>
      <c r="BU22" s="2">
        <v>400</v>
      </c>
      <c r="BV22" s="2">
        <v>487</v>
      </c>
      <c r="BW22" s="2">
        <v>574</v>
      </c>
      <c r="BX22" s="2">
        <v>752</v>
      </c>
      <c r="BY22" s="2">
        <v>35.5</v>
      </c>
      <c r="BZ22" s="2">
        <v>6.5</v>
      </c>
      <c r="CA22" s="2">
        <v>2.6</v>
      </c>
      <c r="CB22" s="2">
        <v>5.9504141514961396E-10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46.4</v>
      </c>
      <c r="AX23" s="2" t="s">
        <v>273</v>
      </c>
      <c r="AY23" s="130">
        <v>32</v>
      </c>
      <c r="AZ23" s="2">
        <v>18.899999999999999</v>
      </c>
      <c r="BA23" s="2">
        <v>47</v>
      </c>
      <c r="BB23" s="2">
        <v>85</v>
      </c>
      <c r="BC23" s="2">
        <v>3</v>
      </c>
      <c r="BD23" s="2">
        <v>9.9</v>
      </c>
      <c r="BE23" s="2">
        <v>10.7</v>
      </c>
      <c r="BF23" s="2">
        <v>10.9</v>
      </c>
      <c r="BG23" s="2">
        <v>11</v>
      </c>
      <c r="BH23" s="2">
        <v>11.7</v>
      </c>
      <c r="BI23" s="2">
        <v>362</v>
      </c>
      <c r="BJ23" s="2">
        <v>456</v>
      </c>
      <c r="BK23" s="2">
        <v>499</v>
      </c>
      <c r="BL23" s="2">
        <v>544</v>
      </c>
      <c r="BM23" s="2">
        <v>635</v>
      </c>
      <c r="BN23" s="2"/>
      <c r="BO23" s="2"/>
      <c r="BP23" s="2"/>
      <c r="BQ23" s="2"/>
      <c r="BR23" s="2"/>
      <c r="BS23" s="2"/>
      <c r="BT23" s="2">
        <v>412</v>
      </c>
      <c r="BU23" s="2">
        <v>593</v>
      </c>
      <c r="BV23" s="2">
        <v>680</v>
      </c>
      <c r="BW23" s="2">
        <v>767</v>
      </c>
      <c r="BX23" s="2">
        <v>945</v>
      </c>
      <c r="BY23" s="2">
        <v>35.5</v>
      </c>
      <c r="BZ23" s="2">
        <v>6.5</v>
      </c>
      <c r="CA23" s="2">
        <v>2.6</v>
      </c>
      <c r="CB23" s="2">
        <v>5.9504141514961396E-10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46.4</v>
      </c>
      <c r="AX24" s="2" t="s">
        <v>289</v>
      </c>
      <c r="AY24" s="130">
        <v>28.8</v>
      </c>
      <c r="AZ24" s="2">
        <v>19</v>
      </c>
      <c r="BA24" s="2"/>
      <c r="BB24" s="2">
        <v>10</v>
      </c>
      <c r="BC24" s="2"/>
      <c r="BD24" s="2">
        <v>1.7</v>
      </c>
      <c r="BE24" s="2">
        <v>20</v>
      </c>
      <c r="BF24" s="2">
        <v>29.6</v>
      </c>
      <c r="BG24" s="2">
        <v>70.2</v>
      </c>
      <c r="BH24" s="2">
        <v>196.4</v>
      </c>
      <c r="BI24" s="2"/>
      <c r="BJ24" s="2"/>
      <c r="BK24" s="2"/>
      <c r="BL24" s="2"/>
      <c r="BM24" s="2"/>
      <c r="BN24" s="2">
        <v>71</v>
      </c>
      <c r="BO24" s="2">
        <v>26</v>
      </c>
      <c r="BP24" s="2">
        <v>28</v>
      </c>
      <c r="BQ24" s="2">
        <v>30</v>
      </c>
      <c r="BR24" s="2">
        <v>33</v>
      </c>
      <c r="BS24" s="2">
        <v>37</v>
      </c>
      <c r="BT24" s="2">
        <v>46</v>
      </c>
      <c r="BU24" s="2">
        <v>158</v>
      </c>
      <c r="BV24" s="2">
        <v>212</v>
      </c>
      <c r="BW24" s="2">
        <v>265</v>
      </c>
      <c r="BX24" s="2">
        <v>398</v>
      </c>
      <c r="BY24" s="2">
        <v>48.4</v>
      </c>
      <c r="BZ24" s="2">
        <v>2.5</v>
      </c>
      <c r="CA24" s="2">
        <v>0.9</v>
      </c>
      <c r="CB24" s="2">
        <v>4.1848435869528697E-11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65</v>
      </c>
      <c r="AX25" s="2" t="s">
        <v>289</v>
      </c>
      <c r="AY25" s="130">
        <v>28.8</v>
      </c>
      <c r="AZ25" s="2">
        <v>19</v>
      </c>
      <c r="BA25" s="2"/>
      <c r="BB25" s="2">
        <v>10</v>
      </c>
      <c r="BC25" s="2"/>
      <c r="BD25" s="2">
        <v>7.1</v>
      </c>
      <c r="BE25" s="2">
        <v>25.4</v>
      </c>
      <c r="BF25" s="2">
        <v>34.9</v>
      </c>
      <c r="BG25" s="2">
        <v>75.599999999999994</v>
      </c>
      <c r="BH25" s="2">
        <v>201.8</v>
      </c>
      <c r="BI25" s="2"/>
      <c r="BJ25" s="2"/>
      <c r="BK25" s="2"/>
      <c r="BL25" s="2"/>
      <c r="BM25" s="2"/>
      <c r="BN25" s="2">
        <v>71</v>
      </c>
      <c r="BO25" s="2">
        <v>26</v>
      </c>
      <c r="BP25" s="2">
        <v>28</v>
      </c>
      <c r="BQ25" s="2">
        <v>30</v>
      </c>
      <c r="BR25" s="2">
        <v>33</v>
      </c>
      <c r="BS25" s="2">
        <v>37</v>
      </c>
      <c r="BT25" s="2">
        <v>81</v>
      </c>
      <c r="BU25" s="2">
        <v>193</v>
      </c>
      <c r="BV25" s="2">
        <v>247</v>
      </c>
      <c r="BW25" s="2">
        <v>300</v>
      </c>
      <c r="BX25" s="2">
        <v>433</v>
      </c>
      <c r="BY25" s="2">
        <v>48.4</v>
      </c>
      <c r="BZ25" s="2">
        <v>2.5</v>
      </c>
      <c r="CA25" s="2">
        <v>0.9</v>
      </c>
      <c r="CB25" s="2">
        <v>4.1848435869528697E-11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65</v>
      </c>
      <c r="AX26" s="2" t="s">
        <v>220</v>
      </c>
      <c r="AY26" s="130">
        <v>29.5</v>
      </c>
      <c r="AZ26" s="2">
        <v>18.8</v>
      </c>
      <c r="BA26" s="2">
        <v>48</v>
      </c>
      <c r="BB26" s="2">
        <v>77</v>
      </c>
      <c r="BC26" s="2">
        <v>3</v>
      </c>
      <c r="BD26" s="2">
        <v>2.4</v>
      </c>
      <c r="BE26" s="2">
        <v>17.7</v>
      </c>
      <c r="BF26" s="2">
        <v>21.4</v>
      </c>
      <c r="BG26" s="2">
        <v>50.6</v>
      </c>
      <c r="BH26" s="2">
        <v>141.1</v>
      </c>
      <c r="BI26" s="2">
        <v>822</v>
      </c>
      <c r="BJ26" s="2">
        <v>1091</v>
      </c>
      <c r="BK26" s="2">
        <v>1212</v>
      </c>
      <c r="BL26" s="2">
        <v>1286</v>
      </c>
      <c r="BM26" s="2">
        <v>1445</v>
      </c>
      <c r="BN26" s="2"/>
      <c r="BO26" s="2"/>
      <c r="BP26" s="2"/>
      <c r="BQ26" s="2"/>
      <c r="BR26" s="2"/>
      <c r="BS26" s="2"/>
      <c r="BT26" s="2">
        <v>1323</v>
      </c>
      <c r="BU26" s="2">
        <v>1495</v>
      </c>
      <c r="BV26" s="2">
        <v>1582</v>
      </c>
      <c r="BW26" s="2">
        <v>1669</v>
      </c>
      <c r="BX26" s="2">
        <v>1841</v>
      </c>
      <c r="BY26" s="2">
        <v>94</v>
      </c>
      <c r="BZ26" s="2">
        <v>10.5</v>
      </c>
      <c r="CA26" s="2">
        <v>3</v>
      </c>
      <c r="CB26" s="2">
        <v>5.0683507866247298E-12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80</v>
      </c>
      <c r="AX27" s="2" t="s">
        <v>220</v>
      </c>
      <c r="AY27" s="130">
        <v>29.5</v>
      </c>
      <c r="AZ27" s="2">
        <v>18.8</v>
      </c>
      <c r="BA27" s="2">
        <v>48</v>
      </c>
      <c r="BB27" s="2">
        <v>77</v>
      </c>
      <c r="BC27" s="2">
        <v>3</v>
      </c>
      <c r="BD27" s="2">
        <v>9.1</v>
      </c>
      <c r="BE27" s="2">
        <v>24.3</v>
      </c>
      <c r="BF27" s="2">
        <v>28.1</v>
      </c>
      <c r="BG27" s="2">
        <v>57.3</v>
      </c>
      <c r="BH27" s="2">
        <v>147.69999999999999</v>
      </c>
      <c r="BI27" s="2">
        <v>939</v>
      </c>
      <c r="BJ27" s="2">
        <v>1208</v>
      </c>
      <c r="BK27" s="2">
        <v>1329</v>
      </c>
      <c r="BL27" s="2">
        <v>1404</v>
      </c>
      <c r="BM27" s="2">
        <v>1562</v>
      </c>
      <c r="BN27" s="2"/>
      <c r="BO27" s="2"/>
      <c r="BP27" s="2"/>
      <c r="BQ27" s="2"/>
      <c r="BR27" s="2"/>
      <c r="BS27" s="2"/>
      <c r="BT27" s="2">
        <v>1964</v>
      </c>
      <c r="BU27" s="2">
        <v>2136</v>
      </c>
      <c r="BV27" s="2">
        <v>2223</v>
      </c>
      <c r="BW27" s="2">
        <v>2310</v>
      </c>
      <c r="BX27" s="2">
        <v>2482</v>
      </c>
      <c r="BY27" s="2">
        <v>94</v>
      </c>
      <c r="BZ27" s="2">
        <v>10.5</v>
      </c>
      <c r="CA27" s="2">
        <v>3</v>
      </c>
      <c r="CB27" s="2">
        <v>5.0683507866247298E-12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583" priority="12">
      <formula>$L32="API sand"</formula>
    </cfRule>
  </conditionalFormatting>
  <conditionalFormatting sqref="R32:S36 AB32:AB35 AJ32:AL36 Z32:Z36 N32:N36">
    <cfRule type="expression" dxfId="2582" priority="11">
      <formula>$M32="API sand"</formula>
    </cfRule>
  </conditionalFormatting>
  <conditionalFormatting sqref="R32:T36 Z32:AB35 AK32:AL36 N32:N36">
    <cfRule type="expression" dxfId="2581" priority="10">
      <formula>$M32="API clay"</formula>
    </cfRule>
  </conditionalFormatting>
  <conditionalFormatting sqref="U32:W36 AM32:AP36 N32:P36">
    <cfRule type="expression" dxfId="2580" priority="7">
      <formula>$L32="Stiff clay w/o free water"</formula>
    </cfRule>
    <cfRule type="expression" dxfId="2579" priority="9">
      <formula>$L32="API clay"</formula>
    </cfRule>
  </conditionalFormatting>
  <conditionalFormatting sqref="U32:Y36 AM32:AP36 N32:P36">
    <cfRule type="expression" dxfId="2578" priority="8">
      <formula>$L32="Kirsch soft clay"</formula>
    </cfRule>
  </conditionalFormatting>
  <conditionalFormatting sqref="U32:Y36 AM32:AP36 N32:P36">
    <cfRule type="expression" dxfId="2577" priority="6">
      <formula>$L32="Kirsch stiff clay"</formula>
    </cfRule>
  </conditionalFormatting>
  <conditionalFormatting sqref="AM32:AP36 Q32:Q36 X32:Y36 N32:N36">
    <cfRule type="expression" dxfId="2576" priority="5">
      <formula>$L32="Kirsch sand"</formula>
    </cfRule>
  </conditionalFormatting>
  <conditionalFormatting sqref="AC32:AD36 AI32:AI36 AM32:AP36 N32:N36">
    <cfRule type="expression" dxfId="2575" priority="4">
      <formula>$L32="Modified Weak rock"</formula>
    </cfRule>
  </conditionalFormatting>
  <conditionalFormatting sqref="AM32:AP36 N32:P36 U32:V36">
    <cfRule type="expression" dxfId="2574" priority="3">
      <formula>$L32="Reese stiff clay"</formula>
    </cfRule>
  </conditionalFormatting>
  <conditionalFormatting sqref="AB36">
    <cfRule type="expression" dxfId="2573" priority="2">
      <formula>$M36="API sand"</formula>
    </cfRule>
  </conditionalFormatting>
  <conditionalFormatting sqref="Z36:AB36">
    <cfRule type="expression" dxfId="2572" priority="1">
      <formula>$M36="API clay"</formula>
    </cfRule>
  </conditionalFormatting>
  <conditionalFormatting sqref="AE37:AH37">
    <cfRule type="expression" dxfId="2571" priority="13">
      <formula>#REF!="Modified Weak rock"</formula>
    </cfRule>
  </conditionalFormatting>
  <dataValidations count="4">
    <dataValidation type="textLength" showInputMessage="1" showErrorMessage="1" sqref="M27:M31" xr:uid="{EE37FADC-28B8-41CE-822E-092E178EA62A}">
      <formula1>0</formula1>
      <formula2>100</formula2>
    </dataValidation>
    <dataValidation showInputMessage="1" showErrorMessage="1" sqref="L6:M26" xr:uid="{9B9BABAC-31EA-4169-8C50-95153DD05864}"/>
    <dataValidation type="list" showInputMessage="1" showErrorMessage="1" sqref="L32:L255" xr:uid="{5C2BD71F-8DE0-4E7F-AA52-CA97B52362C0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B94381A8-481D-4E5F-BCED-DEC4B23781F2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3F9A-B7C8-44D1-8502-F616E362410D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Ak_Pisa_WTG22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10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EW_sand_Ruled_79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35</v>
      </c>
      <c r="R6" s="47">
        <f t="shared" ref="R6:R26" ca="1" si="7">IF(I6="","",IF(Q6&lt;&gt;0,Q6-5,NA()))</f>
        <v>30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5900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95.999999999999972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9600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30000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40.000000000000007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79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0.8</v>
      </c>
      <c r="BG6" s="2">
        <v>1.4</v>
      </c>
      <c r="BH6" s="2">
        <v>3.3</v>
      </c>
      <c r="BI6" s="2"/>
      <c r="BJ6" s="2"/>
      <c r="BK6" s="2"/>
      <c r="BL6" s="2"/>
      <c r="BM6" s="2"/>
      <c r="BN6" s="2">
        <v>79</v>
      </c>
      <c r="BO6" s="2">
        <v>30</v>
      </c>
      <c r="BP6" s="2">
        <v>35</v>
      </c>
      <c r="BQ6" s="2">
        <v>38</v>
      </c>
      <c r="BR6" s="2">
        <v>42</v>
      </c>
      <c r="BS6" s="2">
        <v>50</v>
      </c>
      <c r="BT6" s="2">
        <v>0</v>
      </c>
      <c r="BU6" s="2">
        <v>0</v>
      </c>
      <c r="BV6" s="2">
        <v>5</v>
      </c>
      <c r="BW6" s="2">
        <v>10</v>
      </c>
      <c r="BX6" s="2">
        <v>21</v>
      </c>
      <c r="BY6" s="2">
        <v>5.9</v>
      </c>
      <c r="BZ6" s="2">
        <v>1</v>
      </c>
      <c r="CA6" s="2">
        <v>0.5</v>
      </c>
      <c r="CB6" s="2">
        <v>2.6763074325604801E-5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-0.9</v>
      </c>
      <c r="L7" s="116" t="str">
        <f t="shared" ca="1" si="1"/>
        <v>EW_sand_Ruled_65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38</v>
      </c>
      <c r="R7" s="47">
        <f t="shared" ca="1" si="7"/>
        <v>33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18900</v>
      </c>
      <c r="Y7" s="47">
        <f t="shared" ca="1" si="14"/>
        <v>0</v>
      </c>
      <c r="Z7" s="47">
        <f t="shared" ca="1" si="15"/>
        <v>107.39999999999996</v>
      </c>
      <c r="AA7" s="47">
        <f t="shared" ca="1" si="16"/>
        <v>1</v>
      </c>
      <c r="AB7" s="47">
        <f t="shared" ca="1" si="17"/>
        <v>11040</v>
      </c>
      <c r="AC7" s="63">
        <f t="shared" ca="1" si="18"/>
        <v>37000</v>
      </c>
      <c r="AD7" s="63">
        <f t="shared" ca="1" si="19"/>
        <v>-5000.0000000000009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46.000000000000007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65</v>
      </c>
      <c r="AS7" s="33">
        <f t="shared" ca="1" si="34"/>
        <v>0.4</v>
      </c>
      <c r="AW7" s="2">
        <v>0.9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2.4</v>
      </c>
      <c r="BE7" s="2">
        <v>4.5</v>
      </c>
      <c r="BF7" s="2">
        <v>5.3</v>
      </c>
      <c r="BG7" s="2">
        <v>5.9</v>
      </c>
      <c r="BH7" s="2">
        <v>7.8</v>
      </c>
      <c r="BI7" s="2"/>
      <c r="BJ7" s="2"/>
      <c r="BK7" s="2"/>
      <c r="BL7" s="2"/>
      <c r="BM7" s="2"/>
      <c r="BN7" s="2">
        <v>79</v>
      </c>
      <c r="BO7" s="2">
        <v>30</v>
      </c>
      <c r="BP7" s="2">
        <v>35</v>
      </c>
      <c r="BQ7" s="2">
        <v>38</v>
      </c>
      <c r="BR7" s="2">
        <v>42</v>
      </c>
      <c r="BS7" s="2">
        <v>50</v>
      </c>
      <c r="BT7" s="2">
        <v>16</v>
      </c>
      <c r="BU7" s="2">
        <v>27</v>
      </c>
      <c r="BV7" s="2">
        <v>32</v>
      </c>
      <c r="BW7" s="2">
        <v>37</v>
      </c>
      <c r="BX7" s="2">
        <v>48</v>
      </c>
      <c r="BY7" s="2">
        <v>5.9</v>
      </c>
      <c r="BZ7" s="2">
        <v>1</v>
      </c>
      <c r="CA7" s="2">
        <v>0.5</v>
      </c>
      <c r="CB7" s="2">
        <v>2.6763074325604801E-5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11b</v>
      </c>
      <c r="J8" s="47">
        <f t="shared" ca="1" si="35"/>
        <v>3</v>
      </c>
      <c r="K8" s="19">
        <f t="shared" ca="1" si="36"/>
        <v>-1.9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9.5</v>
      </c>
      <c r="O8" s="63">
        <f t="shared" ca="1" si="4"/>
        <v>38</v>
      </c>
      <c r="P8" s="63">
        <f t="shared" ca="1" si="5"/>
        <v>22.222222222222225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13600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37000</v>
      </c>
      <c r="AD8" s="63">
        <f t="shared" ca="1" si="19"/>
        <v>21111.111111111113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0.9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6.8</v>
      </c>
      <c r="BE8" s="2">
        <v>7.2</v>
      </c>
      <c r="BF8" s="2">
        <v>7.4</v>
      </c>
      <c r="BG8" s="2">
        <v>7.6</v>
      </c>
      <c r="BH8" s="2">
        <v>8</v>
      </c>
      <c r="BI8" s="2"/>
      <c r="BJ8" s="2"/>
      <c r="BK8" s="2"/>
      <c r="BL8" s="2"/>
      <c r="BM8" s="2"/>
      <c r="BN8" s="2">
        <v>65</v>
      </c>
      <c r="BO8" s="2">
        <v>31</v>
      </c>
      <c r="BP8" s="2">
        <v>38</v>
      </c>
      <c r="BQ8" s="2">
        <v>41</v>
      </c>
      <c r="BR8" s="2">
        <v>44</v>
      </c>
      <c r="BS8" s="2">
        <v>50</v>
      </c>
      <c r="BT8" s="2">
        <v>9</v>
      </c>
      <c r="BU8" s="2">
        <v>29</v>
      </c>
      <c r="BV8" s="2">
        <v>37</v>
      </c>
      <c r="BW8" s="2">
        <v>46</v>
      </c>
      <c r="BX8" s="2">
        <v>66</v>
      </c>
      <c r="BY8" s="2">
        <v>18.899999999999999</v>
      </c>
      <c r="BZ8" s="2">
        <v>1</v>
      </c>
      <c r="CA8" s="2">
        <v>0.5</v>
      </c>
      <c r="CB8" s="2">
        <v>9.6012197583621798E-6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12b</v>
      </c>
      <c r="J9" s="47">
        <f t="shared" ca="1" si="35"/>
        <v>4</v>
      </c>
      <c r="K9" s="19">
        <f t="shared" ca="1" si="36"/>
        <v>-4.5999999999999996</v>
      </c>
      <c r="L9" s="116" t="str">
        <f t="shared" ca="1" si="1"/>
        <v>EW_sand_Ruled_89</v>
      </c>
      <c r="M9" s="105" t="str">
        <f t="shared" ca="1" si="2"/>
        <v>API sand</v>
      </c>
      <c r="N9" s="47">
        <f t="shared" ca="1" si="3"/>
        <v>10.199999999999999</v>
      </c>
      <c r="O9" s="63">
        <f t="shared" ca="1" si="4"/>
        <v>0</v>
      </c>
      <c r="P9" s="63">
        <f t="shared" ca="1" si="5"/>
        <v>0</v>
      </c>
      <c r="Q9" s="47">
        <f t="shared" ca="1" si="6"/>
        <v>42</v>
      </c>
      <c r="R9" s="47">
        <f t="shared" ca="1" si="7"/>
        <v>37</v>
      </c>
      <c r="S9" s="47">
        <f t="shared" ca="1" si="8"/>
        <v>1.7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99000</v>
      </c>
      <c r="Y9" s="47">
        <f t="shared" ca="1" si="14"/>
        <v>0</v>
      </c>
      <c r="Z9" s="47">
        <f t="shared" ca="1" si="15"/>
        <v>114.99999999999996</v>
      </c>
      <c r="AA9" s="47">
        <f t="shared" ca="1" si="16"/>
        <v>1</v>
      </c>
      <c r="AB9" s="47">
        <f t="shared" ca="1" si="17"/>
        <v>12000</v>
      </c>
      <c r="AC9" s="63">
        <f t="shared" ca="1" si="18"/>
        <v>76000</v>
      </c>
      <c r="AD9" s="63">
        <f t="shared" ca="1" si="19"/>
        <v>12647.058823529411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50.000000000000007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89</v>
      </c>
      <c r="AS9" s="33">
        <f t="shared" ca="1" si="34"/>
        <v>0.4</v>
      </c>
      <c r="AW9" s="2">
        <v>1.9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1.1000000000000001</v>
      </c>
      <c r="BE9" s="2">
        <v>1.6</v>
      </c>
      <c r="BF9" s="2">
        <v>1.8</v>
      </c>
      <c r="BG9" s="2">
        <v>1.9</v>
      </c>
      <c r="BH9" s="2">
        <v>2.2999999999999998</v>
      </c>
      <c r="BI9" s="2"/>
      <c r="BJ9" s="2"/>
      <c r="BK9" s="2"/>
      <c r="BL9" s="2"/>
      <c r="BM9" s="2"/>
      <c r="BN9" s="2">
        <v>65</v>
      </c>
      <c r="BO9" s="2">
        <v>31</v>
      </c>
      <c r="BP9" s="2">
        <v>38</v>
      </c>
      <c r="BQ9" s="2">
        <v>41</v>
      </c>
      <c r="BR9" s="2">
        <v>44</v>
      </c>
      <c r="BS9" s="2">
        <v>50</v>
      </c>
      <c r="BT9" s="2">
        <v>3</v>
      </c>
      <c r="BU9" s="2">
        <v>23</v>
      </c>
      <c r="BV9" s="2">
        <v>32</v>
      </c>
      <c r="BW9" s="2">
        <v>40</v>
      </c>
      <c r="BX9" s="2">
        <v>61</v>
      </c>
      <c r="BY9" s="2">
        <v>18.899999999999999</v>
      </c>
      <c r="BZ9" s="2">
        <v>1</v>
      </c>
      <c r="CA9" s="2">
        <v>0.5</v>
      </c>
      <c r="CB9" s="2">
        <v>9.6012197583621798E-6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12b</v>
      </c>
      <c r="J10" s="47">
        <f t="shared" ca="1" si="35"/>
        <v>5</v>
      </c>
      <c r="K10" s="19">
        <f t="shared" ca="1" si="36"/>
        <v>-8</v>
      </c>
      <c r="L10" s="116" t="str">
        <f t="shared" ca="1" si="1"/>
        <v>EW_sand_Ruled_83</v>
      </c>
      <c r="M10" s="105" t="str">
        <f t="shared" ca="1" si="2"/>
        <v>API sand</v>
      </c>
      <c r="N10" s="47">
        <f t="shared" ca="1" si="3"/>
        <v>10.199999999999999</v>
      </c>
      <c r="O10" s="63">
        <f t="shared" ca="1" si="4"/>
        <v>0</v>
      </c>
      <c r="P10" s="63">
        <f t="shared" ca="1" si="5"/>
        <v>0</v>
      </c>
      <c r="Q10" s="47">
        <f t="shared" ca="1" si="6"/>
        <v>40</v>
      </c>
      <c r="R10" s="47">
        <f t="shared" ca="1" si="7"/>
        <v>35</v>
      </c>
      <c r="S10" s="47">
        <f t="shared" ca="1" si="8"/>
        <v>1.1000000000000001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102900</v>
      </c>
      <c r="Y10" s="47">
        <f t="shared" ca="1" si="14"/>
        <v>0</v>
      </c>
      <c r="Z10" s="47">
        <f t="shared" ca="1" si="15"/>
        <v>114.99999999999996</v>
      </c>
      <c r="AA10" s="47">
        <f t="shared" ca="1" si="16"/>
        <v>1</v>
      </c>
      <c r="AB10" s="47">
        <f t="shared" ca="1" si="17"/>
        <v>12000</v>
      </c>
      <c r="AC10" s="63">
        <f t="shared" ca="1" si="18"/>
        <v>117000</v>
      </c>
      <c r="AD10" s="63">
        <f t="shared" ca="1" si="19"/>
        <v>2000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50.000000000000007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83</v>
      </c>
      <c r="AS10" s="33">
        <f t="shared" ca="1" si="34"/>
        <v>0.4</v>
      </c>
      <c r="AW10" s="2">
        <v>1.9</v>
      </c>
      <c r="AX10" s="2" t="s">
        <v>299</v>
      </c>
      <c r="AY10" s="130">
        <v>29</v>
      </c>
      <c r="AZ10" s="2">
        <v>19.5</v>
      </c>
      <c r="BA10" s="2">
        <v>13</v>
      </c>
      <c r="BB10" s="2">
        <v>64</v>
      </c>
      <c r="BC10" s="2">
        <v>4</v>
      </c>
      <c r="BD10" s="2">
        <v>0.5</v>
      </c>
      <c r="BE10" s="2">
        <v>0.9</v>
      </c>
      <c r="BF10" s="2">
        <v>1.1000000000000001</v>
      </c>
      <c r="BG10" s="2">
        <v>1.3</v>
      </c>
      <c r="BH10" s="2">
        <v>2.1</v>
      </c>
      <c r="BI10" s="2">
        <v>2</v>
      </c>
      <c r="BJ10" s="2">
        <v>38</v>
      </c>
      <c r="BK10" s="2">
        <v>56</v>
      </c>
      <c r="BL10" s="2">
        <v>77</v>
      </c>
      <c r="BM10" s="2">
        <v>136</v>
      </c>
      <c r="BN10" s="2"/>
      <c r="BO10" s="2"/>
      <c r="BP10" s="2"/>
      <c r="BQ10" s="2"/>
      <c r="BR10" s="2"/>
      <c r="BS10" s="2"/>
      <c r="BT10" s="2">
        <v>1</v>
      </c>
      <c r="BU10" s="2">
        <v>13</v>
      </c>
      <c r="BV10" s="2">
        <v>37</v>
      </c>
      <c r="BW10" s="2">
        <v>61</v>
      </c>
      <c r="BX10" s="2">
        <v>122</v>
      </c>
      <c r="BY10" s="2">
        <v>13.6</v>
      </c>
      <c r="BZ10" s="2">
        <v>10</v>
      </c>
      <c r="CA10" s="2">
        <v>3</v>
      </c>
      <c r="CB10" s="2">
        <v>5.5776271094244697E-9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20a</v>
      </c>
      <c r="J11" s="47">
        <f t="shared" ca="1" si="35"/>
        <v>6</v>
      </c>
      <c r="K11" s="19">
        <f t="shared" ca="1" si="36"/>
        <v>-17.5</v>
      </c>
      <c r="L11" s="116" t="str">
        <f t="shared" ca="1" si="1"/>
        <v>EW_sand_Ruled_44</v>
      </c>
      <c r="M11" s="105" t="str">
        <f t="shared" ca="1" si="2"/>
        <v>API sand</v>
      </c>
      <c r="N11" s="47">
        <f t="shared" ca="1" si="3"/>
        <v>10</v>
      </c>
      <c r="O11" s="63">
        <f t="shared" ca="1" si="4"/>
        <v>0</v>
      </c>
      <c r="P11" s="63">
        <f t="shared" ca="1" si="5"/>
        <v>0</v>
      </c>
      <c r="Q11" s="47">
        <f t="shared" ca="1" si="6"/>
        <v>26.5</v>
      </c>
      <c r="R11" s="47">
        <f t="shared" ca="1" si="7"/>
        <v>21.5</v>
      </c>
      <c r="S11" s="47">
        <f t="shared" ca="1" si="8"/>
        <v>0.7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21100</v>
      </c>
      <c r="Y11" s="47">
        <f t="shared" ca="1" si="14"/>
        <v>0</v>
      </c>
      <c r="Z11" s="47">
        <f t="shared" ca="1" si="15"/>
        <v>69.799999999999983</v>
      </c>
      <c r="AA11" s="47">
        <f t="shared" ca="1" si="16"/>
        <v>1</v>
      </c>
      <c r="AB11" s="47">
        <f t="shared" ca="1" si="17"/>
        <v>3280</v>
      </c>
      <c r="AC11" s="63">
        <f t="shared" ca="1" si="18"/>
        <v>93000</v>
      </c>
      <c r="AD11" s="63">
        <f t="shared" ca="1" si="19"/>
        <v>26666.666666666712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13.600000000000003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44</v>
      </c>
      <c r="AS11" s="33">
        <f t="shared" ca="1" si="34"/>
        <v>0.2</v>
      </c>
      <c r="AW11" s="2">
        <v>4.5999999999999996</v>
      </c>
      <c r="AX11" s="2" t="s">
        <v>299</v>
      </c>
      <c r="AY11" s="130">
        <v>29</v>
      </c>
      <c r="AZ11" s="2">
        <v>19.5</v>
      </c>
      <c r="BA11" s="2">
        <v>13</v>
      </c>
      <c r="BB11" s="2">
        <v>64</v>
      </c>
      <c r="BC11" s="2">
        <v>4</v>
      </c>
      <c r="BD11" s="2">
        <v>1.7</v>
      </c>
      <c r="BE11" s="2">
        <v>2.1</v>
      </c>
      <c r="BF11" s="2">
        <v>2.2000000000000002</v>
      </c>
      <c r="BG11" s="2">
        <v>2.4</v>
      </c>
      <c r="BH11" s="2">
        <v>3.2</v>
      </c>
      <c r="BI11" s="2">
        <v>63</v>
      </c>
      <c r="BJ11" s="2">
        <v>98</v>
      </c>
      <c r="BK11" s="2">
        <v>117</v>
      </c>
      <c r="BL11" s="2">
        <v>138</v>
      </c>
      <c r="BM11" s="2">
        <v>197</v>
      </c>
      <c r="BN11" s="2"/>
      <c r="BO11" s="2"/>
      <c r="BP11" s="2"/>
      <c r="BQ11" s="2"/>
      <c r="BR11" s="2"/>
      <c r="BS11" s="2"/>
      <c r="BT11" s="2">
        <v>58</v>
      </c>
      <c r="BU11" s="2">
        <v>70</v>
      </c>
      <c r="BV11" s="2">
        <v>94</v>
      </c>
      <c r="BW11" s="2">
        <v>118</v>
      </c>
      <c r="BX11" s="2">
        <v>179</v>
      </c>
      <c r="BY11" s="2">
        <v>13.6</v>
      </c>
      <c r="BZ11" s="2">
        <v>10</v>
      </c>
      <c r="CA11" s="2">
        <v>3</v>
      </c>
      <c r="CB11" s="2">
        <v>5.5776271094244697E-9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21a</v>
      </c>
      <c r="J12" s="47">
        <f t="shared" ca="1" si="35"/>
        <v>7</v>
      </c>
      <c r="K12" s="19">
        <f t="shared" ca="1" si="36"/>
        <v>-18.399999999999999</v>
      </c>
      <c r="L12" s="116" t="str">
        <f t="shared" ca="1" si="1"/>
        <v>EW_sand_Ruled_50</v>
      </c>
      <c r="M12" s="105" t="str">
        <f t="shared" ca="1" si="2"/>
        <v>API sand</v>
      </c>
      <c r="N12" s="47">
        <f t="shared" ca="1" si="3"/>
        <v>9.8000000000000007</v>
      </c>
      <c r="O12" s="63">
        <f t="shared" ca="1" si="4"/>
        <v>0</v>
      </c>
      <c r="P12" s="63">
        <f t="shared" ca="1" si="5"/>
        <v>0</v>
      </c>
      <c r="Q12" s="47">
        <f t="shared" ca="1" si="6"/>
        <v>27</v>
      </c>
      <c r="R12" s="47">
        <f t="shared" ca="1" si="7"/>
        <v>22</v>
      </c>
      <c r="S12" s="47">
        <f t="shared" ca="1" si="8"/>
        <v>0.9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17300</v>
      </c>
      <c r="Y12" s="47">
        <f t="shared" ca="1" si="14"/>
        <v>0</v>
      </c>
      <c r="Z12" s="47">
        <f t="shared" ca="1" si="15"/>
        <v>72.59999999999998</v>
      </c>
      <c r="AA12" s="47">
        <f t="shared" ca="1" si="16"/>
        <v>1</v>
      </c>
      <c r="AB12" s="47">
        <f t="shared" ca="1" si="17"/>
        <v>3660</v>
      </c>
      <c r="AC12" s="63">
        <f t="shared" ca="1" si="18"/>
        <v>113000</v>
      </c>
      <c r="AD12" s="63">
        <f t="shared" ca="1" si="19"/>
        <v>6249.9999999999982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15.200000000000003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50</v>
      </c>
      <c r="AS12" s="33">
        <f t="shared" ca="1" si="34"/>
        <v>0.2</v>
      </c>
      <c r="AW12" s="2">
        <v>4.5999999999999996</v>
      </c>
      <c r="AX12" s="2" t="s">
        <v>292</v>
      </c>
      <c r="AY12" s="130">
        <v>21.3</v>
      </c>
      <c r="AZ12" s="2">
        <v>20.2</v>
      </c>
      <c r="BA12" s="2"/>
      <c r="BB12" s="2">
        <v>10</v>
      </c>
      <c r="BC12" s="2"/>
      <c r="BD12" s="2">
        <v>4.3</v>
      </c>
      <c r="BE12" s="2">
        <v>10.3</v>
      </c>
      <c r="BF12" s="2">
        <v>11.3</v>
      </c>
      <c r="BG12" s="2">
        <v>12.1</v>
      </c>
      <c r="BH12" s="2">
        <v>17.100000000000001</v>
      </c>
      <c r="BI12" s="2"/>
      <c r="BJ12" s="2"/>
      <c r="BK12" s="2"/>
      <c r="BL12" s="2"/>
      <c r="BM12" s="2"/>
      <c r="BN12" s="2">
        <v>89</v>
      </c>
      <c r="BO12" s="2">
        <v>35</v>
      </c>
      <c r="BP12" s="2">
        <v>42</v>
      </c>
      <c r="BQ12" s="2">
        <v>45</v>
      </c>
      <c r="BR12" s="2">
        <v>48</v>
      </c>
      <c r="BS12" s="2">
        <v>54</v>
      </c>
      <c r="BT12" s="2">
        <v>4</v>
      </c>
      <c r="BU12" s="2">
        <v>53</v>
      </c>
      <c r="BV12" s="2">
        <v>76</v>
      </c>
      <c r="BW12" s="2">
        <v>98</v>
      </c>
      <c r="BX12" s="2">
        <v>155</v>
      </c>
      <c r="BY12" s="2">
        <v>99</v>
      </c>
      <c r="BZ12" s="2">
        <v>7.5</v>
      </c>
      <c r="CA12" s="2">
        <v>1.7</v>
      </c>
      <c r="CB12" s="2">
        <v>5.9832993354368399E-5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21a</v>
      </c>
      <c r="J13" s="47">
        <f t="shared" ca="1" si="35"/>
        <v>8</v>
      </c>
      <c r="K13" s="19">
        <f t="shared" ca="1" si="36"/>
        <v>-24</v>
      </c>
      <c r="L13" s="116" t="str">
        <f t="shared" ca="1" si="1"/>
        <v>EW_sand_Ruled_56</v>
      </c>
      <c r="M13" s="105" t="str">
        <f t="shared" ca="1" si="2"/>
        <v>API sand</v>
      </c>
      <c r="N13" s="47">
        <f t="shared" ca="1" si="3"/>
        <v>9.8000000000000007</v>
      </c>
      <c r="O13" s="63">
        <f t="shared" ca="1" si="4"/>
        <v>0</v>
      </c>
      <c r="P13" s="63">
        <f t="shared" ca="1" si="5"/>
        <v>0</v>
      </c>
      <c r="Q13" s="47">
        <f t="shared" ca="1" si="6"/>
        <v>27</v>
      </c>
      <c r="R13" s="47">
        <f t="shared" ca="1" si="7"/>
        <v>22</v>
      </c>
      <c r="S13" s="47">
        <f t="shared" ca="1" si="8"/>
        <v>0.9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24600</v>
      </c>
      <c r="Y13" s="47">
        <f t="shared" ca="1" si="14"/>
        <v>0</v>
      </c>
      <c r="Z13" s="47">
        <f t="shared" ca="1" si="15"/>
        <v>72.59999999999998</v>
      </c>
      <c r="AA13" s="47">
        <f t="shared" ca="1" si="16"/>
        <v>1</v>
      </c>
      <c r="AB13" s="47">
        <f t="shared" ca="1" si="17"/>
        <v>3660</v>
      </c>
      <c r="AC13" s="63">
        <f t="shared" ca="1" si="18"/>
        <v>146000</v>
      </c>
      <c r="AD13" s="63">
        <f t="shared" ca="1" si="19"/>
        <v>-612.24489795918385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15.200000000000003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56</v>
      </c>
      <c r="AS13" s="33">
        <f t="shared" ca="1" si="34"/>
        <v>0.2</v>
      </c>
      <c r="AW13" s="2">
        <v>8</v>
      </c>
      <c r="AX13" s="2" t="s">
        <v>292</v>
      </c>
      <c r="AY13" s="130">
        <v>21.3</v>
      </c>
      <c r="AZ13" s="2">
        <v>20.2</v>
      </c>
      <c r="BA13" s="2"/>
      <c r="BB13" s="2">
        <v>10</v>
      </c>
      <c r="BC13" s="2"/>
      <c r="BD13" s="2">
        <v>32.200000000000003</v>
      </c>
      <c r="BE13" s="2">
        <v>38.299999999999997</v>
      </c>
      <c r="BF13" s="2">
        <v>39.299999999999997</v>
      </c>
      <c r="BG13" s="2">
        <v>40.1</v>
      </c>
      <c r="BH13" s="2">
        <v>45</v>
      </c>
      <c r="BI13" s="2"/>
      <c r="BJ13" s="2"/>
      <c r="BK13" s="2"/>
      <c r="BL13" s="2"/>
      <c r="BM13" s="2"/>
      <c r="BN13" s="2">
        <v>89</v>
      </c>
      <c r="BO13" s="2">
        <v>35</v>
      </c>
      <c r="BP13" s="2">
        <v>42</v>
      </c>
      <c r="BQ13" s="2">
        <v>45</v>
      </c>
      <c r="BR13" s="2">
        <v>48</v>
      </c>
      <c r="BS13" s="2">
        <v>54</v>
      </c>
      <c r="BT13" s="2">
        <v>47</v>
      </c>
      <c r="BU13" s="2">
        <v>96</v>
      </c>
      <c r="BV13" s="2">
        <v>119</v>
      </c>
      <c r="BW13" s="2">
        <v>142</v>
      </c>
      <c r="BX13" s="2">
        <v>198</v>
      </c>
      <c r="BY13" s="2">
        <v>99</v>
      </c>
      <c r="BZ13" s="2">
        <v>7.5</v>
      </c>
      <c r="CA13" s="2">
        <v>1.7</v>
      </c>
      <c r="CB13" s="2">
        <v>5.9832993354368399E-5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23d</v>
      </c>
      <c r="J14" s="47">
        <f t="shared" ca="1" si="35"/>
        <v>9</v>
      </c>
      <c r="K14" s="19">
        <f t="shared" ca="1" si="36"/>
        <v>-28.9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8.8999999999999986</v>
      </c>
      <c r="O14" s="63">
        <f t="shared" ca="1" si="4"/>
        <v>197</v>
      </c>
      <c r="P14" s="63">
        <f t="shared" ca="1" si="5"/>
        <v>13.967517401392112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2.5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0.5</v>
      </c>
      <c r="X14" s="47">
        <f t="shared" ca="1" si="13"/>
        <v>43000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254000</v>
      </c>
      <c r="AD14" s="63">
        <f t="shared" ca="1" si="19"/>
        <v>23735.498839907192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8</v>
      </c>
      <c r="AX14" s="2" t="s">
        <v>292</v>
      </c>
      <c r="AY14" s="130">
        <v>21.3</v>
      </c>
      <c r="AZ14" s="2">
        <v>20.2</v>
      </c>
      <c r="BA14" s="2"/>
      <c r="BB14" s="2">
        <v>10</v>
      </c>
      <c r="BC14" s="2"/>
      <c r="BD14" s="2">
        <v>25.6</v>
      </c>
      <c r="BE14" s="2">
        <v>30.4</v>
      </c>
      <c r="BF14" s="2">
        <v>30.8</v>
      </c>
      <c r="BG14" s="2">
        <v>31.3</v>
      </c>
      <c r="BH14" s="2">
        <v>35.799999999999997</v>
      </c>
      <c r="BI14" s="2"/>
      <c r="BJ14" s="2"/>
      <c r="BK14" s="2"/>
      <c r="BL14" s="2"/>
      <c r="BM14" s="2"/>
      <c r="BN14" s="2">
        <v>83</v>
      </c>
      <c r="BO14" s="2">
        <v>34</v>
      </c>
      <c r="BP14" s="2">
        <v>40</v>
      </c>
      <c r="BQ14" s="2">
        <v>43</v>
      </c>
      <c r="BR14" s="2">
        <v>47</v>
      </c>
      <c r="BS14" s="2">
        <v>53</v>
      </c>
      <c r="BT14" s="2">
        <v>14</v>
      </c>
      <c r="BU14" s="2">
        <v>87</v>
      </c>
      <c r="BV14" s="2">
        <v>117</v>
      </c>
      <c r="BW14" s="2">
        <v>147</v>
      </c>
      <c r="BX14" s="2">
        <v>220</v>
      </c>
      <c r="BY14" s="2">
        <v>102.9</v>
      </c>
      <c r="BZ14" s="2">
        <v>3.6</v>
      </c>
      <c r="CA14" s="2">
        <v>1.1000000000000001</v>
      </c>
      <c r="CB14" s="2">
        <v>6.18160621518247E-6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23l</v>
      </c>
      <c r="J15" s="47">
        <f t="shared" ca="1" si="35"/>
        <v>10</v>
      </c>
      <c r="K15" s="19">
        <f t="shared" ca="1" si="36"/>
        <v>-72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8.8000000000000007</v>
      </c>
      <c r="O15" s="63">
        <f t="shared" ca="1" si="4"/>
        <v>1138</v>
      </c>
      <c r="P15" s="63">
        <f t="shared" ca="1" si="5"/>
        <v>17.875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100500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1924000</v>
      </c>
      <c r="AD15" s="63">
        <f t="shared" ca="1" si="19"/>
        <v>36625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17.5</v>
      </c>
      <c r="AX15" s="2" t="s">
        <v>292</v>
      </c>
      <c r="AY15" s="130">
        <v>21.3</v>
      </c>
      <c r="AZ15" s="2">
        <v>20.2</v>
      </c>
      <c r="BA15" s="2"/>
      <c r="BB15" s="2">
        <v>10</v>
      </c>
      <c r="BC15" s="2"/>
      <c r="BD15" s="2">
        <v>14.2</v>
      </c>
      <c r="BE15" s="2">
        <v>19</v>
      </c>
      <c r="BF15" s="2">
        <v>19.5</v>
      </c>
      <c r="BG15" s="2">
        <v>19.899999999999999</v>
      </c>
      <c r="BH15" s="2">
        <v>24.5</v>
      </c>
      <c r="BI15" s="2"/>
      <c r="BJ15" s="2"/>
      <c r="BK15" s="2"/>
      <c r="BL15" s="2"/>
      <c r="BM15" s="2"/>
      <c r="BN15" s="2">
        <v>83</v>
      </c>
      <c r="BO15" s="2">
        <v>34</v>
      </c>
      <c r="BP15" s="2">
        <v>40</v>
      </c>
      <c r="BQ15" s="2">
        <v>43</v>
      </c>
      <c r="BR15" s="2">
        <v>47</v>
      </c>
      <c r="BS15" s="2">
        <v>53</v>
      </c>
      <c r="BT15" s="2">
        <v>33</v>
      </c>
      <c r="BU15" s="2">
        <v>106</v>
      </c>
      <c r="BV15" s="2">
        <v>136</v>
      </c>
      <c r="BW15" s="2">
        <v>165</v>
      </c>
      <c r="BX15" s="2">
        <v>239</v>
      </c>
      <c r="BY15" s="2">
        <v>102.9</v>
      </c>
      <c r="BZ15" s="2">
        <v>3.6</v>
      </c>
      <c r="CA15" s="2">
        <v>1.1000000000000001</v>
      </c>
      <c r="CB15" s="2">
        <v>6.18160621518247E-6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/>
      </c>
      <c r="J16" s="47" t="str">
        <f t="shared" ca="1" si="35"/>
        <v/>
      </c>
      <c r="K16" s="19" t="str">
        <f t="shared" ca="1" si="36"/>
        <v/>
      </c>
      <c r="L16" s="116" t="str">
        <f t="shared" ca="1" si="1"/>
        <v/>
      </c>
      <c r="M16" s="105" t="str">
        <f t="shared" ca="1" si="2"/>
        <v/>
      </c>
      <c r="N16" s="47" t="str">
        <f t="shared" ca="1" si="3"/>
        <v/>
      </c>
      <c r="O16" s="63" t="str">
        <f t="shared" ca="1" si="4"/>
        <v/>
      </c>
      <c r="P16" s="63" t="str">
        <f t="shared" ca="1" si="5"/>
        <v/>
      </c>
      <c r="Q16" s="47" t="str">
        <f t="shared" ca="1" si="6"/>
        <v/>
      </c>
      <c r="R16" s="47" t="str">
        <f t="shared" ca="1" si="7"/>
        <v/>
      </c>
      <c r="S16" s="47" t="str">
        <f t="shared" ca="1" si="8"/>
        <v/>
      </c>
      <c r="T16" s="47" t="str">
        <f t="shared" ca="1" si="9"/>
        <v/>
      </c>
      <c r="U16" s="75" t="str">
        <f t="shared" ca="1" si="10"/>
        <v/>
      </c>
      <c r="V16" s="75" t="str">
        <f t="shared" ca="1" si="11"/>
        <v/>
      </c>
      <c r="W16" s="47" t="str">
        <f t="shared" ca="1" si="12"/>
        <v/>
      </c>
      <c r="X16" s="47" t="str">
        <f t="shared" ca="1" si="13"/>
        <v/>
      </c>
      <c r="Y16" s="47" t="str">
        <f t="shared" ca="1" si="14"/>
        <v/>
      </c>
      <c r="Z16" s="47" t="str">
        <f t="shared" ca="1" si="15"/>
        <v/>
      </c>
      <c r="AA16" s="47" t="str">
        <f t="shared" ca="1" si="16"/>
        <v/>
      </c>
      <c r="AB16" s="47" t="str">
        <f t="shared" ca="1" si="17"/>
        <v/>
      </c>
      <c r="AC16" s="63" t="str">
        <f t="shared" ca="1" si="18"/>
        <v/>
      </c>
      <c r="AD16" s="63" t="str">
        <f t="shared" ca="1" si="19"/>
        <v/>
      </c>
      <c r="AE16" s="63" t="str">
        <f t="shared" ca="1" si="20"/>
        <v/>
      </c>
      <c r="AF16" s="63" t="str">
        <f t="shared" ca="1" si="21"/>
        <v/>
      </c>
      <c r="AG16" s="63" t="str">
        <f t="shared" ca="1" si="22"/>
        <v/>
      </c>
      <c r="AH16" s="63" t="str">
        <f t="shared" ca="1" si="23"/>
        <v/>
      </c>
      <c r="AI16" s="63" t="str">
        <f t="shared" ca="1" si="24"/>
        <v/>
      </c>
      <c r="AJ16" s="47" t="str">
        <f t="shared" ca="1" si="25"/>
        <v/>
      </c>
      <c r="AK16" s="47" t="str">
        <f t="shared" ca="1" si="26"/>
        <v/>
      </c>
      <c r="AL16" s="47" t="str">
        <f t="shared" ca="1" si="27"/>
        <v/>
      </c>
      <c r="AM16" s="47" t="str">
        <f t="shared" ca="1" si="28"/>
        <v/>
      </c>
      <c r="AN16" s="47" t="str">
        <f t="shared" ca="1" si="29"/>
        <v/>
      </c>
      <c r="AO16" s="47" t="str">
        <f t="shared" ca="1" si="30"/>
        <v/>
      </c>
      <c r="AP16" s="47" t="str">
        <f t="shared" ca="1" si="31"/>
        <v/>
      </c>
      <c r="AQ16" s="47" t="str">
        <f t="shared" ca="1" si="32"/>
        <v/>
      </c>
      <c r="AR16" s="47" t="str">
        <f t="shared" ca="1" si="33"/>
        <v/>
      </c>
      <c r="AS16" s="33" t="str">
        <f t="shared" ca="1" si="34"/>
        <v/>
      </c>
      <c r="AW16" s="2">
        <v>17.5</v>
      </c>
      <c r="AX16" s="2" t="s">
        <v>278</v>
      </c>
      <c r="AY16" s="130">
        <v>25.2</v>
      </c>
      <c r="AZ16" s="2">
        <v>20</v>
      </c>
      <c r="BA16" s="2"/>
      <c r="BB16" s="2">
        <v>22</v>
      </c>
      <c r="BC16" s="2"/>
      <c r="BD16" s="2">
        <v>1.9</v>
      </c>
      <c r="BE16" s="2">
        <v>3.5</v>
      </c>
      <c r="BF16" s="2">
        <v>4.0999999999999996</v>
      </c>
      <c r="BG16" s="2">
        <v>4.7</v>
      </c>
      <c r="BH16" s="2">
        <v>6.3</v>
      </c>
      <c r="BI16" s="2"/>
      <c r="BJ16" s="2"/>
      <c r="BK16" s="2"/>
      <c r="BL16" s="2"/>
      <c r="BM16" s="2"/>
      <c r="BN16" s="2">
        <v>44</v>
      </c>
      <c r="BO16" s="2">
        <v>26</v>
      </c>
      <c r="BP16" s="2">
        <v>26.5</v>
      </c>
      <c r="BQ16" s="2">
        <v>27</v>
      </c>
      <c r="BR16" s="2">
        <v>30</v>
      </c>
      <c r="BS16" s="2">
        <v>34</v>
      </c>
      <c r="BT16" s="2">
        <v>17</v>
      </c>
      <c r="BU16" s="2">
        <v>68</v>
      </c>
      <c r="BV16" s="2">
        <v>93</v>
      </c>
      <c r="BW16" s="2">
        <v>118</v>
      </c>
      <c r="BX16" s="2">
        <v>179</v>
      </c>
      <c r="BY16" s="2">
        <v>21.1</v>
      </c>
      <c r="BZ16" s="2">
        <v>1.8</v>
      </c>
      <c r="CA16" s="2">
        <v>0.7</v>
      </c>
      <c r="CB16" s="2">
        <v>3.7098052840440502E-10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18.399999999999999</v>
      </c>
      <c r="AX17" s="2" t="s">
        <v>278</v>
      </c>
      <c r="AY17" s="130">
        <v>25.2</v>
      </c>
      <c r="AZ17" s="2">
        <v>20</v>
      </c>
      <c r="BA17" s="2"/>
      <c r="BB17" s="2">
        <v>22</v>
      </c>
      <c r="BC17" s="2"/>
      <c r="BD17" s="2">
        <v>8.1</v>
      </c>
      <c r="BE17" s="2">
        <v>9.8000000000000007</v>
      </c>
      <c r="BF17" s="2">
        <v>10.4</v>
      </c>
      <c r="BG17" s="2">
        <v>10.9</v>
      </c>
      <c r="BH17" s="2">
        <v>12.6</v>
      </c>
      <c r="BI17" s="2"/>
      <c r="BJ17" s="2"/>
      <c r="BK17" s="2"/>
      <c r="BL17" s="2"/>
      <c r="BM17" s="2"/>
      <c r="BN17" s="2">
        <v>44</v>
      </c>
      <c r="BO17" s="2">
        <v>26</v>
      </c>
      <c r="BP17" s="2">
        <v>26.5</v>
      </c>
      <c r="BQ17" s="2">
        <v>27</v>
      </c>
      <c r="BR17" s="2">
        <v>30</v>
      </c>
      <c r="BS17" s="2">
        <v>34</v>
      </c>
      <c r="BT17" s="2">
        <v>41</v>
      </c>
      <c r="BU17" s="2">
        <v>92</v>
      </c>
      <c r="BV17" s="2">
        <v>117</v>
      </c>
      <c r="BW17" s="2">
        <v>142</v>
      </c>
      <c r="BX17" s="2">
        <v>203</v>
      </c>
      <c r="BY17" s="2">
        <v>21.1</v>
      </c>
      <c r="BZ17" s="2">
        <v>1.8</v>
      </c>
      <c r="CA17" s="2">
        <v>0.7</v>
      </c>
      <c r="CB17" s="2">
        <v>3.7098052840440502E-10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18.399999999999999</v>
      </c>
      <c r="AX18" s="2" t="s">
        <v>271</v>
      </c>
      <c r="AY18" s="130">
        <v>24.7</v>
      </c>
      <c r="AZ18" s="2">
        <v>19.8</v>
      </c>
      <c r="BA18" s="2"/>
      <c r="BB18" s="2">
        <v>11</v>
      </c>
      <c r="BC18" s="2"/>
      <c r="BD18" s="2">
        <v>4.5</v>
      </c>
      <c r="BE18" s="2">
        <v>8</v>
      </c>
      <c r="BF18" s="2">
        <v>8.5</v>
      </c>
      <c r="BG18" s="2">
        <v>8.9</v>
      </c>
      <c r="BH18" s="2">
        <v>11.9</v>
      </c>
      <c r="BI18" s="2"/>
      <c r="BJ18" s="2"/>
      <c r="BK18" s="2"/>
      <c r="BL18" s="2"/>
      <c r="BM18" s="2"/>
      <c r="BN18" s="2">
        <v>50</v>
      </c>
      <c r="BO18" s="2">
        <v>26</v>
      </c>
      <c r="BP18" s="2">
        <v>27</v>
      </c>
      <c r="BQ18" s="2">
        <v>29</v>
      </c>
      <c r="BR18" s="2">
        <v>31</v>
      </c>
      <c r="BS18" s="2">
        <v>35</v>
      </c>
      <c r="BT18" s="2">
        <v>18</v>
      </c>
      <c r="BU18" s="2">
        <v>82</v>
      </c>
      <c r="BV18" s="2">
        <v>113</v>
      </c>
      <c r="BW18" s="2">
        <v>144</v>
      </c>
      <c r="BX18" s="2">
        <v>219</v>
      </c>
      <c r="BY18" s="2">
        <v>17.3</v>
      </c>
      <c r="BZ18" s="2">
        <v>2.8</v>
      </c>
      <c r="CA18" s="2">
        <v>0.9</v>
      </c>
      <c r="CB18" s="2">
        <v>2.2122063506869299E-9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24</v>
      </c>
      <c r="AX19" s="2" t="s">
        <v>271</v>
      </c>
      <c r="AY19" s="130">
        <v>24.7</v>
      </c>
      <c r="AZ19" s="2">
        <v>19.8</v>
      </c>
      <c r="BA19" s="2"/>
      <c r="BB19" s="2">
        <v>11</v>
      </c>
      <c r="BC19" s="2"/>
      <c r="BD19" s="2">
        <v>13.9</v>
      </c>
      <c r="BE19" s="2">
        <v>17.3</v>
      </c>
      <c r="BF19" s="2">
        <v>17.8</v>
      </c>
      <c r="BG19" s="2">
        <v>18.2</v>
      </c>
      <c r="BH19" s="2">
        <v>21.3</v>
      </c>
      <c r="BI19" s="2"/>
      <c r="BJ19" s="2"/>
      <c r="BK19" s="2"/>
      <c r="BL19" s="2"/>
      <c r="BM19" s="2"/>
      <c r="BN19" s="2">
        <v>50</v>
      </c>
      <c r="BO19" s="2">
        <v>26</v>
      </c>
      <c r="BP19" s="2">
        <v>27</v>
      </c>
      <c r="BQ19" s="2">
        <v>29</v>
      </c>
      <c r="BR19" s="2">
        <v>31</v>
      </c>
      <c r="BS19" s="2">
        <v>35</v>
      </c>
      <c r="BT19" s="2">
        <v>53</v>
      </c>
      <c r="BU19" s="2">
        <v>117</v>
      </c>
      <c r="BV19" s="2">
        <v>148</v>
      </c>
      <c r="BW19" s="2">
        <v>178</v>
      </c>
      <c r="BX19" s="2">
        <v>254</v>
      </c>
      <c r="BY19" s="2">
        <v>17.3</v>
      </c>
      <c r="BZ19" s="2">
        <v>2.8</v>
      </c>
      <c r="CA19" s="2">
        <v>0.9</v>
      </c>
      <c r="CB19" s="2">
        <v>2.2122063506869299E-9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24</v>
      </c>
      <c r="AX20" s="2" t="s">
        <v>271</v>
      </c>
      <c r="AY20" s="130">
        <v>24.7</v>
      </c>
      <c r="AZ20" s="2">
        <v>19.8</v>
      </c>
      <c r="BA20" s="2"/>
      <c r="BB20" s="2">
        <v>11</v>
      </c>
      <c r="BC20" s="2"/>
      <c r="BD20" s="2">
        <v>12.7</v>
      </c>
      <c r="BE20" s="2">
        <v>16.100000000000001</v>
      </c>
      <c r="BF20" s="2">
        <v>16.600000000000001</v>
      </c>
      <c r="BG20" s="2">
        <v>17.2</v>
      </c>
      <c r="BH20" s="2">
        <v>21</v>
      </c>
      <c r="BI20" s="2"/>
      <c r="BJ20" s="2"/>
      <c r="BK20" s="2"/>
      <c r="BL20" s="2"/>
      <c r="BM20" s="2"/>
      <c r="BN20" s="2">
        <v>56</v>
      </c>
      <c r="BO20" s="2">
        <v>26</v>
      </c>
      <c r="BP20" s="2">
        <v>27</v>
      </c>
      <c r="BQ20" s="2">
        <v>29</v>
      </c>
      <c r="BR20" s="2">
        <v>32</v>
      </c>
      <c r="BS20" s="2">
        <v>36</v>
      </c>
      <c r="BT20" s="2">
        <v>31</v>
      </c>
      <c r="BU20" s="2">
        <v>112</v>
      </c>
      <c r="BV20" s="2">
        <v>146</v>
      </c>
      <c r="BW20" s="2">
        <v>179</v>
      </c>
      <c r="BX20" s="2">
        <v>264</v>
      </c>
      <c r="BY20" s="2">
        <v>24.6</v>
      </c>
      <c r="BZ20" s="2">
        <v>2.7</v>
      </c>
      <c r="CA20" s="2">
        <v>0.9</v>
      </c>
      <c r="CB20" s="2">
        <v>9.9393037940224303E-10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28.9</v>
      </c>
      <c r="AX21" s="2" t="s">
        <v>271</v>
      </c>
      <c r="AY21" s="130">
        <v>24.7</v>
      </c>
      <c r="AZ21" s="2">
        <v>19.8</v>
      </c>
      <c r="BA21" s="2"/>
      <c r="BB21" s="2">
        <v>11</v>
      </c>
      <c r="BC21" s="2"/>
      <c r="BD21" s="2">
        <v>7.9</v>
      </c>
      <c r="BE21" s="2">
        <v>11.3</v>
      </c>
      <c r="BF21" s="2">
        <v>11.7</v>
      </c>
      <c r="BG21" s="2">
        <v>12.3</v>
      </c>
      <c r="BH21" s="2">
        <v>16.2</v>
      </c>
      <c r="BI21" s="2"/>
      <c r="BJ21" s="2"/>
      <c r="BK21" s="2"/>
      <c r="BL21" s="2"/>
      <c r="BM21" s="2"/>
      <c r="BN21" s="2">
        <v>56</v>
      </c>
      <c r="BO21" s="2">
        <v>26</v>
      </c>
      <c r="BP21" s="2">
        <v>27</v>
      </c>
      <c r="BQ21" s="2">
        <v>29</v>
      </c>
      <c r="BR21" s="2">
        <v>32</v>
      </c>
      <c r="BS21" s="2">
        <v>36</v>
      </c>
      <c r="BT21" s="2">
        <v>28</v>
      </c>
      <c r="BU21" s="2">
        <v>109</v>
      </c>
      <c r="BV21" s="2">
        <v>143</v>
      </c>
      <c r="BW21" s="2">
        <v>177</v>
      </c>
      <c r="BX21" s="2">
        <v>261</v>
      </c>
      <c r="BY21" s="2">
        <v>24.6</v>
      </c>
      <c r="BZ21" s="2">
        <v>2.7</v>
      </c>
      <c r="CA21" s="2">
        <v>0.9</v>
      </c>
      <c r="CB21" s="2">
        <v>9.9393037940224303E-10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28.9</v>
      </c>
      <c r="AX22" s="2" t="s">
        <v>273</v>
      </c>
      <c r="AY22" s="130">
        <v>32</v>
      </c>
      <c r="AZ22" s="2">
        <v>18.899999999999999</v>
      </c>
      <c r="BA22" s="2">
        <v>47</v>
      </c>
      <c r="BB22" s="2">
        <v>85</v>
      </c>
      <c r="BC22" s="2">
        <v>3</v>
      </c>
      <c r="BD22" s="2">
        <v>1</v>
      </c>
      <c r="BE22" s="2">
        <v>3</v>
      </c>
      <c r="BF22" s="2">
        <v>5.4</v>
      </c>
      <c r="BG22" s="2">
        <v>19.399999999999999</v>
      </c>
      <c r="BH22" s="2">
        <v>62.6</v>
      </c>
      <c r="BI22" s="2">
        <v>111</v>
      </c>
      <c r="BJ22" s="2">
        <v>197</v>
      </c>
      <c r="BK22" s="2">
        <v>241</v>
      </c>
      <c r="BL22" s="2">
        <v>285</v>
      </c>
      <c r="BM22" s="2">
        <v>372</v>
      </c>
      <c r="BN22" s="2"/>
      <c r="BO22" s="2"/>
      <c r="BP22" s="2"/>
      <c r="BQ22" s="2"/>
      <c r="BR22" s="2"/>
      <c r="BS22" s="2"/>
      <c r="BT22" s="2">
        <v>28</v>
      </c>
      <c r="BU22" s="2">
        <v>165</v>
      </c>
      <c r="BV22" s="2">
        <v>254</v>
      </c>
      <c r="BW22" s="2">
        <v>343</v>
      </c>
      <c r="BX22" s="2">
        <v>521</v>
      </c>
      <c r="BY22" s="2">
        <v>43</v>
      </c>
      <c r="BZ22" s="2">
        <v>6.8</v>
      </c>
      <c r="CA22" s="2">
        <v>2.5</v>
      </c>
      <c r="CB22" s="2">
        <v>6.8121872287697103E-12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72</v>
      </c>
      <c r="AX23" s="2" t="s">
        <v>273</v>
      </c>
      <c r="AY23" s="130">
        <v>32</v>
      </c>
      <c r="AZ23" s="2">
        <v>18.899999999999999</v>
      </c>
      <c r="BA23" s="2">
        <v>47</v>
      </c>
      <c r="BB23" s="2">
        <v>85</v>
      </c>
      <c r="BC23" s="2">
        <v>3</v>
      </c>
      <c r="BD23" s="2">
        <v>13.9</v>
      </c>
      <c r="BE23" s="2">
        <v>15</v>
      </c>
      <c r="BF23" s="2">
        <v>18.2</v>
      </c>
      <c r="BG23" s="2">
        <v>32.200000000000003</v>
      </c>
      <c r="BH23" s="2">
        <v>75.400000000000006</v>
      </c>
      <c r="BI23" s="2">
        <v>712</v>
      </c>
      <c r="BJ23" s="2">
        <v>799</v>
      </c>
      <c r="BK23" s="2">
        <v>842</v>
      </c>
      <c r="BL23" s="2">
        <v>886</v>
      </c>
      <c r="BM23" s="2">
        <v>973</v>
      </c>
      <c r="BN23" s="2"/>
      <c r="BO23" s="2"/>
      <c r="BP23" s="2"/>
      <c r="BQ23" s="2"/>
      <c r="BR23" s="2"/>
      <c r="BS23" s="2"/>
      <c r="BT23" s="2">
        <v>1051</v>
      </c>
      <c r="BU23" s="2">
        <v>1188</v>
      </c>
      <c r="BV23" s="2">
        <v>1277</v>
      </c>
      <c r="BW23" s="2">
        <v>1366</v>
      </c>
      <c r="BX23" s="2">
        <v>1544</v>
      </c>
      <c r="BY23" s="2">
        <v>43</v>
      </c>
      <c r="BZ23" s="2">
        <v>6.8</v>
      </c>
      <c r="CA23" s="2">
        <v>2.5</v>
      </c>
      <c r="CB23" s="2">
        <v>6.8121872287697103E-12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72</v>
      </c>
      <c r="AX24" s="2" t="s">
        <v>220</v>
      </c>
      <c r="AY24" s="130">
        <v>29.5</v>
      </c>
      <c r="AZ24" s="2">
        <v>18.8</v>
      </c>
      <c r="BA24" s="2">
        <v>48</v>
      </c>
      <c r="BB24" s="2">
        <v>77</v>
      </c>
      <c r="BC24" s="2">
        <v>3</v>
      </c>
      <c r="BD24" s="2">
        <v>2.7</v>
      </c>
      <c r="BE24" s="2">
        <v>18</v>
      </c>
      <c r="BF24" s="2">
        <v>25</v>
      </c>
      <c r="BG24" s="2">
        <v>54.9</v>
      </c>
      <c r="BH24" s="2">
        <v>147.30000000000001</v>
      </c>
      <c r="BI24" s="2">
        <v>1052</v>
      </c>
      <c r="BJ24" s="2">
        <v>1138</v>
      </c>
      <c r="BK24" s="2">
        <v>1181</v>
      </c>
      <c r="BL24" s="2">
        <v>1225</v>
      </c>
      <c r="BM24" s="2">
        <v>1311</v>
      </c>
      <c r="BN24" s="2"/>
      <c r="BO24" s="2"/>
      <c r="BP24" s="2"/>
      <c r="BQ24" s="2"/>
      <c r="BR24" s="2"/>
      <c r="BS24" s="2"/>
      <c r="BT24" s="2">
        <v>1666</v>
      </c>
      <c r="BU24" s="2">
        <v>1838</v>
      </c>
      <c r="BV24" s="2">
        <v>1924</v>
      </c>
      <c r="BW24" s="2">
        <v>2011</v>
      </c>
      <c r="BX24" s="2">
        <v>2183</v>
      </c>
      <c r="BY24" s="2">
        <v>100.5</v>
      </c>
      <c r="BZ24" s="2">
        <v>10.7</v>
      </c>
      <c r="CA24" s="2">
        <v>3</v>
      </c>
      <c r="CB24" s="2">
        <v>5.3603163075680998E-12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80</v>
      </c>
      <c r="AX25" s="2" t="s">
        <v>220</v>
      </c>
      <c r="AY25" s="130">
        <v>29.5</v>
      </c>
      <c r="AZ25" s="2">
        <v>18.8</v>
      </c>
      <c r="BA25" s="2">
        <v>48</v>
      </c>
      <c r="BB25" s="2">
        <v>77</v>
      </c>
      <c r="BC25" s="2">
        <v>3</v>
      </c>
      <c r="BD25" s="2">
        <v>5.6</v>
      </c>
      <c r="BE25" s="2">
        <v>21</v>
      </c>
      <c r="BF25" s="2">
        <v>28</v>
      </c>
      <c r="BG25" s="2">
        <v>57.9</v>
      </c>
      <c r="BH25" s="2">
        <v>150.30000000000001</v>
      </c>
      <c r="BI25" s="2">
        <v>1195</v>
      </c>
      <c r="BJ25" s="2">
        <v>1281</v>
      </c>
      <c r="BK25" s="2">
        <v>1324</v>
      </c>
      <c r="BL25" s="2">
        <v>1368</v>
      </c>
      <c r="BM25" s="2">
        <v>1454</v>
      </c>
      <c r="BN25" s="2"/>
      <c r="BO25" s="2"/>
      <c r="BP25" s="2"/>
      <c r="BQ25" s="2"/>
      <c r="BR25" s="2"/>
      <c r="BS25" s="2"/>
      <c r="BT25" s="2">
        <v>1958</v>
      </c>
      <c r="BU25" s="2">
        <v>2130</v>
      </c>
      <c r="BV25" s="2">
        <v>2217</v>
      </c>
      <c r="BW25" s="2">
        <v>2304</v>
      </c>
      <c r="BX25" s="2">
        <v>2476</v>
      </c>
      <c r="BY25" s="2">
        <v>100.5</v>
      </c>
      <c r="BZ25" s="2">
        <v>10.7</v>
      </c>
      <c r="CA25" s="2">
        <v>3</v>
      </c>
      <c r="CB25" s="2">
        <v>5.3603163075680998E-12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/>
      <c r="AX26" s="2"/>
      <c r="AY26" s="130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/>
      <c r="AX27" s="2"/>
      <c r="AY27" s="130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570" priority="12">
      <formula>$L32="API sand"</formula>
    </cfRule>
  </conditionalFormatting>
  <conditionalFormatting sqref="R32:S36 AB32:AB35 AJ32:AL36 Z32:Z36 N32:N36">
    <cfRule type="expression" dxfId="2569" priority="11">
      <formula>$M32="API sand"</formula>
    </cfRule>
  </conditionalFormatting>
  <conditionalFormatting sqref="R32:T36 Z32:AB35 AK32:AL36 N32:N36">
    <cfRule type="expression" dxfId="2568" priority="10">
      <formula>$M32="API clay"</formula>
    </cfRule>
  </conditionalFormatting>
  <conditionalFormatting sqref="U32:W36 AM32:AP36 N32:P36">
    <cfRule type="expression" dxfId="2567" priority="7">
      <formula>$L32="Stiff clay w/o free water"</formula>
    </cfRule>
    <cfRule type="expression" dxfId="2566" priority="9">
      <formula>$L32="API clay"</formula>
    </cfRule>
  </conditionalFormatting>
  <conditionalFormatting sqref="U32:Y36 AM32:AP36 N32:P36">
    <cfRule type="expression" dxfId="2565" priority="8">
      <formula>$L32="Kirsch soft clay"</formula>
    </cfRule>
  </conditionalFormatting>
  <conditionalFormatting sqref="U32:Y36 AM32:AP36 N32:P36">
    <cfRule type="expression" dxfId="2564" priority="6">
      <formula>$L32="Kirsch stiff clay"</formula>
    </cfRule>
  </conditionalFormatting>
  <conditionalFormatting sqref="AM32:AP36 Q32:Q36 X32:Y36 N32:N36">
    <cfRule type="expression" dxfId="2563" priority="5">
      <formula>$L32="Kirsch sand"</formula>
    </cfRule>
  </conditionalFormatting>
  <conditionalFormatting sqref="AC32:AD36 AI32:AI36 AM32:AP36 N32:N36">
    <cfRule type="expression" dxfId="2562" priority="4">
      <formula>$L32="Modified Weak rock"</formula>
    </cfRule>
  </conditionalFormatting>
  <conditionalFormatting sqref="AM32:AP36 N32:P36 U32:V36">
    <cfRule type="expression" dxfId="2561" priority="3">
      <formula>$L32="Reese stiff clay"</formula>
    </cfRule>
  </conditionalFormatting>
  <conditionalFormatting sqref="AB36">
    <cfRule type="expression" dxfId="2560" priority="2">
      <formula>$M36="API sand"</formula>
    </cfRule>
  </conditionalFormatting>
  <conditionalFormatting sqref="Z36:AB36">
    <cfRule type="expression" dxfId="2559" priority="1">
      <formula>$M36="API clay"</formula>
    </cfRule>
  </conditionalFormatting>
  <conditionalFormatting sqref="AE37:AH37">
    <cfRule type="expression" dxfId="2558" priority="13">
      <formula>#REF!="Modified Weak rock"</formula>
    </cfRule>
  </conditionalFormatting>
  <dataValidations count="4">
    <dataValidation type="list" showInputMessage="1" showErrorMessage="1" sqref="M32:M36" xr:uid="{05EFD158-973D-4FB7-8DBE-AF3062C214F4}">
      <formula1>"',API sand,API clay"</formula1>
    </dataValidation>
    <dataValidation type="list" showInputMessage="1" showErrorMessage="1" sqref="L32:L255" xr:uid="{D0ACEA59-59FF-48FB-9187-3AB30614A6D3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7D44C179-BFF2-4644-B432-FFD13BD280CA}"/>
    <dataValidation type="textLength" showInputMessage="1" showErrorMessage="1" sqref="M27:M31" xr:uid="{A6B0C3F1-A0E3-49BD-AC3C-4B9212829DA7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44F1F-6BF5-4957-9C9D-21943571D678}">
  <sheetPr>
    <tabColor rgb="FF7030A0"/>
  </sheetPr>
  <dimension ref="A1:CC255"/>
  <sheetViews>
    <sheetView topLeftCell="AG1" zoomScale="85" zoomScaleNormal="85" workbookViewId="0">
      <selection activeCell="BB30" sqref="BB30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Ak_Pisa_WTG23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9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EW_sand_Ruled_70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34</v>
      </c>
      <c r="R6" s="47">
        <f t="shared" ref="R6:R26" ca="1" si="7">IF(I6="","",IF(Q6&lt;&gt;0,Q6-5,NA()))</f>
        <v>29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4800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92.999999999999972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8640</v>
      </c>
      <c r="AC6" s="63">
        <f t="shared" ref="AC6:AC26" ca="1" si="18">IF(I6="","",IF(OFFSET($BV$6,(ROW()-6)*2,0)=0,0,OFFSET($BV$6,(ROW()-6)*2,0)*1000))</f>
        <v>8000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16363.636363636364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36.000000000000007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70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0.2</v>
      </c>
      <c r="BF6" s="2">
        <v>0.6</v>
      </c>
      <c r="BG6" s="2">
        <v>1.2</v>
      </c>
      <c r="BH6" s="2">
        <v>2.6</v>
      </c>
      <c r="BI6" s="2"/>
      <c r="BJ6" s="2"/>
      <c r="BK6" s="2"/>
      <c r="BL6" s="2"/>
      <c r="BM6" s="2"/>
      <c r="BN6" s="2">
        <v>70</v>
      </c>
      <c r="BO6" s="2">
        <v>29</v>
      </c>
      <c r="BP6" s="2">
        <v>34</v>
      </c>
      <c r="BQ6" s="2">
        <v>37</v>
      </c>
      <c r="BR6" s="2">
        <v>40</v>
      </c>
      <c r="BS6" s="2">
        <v>47</v>
      </c>
      <c r="BT6" s="2">
        <v>0</v>
      </c>
      <c r="BU6" s="2">
        <v>3</v>
      </c>
      <c r="BV6" s="2">
        <v>8</v>
      </c>
      <c r="BW6" s="2">
        <v>13</v>
      </c>
      <c r="BX6" s="2">
        <v>26</v>
      </c>
      <c r="BY6" s="2">
        <v>4.8</v>
      </c>
      <c r="BZ6" s="2">
        <v>1</v>
      </c>
      <c r="CA6" s="2">
        <v>0.5</v>
      </c>
      <c r="CB6" s="2">
        <v>8.1211979461472097E-7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10b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-1.1000000000000001</v>
      </c>
      <c r="L7" s="116" t="str">
        <f t="shared" ca="1" si="1"/>
        <v>EW_sand_Ruled_64</v>
      </c>
      <c r="M7" s="105" t="str">
        <f t="shared" ca="1" si="2"/>
        <v>API sand</v>
      </c>
      <c r="N7" s="47">
        <f t="shared" ca="1" si="3"/>
        <v>9.8999999999999986</v>
      </c>
      <c r="O7" s="63">
        <f t="shared" ca="1" si="4"/>
        <v>0</v>
      </c>
      <c r="P7" s="63">
        <f t="shared" ca="1" si="5"/>
        <v>0</v>
      </c>
      <c r="Q7" s="47">
        <f t="shared" ca="1" si="6"/>
        <v>39</v>
      </c>
      <c r="R7" s="47">
        <f t="shared" ca="1" si="7"/>
        <v>34</v>
      </c>
      <c r="S7" s="47">
        <f t="shared" ca="1" si="8"/>
        <v>1.7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42000</v>
      </c>
      <c r="Y7" s="47">
        <f t="shared" ca="1" si="14"/>
        <v>0</v>
      </c>
      <c r="Z7" s="47">
        <f t="shared" ca="1" si="15"/>
        <v>111.19999999999996</v>
      </c>
      <c r="AA7" s="47">
        <f t="shared" ca="1" si="16"/>
        <v>1</v>
      </c>
      <c r="AB7" s="47">
        <f t="shared" ca="1" si="17"/>
        <v>11520</v>
      </c>
      <c r="AC7" s="63">
        <f t="shared" ca="1" si="18"/>
        <v>38000</v>
      </c>
      <c r="AD7" s="63">
        <f t="shared" ca="1" si="19"/>
        <v>9148.936170212768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48.000000000000007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64</v>
      </c>
      <c r="AS7" s="33">
        <f t="shared" ca="1" si="34"/>
        <v>0.4</v>
      </c>
      <c r="AW7" s="2">
        <v>1.1000000000000001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0.4</v>
      </c>
      <c r="BE7" s="2">
        <v>1.5</v>
      </c>
      <c r="BF7" s="2">
        <v>1.9</v>
      </c>
      <c r="BG7" s="2">
        <v>2.5</v>
      </c>
      <c r="BH7" s="2">
        <v>3.9</v>
      </c>
      <c r="BI7" s="2"/>
      <c r="BJ7" s="2"/>
      <c r="BK7" s="2"/>
      <c r="BL7" s="2"/>
      <c r="BM7" s="2"/>
      <c r="BN7" s="2">
        <v>70</v>
      </c>
      <c r="BO7" s="2">
        <v>29</v>
      </c>
      <c r="BP7" s="2">
        <v>34</v>
      </c>
      <c r="BQ7" s="2">
        <v>37</v>
      </c>
      <c r="BR7" s="2">
        <v>40</v>
      </c>
      <c r="BS7" s="2">
        <v>47</v>
      </c>
      <c r="BT7" s="2">
        <v>9</v>
      </c>
      <c r="BU7" s="2">
        <v>21</v>
      </c>
      <c r="BV7" s="2">
        <v>26</v>
      </c>
      <c r="BW7" s="2">
        <v>31</v>
      </c>
      <c r="BX7" s="2">
        <v>44</v>
      </c>
      <c r="BY7" s="2">
        <v>4.8</v>
      </c>
      <c r="BZ7" s="2">
        <v>1</v>
      </c>
      <c r="CA7" s="2">
        <v>0.5</v>
      </c>
      <c r="CB7" s="2">
        <v>8.1211979461472097E-7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20a</v>
      </c>
      <c r="J8" s="47">
        <f t="shared" ca="1" si="35"/>
        <v>3</v>
      </c>
      <c r="K8" s="19">
        <f t="shared" ca="1" si="36"/>
        <v>-5.8</v>
      </c>
      <c r="L8" s="116" t="str">
        <f t="shared" ca="1" si="1"/>
        <v>EW_sand_Ruled_67</v>
      </c>
      <c r="M8" s="105" t="str">
        <f t="shared" ca="1" si="2"/>
        <v>API sand</v>
      </c>
      <c r="N8" s="47">
        <f t="shared" ca="1" si="3"/>
        <v>10</v>
      </c>
      <c r="O8" s="63">
        <f t="shared" ca="1" si="4"/>
        <v>0</v>
      </c>
      <c r="P8" s="63">
        <f t="shared" ca="1" si="5"/>
        <v>0</v>
      </c>
      <c r="Q8" s="47">
        <f t="shared" ca="1" si="6"/>
        <v>28</v>
      </c>
      <c r="R8" s="47">
        <f t="shared" ca="1" si="7"/>
        <v>23</v>
      </c>
      <c r="S8" s="47">
        <f t="shared" ca="1" si="8"/>
        <v>1.9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15200</v>
      </c>
      <c r="Y8" s="47">
        <f t="shared" ca="1" si="14"/>
        <v>0</v>
      </c>
      <c r="Z8" s="47">
        <f t="shared" ca="1" si="15"/>
        <v>75.399999999999977</v>
      </c>
      <c r="AA8" s="47">
        <f t="shared" ca="1" si="16"/>
        <v>1</v>
      </c>
      <c r="AB8" s="47">
        <f t="shared" ca="1" si="17"/>
        <v>4040</v>
      </c>
      <c r="AC8" s="63">
        <f t="shared" ca="1" si="18"/>
        <v>66000</v>
      </c>
      <c r="AD8" s="63">
        <f t="shared" ca="1" si="19"/>
        <v>29999.999999999996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16.800000000000004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67</v>
      </c>
      <c r="AS8" s="33">
        <f t="shared" ca="1" si="34"/>
        <v>0.2</v>
      </c>
      <c r="AW8" s="2">
        <v>1.1000000000000001</v>
      </c>
      <c r="AX8" s="2" t="s">
        <v>261</v>
      </c>
      <c r="AY8" s="130">
        <v>24</v>
      </c>
      <c r="AZ8" s="2">
        <v>19.899999999999999</v>
      </c>
      <c r="BA8" s="2"/>
      <c r="BB8" s="2">
        <v>6</v>
      </c>
      <c r="BC8" s="2"/>
      <c r="BD8" s="2">
        <v>1.8</v>
      </c>
      <c r="BE8" s="2">
        <v>4.9000000000000004</v>
      </c>
      <c r="BF8" s="2">
        <v>5.4</v>
      </c>
      <c r="BG8" s="2">
        <v>5.9</v>
      </c>
      <c r="BH8" s="2">
        <v>9.8000000000000007</v>
      </c>
      <c r="BI8" s="2"/>
      <c r="BJ8" s="2"/>
      <c r="BK8" s="2"/>
      <c r="BL8" s="2"/>
      <c r="BM8" s="2"/>
      <c r="BN8" s="2">
        <v>64</v>
      </c>
      <c r="BO8" s="2">
        <v>33</v>
      </c>
      <c r="BP8" s="2">
        <v>39</v>
      </c>
      <c r="BQ8" s="2">
        <v>42</v>
      </c>
      <c r="BR8" s="2">
        <v>45</v>
      </c>
      <c r="BS8" s="2">
        <v>51</v>
      </c>
      <c r="BT8" s="2">
        <v>1</v>
      </c>
      <c r="BU8" s="2">
        <v>23</v>
      </c>
      <c r="BV8" s="2">
        <v>38</v>
      </c>
      <c r="BW8" s="2">
        <v>52</v>
      </c>
      <c r="BX8" s="2">
        <v>87</v>
      </c>
      <c r="BY8" s="2">
        <v>42</v>
      </c>
      <c r="BZ8" s="2">
        <v>7.5</v>
      </c>
      <c r="CA8" s="2">
        <v>1.7</v>
      </c>
      <c r="CB8" s="2">
        <v>9.9309501398144907E-6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20a</v>
      </c>
      <c r="J9" s="47">
        <f t="shared" ca="1" si="35"/>
        <v>4</v>
      </c>
      <c r="K9" s="19">
        <f t="shared" ca="1" si="36"/>
        <v>-7</v>
      </c>
      <c r="L9" s="116" t="str">
        <f t="shared" ca="1" si="1"/>
        <v>EW_sand_Ruled_90</v>
      </c>
      <c r="M9" s="105" t="str">
        <f t="shared" ca="1" si="2"/>
        <v>API sand</v>
      </c>
      <c r="N9" s="47">
        <f t="shared" ca="1" si="3"/>
        <v>10</v>
      </c>
      <c r="O9" s="63">
        <f t="shared" ca="1" si="4"/>
        <v>0</v>
      </c>
      <c r="P9" s="63">
        <f t="shared" ca="1" si="5"/>
        <v>0</v>
      </c>
      <c r="Q9" s="47">
        <f t="shared" ca="1" si="6"/>
        <v>30</v>
      </c>
      <c r="R9" s="47">
        <f t="shared" ca="1" si="7"/>
        <v>25</v>
      </c>
      <c r="S9" s="47">
        <f t="shared" ca="1" si="8"/>
        <v>2.5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75000</v>
      </c>
      <c r="Y9" s="47">
        <f t="shared" ca="1" si="14"/>
        <v>0</v>
      </c>
      <c r="Z9" s="47">
        <f t="shared" ca="1" si="15"/>
        <v>80.999999999999972</v>
      </c>
      <c r="AA9" s="47">
        <f t="shared" ca="1" si="16"/>
        <v>1</v>
      </c>
      <c r="AB9" s="47">
        <f t="shared" ca="1" si="17"/>
        <v>4800</v>
      </c>
      <c r="AC9" s="63">
        <f t="shared" ca="1" si="18"/>
        <v>99000</v>
      </c>
      <c r="AD9" s="63">
        <f t="shared" ca="1" si="19"/>
        <v>10363.636363636364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20.000000000000007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90</v>
      </c>
      <c r="AS9" s="33">
        <f t="shared" ca="1" si="34"/>
        <v>0.2</v>
      </c>
      <c r="AW9" s="2">
        <v>5.8</v>
      </c>
      <c r="AX9" s="2" t="s">
        <v>261</v>
      </c>
      <c r="AY9" s="130">
        <v>24</v>
      </c>
      <c r="AZ9" s="2">
        <v>19.899999999999999</v>
      </c>
      <c r="BA9" s="2"/>
      <c r="BB9" s="2">
        <v>6</v>
      </c>
      <c r="BC9" s="2"/>
      <c r="BD9" s="2">
        <v>9.9</v>
      </c>
      <c r="BE9" s="2">
        <v>13.1</v>
      </c>
      <c r="BF9" s="2">
        <v>13.5</v>
      </c>
      <c r="BG9" s="2">
        <v>14.1</v>
      </c>
      <c r="BH9" s="2">
        <v>18</v>
      </c>
      <c r="BI9" s="2"/>
      <c r="BJ9" s="2"/>
      <c r="BK9" s="2"/>
      <c r="BL9" s="2"/>
      <c r="BM9" s="2"/>
      <c r="BN9" s="2">
        <v>64</v>
      </c>
      <c r="BO9" s="2">
        <v>33</v>
      </c>
      <c r="BP9" s="2">
        <v>39</v>
      </c>
      <c r="BQ9" s="2">
        <v>42</v>
      </c>
      <c r="BR9" s="2">
        <v>45</v>
      </c>
      <c r="BS9" s="2">
        <v>51</v>
      </c>
      <c r="BT9" s="2">
        <v>44</v>
      </c>
      <c r="BU9" s="2">
        <v>67</v>
      </c>
      <c r="BV9" s="2">
        <v>81</v>
      </c>
      <c r="BW9" s="2">
        <v>95</v>
      </c>
      <c r="BX9" s="2">
        <v>130</v>
      </c>
      <c r="BY9" s="2">
        <v>42</v>
      </c>
      <c r="BZ9" s="2">
        <v>7.5</v>
      </c>
      <c r="CA9" s="2">
        <v>1.7</v>
      </c>
      <c r="CB9" s="2">
        <v>9.9309501398144907E-6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20a</v>
      </c>
      <c r="J10" s="47">
        <f t="shared" ca="1" si="35"/>
        <v>5</v>
      </c>
      <c r="K10" s="19">
        <f t="shared" ca="1" si="36"/>
        <v>-12.5</v>
      </c>
      <c r="L10" s="116" t="str">
        <f t="shared" ca="1" si="1"/>
        <v>EW_sand_Ruled_69</v>
      </c>
      <c r="M10" s="105" t="str">
        <f t="shared" ca="1" si="2"/>
        <v>API sand</v>
      </c>
      <c r="N10" s="47">
        <f t="shared" ca="1" si="3"/>
        <v>10</v>
      </c>
      <c r="O10" s="63">
        <f t="shared" ca="1" si="4"/>
        <v>0</v>
      </c>
      <c r="P10" s="63">
        <f t="shared" ca="1" si="5"/>
        <v>0</v>
      </c>
      <c r="Q10" s="47">
        <f t="shared" ca="1" si="6"/>
        <v>28</v>
      </c>
      <c r="R10" s="47">
        <f t="shared" ca="1" si="7"/>
        <v>23</v>
      </c>
      <c r="S10" s="47">
        <f t="shared" ca="1" si="8"/>
        <v>1.2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28300</v>
      </c>
      <c r="Y10" s="47">
        <f t="shared" ca="1" si="14"/>
        <v>0</v>
      </c>
      <c r="Z10" s="47">
        <f t="shared" ca="1" si="15"/>
        <v>75.399999999999977</v>
      </c>
      <c r="AA10" s="47">
        <f t="shared" ca="1" si="16"/>
        <v>1</v>
      </c>
      <c r="AB10" s="47">
        <f t="shared" ca="1" si="17"/>
        <v>4040</v>
      </c>
      <c r="AC10" s="63">
        <f t="shared" ca="1" si="18"/>
        <v>111000</v>
      </c>
      <c r="AD10" s="63">
        <f t="shared" ca="1" si="19"/>
        <v>3733.3333333333335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16.800000000000004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69</v>
      </c>
      <c r="AS10" s="33">
        <f t="shared" ca="1" si="34"/>
        <v>0.2</v>
      </c>
      <c r="AW10" s="2">
        <v>5.8</v>
      </c>
      <c r="AX10" s="2" t="s">
        <v>278</v>
      </c>
      <c r="AY10" s="130">
        <v>25.2</v>
      </c>
      <c r="AZ10" s="2">
        <v>20</v>
      </c>
      <c r="BA10" s="2"/>
      <c r="BB10" s="2">
        <v>22</v>
      </c>
      <c r="BC10" s="2"/>
      <c r="BD10" s="2">
        <v>0.2</v>
      </c>
      <c r="BE10" s="2">
        <v>2.6</v>
      </c>
      <c r="BF10" s="2">
        <v>4.5999999999999996</v>
      </c>
      <c r="BG10" s="2">
        <v>6.2</v>
      </c>
      <c r="BH10" s="2">
        <f>15+11.2</f>
        <v>26.2</v>
      </c>
      <c r="BI10" s="2"/>
      <c r="BJ10" s="2"/>
      <c r="BK10" s="2"/>
      <c r="BL10" s="2"/>
      <c r="BM10" s="2"/>
      <c r="BN10" s="2">
        <v>67</v>
      </c>
      <c r="BO10" s="2">
        <v>26</v>
      </c>
      <c r="BP10" s="2">
        <v>28</v>
      </c>
      <c r="BQ10" s="2">
        <v>31</v>
      </c>
      <c r="BR10" s="2">
        <v>33</v>
      </c>
      <c r="BS10" s="2">
        <v>38</v>
      </c>
      <c r="BT10" s="2">
        <v>5</v>
      </c>
      <c r="BU10" s="2">
        <v>46</v>
      </c>
      <c r="BV10" s="2">
        <v>66</v>
      </c>
      <c r="BW10" s="2">
        <v>86</v>
      </c>
      <c r="BX10" s="2">
        <v>134</v>
      </c>
      <c r="BY10" s="2">
        <v>15.2</v>
      </c>
      <c r="BZ10" s="2">
        <v>8.4</v>
      </c>
      <c r="CA10" s="2">
        <v>1.9</v>
      </c>
      <c r="CB10" s="2">
        <v>2.5378735733340201E-9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21c</v>
      </c>
      <c r="J11" s="47">
        <f t="shared" ca="1" si="35"/>
        <v>6</v>
      </c>
      <c r="K11" s="19">
        <f t="shared" ca="1" si="36"/>
        <v>-20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9.3000000000000007</v>
      </c>
      <c r="O11" s="63">
        <f t="shared" ca="1" si="4"/>
        <v>402</v>
      </c>
      <c r="P11" s="63">
        <f t="shared" ca="1" si="5"/>
        <v>-60.25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0.25</v>
      </c>
      <c r="X11" s="47">
        <f t="shared" ca="1" si="13"/>
        <v>25300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519000</v>
      </c>
      <c r="AD11" s="63">
        <f t="shared" ca="1" si="19"/>
        <v>-74750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7</v>
      </c>
      <c r="AX11" s="2" t="s">
        <v>278</v>
      </c>
      <c r="AY11" s="130">
        <v>25.2</v>
      </c>
      <c r="AZ11" s="2">
        <v>20</v>
      </c>
      <c r="BA11" s="2"/>
      <c r="BB11" s="2">
        <v>22</v>
      </c>
      <c r="BC11" s="2"/>
      <c r="BD11" s="2">
        <v>22.2</v>
      </c>
      <c r="BE11" s="2">
        <v>24.6</v>
      </c>
      <c r="BF11" s="2">
        <v>26.6</v>
      </c>
      <c r="BG11" s="2">
        <v>28.2</v>
      </c>
      <c r="BH11" s="2">
        <f>15+33.2</f>
        <v>48.2</v>
      </c>
      <c r="BI11" s="2"/>
      <c r="BJ11" s="2"/>
      <c r="BK11" s="2"/>
      <c r="BL11" s="2"/>
      <c r="BM11" s="2"/>
      <c r="BN11" s="2">
        <v>67</v>
      </c>
      <c r="BO11" s="2">
        <v>26</v>
      </c>
      <c r="BP11" s="2">
        <v>28</v>
      </c>
      <c r="BQ11" s="2">
        <v>31</v>
      </c>
      <c r="BR11" s="2">
        <v>33</v>
      </c>
      <c r="BS11" s="2">
        <v>38</v>
      </c>
      <c r="BT11" s="2">
        <v>42</v>
      </c>
      <c r="BU11" s="2">
        <v>82</v>
      </c>
      <c r="BV11" s="2">
        <v>102</v>
      </c>
      <c r="BW11" s="2">
        <v>122</v>
      </c>
      <c r="BX11" s="2">
        <v>171</v>
      </c>
      <c r="BY11" s="2">
        <v>15.2</v>
      </c>
      <c r="BZ11" s="2">
        <v>8.4</v>
      </c>
      <c r="CA11" s="2">
        <v>1.9</v>
      </c>
      <c r="CB11" s="2">
        <v>2.5378735733340201E-9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21c</v>
      </c>
      <c r="J12" s="47">
        <f t="shared" ca="1" si="35"/>
        <v>7</v>
      </c>
      <c r="K12" s="19">
        <f t="shared" ca="1" si="36"/>
        <v>-24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9.3000000000000007</v>
      </c>
      <c r="O12" s="63">
        <f t="shared" ca="1" si="4"/>
        <v>476</v>
      </c>
      <c r="P12" s="63">
        <f t="shared" ca="1" si="5"/>
        <v>36.488549618320604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0.25</v>
      </c>
      <c r="X12" s="47">
        <f t="shared" ca="1" si="13"/>
        <v>56600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637000</v>
      </c>
      <c r="AD12" s="63">
        <f t="shared" ca="1" si="19"/>
        <v>56641.221374045796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7</v>
      </c>
      <c r="AX12" s="2" t="s">
        <v>278</v>
      </c>
      <c r="AY12" s="130">
        <v>25.2</v>
      </c>
      <c r="AZ12" s="2">
        <v>20</v>
      </c>
      <c r="BA12" s="2"/>
      <c r="BB12" s="2">
        <v>22</v>
      </c>
      <c r="BC12" s="2"/>
      <c r="BD12" s="2">
        <v>0.2</v>
      </c>
      <c r="BE12" s="2">
        <v>13.1</v>
      </c>
      <c r="BF12" s="2">
        <v>20.399999999999999</v>
      </c>
      <c r="BG12" s="2">
        <v>31.4</v>
      </c>
      <c r="BH12" s="2">
        <v>63.2</v>
      </c>
      <c r="BI12" s="2"/>
      <c r="BJ12" s="2"/>
      <c r="BK12" s="2"/>
      <c r="BL12" s="2"/>
      <c r="BM12" s="2"/>
      <c r="BN12" s="2">
        <v>90</v>
      </c>
      <c r="BO12" s="2">
        <v>26</v>
      </c>
      <c r="BP12" s="2">
        <v>30</v>
      </c>
      <c r="BQ12" s="2">
        <v>33</v>
      </c>
      <c r="BR12" s="2">
        <v>35</v>
      </c>
      <c r="BS12" s="2">
        <v>40</v>
      </c>
      <c r="BT12" s="2">
        <v>7</v>
      </c>
      <c r="BU12" s="2">
        <v>70</v>
      </c>
      <c r="BV12" s="2">
        <v>99</v>
      </c>
      <c r="BW12" s="2">
        <v>128</v>
      </c>
      <c r="BX12" s="2">
        <v>203</v>
      </c>
      <c r="BY12" s="2">
        <v>75</v>
      </c>
      <c r="BZ12" s="2">
        <v>14.9</v>
      </c>
      <c r="CA12" s="2">
        <v>2.5</v>
      </c>
      <c r="CB12" s="2">
        <v>5.3785720774762498E-9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23d</v>
      </c>
      <c r="J13" s="47">
        <f t="shared" ca="1" si="35"/>
        <v>8</v>
      </c>
      <c r="K13" s="19">
        <f t="shared" ca="1" si="36"/>
        <v>-37.1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8.8999999999999986</v>
      </c>
      <c r="O13" s="63">
        <f t="shared" ca="1" si="4"/>
        <v>800</v>
      </c>
      <c r="P13" s="63">
        <f t="shared" ca="1" si="5"/>
        <v>-241.3793103448277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25000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1197000</v>
      </c>
      <c r="AD13" s="63">
        <f t="shared" ca="1" si="19"/>
        <v>-371724.13793103467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12.5</v>
      </c>
      <c r="AX13" s="2" t="s">
        <v>278</v>
      </c>
      <c r="AY13" s="130">
        <v>25.2</v>
      </c>
      <c r="AZ13" s="2">
        <v>20</v>
      </c>
      <c r="BA13" s="2"/>
      <c r="BB13" s="2">
        <v>22</v>
      </c>
      <c r="BC13" s="2"/>
      <c r="BD13" s="2">
        <v>45.5</v>
      </c>
      <c r="BE13" s="2">
        <v>58.4</v>
      </c>
      <c r="BF13" s="2">
        <v>65.7</v>
      </c>
      <c r="BG13" s="2">
        <v>76.7</v>
      </c>
      <c r="BH13" s="2">
        <v>108.6</v>
      </c>
      <c r="BI13" s="2"/>
      <c r="BJ13" s="2"/>
      <c r="BK13" s="2"/>
      <c r="BL13" s="2"/>
      <c r="BM13" s="2"/>
      <c r="BN13" s="2">
        <v>90</v>
      </c>
      <c r="BO13" s="2">
        <v>26</v>
      </c>
      <c r="BP13" s="2">
        <v>30</v>
      </c>
      <c r="BQ13" s="2">
        <v>33</v>
      </c>
      <c r="BR13" s="2">
        <v>35</v>
      </c>
      <c r="BS13" s="2">
        <v>40</v>
      </c>
      <c r="BT13" s="2">
        <v>64</v>
      </c>
      <c r="BU13" s="2">
        <v>127</v>
      </c>
      <c r="BV13" s="2">
        <v>156</v>
      </c>
      <c r="BW13" s="2">
        <v>186</v>
      </c>
      <c r="BX13" s="2">
        <v>260</v>
      </c>
      <c r="BY13" s="2">
        <v>75</v>
      </c>
      <c r="BZ13" s="2">
        <v>14.9</v>
      </c>
      <c r="CA13" s="2">
        <v>2.5</v>
      </c>
      <c r="CB13" s="2">
        <v>5.3785720774762498E-9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23d</v>
      </c>
      <c r="J14" s="47">
        <f t="shared" ca="1" si="35"/>
        <v>9</v>
      </c>
      <c r="K14" s="19">
        <f t="shared" ca="1" si="36"/>
        <v>-40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8.8999999999999986</v>
      </c>
      <c r="O14" s="63">
        <f t="shared" ca="1" si="4"/>
        <v>248</v>
      </c>
      <c r="P14" s="63">
        <f t="shared" ca="1" si="5"/>
        <v>3.0750000000000002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0.5</v>
      </c>
      <c r="X14" s="47">
        <f t="shared" ca="1" si="13"/>
        <v>29900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367000</v>
      </c>
      <c r="AD14" s="63">
        <f t="shared" ca="1" si="19"/>
        <v>4675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12.5</v>
      </c>
      <c r="AX14" s="2" t="s">
        <v>278</v>
      </c>
      <c r="AY14" s="130">
        <v>25.2</v>
      </c>
      <c r="AZ14" s="2">
        <v>20</v>
      </c>
      <c r="BA14" s="2"/>
      <c r="BB14" s="2">
        <v>22</v>
      </c>
      <c r="BC14" s="2"/>
      <c r="BD14" s="2">
        <v>3.9</v>
      </c>
      <c r="BE14" s="2">
        <v>13</v>
      </c>
      <c r="BF14" s="2">
        <v>14.1</v>
      </c>
      <c r="BG14" s="2">
        <v>15.5</v>
      </c>
      <c r="BH14" s="2">
        <v>27.2</v>
      </c>
      <c r="BI14" s="2"/>
      <c r="BJ14" s="2"/>
      <c r="BK14" s="2"/>
      <c r="BL14" s="2"/>
      <c r="BM14" s="2"/>
      <c r="BN14" s="2">
        <v>69</v>
      </c>
      <c r="BO14" s="2">
        <v>26</v>
      </c>
      <c r="BP14" s="2">
        <v>28</v>
      </c>
      <c r="BQ14" s="2">
        <v>30</v>
      </c>
      <c r="BR14" s="2">
        <v>33</v>
      </c>
      <c r="BS14" s="2">
        <v>37</v>
      </c>
      <c r="BT14" s="2">
        <v>12</v>
      </c>
      <c r="BU14" s="2">
        <v>81</v>
      </c>
      <c r="BV14" s="2">
        <v>111</v>
      </c>
      <c r="BW14" s="2">
        <v>140</v>
      </c>
      <c r="BX14" s="2">
        <v>216</v>
      </c>
      <c r="BY14" s="2">
        <v>28.3</v>
      </c>
      <c r="BZ14" s="2">
        <v>4.5999999999999996</v>
      </c>
      <c r="CA14" s="2">
        <v>1.2</v>
      </c>
      <c r="CB14" s="2">
        <v>1.5015673982876E-7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/>
      </c>
      <c r="J15" s="47" t="str">
        <f t="shared" ca="1" si="35"/>
        <v/>
      </c>
      <c r="K15" s="19" t="str">
        <f t="shared" ca="1" si="36"/>
        <v/>
      </c>
      <c r="L15" s="116" t="str">
        <f t="shared" ca="1" si="1"/>
        <v/>
      </c>
      <c r="M15" s="105" t="str">
        <f t="shared" ca="1" si="2"/>
        <v/>
      </c>
      <c r="N15" s="47" t="str">
        <f t="shared" ca="1" si="3"/>
        <v/>
      </c>
      <c r="O15" s="63" t="str">
        <f t="shared" ca="1" si="4"/>
        <v/>
      </c>
      <c r="P15" s="63" t="str">
        <f t="shared" ca="1" si="5"/>
        <v/>
      </c>
      <c r="Q15" s="47" t="str">
        <f t="shared" ca="1" si="6"/>
        <v/>
      </c>
      <c r="R15" s="47" t="str">
        <f t="shared" ca="1" si="7"/>
        <v/>
      </c>
      <c r="S15" s="47" t="str">
        <f t="shared" ca="1" si="8"/>
        <v/>
      </c>
      <c r="T15" s="47" t="str">
        <f t="shared" ca="1" si="9"/>
        <v/>
      </c>
      <c r="U15" s="75" t="str">
        <f t="shared" ca="1" si="10"/>
        <v/>
      </c>
      <c r="V15" s="75" t="str">
        <f t="shared" ca="1" si="11"/>
        <v/>
      </c>
      <c r="W15" s="47" t="str">
        <f t="shared" ca="1" si="12"/>
        <v/>
      </c>
      <c r="X15" s="47" t="str">
        <f t="shared" ca="1" si="13"/>
        <v/>
      </c>
      <c r="Y15" s="47" t="str">
        <f t="shared" ca="1" si="14"/>
        <v/>
      </c>
      <c r="Z15" s="47" t="str">
        <f t="shared" ca="1" si="15"/>
        <v/>
      </c>
      <c r="AA15" s="47" t="str">
        <f t="shared" ca="1" si="16"/>
        <v/>
      </c>
      <c r="AB15" s="47" t="str">
        <f t="shared" ca="1" si="17"/>
        <v/>
      </c>
      <c r="AC15" s="63" t="str">
        <f t="shared" ca="1" si="18"/>
        <v/>
      </c>
      <c r="AD15" s="63" t="str">
        <f t="shared" ca="1" si="19"/>
        <v/>
      </c>
      <c r="AE15" s="63" t="str">
        <f t="shared" ca="1" si="20"/>
        <v/>
      </c>
      <c r="AF15" s="63" t="str">
        <f t="shared" ca="1" si="21"/>
        <v/>
      </c>
      <c r="AG15" s="63" t="str">
        <f t="shared" ca="1" si="22"/>
        <v/>
      </c>
      <c r="AH15" s="63" t="str">
        <f t="shared" ca="1" si="23"/>
        <v/>
      </c>
      <c r="AI15" s="63" t="str">
        <f t="shared" ca="1" si="24"/>
        <v/>
      </c>
      <c r="AJ15" s="47" t="str">
        <f t="shared" ca="1" si="25"/>
        <v/>
      </c>
      <c r="AK15" s="47" t="str">
        <f t="shared" ca="1" si="26"/>
        <v/>
      </c>
      <c r="AL15" s="47" t="str">
        <f t="shared" ca="1" si="27"/>
        <v/>
      </c>
      <c r="AM15" s="47" t="str">
        <f t="shared" ca="1" si="28"/>
        <v/>
      </c>
      <c r="AN15" s="47" t="str">
        <f t="shared" ca="1" si="29"/>
        <v/>
      </c>
      <c r="AO15" s="47" t="str">
        <f t="shared" ca="1" si="30"/>
        <v/>
      </c>
      <c r="AP15" s="47" t="str">
        <f t="shared" ca="1" si="31"/>
        <v/>
      </c>
      <c r="AQ15" s="47" t="str">
        <f t="shared" ca="1" si="32"/>
        <v/>
      </c>
      <c r="AR15" s="47" t="str">
        <f t="shared" ca="1" si="33"/>
        <v/>
      </c>
      <c r="AS15" s="33" t="str">
        <f t="shared" ca="1" si="34"/>
        <v/>
      </c>
      <c r="AW15" s="2">
        <v>20</v>
      </c>
      <c r="AX15" s="2" t="s">
        <v>278</v>
      </c>
      <c r="AY15" s="130">
        <v>25.2</v>
      </c>
      <c r="AZ15" s="2">
        <v>20</v>
      </c>
      <c r="BA15" s="2"/>
      <c r="BB15" s="2">
        <v>22</v>
      </c>
      <c r="BC15" s="2"/>
      <c r="BD15" s="2">
        <v>8.6</v>
      </c>
      <c r="BE15" s="2">
        <v>17.7</v>
      </c>
      <c r="BF15" s="2">
        <v>18.899999999999999</v>
      </c>
      <c r="BG15" s="2">
        <v>20.3</v>
      </c>
      <c r="BH15" s="2">
        <v>31.9</v>
      </c>
      <c r="BI15" s="2"/>
      <c r="BJ15" s="2"/>
      <c r="BK15" s="2"/>
      <c r="BL15" s="2"/>
      <c r="BM15" s="2"/>
      <c r="BN15" s="2">
        <v>69</v>
      </c>
      <c r="BO15" s="2">
        <v>26</v>
      </c>
      <c r="BP15" s="2">
        <v>28</v>
      </c>
      <c r="BQ15" s="2">
        <v>30</v>
      </c>
      <c r="BR15" s="2">
        <v>33</v>
      </c>
      <c r="BS15" s="2">
        <v>37</v>
      </c>
      <c r="BT15" s="2">
        <v>40</v>
      </c>
      <c r="BU15" s="2">
        <v>109</v>
      </c>
      <c r="BV15" s="2">
        <v>139</v>
      </c>
      <c r="BW15" s="2">
        <v>169</v>
      </c>
      <c r="BX15" s="2">
        <v>244</v>
      </c>
      <c r="BY15" s="2">
        <v>28.3</v>
      </c>
      <c r="BZ15" s="2">
        <v>4.5999999999999996</v>
      </c>
      <c r="CA15" s="2">
        <v>1.2</v>
      </c>
      <c r="CB15" s="2">
        <v>1.5015673982876E-7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/>
      </c>
      <c r="J16" s="47" t="str">
        <f t="shared" ca="1" si="35"/>
        <v/>
      </c>
      <c r="K16" s="19" t="str">
        <f t="shared" ca="1" si="36"/>
        <v/>
      </c>
      <c r="L16" s="116" t="str">
        <f t="shared" ca="1" si="1"/>
        <v/>
      </c>
      <c r="M16" s="105" t="str">
        <f t="shared" ca="1" si="2"/>
        <v/>
      </c>
      <c r="N16" s="47" t="str">
        <f t="shared" ca="1" si="3"/>
        <v/>
      </c>
      <c r="O16" s="63" t="str">
        <f t="shared" ca="1" si="4"/>
        <v/>
      </c>
      <c r="P16" s="63" t="str">
        <f t="shared" ca="1" si="5"/>
        <v/>
      </c>
      <c r="Q16" s="47" t="str">
        <f t="shared" ca="1" si="6"/>
        <v/>
      </c>
      <c r="R16" s="47" t="str">
        <f t="shared" ca="1" si="7"/>
        <v/>
      </c>
      <c r="S16" s="47" t="str">
        <f t="shared" ca="1" si="8"/>
        <v/>
      </c>
      <c r="T16" s="47" t="str">
        <f t="shared" ca="1" si="9"/>
        <v/>
      </c>
      <c r="U16" s="75" t="str">
        <f t="shared" ca="1" si="10"/>
        <v/>
      </c>
      <c r="V16" s="75" t="str">
        <f t="shared" ca="1" si="11"/>
        <v/>
      </c>
      <c r="W16" s="47" t="str">
        <f t="shared" ca="1" si="12"/>
        <v/>
      </c>
      <c r="X16" s="47" t="str">
        <f t="shared" ca="1" si="13"/>
        <v/>
      </c>
      <c r="Y16" s="47" t="str">
        <f t="shared" ca="1" si="14"/>
        <v/>
      </c>
      <c r="Z16" s="47" t="str">
        <f t="shared" ca="1" si="15"/>
        <v/>
      </c>
      <c r="AA16" s="47" t="str">
        <f t="shared" ca="1" si="16"/>
        <v/>
      </c>
      <c r="AB16" s="47" t="str">
        <f t="shared" ca="1" si="17"/>
        <v/>
      </c>
      <c r="AC16" s="63" t="str">
        <f t="shared" ca="1" si="18"/>
        <v/>
      </c>
      <c r="AD16" s="63" t="str">
        <f t="shared" ca="1" si="19"/>
        <v/>
      </c>
      <c r="AE16" s="63" t="str">
        <f t="shared" ca="1" si="20"/>
        <v/>
      </c>
      <c r="AF16" s="63" t="str">
        <f t="shared" ca="1" si="21"/>
        <v/>
      </c>
      <c r="AG16" s="63" t="str">
        <f t="shared" ca="1" si="22"/>
        <v/>
      </c>
      <c r="AH16" s="63" t="str">
        <f t="shared" ca="1" si="23"/>
        <v/>
      </c>
      <c r="AI16" s="63" t="str">
        <f t="shared" ca="1" si="24"/>
        <v/>
      </c>
      <c r="AJ16" s="47" t="str">
        <f t="shared" ca="1" si="25"/>
        <v/>
      </c>
      <c r="AK16" s="47" t="str">
        <f t="shared" ca="1" si="26"/>
        <v/>
      </c>
      <c r="AL16" s="47" t="str">
        <f t="shared" ca="1" si="27"/>
        <v/>
      </c>
      <c r="AM16" s="47" t="str">
        <f t="shared" ca="1" si="28"/>
        <v/>
      </c>
      <c r="AN16" s="47" t="str">
        <f t="shared" ca="1" si="29"/>
        <v/>
      </c>
      <c r="AO16" s="47" t="str">
        <f t="shared" ca="1" si="30"/>
        <v/>
      </c>
      <c r="AP16" s="47" t="str">
        <f t="shared" ca="1" si="31"/>
        <v/>
      </c>
      <c r="AQ16" s="47" t="str">
        <f t="shared" ca="1" si="32"/>
        <v/>
      </c>
      <c r="AR16" s="47" t="str">
        <f t="shared" ca="1" si="33"/>
        <v/>
      </c>
      <c r="AS16" s="33" t="str">
        <f t="shared" ca="1" si="34"/>
        <v/>
      </c>
      <c r="AW16" s="2">
        <v>20</v>
      </c>
      <c r="AX16" s="2" t="s">
        <v>216</v>
      </c>
      <c r="AY16" s="130">
        <v>31.7</v>
      </c>
      <c r="AZ16" s="2">
        <v>19.3</v>
      </c>
      <c r="BA16" s="2">
        <v>20</v>
      </c>
      <c r="BB16" s="2">
        <v>45</v>
      </c>
      <c r="BC16" s="2">
        <v>4</v>
      </c>
      <c r="BD16" s="2">
        <v>6.2</v>
      </c>
      <c r="BE16" s="2">
        <v>8.3000000000000007</v>
      </c>
      <c r="BF16" s="2">
        <v>8.6999999999999993</v>
      </c>
      <c r="BG16" s="2">
        <v>9.1</v>
      </c>
      <c r="BH16" s="2">
        <v>11.3</v>
      </c>
      <c r="BI16" s="2">
        <v>274</v>
      </c>
      <c r="BJ16" s="2">
        <v>402</v>
      </c>
      <c r="BK16" s="2">
        <v>459</v>
      </c>
      <c r="BL16" s="2">
        <v>518</v>
      </c>
      <c r="BM16" s="2">
        <v>682</v>
      </c>
      <c r="BN16" s="2"/>
      <c r="BO16" s="2"/>
      <c r="BP16" s="2"/>
      <c r="BQ16" s="2"/>
      <c r="BR16" s="2"/>
      <c r="BS16" s="2"/>
      <c r="BT16" s="2">
        <v>322</v>
      </c>
      <c r="BU16" s="2">
        <v>423</v>
      </c>
      <c r="BV16" s="2">
        <v>519</v>
      </c>
      <c r="BW16" s="2">
        <v>614</v>
      </c>
      <c r="BX16" s="2">
        <v>850</v>
      </c>
      <c r="BY16" s="2">
        <v>25.3</v>
      </c>
      <c r="BZ16" s="2">
        <v>8.1</v>
      </c>
      <c r="CA16" s="2">
        <v>3</v>
      </c>
      <c r="CB16" s="2">
        <v>4.3778281796276899E-10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24</v>
      </c>
      <c r="AX17" s="2" t="s">
        <v>216</v>
      </c>
      <c r="AY17" s="130">
        <v>31.7</v>
      </c>
      <c r="AZ17" s="2">
        <v>19.3</v>
      </c>
      <c r="BA17" s="2">
        <v>20</v>
      </c>
      <c r="BB17" s="2">
        <v>45</v>
      </c>
      <c r="BC17" s="2">
        <v>4</v>
      </c>
      <c r="BD17" s="2">
        <v>1.9</v>
      </c>
      <c r="BE17" s="2">
        <v>4</v>
      </c>
      <c r="BF17" s="2">
        <v>4.4000000000000004</v>
      </c>
      <c r="BG17" s="2">
        <v>4.8</v>
      </c>
      <c r="BH17" s="2">
        <v>7</v>
      </c>
      <c r="BI17" s="2">
        <v>33</v>
      </c>
      <c r="BJ17" s="2">
        <v>161</v>
      </c>
      <c r="BK17" s="2">
        <v>218</v>
      </c>
      <c r="BL17" s="2">
        <v>277</v>
      </c>
      <c r="BM17" s="2">
        <v>441</v>
      </c>
      <c r="BN17" s="2"/>
      <c r="BO17" s="2"/>
      <c r="BP17" s="2"/>
      <c r="BQ17" s="2"/>
      <c r="BR17" s="2"/>
      <c r="BS17" s="2"/>
      <c r="BT17" s="2">
        <v>23</v>
      </c>
      <c r="BU17" s="2">
        <v>125</v>
      </c>
      <c r="BV17" s="2">
        <v>220</v>
      </c>
      <c r="BW17" s="2">
        <v>316</v>
      </c>
      <c r="BX17" s="2">
        <v>552</v>
      </c>
      <c r="BY17" s="2">
        <v>25.3</v>
      </c>
      <c r="BZ17" s="2">
        <v>8.1</v>
      </c>
      <c r="CA17" s="2">
        <v>3</v>
      </c>
      <c r="CB17" s="2">
        <v>4.3778281796276899E-10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24</v>
      </c>
      <c r="AX18" s="2" t="s">
        <v>216</v>
      </c>
      <c r="AY18" s="130">
        <v>31.7</v>
      </c>
      <c r="AZ18" s="2">
        <v>19.3</v>
      </c>
      <c r="BA18" s="2">
        <v>20</v>
      </c>
      <c r="BB18" s="2">
        <v>45</v>
      </c>
      <c r="BC18" s="2">
        <v>4</v>
      </c>
      <c r="BD18" s="2">
        <v>6.2</v>
      </c>
      <c r="BE18" s="2">
        <v>9.6999999999999993</v>
      </c>
      <c r="BF18" s="2">
        <v>10</v>
      </c>
      <c r="BG18" s="2">
        <v>10.3</v>
      </c>
      <c r="BH18" s="2">
        <v>13.3</v>
      </c>
      <c r="BI18" s="2">
        <v>265</v>
      </c>
      <c r="BJ18" s="2">
        <v>476</v>
      </c>
      <c r="BK18" s="2">
        <v>530</v>
      </c>
      <c r="BL18" s="2">
        <v>585</v>
      </c>
      <c r="BM18" s="2">
        <v>774</v>
      </c>
      <c r="BN18" s="2"/>
      <c r="BO18" s="2"/>
      <c r="BP18" s="2"/>
      <c r="BQ18" s="2"/>
      <c r="BR18" s="2"/>
      <c r="BS18" s="2"/>
      <c r="BT18" s="2">
        <v>220</v>
      </c>
      <c r="BU18" s="2">
        <v>546</v>
      </c>
      <c r="BV18" s="2">
        <v>637</v>
      </c>
      <c r="BW18" s="2">
        <v>728</v>
      </c>
      <c r="BX18" s="2">
        <v>1019</v>
      </c>
      <c r="BY18" s="2">
        <v>56.6</v>
      </c>
      <c r="BZ18" s="2">
        <v>14</v>
      </c>
      <c r="CA18" s="2">
        <v>3</v>
      </c>
      <c r="CB18" s="2">
        <v>7.3194543749171303E-10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37.1</v>
      </c>
      <c r="AX19" s="2" t="s">
        <v>216</v>
      </c>
      <c r="AY19" s="130">
        <v>31.7</v>
      </c>
      <c r="AZ19" s="2">
        <v>19.3</v>
      </c>
      <c r="BA19" s="2">
        <v>20</v>
      </c>
      <c r="BB19" s="2">
        <v>45</v>
      </c>
      <c r="BC19" s="2">
        <v>4</v>
      </c>
      <c r="BD19" s="2">
        <v>15.1</v>
      </c>
      <c r="BE19" s="2">
        <v>18.600000000000001</v>
      </c>
      <c r="BF19" s="2">
        <v>18.899999999999999</v>
      </c>
      <c r="BG19" s="2">
        <v>19.2</v>
      </c>
      <c r="BH19" s="2">
        <v>22.2</v>
      </c>
      <c r="BI19" s="2">
        <v>743</v>
      </c>
      <c r="BJ19" s="2">
        <v>954</v>
      </c>
      <c r="BK19" s="2">
        <v>1008</v>
      </c>
      <c r="BL19" s="2">
        <v>1063</v>
      </c>
      <c r="BM19" s="2">
        <v>1252</v>
      </c>
      <c r="BN19" s="2"/>
      <c r="BO19" s="2"/>
      <c r="BP19" s="2"/>
      <c r="BQ19" s="2"/>
      <c r="BR19" s="2"/>
      <c r="BS19" s="2"/>
      <c r="BT19" s="2">
        <v>962</v>
      </c>
      <c r="BU19" s="2">
        <v>1288</v>
      </c>
      <c r="BV19" s="2">
        <v>1379</v>
      </c>
      <c r="BW19" s="2">
        <v>1470</v>
      </c>
      <c r="BX19" s="2">
        <v>1761</v>
      </c>
      <c r="BY19" s="2">
        <v>56.6</v>
      </c>
      <c r="BZ19" s="2">
        <v>14</v>
      </c>
      <c r="CA19" s="2">
        <v>3</v>
      </c>
      <c r="CB19" s="2">
        <v>7.3194543749171303E-10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37.1</v>
      </c>
      <c r="AX20" s="2" t="s">
        <v>273</v>
      </c>
      <c r="AY20" s="130">
        <v>32</v>
      </c>
      <c r="AZ20" s="2">
        <v>18.899999999999999</v>
      </c>
      <c r="BA20" s="2">
        <v>47</v>
      </c>
      <c r="BB20" s="2">
        <v>85</v>
      </c>
      <c r="BC20" s="2">
        <v>3</v>
      </c>
      <c r="BD20" s="2">
        <v>15.5</v>
      </c>
      <c r="BE20" s="2">
        <v>16.7</v>
      </c>
      <c r="BF20" s="2">
        <v>17.399999999999999</v>
      </c>
      <c r="BG20" s="2">
        <v>18</v>
      </c>
      <c r="BH20" s="2">
        <v>20.8</v>
      </c>
      <c r="BI20" s="2">
        <v>760</v>
      </c>
      <c r="BJ20" s="2">
        <v>800</v>
      </c>
      <c r="BK20" s="2">
        <v>832</v>
      </c>
      <c r="BL20" s="2">
        <v>906</v>
      </c>
      <c r="BM20" s="2">
        <v>1095</v>
      </c>
      <c r="BN20" s="2"/>
      <c r="BO20" s="2"/>
      <c r="BP20" s="2"/>
      <c r="BQ20" s="2"/>
      <c r="BR20" s="2"/>
      <c r="BS20" s="2"/>
      <c r="BT20" s="2">
        <v>1118</v>
      </c>
      <c r="BU20" s="2">
        <v>1157</v>
      </c>
      <c r="BV20" s="2">
        <v>1197</v>
      </c>
      <c r="BW20" s="2">
        <v>1351</v>
      </c>
      <c r="BX20" s="2">
        <v>1710</v>
      </c>
      <c r="BY20" s="2">
        <v>25</v>
      </c>
      <c r="BZ20" s="2">
        <v>4.7</v>
      </c>
      <c r="CA20" s="2">
        <v>3</v>
      </c>
      <c r="CB20" s="2">
        <v>1.97818271383374E-10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40</v>
      </c>
      <c r="AX21" s="2" t="s">
        <v>273</v>
      </c>
      <c r="AY21" s="130">
        <v>32</v>
      </c>
      <c r="AZ21" s="2">
        <v>18.899999999999999</v>
      </c>
      <c r="BA21" s="2">
        <v>47</v>
      </c>
      <c r="BB21" s="2">
        <v>85</v>
      </c>
      <c r="BC21" s="2">
        <v>3</v>
      </c>
      <c r="BD21" s="2">
        <v>1.5</v>
      </c>
      <c r="BE21" s="2">
        <v>2.7</v>
      </c>
      <c r="BF21" s="2">
        <v>3.3</v>
      </c>
      <c r="BG21" s="2">
        <v>3.9</v>
      </c>
      <c r="BH21" s="2">
        <v>6.7</v>
      </c>
      <c r="BI21" s="2">
        <v>56</v>
      </c>
      <c r="BJ21" s="2">
        <v>100</v>
      </c>
      <c r="BK21" s="2">
        <v>127</v>
      </c>
      <c r="BL21" s="2">
        <v>201</v>
      </c>
      <c r="BM21" s="2">
        <v>390</v>
      </c>
      <c r="BN21" s="2"/>
      <c r="BO21" s="2"/>
      <c r="BP21" s="2"/>
      <c r="BQ21" s="2"/>
      <c r="BR21" s="2"/>
      <c r="BS21" s="2"/>
      <c r="BT21" s="2">
        <v>40</v>
      </c>
      <c r="BU21" s="2">
        <v>79</v>
      </c>
      <c r="BV21" s="2">
        <v>119</v>
      </c>
      <c r="BW21" s="2">
        <v>272</v>
      </c>
      <c r="BX21" s="2">
        <v>631</v>
      </c>
      <c r="BY21" s="2">
        <v>25</v>
      </c>
      <c r="BZ21" s="2">
        <v>4.7</v>
      </c>
      <c r="CA21" s="2">
        <v>3</v>
      </c>
      <c r="CB21" s="2">
        <v>1.97818271383374E-10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40</v>
      </c>
      <c r="AX22" s="2" t="s">
        <v>273</v>
      </c>
      <c r="AY22" s="130">
        <v>32</v>
      </c>
      <c r="AZ22" s="2">
        <v>18.899999999999999</v>
      </c>
      <c r="BA22" s="2">
        <v>47</v>
      </c>
      <c r="BB22" s="2">
        <v>85</v>
      </c>
      <c r="BC22" s="2">
        <v>3</v>
      </c>
      <c r="BD22" s="2">
        <f>-3+5.9</f>
        <v>2.9000000000000004</v>
      </c>
      <c r="BE22" s="2">
        <v>6.5</v>
      </c>
      <c r="BF22" s="2">
        <v>6.6</v>
      </c>
      <c r="BG22" s="2">
        <v>6.8</v>
      </c>
      <c r="BH22" s="2">
        <f>15+7.9</f>
        <v>22.9</v>
      </c>
      <c r="BI22" s="2">
        <v>157</v>
      </c>
      <c r="BJ22" s="2">
        <v>248</v>
      </c>
      <c r="BK22" s="2">
        <v>292</v>
      </c>
      <c r="BL22" s="2">
        <v>336</v>
      </c>
      <c r="BM22" s="2">
        <v>435</v>
      </c>
      <c r="BN22" s="2"/>
      <c r="BO22" s="2"/>
      <c r="BP22" s="2"/>
      <c r="BQ22" s="2"/>
      <c r="BR22" s="2"/>
      <c r="BS22" s="2"/>
      <c r="BT22" s="2">
        <v>101</v>
      </c>
      <c r="BU22" s="2">
        <v>279</v>
      </c>
      <c r="BV22" s="2">
        <v>367</v>
      </c>
      <c r="BW22" s="2">
        <v>455</v>
      </c>
      <c r="BX22" s="2">
        <v>644</v>
      </c>
      <c r="BY22" s="2">
        <v>29.9</v>
      </c>
      <c r="BZ22" s="2">
        <v>4.9000000000000004</v>
      </c>
      <c r="CA22" s="2">
        <v>3</v>
      </c>
      <c r="CB22" s="2">
        <v>2.5694104583841801E-10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80</v>
      </c>
      <c r="AX23" s="2" t="s">
        <v>273</v>
      </c>
      <c r="AY23" s="130">
        <v>32</v>
      </c>
      <c r="AZ23" s="2">
        <v>18.899999999999999</v>
      </c>
      <c r="BA23" s="2">
        <v>47</v>
      </c>
      <c r="BB23" s="2">
        <v>85</v>
      </c>
      <c r="BC23" s="2">
        <v>3</v>
      </c>
      <c r="BD23" s="2">
        <f>-3+8.5</f>
        <v>5.5</v>
      </c>
      <c r="BE23" s="2">
        <v>9.1999999999999993</v>
      </c>
      <c r="BF23" s="2">
        <v>9.3000000000000007</v>
      </c>
      <c r="BG23" s="2">
        <v>9.4</v>
      </c>
      <c r="BH23" s="2">
        <f>15+10.5</f>
        <v>25.5</v>
      </c>
      <c r="BI23" s="2">
        <v>280</v>
      </c>
      <c r="BJ23" s="2">
        <v>371</v>
      </c>
      <c r="BK23" s="2">
        <v>415</v>
      </c>
      <c r="BL23" s="2">
        <v>459</v>
      </c>
      <c r="BM23" s="2">
        <v>558</v>
      </c>
      <c r="BN23" s="2"/>
      <c r="BO23" s="2"/>
      <c r="BP23" s="2"/>
      <c r="BQ23" s="2"/>
      <c r="BR23" s="2"/>
      <c r="BS23" s="2"/>
      <c r="BT23" s="2">
        <v>289</v>
      </c>
      <c r="BU23" s="2">
        <v>467</v>
      </c>
      <c r="BV23" s="2">
        <v>554</v>
      </c>
      <c r="BW23" s="2">
        <v>642</v>
      </c>
      <c r="BX23" s="2">
        <v>831</v>
      </c>
      <c r="BY23" s="2">
        <v>29.9</v>
      </c>
      <c r="BZ23" s="2">
        <v>4.9000000000000004</v>
      </c>
      <c r="CA23" s="2">
        <v>3</v>
      </c>
      <c r="CB23" s="2">
        <v>2.5694104583841801E-10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/>
      <c r="AX24" s="2"/>
      <c r="AY24" s="130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/>
      <c r="AX25" s="2"/>
      <c r="AY25" s="130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/>
      <c r="AX26" s="2"/>
      <c r="AY26" s="130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/>
      <c r="AX27" s="2"/>
      <c r="AY27" s="130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557" priority="12">
      <formula>$L32="API sand"</formula>
    </cfRule>
  </conditionalFormatting>
  <conditionalFormatting sqref="R32:S36 AB32:AB35 AJ32:AL36 Z32:Z36 N32:N36">
    <cfRule type="expression" dxfId="2556" priority="11">
      <formula>$M32="API sand"</formula>
    </cfRule>
  </conditionalFormatting>
  <conditionalFormatting sqref="R32:T36 Z32:AB35 AK32:AL36 N32:N36">
    <cfRule type="expression" dxfId="2555" priority="10">
      <formula>$M32="API clay"</formula>
    </cfRule>
  </conditionalFormatting>
  <conditionalFormatting sqref="U32:W36 AM32:AP36 N32:P36">
    <cfRule type="expression" dxfId="2554" priority="7">
      <formula>$L32="Stiff clay w/o free water"</formula>
    </cfRule>
    <cfRule type="expression" dxfId="2553" priority="9">
      <formula>$L32="API clay"</formula>
    </cfRule>
  </conditionalFormatting>
  <conditionalFormatting sqref="U32:Y36 AM32:AP36 N32:P36">
    <cfRule type="expression" dxfId="2552" priority="8">
      <formula>$L32="Kirsch soft clay"</formula>
    </cfRule>
  </conditionalFormatting>
  <conditionalFormatting sqref="U32:Y36 AM32:AP36 N32:P36">
    <cfRule type="expression" dxfId="2551" priority="6">
      <formula>$L32="Kirsch stiff clay"</formula>
    </cfRule>
  </conditionalFormatting>
  <conditionalFormatting sqref="AM32:AP36 Q32:Q36 X32:Y36 N32:N36">
    <cfRule type="expression" dxfId="2550" priority="5">
      <formula>$L32="Kirsch sand"</formula>
    </cfRule>
  </conditionalFormatting>
  <conditionalFormatting sqref="AC32:AD36 AI32:AI36 AM32:AP36 N32:N36">
    <cfRule type="expression" dxfId="2549" priority="4">
      <formula>$L32="Modified Weak rock"</formula>
    </cfRule>
  </conditionalFormatting>
  <conditionalFormatting sqref="AM32:AP36 N32:P36 U32:V36">
    <cfRule type="expression" dxfId="2548" priority="3">
      <formula>$L32="Reese stiff clay"</formula>
    </cfRule>
  </conditionalFormatting>
  <conditionalFormatting sqref="AB36">
    <cfRule type="expression" dxfId="2547" priority="2">
      <formula>$M36="API sand"</formula>
    </cfRule>
  </conditionalFormatting>
  <conditionalFormatting sqref="Z36:AB36">
    <cfRule type="expression" dxfId="2546" priority="1">
      <formula>$M36="API clay"</formula>
    </cfRule>
  </conditionalFormatting>
  <conditionalFormatting sqref="AE37:AH37">
    <cfRule type="expression" dxfId="2545" priority="13">
      <formula>#REF!="Modified Weak rock"</formula>
    </cfRule>
  </conditionalFormatting>
  <dataValidations count="4">
    <dataValidation type="textLength" showInputMessage="1" showErrorMessage="1" sqref="M27:M31" xr:uid="{466D46C1-1D3D-4930-AC17-FCE4B44F4916}">
      <formula1>0</formula1>
      <formula2>100</formula2>
    </dataValidation>
    <dataValidation showInputMessage="1" showErrorMessage="1" sqref="L6:M26" xr:uid="{612F96B0-CF5B-4905-A520-EA137B05623E}"/>
    <dataValidation type="list" showInputMessage="1" showErrorMessage="1" sqref="L32:L255" xr:uid="{72C56F71-82FE-489C-BFA6-545A3FBDB1E5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6F4626DD-E156-41B1-B899-27196F6974BA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DF798-B1E2-4D64-92D1-5A91F99A5267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Ak_Pisa_WTG24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16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EW_sand_Ruled_62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31</v>
      </c>
      <c r="R6" s="47">
        <f t="shared" ref="R6:R26" ca="1" si="7">IF(I6="","",IF(Q6&lt;&gt;0,Q6-5,NA()))</f>
        <v>26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1900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83.999999999999972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5760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24.000000000000007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62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0.3</v>
      </c>
      <c r="BG6" s="2">
        <v>0.6</v>
      </c>
      <c r="BH6" s="2">
        <v>1.1000000000000001</v>
      </c>
      <c r="BI6" s="2"/>
      <c r="BJ6" s="2"/>
      <c r="BK6" s="2"/>
      <c r="BL6" s="2"/>
      <c r="BM6" s="2"/>
      <c r="BN6" s="2">
        <v>62</v>
      </c>
      <c r="BO6" s="2">
        <v>20</v>
      </c>
      <c r="BP6" s="2">
        <v>31</v>
      </c>
      <c r="BQ6" s="2">
        <v>34</v>
      </c>
      <c r="BR6" s="2">
        <v>37</v>
      </c>
      <c r="BS6" s="2">
        <v>46</v>
      </c>
      <c r="BT6" s="2">
        <v>0</v>
      </c>
      <c r="BU6" s="2">
        <v>2</v>
      </c>
      <c r="BV6" s="2">
        <v>5</v>
      </c>
      <c r="BW6" s="2">
        <v>8</v>
      </c>
      <c r="BX6" s="2">
        <v>14</v>
      </c>
      <c r="BY6" s="2">
        <v>1.9</v>
      </c>
      <c r="BZ6" s="2">
        <v>1</v>
      </c>
      <c r="CA6" s="2">
        <v>0.5</v>
      </c>
      <c r="CB6" s="134"/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-0.5</v>
      </c>
      <c r="L7" s="116" t="str">
        <f t="shared" ca="1" si="1"/>
        <v>EW_sand_Ruled_58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37</v>
      </c>
      <c r="R7" s="47">
        <f t="shared" ca="1" si="7"/>
        <v>32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12400</v>
      </c>
      <c r="Y7" s="47">
        <f t="shared" ca="1" si="14"/>
        <v>0</v>
      </c>
      <c r="Z7" s="47">
        <f t="shared" ca="1" si="15"/>
        <v>103.59999999999997</v>
      </c>
      <c r="AA7" s="47">
        <f t="shared" ca="1" si="16"/>
        <v>1</v>
      </c>
      <c r="AB7" s="47">
        <f t="shared" ca="1" si="17"/>
        <v>10560</v>
      </c>
      <c r="AC7" s="63">
        <f t="shared" ca="1" si="18"/>
        <v>20000</v>
      </c>
      <c r="AD7" s="63">
        <f t="shared" ca="1" si="19"/>
        <v>16666.666666666668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44.000000000000007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58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0.3</v>
      </c>
      <c r="BE7" s="2">
        <v>0.7</v>
      </c>
      <c r="BF7" s="2">
        <v>1</v>
      </c>
      <c r="BG7" s="2">
        <v>1.2</v>
      </c>
      <c r="BH7" s="2">
        <v>1.8</v>
      </c>
      <c r="BI7" s="2"/>
      <c r="BJ7" s="2"/>
      <c r="BK7" s="2"/>
      <c r="BL7" s="2"/>
      <c r="BM7" s="2"/>
      <c r="BN7" s="2">
        <v>62</v>
      </c>
      <c r="BO7" s="2">
        <v>20</v>
      </c>
      <c r="BP7" s="2">
        <v>31</v>
      </c>
      <c r="BQ7" s="2">
        <v>34</v>
      </c>
      <c r="BR7" s="2">
        <v>37</v>
      </c>
      <c r="BS7" s="2">
        <v>46</v>
      </c>
      <c r="BT7" s="2">
        <v>7</v>
      </c>
      <c r="BU7" s="2">
        <v>13</v>
      </c>
      <c r="BV7" s="2">
        <v>16</v>
      </c>
      <c r="BW7" s="2">
        <v>19</v>
      </c>
      <c r="BX7" s="2">
        <v>25</v>
      </c>
      <c r="BY7" s="2">
        <v>1.9</v>
      </c>
      <c r="BZ7" s="2">
        <v>1</v>
      </c>
      <c r="CA7" s="2">
        <v>0.5</v>
      </c>
      <c r="CB7" s="134"/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-1.4</v>
      </c>
      <c r="L8" s="116" t="str">
        <f t="shared" ca="1" si="1"/>
        <v>EW_sand_Ruled_56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37</v>
      </c>
      <c r="R8" s="47">
        <f t="shared" ca="1" si="7"/>
        <v>32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16500</v>
      </c>
      <c r="Y8" s="47">
        <f t="shared" ca="1" si="14"/>
        <v>0</v>
      </c>
      <c r="Z8" s="47">
        <f t="shared" ca="1" si="15"/>
        <v>103.59999999999997</v>
      </c>
      <c r="AA8" s="47">
        <f t="shared" ca="1" si="16"/>
        <v>1</v>
      </c>
      <c r="AB8" s="47">
        <f t="shared" ca="1" si="17"/>
        <v>10560</v>
      </c>
      <c r="AC8" s="63">
        <f t="shared" ca="1" si="18"/>
        <v>35000</v>
      </c>
      <c r="AD8" s="63">
        <f t="shared" ca="1" si="19"/>
        <v>3333.333333333333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44.000000000000007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56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0</v>
      </c>
      <c r="BE8" s="2">
        <v>1.2</v>
      </c>
      <c r="BF8" s="2">
        <v>1.7</v>
      </c>
      <c r="BG8" s="2">
        <v>2.5</v>
      </c>
      <c r="BH8" s="2">
        <v>5.2</v>
      </c>
      <c r="BI8" s="2"/>
      <c r="BJ8" s="2"/>
      <c r="BK8" s="2"/>
      <c r="BL8" s="2"/>
      <c r="BM8" s="2"/>
      <c r="BN8" s="2">
        <v>58</v>
      </c>
      <c r="BO8" s="2">
        <v>31</v>
      </c>
      <c r="BP8" s="2">
        <v>37</v>
      </c>
      <c r="BQ8" s="2">
        <v>40</v>
      </c>
      <c r="BR8" s="2">
        <v>43</v>
      </c>
      <c r="BS8" s="2">
        <v>48</v>
      </c>
      <c r="BT8" s="2">
        <v>0</v>
      </c>
      <c r="BU8" s="2">
        <v>13</v>
      </c>
      <c r="BV8" s="2">
        <v>20</v>
      </c>
      <c r="BW8" s="2">
        <v>27</v>
      </c>
      <c r="BX8" s="2">
        <v>44</v>
      </c>
      <c r="BY8" s="2">
        <v>12.4</v>
      </c>
      <c r="BZ8" s="2">
        <v>1</v>
      </c>
      <c r="CA8" s="2">
        <v>0.5</v>
      </c>
      <c r="CB8" s="2">
        <v>5.2394880527349398E-6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02a</v>
      </c>
      <c r="J9" s="47">
        <f t="shared" ca="1" si="35"/>
        <v>4</v>
      </c>
      <c r="K9" s="19">
        <f t="shared" ca="1" si="36"/>
        <v>-2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10.199999999999999</v>
      </c>
      <c r="O9" s="63">
        <f t="shared" ca="1" si="4"/>
        <v>126</v>
      </c>
      <c r="P9" s="63">
        <f t="shared" ca="1" si="5"/>
        <v>-43.846153846153854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20600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137000</v>
      </c>
      <c r="AD9" s="63">
        <f t="shared" ca="1" si="19"/>
        <v>-45384.615384615397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1.4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2.4</v>
      </c>
      <c r="BE9" s="2">
        <v>3.8</v>
      </c>
      <c r="BF9" s="2">
        <v>4.3</v>
      </c>
      <c r="BG9" s="2">
        <v>5.2</v>
      </c>
      <c r="BH9" s="2">
        <v>7.8</v>
      </c>
      <c r="BI9" s="2"/>
      <c r="BJ9" s="2"/>
      <c r="BK9" s="2"/>
      <c r="BL9" s="2"/>
      <c r="BM9" s="2"/>
      <c r="BN9" s="2">
        <v>58</v>
      </c>
      <c r="BO9" s="2">
        <v>31</v>
      </c>
      <c r="BP9" s="2">
        <v>37</v>
      </c>
      <c r="BQ9" s="2">
        <v>40</v>
      </c>
      <c r="BR9" s="2">
        <v>43</v>
      </c>
      <c r="BS9" s="2">
        <v>48</v>
      </c>
      <c r="BT9" s="2">
        <v>11</v>
      </c>
      <c r="BU9" s="2">
        <v>28</v>
      </c>
      <c r="BV9" s="2">
        <v>35</v>
      </c>
      <c r="BW9" s="2">
        <v>42</v>
      </c>
      <c r="BX9" s="2">
        <v>58</v>
      </c>
      <c r="BY9" s="2">
        <v>12.4</v>
      </c>
      <c r="BZ9" s="2">
        <v>1</v>
      </c>
      <c r="CA9" s="2">
        <v>0.5</v>
      </c>
      <c r="CB9" s="2">
        <v>5.2394880527349398E-6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11a</v>
      </c>
      <c r="J10" s="47">
        <f t="shared" ca="1" si="35"/>
        <v>5</v>
      </c>
      <c r="K10" s="19">
        <f t="shared" ca="1" si="36"/>
        <v>-3.3</v>
      </c>
      <c r="L10" s="116" t="str">
        <f t="shared" ca="1" si="1"/>
        <v>EW_sand_Ruled_59</v>
      </c>
      <c r="M10" s="105" t="str">
        <f t="shared" ca="1" si="2"/>
        <v>API sand</v>
      </c>
      <c r="N10" s="47">
        <f t="shared" ca="1" si="3"/>
        <v>9.6000000000000014</v>
      </c>
      <c r="O10" s="63">
        <f t="shared" ca="1" si="4"/>
        <v>0</v>
      </c>
      <c r="P10" s="63">
        <f t="shared" ca="1" si="5"/>
        <v>0</v>
      </c>
      <c r="Q10" s="47">
        <f t="shared" ca="1" si="6"/>
        <v>36</v>
      </c>
      <c r="R10" s="47">
        <f t="shared" ca="1" si="7"/>
        <v>31</v>
      </c>
      <c r="S10" s="47">
        <f t="shared" ca="1" si="8"/>
        <v>1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28500</v>
      </c>
      <c r="Y10" s="47">
        <f t="shared" ca="1" si="14"/>
        <v>0</v>
      </c>
      <c r="Z10" s="47">
        <f t="shared" ca="1" si="15"/>
        <v>99.799999999999969</v>
      </c>
      <c r="AA10" s="47">
        <f t="shared" ca="1" si="16"/>
        <v>1</v>
      </c>
      <c r="AB10" s="47">
        <f t="shared" ca="1" si="17"/>
        <v>10080</v>
      </c>
      <c r="AC10" s="63">
        <f t="shared" ca="1" si="18"/>
        <v>52000</v>
      </c>
      <c r="AD10" s="63">
        <f t="shared" ca="1" si="19"/>
        <v>5820.8955223880594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42.000000000000007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59</v>
      </c>
      <c r="AS10" s="33">
        <f t="shared" ca="1" si="34"/>
        <v>0.4</v>
      </c>
      <c r="AW10" s="2">
        <v>1.4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2.8</v>
      </c>
      <c r="BE10" s="2">
        <v>3.5</v>
      </c>
      <c r="BF10" s="2">
        <v>3.8</v>
      </c>
      <c r="BG10" s="2">
        <v>4.2</v>
      </c>
      <c r="BH10" s="2">
        <v>5.0999999999999996</v>
      </c>
      <c r="BI10" s="2"/>
      <c r="BJ10" s="2"/>
      <c r="BK10" s="2"/>
      <c r="BL10" s="2"/>
      <c r="BM10" s="2"/>
      <c r="BN10" s="2">
        <v>56</v>
      </c>
      <c r="BO10" s="2">
        <v>31</v>
      </c>
      <c r="BP10" s="2">
        <v>37</v>
      </c>
      <c r="BQ10" s="2">
        <v>40</v>
      </c>
      <c r="BR10" s="2">
        <v>43</v>
      </c>
      <c r="BS10" s="2">
        <v>48</v>
      </c>
      <c r="BT10" s="2">
        <v>5</v>
      </c>
      <c r="BU10" s="2">
        <v>26</v>
      </c>
      <c r="BV10" s="2">
        <v>35</v>
      </c>
      <c r="BW10" s="2">
        <v>44</v>
      </c>
      <c r="BX10" s="2">
        <v>65</v>
      </c>
      <c r="BY10" s="2">
        <v>16.5</v>
      </c>
      <c r="BZ10" s="2">
        <v>1</v>
      </c>
      <c r="CA10" s="2">
        <v>0.5</v>
      </c>
      <c r="CB10" s="2">
        <v>2.0068456690111301E-5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11a</v>
      </c>
      <c r="J11" s="47">
        <f t="shared" ca="1" si="35"/>
        <v>6</v>
      </c>
      <c r="K11" s="19">
        <f t="shared" ca="1" si="36"/>
        <v>-10</v>
      </c>
      <c r="L11" s="116" t="str">
        <f t="shared" ca="1" si="1"/>
        <v>EW_sand_Ruled_100</v>
      </c>
      <c r="M11" s="105" t="str">
        <f t="shared" ca="1" si="2"/>
        <v>API sand</v>
      </c>
      <c r="N11" s="47">
        <f t="shared" ca="1" si="3"/>
        <v>9.6000000000000014</v>
      </c>
      <c r="O11" s="63">
        <f t="shared" ca="1" si="4"/>
        <v>0</v>
      </c>
      <c r="P11" s="63">
        <f t="shared" ca="1" si="5"/>
        <v>0</v>
      </c>
      <c r="Q11" s="47">
        <f t="shared" ca="1" si="6"/>
        <v>43</v>
      </c>
      <c r="R11" s="47">
        <f t="shared" ca="1" si="7"/>
        <v>38</v>
      </c>
      <c r="S11" s="47">
        <f t="shared" ca="1" si="8"/>
        <v>1.5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167200</v>
      </c>
      <c r="Y11" s="47">
        <f t="shared" ca="1" si="14"/>
        <v>0</v>
      </c>
      <c r="Z11" s="47">
        <f t="shared" ca="1" si="15"/>
        <v>114.99999999999996</v>
      </c>
      <c r="AA11" s="47">
        <f t="shared" ca="1" si="16"/>
        <v>1</v>
      </c>
      <c r="AB11" s="47">
        <f t="shared" ca="1" si="17"/>
        <v>12000</v>
      </c>
      <c r="AC11" s="63">
        <f t="shared" ca="1" si="18"/>
        <v>101000</v>
      </c>
      <c r="AD11" s="63">
        <f t="shared" ca="1" si="19"/>
        <v>28000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50.000000000000007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100</v>
      </c>
      <c r="AS11" s="33">
        <f t="shared" ca="1" si="34"/>
        <v>0.4</v>
      </c>
      <c r="AW11" s="2">
        <v>2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2.5</v>
      </c>
      <c r="BE11" s="2">
        <v>3.2</v>
      </c>
      <c r="BF11" s="2">
        <v>3.5</v>
      </c>
      <c r="BG11" s="2">
        <v>3.9</v>
      </c>
      <c r="BH11" s="2">
        <v>4.8</v>
      </c>
      <c r="BI11" s="2"/>
      <c r="BJ11" s="2"/>
      <c r="BK11" s="2"/>
      <c r="BL11" s="2"/>
      <c r="BM11" s="2"/>
      <c r="BN11" s="2">
        <v>56</v>
      </c>
      <c r="BO11" s="2">
        <v>31</v>
      </c>
      <c r="BP11" s="2">
        <v>37</v>
      </c>
      <c r="BQ11" s="2">
        <v>40</v>
      </c>
      <c r="BR11" s="2">
        <v>43</v>
      </c>
      <c r="BS11" s="2">
        <v>48</v>
      </c>
      <c r="BT11" s="2">
        <v>7</v>
      </c>
      <c r="BU11" s="2">
        <v>28</v>
      </c>
      <c r="BV11" s="2">
        <v>37</v>
      </c>
      <c r="BW11" s="2">
        <v>46</v>
      </c>
      <c r="BX11" s="2">
        <v>67</v>
      </c>
      <c r="BY11" s="2">
        <v>16.5</v>
      </c>
      <c r="BZ11" s="2">
        <v>1</v>
      </c>
      <c r="CA11" s="2">
        <v>0.5</v>
      </c>
      <c r="CB11" s="2">
        <v>2.0068456690111301E-5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21a</v>
      </c>
      <c r="J12" s="47">
        <f t="shared" ca="1" si="35"/>
        <v>7</v>
      </c>
      <c r="K12" s="19">
        <f t="shared" ca="1" si="36"/>
        <v>-12</v>
      </c>
      <c r="L12" s="116" t="str">
        <f t="shared" ca="1" si="1"/>
        <v>EW_sand_Ruled_75</v>
      </c>
      <c r="M12" s="105" t="str">
        <f t="shared" ca="1" si="2"/>
        <v>API sand</v>
      </c>
      <c r="N12" s="47">
        <f t="shared" ca="1" si="3"/>
        <v>9.8000000000000007</v>
      </c>
      <c r="O12" s="63">
        <f t="shared" ca="1" si="4"/>
        <v>0</v>
      </c>
      <c r="P12" s="63">
        <f t="shared" ca="1" si="5"/>
        <v>0</v>
      </c>
      <c r="Q12" s="47">
        <f t="shared" ca="1" si="6"/>
        <v>29</v>
      </c>
      <c r="R12" s="47">
        <f t="shared" ca="1" si="7"/>
        <v>24</v>
      </c>
      <c r="S12" s="47">
        <f t="shared" ca="1" si="8"/>
        <v>1.8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35300</v>
      </c>
      <c r="Y12" s="47">
        <f t="shared" ca="1" si="14"/>
        <v>0</v>
      </c>
      <c r="Z12" s="47">
        <f t="shared" ca="1" si="15"/>
        <v>78.199999999999974</v>
      </c>
      <c r="AA12" s="47">
        <f t="shared" ca="1" si="16"/>
        <v>1</v>
      </c>
      <c r="AB12" s="47">
        <f t="shared" ca="1" si="17"/>
        <v>4420</v>
      </c>
      <c r="AC12" s="63">
        <f t="shared" ca="1" si="18"/>
        <v>106000</v>
      </c>
      <c r="AD12" s="63">
        <f t="shared" ca="1" si="19"/>
        <v>18500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18.400000000000006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75</v>
      </c>
      <c r="AS12" s="33">
        <f t="shared" ca="1" si="34"/>
        <v>0.2</v>
      </c>
      <c r="AW12" s="2">
        <v>2</v>
      </c>
      <c r="AX12" s="2" t="s">
        <v>255</v>
      </c>
      <c r="AY12" s="130">
        <v>23.1</v>
      </c>
      <c r="AZ12" s="2">
        <v>20.2</v>
      </c>
      <c r="BA12" s="2">
        <v>18</v>
      </c>
      <c r="BB12" s="2">
        <v>28</v>
      </c>
      <c r="BC12" s="2">
        <v>5</v>
      </c>
      <c r="BD12" s="2">
        <v>1.7</v>
      </c>
      <c r="BE12" s="2">
        <v>2.6</v>
      </c>
      <c r="BF12" s="2">
        <v>2.9</v>
      </c>
      <c r="BG12" s="2">
        <v>3.2</v>
      </c>
      <c r="BH12" s="2">
        <v>4.0999999999999996</v>
      </c>
      <c r="BI12" s="2">
        <v>62</v>
      </c>
      <c r="BJ12" s="2">
        <v>126</v>
      </c>
      <c r="BK12" s="2">
        <v>157</v>
      </c>
      <c r="BL12" s="2">
        <v>188</v>
      </c>
      <c r="BM12" s="2">
        <v>264</v>
      </c>
      <c r="BN12" s="2"/>
      <c r="BO12" s="2"/>
      <c r="BP12" s="2"/>
      <c r="BQ12" s="2"/>
      <c r="BR12" s="2"/>
      <c r="BS12" s="2"/>
      <c r="BT12" s="2">
        <v>61</v>
      </c>
      <c r="BU12" s="2">
        <v>96</v>
      </c>
      <c r="BV12" s="2">
        <v>137</v>
      </c>
      <c r="BW12" s="2">
        <v>177</v>
      </c>
      <c r="BX12" s="2">
        <v>267</v>
      </c>
      <c r="BY12" s="2">
        <v>20.6</v>
      </c>
      <c r="BZ12" s="2">
        <v>20.7</v>
      </c>
      <c r="CA12" s="2">
        <v>3</v>
      </c>
      <c r="CB12" s="2">
        <v>2.44690114566542E-7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21a</v>
      </c>
      <c r="J13" s="47">
        <f t="shared" ca="1" si="35"/>
        <v>8</v>
      </c>
      <c r="K13" s="19">
        <f t="shared" ca="1" si="36"/>
        <v>-14</v>
      </c>
      <c r="L13" s="116" t="str">
        <f t="shared" ca="1" si="1"/>
        <v>EW_sand_Ruled_92</v>
      </c>
      <c r="M13" s="105" t="str">
        <f t="shared" ca="1" si="2"/>
        <v>API sand</v>
      </c>
      <c r="N13" s="47">
        <f t="shared" ca="1" si="3"/>
        <v>9.8000000000000007</v>
      </c>
      <c r="O13" s="63">
        <f t="shared" ca="1" si="4"/>
        <v>0</v>
      </c>
      <c r="P13" s="63">
        <f t="shared" ca="1" si="5"/>
        <v>0</v>
      </c>
      <c r="Q13" s="47">
        <f t="shared" ca="1" si="6"/>
        <v>30</v>
      </c>
      <c r="R13" s="47">
        <f t="shared" ca="1" si="7"/>
        <v>25</v>
      </c>
      <c r="S13" s="47">
        <f t="shared" ca="1" si="8"/>
        <v>2.1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70800</v>
      </c>
      <c r="Y13" s="47">
        <f t="shared" ca="1" si="14"/>
        <v>0</v>
      </c>
      <c r="Z13" s="47">
        <f t="shared" ca="1" si="15"/>
        <v>80.999999999999972</v>
      </c>
      <c r="AA13" s="47">
        <f t="shared" ca="1" si="16"/>
        <v>1</v>
      </c>
      <c r="AB13" s="47">
        <f t="shared" ca="1" si="17"/>
        <v>4800</v>
      </c>
      <c r="AC13" s="63">
        <f t="shared" ca="1" si="18"/>
        <v>146000</v>
      </c>
      <c r="AD13" s="63">
        <f t="shared" ca="1" si="19"/>
        <v>4222.2222222222226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20.000000000000007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92</v>
      </c>
      <c r="AS13" s="33">
        <f t="shared" ca="1" si="34"/>
        <v>0.2</v>
      </c>
      <c r="AW13" s="2">
        <v>3.3</v>
      </c>
      <c r="AX13" s="2" t="s">
        <v>255</v>
      </c>
      <c r="AY13" s="130">
        <v>23.1</v>
      </c>
      <c r="AZ13" s="2">
        <v>20.2</v>
      </c>
      <c r="BA13" s="2">
        <v>18</v>
      </c>
      <c r="BB13" s="2">
        <v>28</v>
      </c>
      <c r="BC13" s="2">
        <v>5</v>
      </c>
      <c r="BD13" s="2">
        <v>0.7</v>
      </c>
      <c r="BE13" s="2">
        <v>1.5</v>
      </c>
      <c r="BF13" s="2">
        <v>1.9</v>
      </c>
      <c r="BG13" s="2">
        <v>2.2000000000000002</v>
      </c>
      <c r="BH13" s="2">
        <v>3.1</v>
      </c>
      <c r="BI13" s="2">
        <v>4</v>
      </c>
      <c r="BJ13" s="2">
        <v>69</v>
      </c>
      <c r="BK13" s="2">
        <v>99</v>
      </c>
      <c r="BL13" s="2">
        <v>131</v>
      </c>
      <c r="BM13" s="2">
        <v>206</v>
      </c>
      <c r="BN13" s="2"/>
      <c r="BO13" s="2"/>
      <c r="BP13" s="2"/>
      <c r="BQ13" s="2"/>
      <c r="BR13" s="2"/>
      <c r="BS13" s="2"/>
      <c r="BT13" s="2">
        <v>3</v>
      </c>
      <c r="BU13" s="2">
        <v>38</v>
      </c>
      <c r="BV13" s="2">
        <v>78</v>
      </c>
      <c r="BW13" s="2">
        <v>119</v>
      </c>
      <c r="BX13" s="2">
        <v>209</v>
      </c>
      <c r="BY13" s="2">
        <v>20.6</v>
      </c>
      <c r="BZ13" s="2">
        <v>20.7</v>
      </c>
      <c r="CA13" s="2">
        <v>3</v>
      </c>
      <c r="CB13" s="2">
        <v>2.44690114566542E-7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21a</v>
      </c>
      <c r="J14" s="47">
        <f t="shared" ca="1" si="35"/>
        <v>9</v>
      </c>
      <c r="K14" s="19">
        <f t="shared" ca="1" si="36"/>
        <v>-18.5</v>
      </c>
      <c r="L14" s="116" t="str">
        <f t="shared" ca="1" si="1"/>
        <v>EW_sand_Ruled_81</v>
      </c>
      <c r="M14" s="105" t="str">
        <f t="shared" ca="1" si="2"/>
        <v>API sand</v>
      </c>
      <c r="N14" s="47">
        <f t="shared" ca="1" si="3"/>
        <v>9.8000000000000007</v>
      </c>
      <c r="O14" s="63">
        <f t="shared" ca="1" si="4"/>
        <v>0</v>
      </c>
      <c r="P14" s="63">
        <f t="shared" ca="1" si="5"/>
        <v>0</v>
      </c>
      <c r="Q14" s="47">
        <f t="shared" ca="1" si="6"/>
        <v>29</v>
      </c>
      <c r="R14" s="47">
        <f t="shared" ca="1" si="7"/>
        <v>24</v>
      </c>
      <c r="S14" s="47">
        <f t="shared" ca="1" si="8"/>
        <v>1.6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47900</v>
      </c>
      <c r="Y14" s="47">
        <f t="shared" ca="1" si="14"/>
        <v>0</v>
      </c>
      <c r="Z14" s="47">
        <f t="shared" ca="1" si="15"/>
        <v>78.199999999999974</v>
      </c>
      <c r="AA14" s="47">
        <f t="shared" ca="1" si="16"/>
        <v>1</v>
      </c>
      <c r="AB14" s="47">
        <f t="shared" ca="1" si="17"/>
        <v>4420</v>
      </c>
      <c r="AC14" s="63">
        <f t="shared" ca="1" si="18"/>
        <v>168000</v>
      </c>
      <c r="AD14" s="63">
        <f t="shared" ca="1" si="19"/>
        <v>-10000.000000000007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18.400000000000006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81</v>
      </c>
      <c r="AS14" s="33">
        <f t="shared" ca="1" si="34"/>
        <v>0.2</v>
      </c>
      <c r="AW14" s="2">
        <v>3.3</v>
      </c>
      <c r="AX14" s="2" t="s">
        <v>293</v>
      </c>
      <c r="AY14" s="130">
        <v>25.8</v>
      </c>
      <c r="AZ14" s="2">
        <v>19.600000000000001</v>
      </c>
      <c r="BA14" s="2"/>
      <c r="BB14" s="2">
        <v>22</v>
      </c>
      <c r="BC14" s="2"/>
      <c r="BD14" s="2">
        <v>2.8</v>
      </c>
      <c r="BE14" s="2">
        <v>4.5999999999999996</v>
      </c>
      <c r="BF14" s="2">
        <v>4.8</v>
      </c>
      <c r="BG14" s="2">
        <v>5.0999999999999996</v>
      </c>
      <c r="BH14" s="2">
        <v>7.5</v>
      </c>
      <c r="BI14" s="2"/>
      <c r="BJ14" s="2"/>
      <c r="BK14" s="2"/>
      <c r="BL14" s="2"/>
      <c r="BM14" s="2"/>
      <c r="BN14" s="2">
        <v>59</v>
      </c>
      <c r="BO14" s="2">
        <v>31</v>
      </c>
      <c r="BP14" s="2">
        <v>36</v>
      </c>
      <c r="BQ14" s="2">
        <v>39</v>
      </c>
      <c r="BR14" s="2">
        <v>42</v>
      </c>
      <c r="BS14" s="2">
        <v>48</v>
      </c>
      <c r="BT14" s="2">
        <v>3</v>
      </c>
      <c r="BU14" s="2">
        <v>35</v>
      </c>
      <c r="BV14" s="2">
        <v>52</v>
      </c>
      <c r="BW14" s="2">
        <v>69</v>
      </c>
      <c r="BX14" s="2">
        <v>110</v>
      </c>
      <c r="BY14" s="2">
        <v>28.5</v>
      </c>
      <c r="BZ14" s="2">
        <v>3.2</v>
      </c>
      <c r="CA14" s="2">
        <v>1</v>
      </c>
      <c r="CB14" s="2">
        <v>5.6525982529257796E-7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23d</v>
      </c>
      <c r="J15" s="47">
        <f t="shared" ca="1" si="35"/>
        <v>10</v>
      </c>
      <c r="K15" s="19">
        <f t="shared" ca="1" si="36"/>
        <v>-20.399999999999999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8.8999999999999986</v>
      </c>
      <c r="O15" s="63">
        <f t="shared" ca="1" si="4"/>
        <v>164</v>
      </c>
      <c r="P15" s="63">
        <f t="shared" ca="1" si="5"/>
        <v>19.354838709677409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2.7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0.5</v>
      </c>
      <c r="X15" s="47">
        <f t="shared" ca="1" si="13"/>
        <v>19400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226000</v>
      </c>
      <c r="AD15" s="63">
        <f t="shared" ca="1" si="19"/>
        <v>26129.032258064504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10</v>
      </c>
      <c r="AX15" s="2" t="s">
        <v>293</v>
      </c>
      <c r="AY15" s="130">
        <v>25.8</v>
      </c>
      <c r="AZ15" s="2">
        <v>19.600000000000001</v>
      </c>
      <c r="BA15" s="2"/>
      <c r="BB15" s="2">
        <v>22</v>
      </c>
      <c r="BC15" s="2"/>
      <c r="BD15" s="2">
        <v>7.9</v>
      </c>
      <c r="BE15" s="2">
        <v>9.6999999999999993</v>
      </c>
      <c r="BF15" s="2">
        <v>10</v>
      </c>
      <c r="BG15" s="2">
        <v>10.3</v>
      </c>
      <c r="BH15" s="2">
        <v>12.7</v>
      </c>
      <c r="BI15" s="2"/>
      <c r="BJ15" s="2"/>
      <c r="BK15" s="2"/>
      <c r="BL15" s="2"/>
      <c r="BM15" s="2"/>
      <c r="BN15" s="2">
        <v>59</v>
      </c>
      <c r="BO15" s="2">
        <v>31</v>
      </c>
      <c r="BP15" s="2">
        <v>36</v>
      </c>
      <c r="BQ15" s="2">
        <v>39</v>
      </c>
      <c r="BR15" s="2">
        <v>42</v>
      </c>
      <c r="BS15" s="2">
        <v>48</v>
      </c>
      <c r="BT15" s="2">
        <v>42</v>
      </c>
      <c r="BU15" s="2">
        <v>74</v>
      </c>
      <c r="BV15" s="2">
        <v>91</v>
      </c>
      <c r="BW15" s="2">
        <v>108</v>
      </c>
      <c r="BX15" s="2">
        <v>149</v>
      </c>
      <c r="BY15" s="2">
        <v>28.5</v>
      </c>
      <c r="BZ15" s="2">
        <v>3.2</v>
      </c>
      <c r="CA15" s="2">
        <v>1</v>
      </c>
      <c r="CB15" s="2">
        <v>5.6525982529257796E-7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23e</v>
      </c>
      <c r="J16" s="47">
        <f t="shared" ca="1" si="35"/>
        <v>11</v>
      </c>
      <c r="K16" s="19">
        <f t="shared" ca="1" si="36"/>
        <v>-23.5</v>
      </c>
      <c r="L16" s="116" t="str">
        <f t="shared" ca="1" si="1"/>
        <v>EW_sand_Ruled_70</v>
      </c>
      <c r="M16" s="105" t="str">
        <f t="shared" ca="1" si="2"/>
        <v>API sand</v>
      </c>
      <c r="N16" s="47">
        <f t="shared" ca="1" si="3"/>
        <v>9</v>
      </c>
      <c r="O16" s="63">
        <f t="shared" ca="1" si="4"/>
        <v>0</v>
      </c>
      <c r="P16" s="63">
        <f t="shared" ca="1" si="5"/>
        <v>0</v>
      </c>
      <c r="Q16" s="47">
        <f t="shared" ca="1" si="6"/>
        <v>28</v>
      </c>
      <c r="R16" s="47">
        <f t="shared" ca="1" si="7"/>
        <v>23</v>
      </c>
      <c r="S16" s="47">
        <f t="shared" ca="1" si="8"/>
        <v>1.2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39300</v>
      </c>
      <c r="Y16" s="47">
        <f t="shared" ca="1" si="14"/>
        <v>0</v>
      </c>
      <c r="Z16" s="47">
        <f t="shared" ca="1" si="15"/>
        <v>75.399999999999977</v>
      </c>
      <c r="AA16" s="47">
        <f t="shared" ca="1" si="16"/>
        <v>1</v>
      </c>
      <c r="AB16" s="47">
        <f t="shared" ca="1" si="17"/>
        <v>4040</v>
      </c>
      <c r="AC16" s="63">
        <f t="shared" ca="1" si="18"/>
        <v>149000</v>
      </c>
      <c r="AD16" s="63">
        <f t="shared" ca="1" si="19"/>
        <v>6500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16.800000000000004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70</v>
      </c>
      <c r="AS16" s="33">
        <f t="shared" ca="1" si="34"/>
        <v>0.4</v>
      </c>
      <c r="AW16" s="2">
        <v>10</v>
      </c>
      <c r="AX16" s="2" t="s">
        <v>293</v>
      </c>
      <c r="AY16" s="130">
        <v>25.8</v>
      </c>
      <c r="AZ16" s="2">
        <v>19.600000000000001</v>
      </c>
      <c r="BA16" s="2"/>
      <c r="BB16" s="2">
        <v>22</v>
      </c>
      <c r="BC16" s="2"/>
      <c r="BD16" s="2">
        <v>1</v>
      </c>
      <c r="BE16" s="2">
        <v>12.8</v>
      </c>
      <c r="BF16" s="2">
        <v>15.5</v>
      </c>
      <c r="BG16" s="2">
        <v>17.600000000000001</v>
      </c>
      <c r="BH16" s="2">
        <v>26.9</v>
      </c>
      <c r="BI16" s="2"/>
      <c r="BJ16" s="2"/>
      <c r="BK16" s="2"/>
      <c r="BL16" s="2"/>
      <c r="BM16" s="2"/>
      <c r="BN16" s="2">
        <v>100</v>
      </c>
      <c r="BO16" s="2">
        <v>35</v>
      </c>
      <c r="BP16" s="2">
        <v>43</v>
      </c>
      <c r="BQ16" s="2">
        <v>46</v>
      </c>
      <c r="BR16" s="2">
        <v>50</v>
      </c>
      <c r="BS16" s="2">
        <v>54</v>
      </c>
      <c r="BT16" s="2">
        <v>10</v>
      </c>
      <c r="BU16" s="2">
        <v>71</v>
      </c>
      <c r="BV16" s="2">
        <v>101</v>
      </c>
      <c r="BW16" s="2">
        <v>132</v>
      </c>
      <c r="BX16" s="2">
        <v>207</v>
      </c>
      <c r="BY16" s="2">
        <v>167.2</v>
      </c>
      <c r="BZ16" s="2">
        <v>6.5</v>
      </c>
      <c r="CA16" s="2">
        <v>1.5</v>
      </c>
      <c r="CB16" s="2">
        <v>4.8578781878078498E-5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23e</v>
      </c>
      <c r="J17" s="47">
        <f t="shared" ca="1" si="35"/>
        <v>12</v>
      </c>
      <c r="K17" s="19">
        <f t="shared" ca="1" si="36"/>
        <v>-25.5</v>
      </c>
      <c r="L17" s="116" t="str">
        <f t="shared" ca="1" si="1"/>
        <v>EW_sand_Ruled_74</v>
      </c>
      <c r="M17" s="105" t="str">
        <f t="shared" ca="1" si="2"/>
        <v>API sand</v>
      </c>
      <c r="N17" s="47">
        <f t="shared" ca="1" si="3"/>
        <v>9</v>
      </c>
      <c r="O17" s="63">
        <f t="shared" ca="1" si="4"/>
        <v>0</v>
      </c>
      <c r="P17" s="63">
        <f t="shared" ca="1" si="5"/>
        <v>0</v>
      </c>
      <c r="Q17" s="47">
        <f t="shared" ca="1" si="6"/>
        <v>29</v>
      </c>
      <c r="R17" s="47">
        <f t="shared" ca="1" si="7"/>
        <v>24</v>
      </c>
      <c r="S17" s="47">
        <f t="shared" ca="1" si="8"/>
        <v>1.3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43700</v>
      </c>
      <c r="Y17" s="47">
        <f t="shared" ca="1" si="14"/>
        <v>0</v>
      </c>
      <c r="Z17" s="47">
        <f t="shared" ca="1" si="15"/>
        <v>78.199999999999974</v>
      </c>
      <c r="AA17" s="47">
        <f t="shared" ca="1" si="16"/>
        <v>1</v>
      </c>
      <c r="AB17" s="47">
        <f t="shared" ca="1" si="17"/>
        <v>4420</v>
      </c>
      <c r="AC17" s="63">
        <f t="shared" ca="1" si="18"/>
        <v>173000</v>
      </c>
      <c r="AD17" s="63">
        <f t="shared" ca="1" si="19"/>
        <v>-7619.0476190476138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18.400000000000006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74</v>
      </c>
      <c r="AS17" s="33">
        <f t="shared" ca="1" si="34"/>
        <v>0.4</v>
      </c>
      <c r="AW17" s="2">
        <v>12</v>
      </c>
      <c r="AX17" s="2" t="s">
        <v>293</v>
      </c>
      <c r="AY17" s="130">
        <v>25.8</v>
      </c>
      <c r="AZ17" s="2">
        <v>19.600000000000001</v>
      </c>
      <c r="BA17" s="2"/>
      <c r="BB17" s="2">
        <v>22</v>
      </c>
      <c r="BC17" s="2"/>
      <c r="BD17" s="2">
        <v>47.8</v>
      </c>
      <c r="BE17" s="2">
        <v>59.6</v>
      </c>
      <c r="BF17" s="2">
        <v>62.3</v>
      </c>
      <c r="BG17" s="2">
        <v>64.400000000000006</v>
      </c>
      <c r="BH17" s="2">
        <v>73.7</v>
      </c>
      <c r="BI17" s="2"/>
      <c r="BJ17" s="2"/>
      <c r="BK17" s="2"/>
      <c r="BL17" s="2"/>
      <c r="BM17" s="2"/>
      <c r="BN17" s="2">
        <v>100</v>
      </c>
      <c r="BO17" s="2">
        <v>35</v>
      </c>
      <c r="BP17" s="2">
        <v>43</v>
      </c>
      <c r="BQ17" s="2">
        <v>46</v>
      </c>
      <c r="BR17" s="2">
        <v>50</v>
      </c>
      <c r="BS17" s="2">
        <v>54</v>
      </c>
      <c r="BT17" s="2">
        <v>65</v>
      </c>
      <c r="BU17" s="2">
        <v>127</v>
      </c>
      <c r="BV17" s="2">
        <v>157</v>
      </c>
      <c r="BW17" s="2">
        <v>187</v>
      </c>
      <c r="BX17" s="2">
        <v>263</v>
      </c>
      <c r="BY17" s="2">
        <v>167.2</v>
      </c>
      <c r="BZ17" s="2">
        <v>6.5</v>
      </c>
      <c r="CA17" s="2">
        <v>1.5</v>
      </c>
      <c r="CB17" s="2">
        <v>4.8578781878078498E-5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23i</v>
      </c>
      <c r="J18" s="47">
        <f t="shared" ca="1" si="35"/>
        <v>13</v>
      </c>
      <c r="K18" s="19">
        <f t="shared" ca="1" si="36"/>
        <v>-27.6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8.3000000000000007</v>
      </c>
      <c r="O18" s="63">
        <f t="shared" ca="1" si="4"/>
        <v>183</v>
      </c>
      <c r="P18" s="63">
        <f t="shared" ca="1" si="5"/>
        <v>9.4607843137254903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2.1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0.5</v>
      </c>
      <c r="X18" s="47">
        <f t="shared" ca="1" si="13"/>
        <v>25600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251000</v>
      </c>
      <c r="AD18" s="63">
        <f t="shared" ca="1" si="19"/>
        <v>14264.705882352942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12</v>
      </c>
      <c r="AX18" s="2" t="s">
        <v>271</v>
      </c>
      <c r="AY18" s="130">
        <v>24.7</v>
      </c>
      <c r="AZ18" s="2">
        <v>19.8</v>
      </c>
      <c r="BA18" s="2"/>
      <c r="BB18" s="2">
        <v>11</v>
      </c>
      <c r="BC18" s="2"/>
      <c r="BD18" s="2">
        <v>3.4</v>
      </c>
      <c r="BE18" s="2">
        <v>10.7</v>
      </c>
      <c r="BF18" s="2">
        <v>12.5</v>
      </c>
      <c r="BG18" s="2">
        <v>14.2</v>
      </c>
      <c r="BH18" s="2">
        <v>21.5</v>
      </c>
      <c r="BI18" s="2"/>
      <c r="BJ18" s="2"/>
      <c r="BK18" s="2"/>
      <c r="BL18" s="2"/>
      <c r="BM18" s="2"/>
      <c r="BN18" s="2">
        <v>75</v>
      </c>
      <c r="BO18" s="2">
        <v>26</v>
      </c>
      <c r="BP18" s="2">
        <v>29</v>
      </c>
      <c r="BQ18" s="2">
        <v>32</v>
      </c>
      <c r="BR18" s="2">
        <v>34</v>
      </c>
      <c r="BS18" s="2">
        <v>38</v>
      </c>
      <c r="BT18" s="2">
        <v>12</v>
      </c>
      <c r="BU18" s="2">
        <v>77</v>
      </c>
      <c r="BV18" s="2">
        <v>106</v>
      </c>
      <c r="BW18" s="2">
        <v>135</v>
      </c>
      <c r="BX18" s="2">
        <v>208</v>
      </c>
      <c r="BY18" s="2">
        <v>35.299999999999997</v>
      </c>
      <c r="BZ18" s="2">
        <v>8.1</v>
      </c>
      <c r="CA18" s="2">
        <v>1.8</v>
      </c>
      <c r="CB18" s="2">
        <v>2.6218698855044799E-6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23l</v>
      </c>
      <c r="J19" s="47">
        <f t="shared" ca="1" si="35"/>
        <v>14</v>
      </c>
      <c r="K19" s="19">
        <f t="shared" ca="1" si="36"/>
        <v>-48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8.8000000000000007</v>
      </c>
      <c r="O19" s="63">
        <f t="shared" ca="1" si="4"/>
        <v>438</v>
      </c>
      <c r="P19" s="63">
        <f t="shared" ca="1" si="5"/>
        <v>97.75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3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0.25</v>
      </c>
      <c r="X19" s="47">
        <f t="shared" ca="1" si="13"/>
        <v>52400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658000</v>
      </c>
      <c r="AD19" s="63">
        <f t="shared" ca="1" si="19"/>
        <v>167250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14</v>
      </c>
      <c r="AX19" s="2" t="s">
        <v>271</v>
      </c>
      <c r="AY19" s="130">
        <v>24.7</v>
      </c>
      <c r="AZ19" s="2">
        <v>19.8</v>
      </c>
      <c r="BA19" s="2"/>
      <c r="BB19" s="2">
        <v>11</v>
      </c>
      <c r="BC19" s="2"/>
      <c r="BD19" s="2">
        <v>28.7</v>
      </c>
      <c r="BE19" s="2">
        <v>36.1</v>
      </c>
      <c r="BF19" s="2">
        <v>37.799999999999997</v>
      </c>
      <c r="BG19" s="2">
        <v>39.5</v>
      </c>
      <c r="BH19" s="2">
        <v>46.9</v>
      </c>
      <c r="BI19" s="2"/>
      <c r="BJ19" s="2"/>
      <c r="BK19" s="2"/>
      <c r="BL19" s="2"/>
      <c r="BM19" s="2"/>
      <c r="BN19" s="2">
        <v>75</v>
      </c>
      <c r="BO19" s="2">
        <v>26</v>
      </c>
      <c r="BP19" s="2">
        <v>29</v>
      </c>
      <c r="BQ19" s="2">
        <v>32</v>
      </c>
      <c r="BR19" s="2">
        <v>34</v>
      </c>
      <c r="BS19" s="2">
        <v>38</v>
      </c>
      <c r="BT19" s="2">
        <v>49</v>
      </c>
      <c r="BU19" s="2">
        <v>114</v>
      </c>
      <c r="BV19" s="2">
        <v>143</v>
      </c>
      <c r="BW19" s="2">
        <v>172</v>
      </c>
      <c r="BX19" s="2">
        <v>245</v>
      </c>
      <c r="BY19" s="2">
        <v>35.299999999999997</v>
      </c>
      <c r="BZ19" s="2">
        <v>8.1</v>
      </c>
      <c r="CA19" s="2">
        <v>1.8</v>
      </c>
      <c r="CB19" s="2">
        <v>2.6218698855044799E-6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23l</v>
      </c>
      <c r="J20" s="47">
        <f t="shared" ca="1" si="35"/>
        <v>15</v>
      </c>
      <c r="K20" s="19">
        <f t="shared" ca="1" si="36"/>
        <v>-52</v>
      </c>
      <c r="L20" s="116" t="str">
        <f t="shared" ca="1" si="1"/>
        <v>Cowden Clay</v>
      </c>
      <c r="M20" s="105" t="str">
        <f t="shared" ca="1" si="2"/>
        <v>API clay</v>
      </c>
      <c r="N20" s="47">
        <f t="shared" ca="1" si="3"/>
        <v>8.8000000000000007</v>
      </c>
      <c r="O20" s="63">
        <f t="shared" ca="1" si="4"/>
        <v>488</v>
      </c>
      <c r="P20" s="63">
        <f t="shared" ca="1" si="5"/>
        <v>24.1875</v>
      </c>
      <c r="Q20" s="47">
        <f t="shared" ca="1" si="6"/>
        <v>0</v>
      </c>
      <c r="R20" s="47" t="e">
        <f t="shared" ca="1" si="7"/>
        <v>#N/A</v>
      </c>
      <c r="S20" s="47">
        <f t="shared" ca="1" si="8"/>
        <v>2.9</v>
      </c>
      <c r="T20" s="47">
        <f t="shared" ca="1" si="9"/>
        <v>0</v>
      </c>
      <c r="U20" s="75">
        <f t="shared" ca="1" si="10"/>
        <v>1.7999999999999999E-2</v>
      </c>
      <c r="V20" s="75">
        <f t="shared" ca="1" si="11"/>
        <v>0</v>
      </c>
      <c r="W20" s="47">
        <f t="shared" ca="1" si="12"/>
        <v>0.25</v>
      </c>
      <c r="X20" s="47">
        <f t="shared" ca="1" si="13"/>
        <v>58200</v>
      </c>
      <c r="Y20" s="47">
        <f t="shared" ca="1" si="14"/>
        <v>0</v>
      </c>
      <c r="Z20" s="47" t="e">
        <f t="shared" ca="1" si="15"/>
        <v>#N/A</v>
      </c>
      <c r="AA20" s="47">
        <f t="shared" ca="1" si="16"/>
        <v>1</v>
      </c>
      <c r="AB20" s="47" t="e">
        <f t="shared" ca="1" si="17"/>
        <v>#N/A</v>
      </c>
      <c r="AC20" s="63">
        <f t="shared" ca="1" si="18"/>
        <v>729000</v>
      </c>
      <c r="AD20" s="63">
        <f t="shared" ca="1" si="19"/>
        <v>42875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 t="e">
        <f t="shared" ca="1" si="25"/>
        <v>#N/A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0</v>
      </c>
      <c r="AS20" s="33">
        <f t="shared" ca="1" si="34"/>
        <v>0.4</v>
      </c>
      <c r="AW20" s="2">
        <v>14</v>
      </c>
      <c r="AX20" s="2" t="s">
        <v>271</v>
      </c>
      <c r="AY20" s="130">
        <v>24.7</v>
      </c>
      <c r="AZ20" s="2">
        <v>19.8</v>
      </c>
      <c r="BA20" s="2"/>
      <c r="BB20" s="2">
        <v>11</v>
      </c>
      <c r="BC20" s="2"/>
      <c r="BD20" s="2">
        <v>25.1</v>
      </c>
      <c r="BE20" s="2">
        <v>37.5</v>
      </c>
      <c r="BF20" s="2">
        <v>39.5</v>
      </c>
      <c r="BG20" s="2">
        <v>41.1</v>
      </c>
      <c r="BH20" s="2">
        <v>50.3</v>
      </c>
      <c r="BI20" s="2"/>
      <c r="BJ20" s="2"/>
      <c r="BK20" s="2"/>
      <c r="BL20" s="2"/>
      <c r="BM20" s="2"/>
      <c r="BN20" s="2">
        <v>92</v>
      </c>
      <c r="BO20" s="2">
        <v>26</v>
      </c>
      <c r="BP20" s="2">
        <v>30</v>
      </c>
      <c r="BQ20" s="2">
        <v>33</v>
      </c>
      <c r="BR20" s="2">
        <v>35</v>
      </c>
      <c r="BS20" s="2">
        <v>40</v>
      </c>
      <c r="BT20" s="2">
        <v>18</v>
      </c>
      <c r="BU20" s="2">
        <v>109</v>
      </c>
      <c r="BV20" s="2">
        <v>146</v>
      </c>
      <c r="BW20" s="2">
        <v>183</v>
      </c>
      <c r="BX20" s="2">
        <v>274</v>
      </c>
      <c r="BY20" s="2">
        <v>70.8</v>
      </c>
      <c r="BZ20" s="2">
        <v>11</v>
      </c>
      <c r="CA20" s="2">
        <v>2.1</v>
      </c>
      <c r="CB20" s="2">
        <v>2.54032436484497E-5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>23m</v>
      </c>
      <c r="J21" s="47">
        <f t="shared" ca="1" si="35"/>
        <v>16</v>
      </c>
      <c r="K21" s="19">
        <f t="shared" ca="1" si="36"/>
        <v>-68</v>
      </c>
      <c r="L21" s="116" t="str">
        <f t="shared" ca="1" si="1"/>
        <v>Cowden Clay</v>
      </c>
      <c r="M21" s="105" t="str">
        <f t="shared" ca="1" si="2"/>
        <v>API clay</v>
      </c>
      <c r="N21" s="47">
        <f t="shared" ca="1" si="3"/>
        <v>8.5</v>
      </c>
      <c r="O21" s="63">
        <f t="shared" ca="1" si="4"/>
        <v>144</v>
      </c>
      <c r="P21" s="63">
        <f t="shared" ca="1" si="5"/>
        <v>2.1666666666666665</v>
      </c>
      <c r="Q21" s="47">
        <f t="shared" ca="1" si="6"/>
        <v>0</v>
      </c>
      <c r="R21" s="47" t="e">
        <f t="shared" ca="1" si="7"/>
        <v>#N/A</v>
      </c>
      <c r="S21" s="47">
        <f t="shared" ca="1" si="8"/>
        <v>0.6</v>
      </c>
      <c r="T21" s="47">
        <f t="shared" ca="1" si="9"/>
        <v>0</v>
      </c>
      <c r="U21" s="75">
        <f t="shared" ca="1" si="10"/>
        <v>1.7999999999999999E-2</v>
      </c>
      <c r="V21" s="75">
        <f t="shared" ca="1" si="11"/>
        <v>0</v>
      </c>
      <c r="W21" s="47">
        <f t="shared" ca="1" si="12"/>
        <v>0.5</v>
      </c>
      <c r="X21" s="47">
        <f t="shared" ca="1" si="13"/>
        <v>15400</v>
      </c>
      <c r="Y21" s="47">
        <f t="shared" ca="1" si="14"/>
        <v>0</v>
      </c>
      <c r="Z21" s="47" t="e">
        <f t="shared" ca="1" si="15"/>
        <v>#N/A</v>
      </c>
      <c r="AA21" s="47">
        <f t="shared" ca="1" si="16"/>
        <v>1</v>
      </c>
      <c r="AB21" s="47" t="e">
        <f t="shared" ca="1" si="17"/>
        <v>#N/A</v>
      </c>
      <c r="AC21" s="63">
        <f t="shared" ca="1" si="18"/>
        <v>241000</v>
      </c>
      <c r="AD21" s="63">
        <f t="shared" ca="1" si="19"/>
        <v>3750</v>
      </c>
      <c r="AE21" s="63">
        <f t="shared" ca="1" si="20"/>
        <v>0.3</v>
      </c>
      <c r="AF21" s="63">
        <f t="shared" ca="1" si="21"/>
        <v>0</v>
      </c>
      <c r="AG21" s="63">
        <f t="shared" ca="1" si="22"/>
        <v>0</v>
      </c>
      <c r="AH21" s="63">
        <f t="shared" ca="1" si="23"/>
        <v>0</v>
      </c>
      <c r="AI21" s="63">
        <f t="shared" ca="1" si="24"/>
        <v>0</v>
      </c>
      <c r="AJ21" s="47" t="e">
        <f t="shared" ca="1" si="25"/>
        <v>#N/A</v>
      </c>
      <c r="AK21" s="47">
        <f t="shared" ca="1" si="26"/>
        <v>1</v>
      </c>
      <c r="AL21" s="47">
        <f t="shared" ca="1" si="27"/>
        <v>1</v>
      </c>
      <c r="AM21" s="47">
        <f t="shared" ca="1" si="28"/>
        <v>1</v>
      </c>
      <c r="AN21" s="47">
        <f t="shared" ca="1" si="29"/>
        <v>1</v>
      </c>
      <c r="AO21" s="47">
        <f t="shared" ca="1" si="30"/>
        <v>1</v>
      </c>
      <c r="AP21" s="47">
        <f t="shared" ca="1" si="31"/>
        <v>1</v>
      </c>
      <c r="AQ21" s="47">
        <f t="shared" ca="1" si="32"/>
        <v>0</v>
      </c>
      <c r="AR21" s="47">
        <f t="shared" ca="1" si="33"/>
        <v>0</v>
      </c>
      <c r="AS21" s="33">
        <f t="shared" ca="1" si="34"/>
        <v>0.4</v>
      </c>
      <c r="AW21" s="2">
        <v>18.5</v>
      </c>
      <c r="AX21" s="2" t="s">
        <v>271</v>
      </c>
      <c r="AY21" s="130">
        <v>24.7</v>
      </c>
      <c r="AZ21" s="2">
        <v>19.8</v>
      </c>
      <c r="BA21" s="2"/>
      <c r="BB21" s="2">
        <v>11</v>
      </c>
      <c r="BC21" s="2"/>
      <c r="BD21" s="2">
        <v>32.1</v>
      </c>
      <c r="BE21" s="2">
        <v>44.5</v>
      </c>
      <c r="BF21" s="2">
        <v>46.6</v>
      </c>
      <c r="BG21" s="2">
        <v>48.1</v>
      </c>
      <c r="BH21" s="2">
        <v>57.4</v>
      </c>
      <c r="BI21" s="2"/>
      <c r="BJ21" s="2"/>
      <c r="BK21" s="2"/>
      <c r="BL21" s="2"/>
      <c r="BM21" s="2"/>
      <c r="BN21" s="2">
        <v>92</v>
      </c>
      <c r="BO21" s="2">
        <v>26</v>
      </c>
      <c r="BP21" s="2">
        <v>30</v>
      </c>
      <c r="BQ21" s="2">
        <v>33</v>
      </c>
      <c r="BR21" s="2">
        <v>35</v>
      </c>
      <c r="BS21" s="2">
        <v>40</v>
      </c>
      <c r="BT21" s="2">
        <v>37</v>
      </c>
      <c r="BU21" s="2">
        <v>128</v>
      </c>
      <c r="BV21" s="2">
        <v>165</v>
      </c>
      <c r="BW21" s="2">
        <v>202</v>
      </c>
      <c r="BX21" s="2">
        <v>293</v>
      </c>
      <c r="BY21" s="2">
        <v>70.8</v>
      </c>
      <c r="BZ21" s="2">
        <v>11</v>
      </c>
      <c r="CA21" s="2">
        <v>2.1</v>
      </c>
      <c r="CB21" s="2">
        <v>2.54032436484497E-5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18.5</v>
      </c>
      <c r="AX22" s="2" t="s">
        <v>271</v>
      </c>
      <c r="AY22" s="130">
        <v>24.7</v>
      </c>
      <c r="AZ22" s="2">
        <v>19.8</v>
      </c>
      <c r="BA22" s="2"/>
      <c r="BB22" s="2">
        <v>11</v>
      </c>
      <c r="BC22" s="2"/>
      <c r="BD22" s="2">
        <v>34.200000000000003</v>
      </c>
      <c r="BE22" s="2">
        <v>42.6</v>
      </c>
      <c r="BF22" s="2">
        <v>44.6</v>
      </c>
      <c r="BG22" s="2">
        <v>46.3</v>
      </c>
      <c r="BH22" s="2">
        <v>53.2</v>
      </c>
      <c r="BI22" s="2"/>
      <c r="BJ22" s="2"/>
      <c r="BK22" s="2"/>
      <c r="BL22" s="2"/>
      <c r="BM22" s="2"/>
      <c r="BN22" s="2">
        <v>81</v>
      </c>
      <c r="BO22" s="2">
        <v>26</v>
      </c>
      <c r="BP22" s="2">
        <v>29</v>
      </c>
      <c r="BQ22" s="2">
        <v>32</v>
      </c>
      <c r="BR22" s="2">
        <v>34</v>
      </c>
      <c r="BS22" s="2">
        <v>39</v>
      </c>
      <c r="BT22" s="2">
        <v>38</v>
      </c>
      <c r="BU22" s="2">
        <v>130</v>
      </c>
      <c r="BV22" s="2">
        <v>168</v>
      </c>
      <c r="BW22" s="2">
        <v>205</v>
      </c>
      <c r="BX22" s="2">
        <v>297</v>
      </c>
      <c r="BY22" s="2">
        <v>47.9</v>
      </c>
      <c r="BZ22" s="2">
        <v>6.9</v>
      </c>
      <c r="CA22" s="2">
        <v>1.6</v>
      </c>
      <c r="CB22" s="2">
        <v>4.4176298409758901E-6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20.399999999999999</v>
      </c>
      <c r="AX23" s="2" t="s">
        <v>271</v>
      </c>
      <c r="AY23" s="130">
        <v>24.7</v>
      </c>
      <c r="AZ23" s="2">
        <v>19.8</v>
      </c>
      <c r="BA23" s="2"/>
      <c r="BB23" s="2">
        <v>11</v>
      </c>
      <c r="BC23" s="2"/>
      <c r="BD23" s="2">
        <v>14.3</v>
      </c>
      <c r="BE23" s="2">
        <v>22.7</v>
      </c>
      <c r="BF23" s="2">
        <v>24.7</v>
      </c>
      <c r="BG23" s="2">
        <v>26.4</v>
      </c>
      <c r="BH23" s="2">
        <v>33.299999999999997</v>
      </c>
      <c r="BI23" s="2"/>
      <c r="BJ23" s="2"/>
      <c r="BK23" s="2"/>
      <c r="BL23" s="2"/>
      <c r="BM23" s="2"/>
      <c r="BN23" s="2">
        <v>81</v>
      </c>
      <c r="BO23" s="2">
        <v>26</v>
      </c>
      <c r="BP23" s="2">
        <v>29</v>
      </c>
      <c r="BQ23" s="2">
        <v>32</v>
      </c>
      <c r="BR23" s="2">
        <v>34</v>
      </c>
      <c r="BS23" s="2">
        <v>39</v>
      </c>
      <c r="BT23" s="2">
        <v>20</v>
      </c>
      <c r="BU23" s="2">
        <v>112</v>
      </c>
      <c r="BV23" s="2">
        <v>149</v>
      </c>
      <c r="BW23" s="2">
        <v>187</v>
      </c>
      <c r="BX23" s="2">
        <v>279</v>
      </c>
      <c r="BY23" s="2">
        <v>47.9</v>
      </c>
      <c r="BZ23" s="2">
        <v>6.9</v>
      </c>
      <c r="CA23" s="2">
        <v>1.6</v>
      </c>
      <c r="CB23" s="2">
        <v>4.4176298409758901E-6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20.399999999999999</v>
      </c>
      <c r="AX24" s="2" t="s">
        <v>273</v>
      </c>
      <c r="AY24" s="130">
        <v>32</v>
      </c>
      <c r="AZ24" s="2">
        <v>18.899999999999999</v>
      </c>
      <c r="BA24" s="2">
        <v>47</v>
      </c>
      <c r="BB24" s="2">
        <v>85</v>
      </c>
      <c r="BC24" s="2">
        <v>3</v>
      </c>
      <c r="BD24" s="2">
        <v>3.8</v>
      </c>
      <c r="BE24" s="2">
        <v>4.4000000000000004</v>
      </c>
      <c r="BF24" s="2">
        <v>4.5</v>
      </c>
      <c r="BG24" s="2">
        <v>4.7</v>
      </c>
      <c r="BH24" s="2">
        <v>5.2</v>
      </c>
      <c r="BI24" s="2">
        <v>77</v>
      </c>
      <c r="BJ24" s="2">
        <v>164</v>
      </c>
      <c r="BK24" s="2">
        <v>205</v>
      </c>
      <c r="BL24" s="2">
        <v>248</v>
      </c>
      <c r="BM24" s="2">
        <v>334</v>
      </c>
      <c r="BN24" s="2"/>
      <c r="BO24" s="2"/>
      <c r="BP24" s="2"/>
      <c r="BQ24" s="2"/>
      <c r="BR24" s="2"/>
      <c r="BS24" s="2"/>
      <c r="BT24" s="2">
        <v>20</v>
      </c>
      <c r="BU24" s="2">
        <v>139</v>
      </c>
      <c r="BV24" s="2">
        <v>226</v>
      </c>
      <c r="BW24" s="2">
        <v>313</v>
      </c>
      <c r="BX24" s="2">
        <v>488</v>
      </c>
      <c r="BY24" s="2">
        <v>19.399999999999999</v>
      </c>
      <c r="BZ24" s="2">
        <v>6.8</v>
      </c>
      <c r="CA24" s="2">
        <v>2.7</v>
      </c>
      <c r="CB24" s="2">
        <v>4.7756046395588999E-10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23.5</v>
      </c>
      <c r="AX25" s="2" t="s">
        <v>273</v>
      </c>
      <c r="AY25" s="130">
        <v>32</v>
      </c>
      <c r="AZ25" s="2">
        <v>18.899999999999999</v>
      </c>
      <c r="BA25" s="2">
        <v>47</v>
      </c>
      <c r="BB25" s="2">
        <v>85</v>
      </c>
      <c r="BC25" s="2">
        <v>3</v>
      </c>
      <c r="BD25" s="2">
        <v>5.0999999999999996</v>
      </c>
      <c r="BE25" s="2">
        <v>5.6</v>
      </c>
      <c r="BF25" s="2">
        <v>5.8</v>
      </c>
      <c r="BG25" s="2">
        <v>5.9</v>
      </c>
      <c r="BH25" s="2">
        <v>6.4</v>
      </c>
      <c r="BI25" s="2">
        <v>137</v>
      </c>
      <c r="BJ25" s="2">
        <v>224</v>
      </c>
      <c r="BK25" s="2">
        <v>265</v>
      </c>
      <c r="BL25" s="2">
        <v>308</v>
      </c>
      <c r="BM25" s="2">
        <v>393</v>
      </c>
      <c r="BN25" s="2"/>
      <c r="BO25" s="2"/>
      <c r="BP25" s="2"/>
      <c r="BQ25" s="2"/>
      <c r="BR25" s="2"/>
      <c r="BS25" s="2"/>
      <c r="BT25" s="2">
        <v>101</v>
      </c>
      <c r="BU25" s="2">
        <v>220</v>
      </c>
      <c r="BV25" s="2">
        <v>307</v>
      </c>
      <c r="BW25" s="2">
        <v>394</v>
      </c>
      <c r="BX25" s="2">
        <v>569</v>
      </c>
      <c r="BY25" s="2">
        <v>19.399999999999999</v>
      </c>
      <c r="BZ25" s="2">
        <v>6.8</v>
      </c>
      <c r="CA25" s="2">
        <v>2.7</v>
      </c>
      <c r="CB25" s="2">
        <v>4.7756046395588999E-10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23.5</v>
      </c>
      <c r="AX26" s="2" t="s">
        <v>289</v>
      </c>
      <c r="AY26" s="130">
        <v>28.8</v>
      </c>
      <c r="AZ26" s="2">
        <v>19</v>
      </c>
      <c r="BA26" s="2"/>
      <c r="BB26" s="2">
        <v>10</v>
      </c>
      <c r="BC26" s="2"/>
      <c r="BD26" s="2">
        <v>13.2</v>
      </c>
      <c r="BE26" s="2">
        <v>18.399999999999999</v>
      </c>
      <c r="BF26" s="2">
        <v>19.8</v>
      </c>
      <c r="BG26" s="2">
        <v>21.5</v>
      </c>
      <c r="BH26" s="2">
        <v>28</v>
      </c>
      <c r="BI26" s="2"/>
      <c r="BJ26" s="2"/>
      <c r="BK26" s="2"/>
      <c r="BL26" s="2"/>
      <c r="BM26" s="2"/>
      <c r="BN26" s="2">
        <v>70</v>
      </c>
      <c r="BO26" s="2">
        <v>26</v>
      </c>
      <c r="BP26" s="2">
        <v>28</v>
      </c>
      <c r="BQ26" s="2">
        <v>31</v>
      </c>
      <c r="BR26" s="2">
        <v>33</v>
      </c>
      <c r="BS26" s="2">
        <v>37</v>
      </c>
      <c r="BT26" s="2">
        <v>23</v>
      </c>
      <c r="BU26" s="2">
        <v>112</v>
      </c>
      <c r="BV26" s="2">
        <v>149</v>
      </c>
      <c r="BW26" s="2">
        <v>185</v>
      </c>
      <c r="BX26" s="2">
        <v>277</v>
      </c>
      <c r="BY26" s="2">
        <v>39.299999999999997</v>
      </c>
      <c r="BZ26" s="2">
        <v>4.4000000000000004</v>
      </c>
      <c r="CA26" s="2">
        <v>1.2</v>
      </c>
      <c r="CB26" s="2">
        <v>5.6713460168054797E-7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25.5</v>
      </c>
      <c r="AX27" s="2" t="s">
        <v>289</v>
      </c>
      <c r="AY27" s="130">
        <v>28.8</v>
      </c>
      <c r="AZ27" s="2">
        <v>19</v>
      </c>
      <c r="BA27" s="2"/>
      <c r="BB27" s="2">
        <v>10</v>
      </c>
      <c r="BC27" s="2"/>
      <c r="BD27" s="2">
        <v>19.7</v>
      </c>
      <c r="BE27" s="2">
        <v>24.9</v>
      </c>
      <c r="BF27" s="2">
        <v>26.3</v>
      </c>
      <c r="BG27" s="2">
        <v>28</v>
      </c>
      <c r="BH27" s="2">
        <v>34.5</v>
      </c>
      <c r="BI27" s="2"/>
      <c r="BJ27" s="2"/>
      <c r="BK27" s="2"/>
      <c r="BL27" s="2"/>
      <c r="BM27" s="2"/>
      <c r="BN27" s="2">
        <v>70</v>
      </c>
      <c r="BO27" s="2">
        <v>26</v>
      </c>
      <c r="BP27" s="2">
        <v>28</v>
      </c>
      <c r="BQ27" s="2">
        <v>31</v>
      </c>
      <c r="BR27" s="2">
        <v>33</v>
      </c>
      <c r="BS27" s="2">
        <v>37</v>
      </c>
      <c r="BT27" s="2">
        <v>37</v>
      </c>
      <c r="BU27" s="2">
        <v>126</v>
      </c>
      <c r="BV27" s="2">
        <v>162</v>
      </c>
      <c r="BW27" s="2">
        <v>199</v>
      </c>
      <c r="BX27" s="2">
        <v>290</v>
      </c>
      <c r="BY27" s="2">
        <v>39.299999999999997</v>
      </c>
      <c r="BZ27" s="2">
        <v>4.4000000000000004</v>
      </c>
      <c r="CA27" s="2">
        <v>1.2</v>
      </c>
      <c r="CB27" s="2">
        <v>5.6713460168054797E-7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25.5</v>
      </c>
      <c r="AX28" s="2" t="s">
        <v>289</v>
      </c>
      <c r="AY28" s="130">
        <v>28.8</v>
      </c>
      <c r="AZ28" s="2">
        <v>19</v>
      </c>
      <c r="BA28" s="2"/>
      <c r="BB28" s="2">
        <v>10</v>
      </c>
      <c r="BC28" s="2"/>
      <c r="BD28" s="2">
        <v>27.4</v>
      </c>
      <c r="BE28" s="2">
        <v>31.2</v>
      </c>
      <c r="BF28" s="2">
        <v>32.200000000000003</v>
      </c>
      <c r="BG28" s="2">
        <v>33.5</v>
      </c>
      <c r="BH28" s="2">
        <v>38.9</v>
      </c>
      <c r="BI28" s="2"/>
      <c r="BJ28" s="2"/>
      <c r="BK28" s="2"/>
      <c r="BL28" s="2"/>
      <c r="BM28" s="2"/>
      <c r="BN28" s="2">
        <v>74</v>
      </c>
      <c r="BO28" s="2">
        <v>26</v>
      </c>
      <c r="BP28" s="2">
        <v>29</v>
      </c>
      <c r="BQ28" s="2">
        <v>31</v>
      </c>
      <c r="BR28" s="2">
        <v>34</v>
      </c>
      <c r="BS28" s="2">
        <v>38</v>
      </c>
      <c r="BT28" s="2">
        <v>43</v>
      </c>
      <c r="BU28" s="2">
        <v>134</v>
      </c>
      <c r="BV28" s="2">
        <v>173</v>
      </c>
      <c r="BW28" s="2">
        <v>212</v>
      </c>
      <c r="BX28" s="2">
        <v>307</v>
      </c>
      <c r="BY28" s="2">
        <v>43.7</v>
      </c>
      <c r="BZ28" s="2">
        <v>4.7</v>
      </c>
      <c r="CA28" s="2">
        <v>1.3</v>
      </c>
      <c r="CB28" s="2">
        <v>1.38761223112533E-6</v>
      </c>
      <c r="CC28" s="2"/>
    </row>
    <row r="29" spans="1:81" x14ac:dyDescent="0.25">
      <c r="A29" s="66"/>
      <c r="B29" s="66"/>
      <c r="C29" s="67"/>
      <c r="D29" s="35"/>
      <c r="AW29" s="2">
        <v>27.6</v>
      </c>
      <c r="AX29" s="2" t="s">
        <v>289</v>
      </c>
      <c r="AY29" s="130">
        <v>28.8</v>
      </c>
      <c r="AZ29" s="2">
        <v>19</v>
      </c>
      <c r="BA29" s="2"/>
      <c r="BB29" s="2">
        <v>10</v>
      </c>
      <c r="BC29" s="2"/>
      <c r="BD29" s="2">
        <v>15.6</v>
      </c>
      <c r="BE29" s="2">
        <v>19.399999999999999</v>
      </c>
      <c r="BF29" s="2">
        <v>20.399999999999999</v>
      </c>
      <c r="BG29" s="2">
        <v>21.7</v>
      </c>
      <c r="BH29" s="2">
        <v>27.1</v>
      </c>
      <c r="BI29" s="2"/>
      <c r="BJ29" s="2"/>
      <c r="BK29" s="2"/>
      <c r="BL29" s="2"/>
      <c r="BM29" s="2"/>
      <c r="BN29" s="2">
        <v>74</v>
      </c>
      <c r="BO29" s="2">
        <v>26</v>
      </c>
      <c r="BP29" s="2">
        <v>29</v>
      </c>
      <c r="BQ29" s="2">
        <v>31</v>
      </c>
      <c r="BR29" s="2">
        <v>34</v>
      </c>
      <c r="BS29" s="2">
        <v>38</v>
      </c>
      <c r="BT29" s="2">
        <v>27</v>
      </c>
      <c r="BU29" s="2">
        <v>118</v>
      </c>
      <c r="BV29" s="2">
        <v>157</v>
      </c>
      <c r="BW29" s="2">
        <v>195</v>
      </c>
      <c r="BX29" s="2">
        <v>291</v>
      </c>
      <c r="BY29" s="2">
        <v>43.7</v>
      </c>
      <c r="BZ29" s="2">
        <v>4.7</v>
      </c>
      <c r="CA29" s="2">
        <v>1.3</v>
      </c>
      <c r="CB29" s="2">
        <v>1.38761223112533E-6</v>
      </c>
      <c r="CC29" s="2"/>
    </row>
    <row r="30" spans="1:81" x14ac:dyDescent="0.25">
      <c r="A30" s="66"/>
      <c r="B30" s="66"/>
      <c r="C30" s="67"/>
      <c r="D30" s="35"/>
      <c r="AW30" s="2">
        <v>27.6</v>
      </c>
      <c r="AX30" s="2" t="s">
        <v>218</v>
      </c>
      <c r="AY30" s="130">
        <v>37</v>
      </c>
      <c r="AZ30" s="2">
        <v>18.3</v>
      </c>
      <c r="BA30" s="2">
        <v>59</v>
      </c>
      <c r="BB30" s="2">
        <v>77</v>
      </c>
      <c r="BC30" s="2">
        <v>3</v>
      </c>
      <c r="BD30" s="2">
        <v>3.4</v>
      </c>
      <c r="BE30" s="2">
        <v>5</v>
      </c>
      <c r="BF30" s="2">
        <v>5.0999999999999996</v>
      </c>
      <c r="BG30" s="2">
        <v>5.3</v>
      </c>
      <c r="BH30" s="2">
        <v>6.8</v>
      </c>
      <c r="BI30" s="2">
        <v>70</v>
      </c>
      <c r="BJ30" s="2">
        <v>183</v>
      </c>
      <c r="BK30" s="2">
        <v>228</v>
      </c>
      <c r="BL30" s="2">
        <v>274</v>
      </c>
      <c r="BM30" s="2">
        <v>385</v>
      </c>
      <c r="BN30" s="2"/>
      <c r="BO30" s="2"/>
      <c r="BP30" s="2"/>
      <c r="BQ30" s="2"/>
      <c r="BR30" s="2"/>
      <c r="BS30" s="2"/>
      <c r="BT30" s="2">
        <v>27</v>
      </c>
      <c r="BU30" s="2">
        <v>161</v>
      </c>
      <c r="BV30" s="2">
        <v>251</v>
      </c>
      <c r="BW30" s="2">
        <v>340</v>
      </c>
      <c r="BX30" s="2">
        <v>540</v>
      </c>
      <c r="BY30" s="2">
        <v>25.6</v>
      </c>
      <c r="BZ30" s="2">
        <v>5.6</v>
      </c>
      <c r="CA30" s="2">
        <v>2.1</v>
      </c>
      <c r="CB30" s="2">
        <v>3.3515740604529499E-10</v>
      </c>
      <c r="CC30" s="2">
        <v>1.8</v>
      </c>
    </row>
    <row r="31" spans="1:81" x14ac:dyDescent="0.25">
      <c r="A31" s="66"/>
      <c r="B31" s="66"/>
      <c r="C31" s="67"/>
      <c r="D31" s="35"/>
      <c r="AW31" s="2">
        <v>48</v>
      </c>
      <c r="AX31" s="2" t="s">
        <v>218</v>
      </c>
      <c r="AY31" s="130">
        <v>37</v>
      </c>
      <c r="AZ31" s="2">
        <v>18.3</v>
      </c>
      <c r="BA31" s="2">
        <v>59</v>
      </c>
      <c r="BB31" s="2">
        <v>77</v>
      </c>
      <c r="BC31" s="2">
        <v>3</v>
      </c>
      <c r="BD31" s="2">
        <v>7.6</v>
      </c>
      <c r="BE31" s="2">
        <v>9.1999999999999993</v>
      </c>
      <c r="BF31" s="2">
        <v>9.3000000000000007</v>
      </c>
      <c r="BG31" s="2">
        <v>9.5</v>
      </c>
      <c r="BH31" s="2">
        <v>11</v>
      </c>
      <c r="BI31" s="2">
        <v>263</v>
      </c>
      <c r="BJ31" s="2">
        <v>376</v>
      </c>
      <c r="BK31" s="2">
        <v>421</v>
      </c>
      <c r="BL31" s="2">
        <v>467</v>
      </c>
      <c r="BM31" s="2">
        <v>578</v>
      </c>
      <c r="BN31" s="2"/>
      <c r="BO31" s="2"/>
      <c r="BP31" s="2"/>
      <c r="BQ31" s="2"/>
      <c r="BR31" s="2"/>
      <c r="BS31" s="2"/>
      <c r="BT31" s="2">
        <v>319</v>
      </c>
      <c r="BU31" s="2">
        <v>453</v>
      </c>
      <c r="BV31" s="2">
        <v>542</v>
      </c>
      <c r="BW31" s="2">
        <v>632</v>
      </c>
      <c r="BX31" s="2">
        <v>831</v>
      </c>
      <c r="BY31" s="2">
        <v>25.6</v>
      </c>
      <c r="BZ31" s="2">
        <v>5.6</v>
      </c>
      <c r="CA31" s="2">
        <v>2.1</v>
      </c>
      <c r="CB31" s="2">
        <v>3.3515740604529499E-10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48</v>
      </c>
      <c r="AX32" s="2" t="s">
        <v>220</v>
      </c>
      <c r="AY32" s="130">
        <v>29.5</v>
      </c>
      <c r="AZ32" s="2">
        <v>18.8</v>
      </c>
      <c r="BA32" s="2">
        <v>48</v>
      </c>
      <c r="BB32" s="2">
        <v>77</v>
      </c>
      <c r="BC32" s="2">
        <v>3</v>
      </c>
      <c r="BD32" s="2">
        <v>6.4</v>
      </c>
      <c r="BE32" s="2">
        <v>10.1</v>
      </c>
      <c r="BF32" s="2">
        <v>10.8</v>
      </c>
      <c r="BG32" s="2">
        <v>11.5</v>
      </c>
      <c r="BH32" s="2">
        <v>15.4</v>
      </c>
      <c r="BI32" s="2">
        <v>239</v>
      </c>
      <c r="BJ32" s="2">
        <v>438</v>
      </c>
      <c r="BK32" s="2">
        <v>493</v>
      </c>
      <c r="BL32" s="2">
        <v>549</v>
      </c>
      <c r="BM32" s="2">
        <v>757</v>
      </c>
      <c r="BN32" s="2"/>
      <c r="BO32" s="2"/>
      <c r="BP32" s="2"/>
      <c r="BQ32" s="2"/>
      <c r="BR32" s="2"/>
      <c r="BS32" s="2"/>
      <c r="BT32" s="2">
        <v>212</v>
      </c>
      <c r="BU32" s="2">
        <v>553</v>
      </c>
      <c r="BV32" s="2">
        <v>658</v>
      </c>
      <c r="BW32" s="2">
        <v>766</v>
      </c>
      <c r="BX32" s="2">
        <v>1143</v>
      </c>
      <c r="BY32" s="2">
        <v>52.4</v>
      </c>
      <c r="BZ32" s="2">
        <v>8.9</v>
      </c>
      <c r="CA32" s="2">
        <v>3</v>
      </c>
      <c r="CB32" s="2">
        <v>1.53645232807002E-9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52</v>
      </c>
      <c r="AX33" s="2" t="s">
        <v>220</v>
      </c>
      <c r="AY33" s="130">
        <v>29.5</v>
      </c>
      <c r="AZ33" s="2">
        <v>18.8</v>
      </c>
      <c r="BA33" s="2">
        <v>48</v>
      </c>
      <c r="BB33" s="2">
        <v>77</v>
      </c>
      <c r="BC33" s="2">
        <v>3</v>
      </c>
      <c r="BD33" s="2">
        <v>14.3</v>
      </c>
      <c r="BE33" s="2">
        <v>18</v>
      </c>
      <c r="BF33" s="2">
        <v>18.600000000000001</v>
      </c>
      <c r="BG33" s="2">
        <v>19.3</v>
      </c>
      <c r="BH33" s="2">
        <v>23.2</v>
      </c>
      <c r="BI33" s="2">
        <v>629</v>
      </c>
      <c r="BJ33" s="2">
        <v>829</v>
      </c>
      <c r="BK33" s="2">
        <v>883</v>
      </c>
      <c r="BL33" s="2">
        <v>940</v>
      </c>
      <c r="BM33" s="2">
        <v>1147</v>
      </c>
      <c r="BN33" s="2"/>
      <c r="BO33" s="2"/>
      <c r="BP33" s="2"/>
      <c r="BQ33" s="2"/>
      <c r="BR33" s="2"/>
      <c r="BS33" s="2"/>
      <c r="BT33" s="2">
        <v>882</v>
      </c>
      <c r="BU33" s="2">
        <v>1223</v>
      </c>
      <c r="BV33" s="2">
        <v>1327</v>
      </c>
      <c r="BW33" s="2">
        <v>1436</v>
      </c>
      <c r="BX33" s="2">
        <v>1813</v>
      </c>
      <c r="BY33" s="2">
        <v>52.4</v>
      </c>
      <c r="BZ33" s="2">
        <v>8.9</v>
      </c>
      <c r="CA33" s="2">
        <v>3</v>
      </c>
      <c r="CB33" s="2">
        <v>1.53645232807002E-9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52</v>
      </c>
      <c r="AX34" s="2" t="s">
        <v>220</v>
      </c>
      <c r="AY34" s="130">
        <v>29.5</v>
      </c>
      <c r="AZ34" s="2">
        <v>18.8</v>
      </c>
      <c r="BA34" s="2">
        <v>48</v>
      </c>
      <c r="BB34" s="2">
        <v>77</v>
      </c>
      <c r="BC34" s="2">
        <v>3</v>
      </c>
      <c r="BD34" s="2">
        <v>1.9</v>
      </c>
      <c r="BE34" s="2">
        <v>8</v>
      </c>
      <c r="BF34" s="2">
        <v>11.6</v>
      </c>
      <c r="BG34" s="2">
        <v>30.2</v>
      </c>
      <c r="BH34" s="2">
        <v>87.6</v>
      </c>
      <c r="BI34" s="2">
        <v>402</v>
      </c>
      <c r="BJ34" s="2">
        <v>488</v>
      </c>
      <c r="BK34" s="2">
        <v>531</v>
      </c>
      <c r="BL34" s="2">
        <v>575</v>
      </c>
      <c r="BM34" s="2">
        <v>661</v>
      </c>
      <c r="BN34" s="2"/>
      <c r="BO34" s="2"/>
      <c r="BP34" s="2"/>
      <c r="BQ34" s="2"/>
      <c r="BR34" s="2"/>
      <c r="BS34" s="2"/>
      <c r="BT34" s="2">
        <v>469</v>
      </c>
      <c r="BU34" s="2">
        <v>642</v>
      </c>
      <c r="BV34" s="2">
        <v>729</v>
      </c>
      <c r="BW34" s="2">
        <v>816</v>
      </c>
      <c r="BX34" s="2">
        <v>989</v>
      </c>
      <c r="BY34" s="2">
        <v>58.2</v>
      </c>
      <c r="BZ34" s="2">
        <v>8.1</v>
      </c>
      <c r="CA34" s="2">
        <v>2.9</v>
      </c>
      <c r="CB34" s="2">
        <v>2.7756097763120199E-12</v>
      </c>
      <c r="CC34" s="2">
        <v>1.8</v>
      </c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68</v>
      </c>
      <c r="AX35" s="2" t="s">
        <v>220</v>
      </c>
      <c r="AY35" s="130">
        <v>29.5</v>
      </c>
      <c r="AZ35" s="2">
        <v>18.8</v>
      </c>
      <c r="BA35" s="2">
        <v>48</v>
      </c>
      <c r="BB35" s="2">
        <v>77</v>
      </c>
      <c r="BC35" s="2">
        <v>3</v>
      </c>
      <c r="BD35" s="2">
        <v>9.9</v>
      </c>
      <c r="BE35" s="2">
        <v>16</v>
      </c>
      <c r="BF35" s="2">
        <v>19.7</v>
      </c>
      <c r="BG35" s="2">
        <v>38.200000000000003</v>
      </c>
      <c r="BH35" s="2">
        <v>95.7</v>
      </c>
      <c r="BI35" s="2">
        <v>789</v>
      </c>
      <c r="BJ35" s="2">
        <v>875</v>
      </c>
      <c r="BK35" s="2">
        <v>918</v>
      </c>
      <c r="BL35" s="2">
        <v>963</v>
      </c>
      <c r="BM35" s="2">
        <v>1048</v>
      </c>
      <c r="BN35" s="2"/>
      <c r="BO35" s="2"/>
      <c r="BP35" s="2"/>
      <c r="BQ35" s="2"/>
      <c r="BR35" s="2"/>
      <c r="BS35" s="2"/>
      <c r="BT35" s="2">
        <v>1155</v>
      </c>
      <c r="BU35" s="2">
        <v>1327</v>
      </c>
      <c r="BV35" s="2">
        <v>1415</v>
      </c>
      <c r="BW35" s="2">
        <v>1502</v>
      </c>
      <c r="BX35" s="2">
        <v>1675</v>
      </c>
      <c r="BY35" s="2">
        <v>58.2</v>
      </c>
      <c r="BZ35" s="2">
        <v>8.1</v>
      </c>
      <c r="CA35" s="2">
        <v>2.9</v>
      </c>
      <c r="CB35" s="2">
        <v>2.7756097763120199E-12</v>
      </c>
      <c r="CC35" s="2">
        <v>1.8</v>
      </c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>
        <v>68</v>
      </c>
      <c r="AX36" s="2" t="s">
        <v>221</v>
      </c>
      <c r="AY36" s="130">
        <v>36.1</v>
      </c>
      <c r="AZ36" s="2">
        <v>18.5</v>
      </c>
      <c r="BA36" s="2">
        <v>21</v>
      </c>
      <c r="BB36" s="2">
        <v>72</v>
      </c>
      <c r="BC36" s="2">
        <v>3</v>
      </c>
      <c r="BD36" s="2">
        <v>2.5</v>
      </c>
      <c r="BE36" s="2">
        <v>4</v>
      </c>
      <c r="BF36" s="2">
        <v>4.8</v>
      </c>
      <c r="BG36" s="2">
        <v>11.2</v>
      </c>
      <c r="BH36" s="2">
        <v>31</v>
      </c>
      <c r="BI36" s="2">
        <v>95</v>
      </c>
      <c r="BJ36" s="2">
        <v>144</v>
      </c>
      <c r="BK36" s="2">
        <v>176</v>
      </c>
      <c r="BL36" s="2">
        <v>210</v>
      </c>
      <c r="BM36" s="2">
        <v>275</v>
      </c>
      <c r="BN36" s="2"/>
      <c r="BO36" s="2"/>
      <c r="BP36" s="2"/>
      <c r="BQ36" s="2"/>
      <c r="BR36" s="2"/>
      <c r="BS36" s="2"/>
      <c r="BT36" s="2">
        <v>68</v>
      </c>
      <c r="BU36" s="2">
        <v>155</v>
      </c>
      <c r="BV36" s="2">
        <v>241</v>
      </c>
      <c r="BW36" s="2">
        <v>328</v>
      </c>
      <c r="BX36" s="2">
        <v>500</v>
      </c>
      <c r="BY36" s="2">
        <v>15.4</v>
      </c>
      <c r="BZ36" s="2">
        <v>1.7</v>
      </c>
      <c r="CA36" s="2">
        <v>0.6</v>
      </c>
      <c r="CB36" s="2">
        <v>1.7420491730188601E-13</v>
      </c>
      <c r="CC36" s="2">
        <v>1.8</v>
      </c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>
        <v>80</v>
      </c>
      <c r="AX37" s="2" t="s">
        <v>221</v>
      </c>
      <c r="AY37" s="130">
        <v>36.1</v>
      </c>
      <c r="AZ37" s="2">
        <v>18.5</v>
      </c>
      <c r="BA37" s="2">
        <v>21</v>
      </c>
      <c r="BB37" s="2">
        <v>72</v>
      </c>
      <c r="BC37" s="2">
        <v>3</v>
      </c>
      <c r="BD37" s="2">
        <v>3.2</v>
      </c>
      <c r="BE37" s="2">
        <v>4.8</v>
      </c>
      <c r="BF37" s="2">
        <v>5.6</v>
      </c>
      <c r="BG37" s="2">
        <v>12</v>
      </c>
      <c r="BH37" s="2">
        <v>31.7</v>
      </c>
      <c r="BI37" s="2">
        <v>121</v>
      </c>
      <c r="BJ37" s="2">
        <v>170</v>
      </c>
      <c r="BK37" s="2">
        <v>202</v>
      </c>
      <c r="BL37" s="2">
        <v>236</v>
      </c>
      <c r="BM37" s="2">
        <v>301</v>
      </c>
      <c r="BN37" s="2"/>
      <c r="BO37" s="2"/>
      <c r="BP37" s="2"/>
      <c r="BQ37" s="2"/>
      <c r="BR37" s="2"/>
      <c r="BS37" s="2"/>
      <c r="BT37" s="2">
        <v>113</v>
      </c>
      <c r="BU37" s="2">
        <v>200</v>
      </c>
      <c r="BV37" s="2">
        <v>286</v>
      </c>
      <c r="BW37" s="2">
        <v>373</v>
      </c>
      <c r="BX37" s="2">
        <v>545</v>
      </c>
      <c r="BY37" s="2">
        <v>15.4</v>
      </c>
      <c r="BZ37" s="2">
        <v>1.7</v>
      </c>
      <c r="CA37" s="2">
        <v>0.6</v>
      </c>
      <c r="CB37" s="2">
        <v>1.7420491730188601E-13</v>
      </c>
      <c r="CC37" s="2">
        <v>1.8</v>
      </c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544" priority="12">
      <formula>$L32="API sand"</formula>
    </cfRule>
  </conditionalFormatting>
  <conditionalFormatting sqref="R32:S36 AB32:AB35 AJ32:AL36 Z32:Z36 N32:N36">
    <cfRule type="expression" dxfId="2543" priority="11">
      <formula>$M32="API sand"</formula>
    </cfRule>
  </conditionalFormatting>
  <conditionalFormatting sqref="R32:T36 Z32:AB35 AK32:AL36 N32:N36">
    <cfRule type="expression" dxfId="2542" priority="10">
      <formula>$M32="API clay"</formula>
    </cfRule>
  </conditionalFormatting>
  <conditionalFormatting sqref="U32:W36 AM32:AP36 N32:P36">
    <cfRule type="expression" dxfId="2541" priority="7">
      <formula>$L32="Stiff clay w/o free water"</formula>
    </cfRule>
    <cfRule type="expression" dxfId="2540" priority="9">
      <formula>$L32="API clay"</formula>
    </cfRule>
  </conditionalFormatting>
  <conditionalFormatting sqref="U32:Y36 AM32:AP36 N32:P36">
    <cfRule type="expression" dxfId="2539" priority="8">
      <formula>$L32="Kirsch soft clay"</formula>
    </cfRule>
  </conditionalFormatting>
  <conditionalFormatting sqref="U32:Y36 AM32:AP36 N32:P36">
    <cfRule type="expression" dxfId="2538" priority="6">
      <formula>$L32="Kirsch stiff clay"</formula>
    </cfRule>
  </conditionalFormatting>
  <conditionalFormatting sqref="AM32:AP36 Q32:Q36 X32:Y36 N32:N36">
    <cfRule type="expression" dxfId="2537" priority="5">
      <formula>$L32="Kirsch sand"</formula>
    </cfRule>
  </conditionalFormatting>
  <conditionalFormatting sqref="AC32:AD36 AI32:AI36 AM32:AP36 N32:N36">
    <cfRule type="expression" dxfId="2536" priority="4">
      <formula>$L32="Modified Weak rock"</formula>
    </cfRule>
  </conditionalFormatting>
  <conditionalFormatting sqref="AM32:AP36 N32:P36 U32:V36">
    <cfRule type="expression" dxfId="2535" priority="3">
      <formula>$L32="Reese stiff clay"</formula>
    </cfRule>
  </conditionalFormatting>
  <conditionalFormatting sqref="AB36">
    <cfRule type="expression" dxfId="2534" priority="2">
      <formula>$M36="API sand"</formula>
    </cfRule>
  </conditionalFormatting>
  <conditionalFormatting sqref="Z36:AB36">
    <cfRule type="expression" dxfId="2533" priority="1">
      <formula>$M36="API clay"</formula>
    </cfRule>
  </conditionalFormatting>
  <conditionalFormatting sqref="AE37:AH37">
    <cfRule type="expression" dxfId="2532" priority="13">
      <formula>#REF!="Modified Weak rock"</formula>
    </cfRule>
  </conditionalFormatting>
  <dataValidations count="4">
    <dataValidation type="list" showInputMessage="1" showErrorMessage="1" sqref="M32:M36" xr:uid="{4A88C39E-7E24-4194-884D-193E5637CD4F}">
      <formula1>"',API sand,API clay"</formula1>
    </dataValidation>
    <dataValidation type="list" showInputMessage="1" showErrorMessage="1" sqref="L32:L255" xr:uid="{3FEA072D-6156-40F9-AE95-267CAFD0B28B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09575AAB-CB71-4162-87F9-F1A739182E5B}"/>
    <dataValidation type="textLength" showInputMessage="1" showErrorMessage="1" sqref="M27:M31" xr:uid="{511B7E12-1C7A-4C7D-AFEE-DF870642EF49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C68D7-0581-4B50-A854-56F679A20552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Ak_Pisa_WTG25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EW_sand_Ruled_63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35</v>
      </c>
      <c r="R6" s="47">
        <f t="shared" ref="R6:R26" ca="1" si="7">IF(I6="","",IF(Q6&lt;&gt;0,Q6-5,NA()))</f>
        <v>30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5700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95.999999999999972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9600</v>
      </c>
      <c r="AC6" s="63">
        <f t="shared" ref="AC6:AC26" ca="1" si="18">IF(I6="","",IF(OFFSET($BV$6,(ROW()-6)*2,0)=0,0,OFFSET($BV$6,(ROW()-6)*2,0)*1000))</f>
        <v>9000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16000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40.000000000000007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63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0.3</v>
      </c>
      <c r="BE6" s="2">
        <v>0.5</v>
      </c>
      <c r="BF6" s="2">
        <v>0.7</v>
      </c>
      <c r="BG6" s="2">
        <v>0.9</v>
      </c>
      <c r="BH6" s="2">
        <v>1.4</v>
      </c>
      <c r="BI6" s="2"/>
      <c r="BJ6" s="2"/>
      <c r="BK6" s="2"/>
      <c r="BL6" s="2"/>
      <c r="BM6" s="2"/>
      <c r="BN6" s="2">
        <v>63</v>
      </c>
      <c r="BO6" s="2">
        <v>29</v>
      </c>
      <c r="BP6" s="2">
        <v>35</v>
      </c>
      <c r="BQ6" s="2">
        <v>38</v>
      </c>
      <c r="BR6" s="2">
        <v>41</v>
      </c>
      <c r="BS6" s="2">
        <v>46</v>
      </c>
      <c r="BT6" s="2">
        <v>0</v>
      </c>
      <c r="BU6" s="2">
        <v>4</v>
      </c>
      <c r="BV6" s="2">
        <v>9</v>
      </c>
      <c r="BW6" s="2">
        <v>14</v>
      </c>
      <c r="BX6" s="2">
        <v>24</v>
      </c>
      <c r="BY6" s="2">
        <v>5.7</v>
      </c>
      <c r="BZ6" s="2">
        <v>1</v>
      </c>
      <c r="CA6" s="2">
        <v>0.5</v>
      </c>
      <c r="CB6" s="2">
        <v>4.9420312167045298E-6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11a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-1</v>
      </c>
      <c r="L7" s="116" t="str">
        <f t="shared" ca="1" si="1"/>
        <v>EW_sand_Ruled_51</v>
      </c>
      <c r="M7" s="105" t="str">
        <f t="shared" ca="1" si="2"/>
        <v>API sand</v>
      </c>
      <c r="N7" s="47">
        <f t="shared" ca="1" si="3"/>
        <v>9.6000000000000014</v>
      </c>
      <c r="O7" s="63">
        <f t="shared" ca="1" si="4"/>
        <v>0</v>
      </c>
      <c r="P7" s="63">
        <f t="shared" ca="1" si="5"/>
        <v>0</v>
      </c>
      <c r="Q7" s="47">
        <f t="shared" ca="1" si="6"/>
        <v>35</v>
      </c>
      <c r="R7" s="47">
        <f t="shared" ca="1" si="7"/>
        <v>30</v>
      </c>
      <c r="S7" s="47">
        <f t="shared" ca="1" si="8"/>
        <v>1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20100</v>
      </c>
      <c r="Y7" s="47">
        <f t="shared" ca="1" si="14"/>
        <v>0</v>
      </c>
      <c r="Z7" s="47">
        <f t="shared" ca="1" si="15"/>
        <v>95.999999999999972</v>
      </c>
      <c r="AA7" s="47">
        <f t="shared" ca="1" si="16"/>
        <v>1</v>
      </c>
      <c r="AB7" s="47">
        <f t="shared" ca="1" si="17"/>
        <v>9600</v>
      </c>
      <c r="AC7" s="63">
        <f t="shared" ca="1" si="18"/>
        <v>33000</v>
      </c>
      <c r="AD7" s="63">
        <f t="shared" ca="1" si="19"/>
        <v>5866.6666666666661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40.000000000000007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51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1.5</v>
      </c>
      <c r="BE7" s="2">
        <v>1.8</v>
      </c>
      <c r="BF7" s="2">
        <v>2</v>
      </c>
      <c r="BG7" s="2">
        <v>2.2000000000000002</v>
      </c>
      <c r="BH7" s="2">
        <v>2.6</v>
      </c>
      <c r="BI7" s="2"/>
      <c r="BJ7" s="2"/>
      <c r="BK7" s="2"/>
      <c r="BL7" s="2"/>
      <c r="BM7" s="2"/>
      <c r="BN7" s="2">
        <v>63</v>
      </c>
      <c r="BO7" s="2">
        <v>29</v>
      </c>
      <c r="BP7" s="2">
        <v>35</v>
      </c>
      <c r="BQ7" s="2">
        <v>38</v>
      </c>
      <c r="BR7" s="2">
        <v>41</v>
      </c>
      <c r="BS7" s="2">
        <v>46</v>
      </c>
      <c r="BT7" s="2">
        <v>10</v>
      </c>
      <c r="BU7" s="2">
        <v>21</v>
      </c>
      <c r="BV7" s="2">
        <v>25</v>
      </c>
      <c r="BW7" s="2">
        <v>30</v>
      </c>
      <c r="BX7" s="2">
        <v>41</v>
      </c>
      <c r="BY7" s="2">
        <v>5.7</v>
      </c>
      <c r="BZ7" s="2">
        <v>1</v>
      </c>
      <c r="CA7" s="2">
        <v>0.5</v>
      </c>
      <c r="CB7" s="2">
        <v>4.9420312167045298E-6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11b</v>
      </c>
      <c r="J8" s="47">
        <f t="shared" ca="1" si="35"/>
        <v>3</v>
      </c>
      <c r="K8" s="19">
        <f t="shared" ca="1" si="36"/>
        <v>-8.5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9.5</v>
      </c>
      <c r="O8" s="63">
        <f t="shared" ca="1" si="4"/>
        <v>55</v>
      </c>
      <c r="P8" s="63">
        <f t="shared" ca="1" si="5"/>
        <v>0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30000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130000</v>
      </c>
      <c r="AD8" s="63">
        <f t="shared" ca="1" si="19"/>
        <v>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1</v>
      </c>
      <c r="AX8" s="2" t="s">
        <v>293</v>
      </c>
      <c r="AY8" s="130">
        <v>25.8</v>
      </c>
      <c r="AZ8" s="2">
        <v>19.600000000000001</v>
      </c>
      <c r="BA8" s="2"/>
      <c r="BB8" s="2">
        <v>22</v>
      </c>
      <c r="BC8" s="2"/>
      <c r="BD8" s="2">
        <v>0.2</v>
      </c>
      <c r="BE8" s="2">
        <v>1.8</v>
      </c>
      <c r="BF8" s="2">
        <v>2</v>
      </c>
      <c r="BG8" s="2">
        <v>2.2000000000000002</v>
      </c>
      <c r="BH8" s="2">
        <v>4</v>
      </c>
      <c r="BI8" s="2"/>
      <c r="BJ8" s="2"/>
      <c r="BK8" s="2"/>
      <c r="BL8" s="2"/>
      <c r="BM8" s="2"/>
      <c r="BN8" s="2">
        <v>51</v>
      </c>
      <c r="BO8" s="2">
        <v>29</v>
      </c>
      <c r="BP8" s="2">
        <v>35</v>
      </c>
      <c r="BQ8" s="2">
        <v>38</v>
      </c>
      <c r="BR8" s="2">
        <v>41</v>
      </c>
      <c r="BS8" s="2">
        <v>46</v>
      </c>
      <c r="BT8" s="2">
        <v>1</v>
      </c>
      <c r="BU8" s="2">
        <v>20</v>
      </c>
      <c r="BV8" s="2">
        <v>33</v>
      </c>
      <c r="BW8" s="2">
        <v>46</v>
      </c>
      <c r="BX8" s="2">
        <v>78</v>
      </c>
      <c r="BY8" s="2">
        <v>20.100000000000001</v>
      </c>
      <c r="BZ8" s="2">
        <v>3.4</v>
      </c>
      <c r="CA8" s="2">
        <v>1</v>
      </c>
      <c r="CB8" s="2">
        <v>3.6455302551311698E-7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11b</v>
      </c>
      <c r="J9" s="47">
        <f t="shared" ca="1" si="35"/>
        <v>4</v>
      </c>
      <c r="K9" s="19">
        <f t="shared" ca="1" si="36"/>
        <v>-10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9.5</v>
      </c>
      <c r="O9" s="63">
        <f t="shared" ca="1" si="4"/>
        <v>1071</v>
      </c>
      <c r="P9" s="63">
        <f t="shared" ca="1" si="5"/>
        <v>0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0.25</v>
      </c>
      <c r="X9" s="47">
        <f t="shared" ca="1" si="13"/>
        <v>150000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1000000</v>
      </c>
      <c r="AD9" s="63">
        <f t="shared" ca="1" si="19"/>
        <v>0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8.5</v>
      </c>
      <c r="AX9" s="2" t="s">
        <v>293</v>
      </c>
      <c r="AY9" s="130">
        <v>25.8</v>
      </c>
      <c r="AZ9" s="2">
        <v>19.600000000000001</v>
      </c>
      <c r="BA9" s="2"/>
      <c r="BB9" s="2">
        <v>22</v>
      </c>
      <c r="BC9" s="2"/>
      <c r="BD9" s="2">
        <v>5.3</v>
      </c>
      <c r="BE9" s="2">
        <v>6.8</v>
      </c>
      <c r="BF9" s="2">
        <v>7</v>
      </c>
      <c r="BG9" s="2">
        <v>7.2</v>
      </c>
      <c r="BH9" s="2">
        <v>9</v>
      </c>
      <c r="BI9" s="2"/>
      <c r="BJ9" s="2"/>
      <c r="BK9" s="2"/>
      <c r="BL9" s="2"/>
      <c r="BM9" s="2"/>
      <c r="BN9" s="2">
        <v>51</v>
      </c>
      <c r="BO9" s="2">
        <v>29</v>
      </c>
      <c r="BP9" s="2">
        <v>35</v>
      </c>
      <c r="BQ9" s="2">
        <v>38</v>
      </c>
      <c r="BR9" s="2">
        <v>41</v>
      </c>
      <c r="BS9" s="2">
        <v>46</v>
      </c>
      <c r="BT9" s="2">
        <v>45</v>
      </c>
      <c r="BU9" s="2">
        <v>64</v>
      </c>
      <c r="BV9" s="2">
        <v>77</v>
      </c>
      <c r="BW9" s="2">
        <v>90</v>
      </c>
      <c r="BX9" s="2">
        <v>123</v>
      </c>
      <c r="BY9" s="2">
        <v>20.100000000000001</v>
      </c>
      <c r="BZ9" s="2">
        <v>3.4</v>
      </c>
      <c r="CA9" s="2">
        <v>1</v>
      </c>
      <c r="CB9" s="2">
        <v>3.6455302551311698E-7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21a</v>
      </c>
      <c r="J10" s="47">
        <f t="shared" ca="1" si="35"/>
        <v>5</v>
      </c>
      <c r="K10" s="19">
        <f t="shared" ca="1" si="36"/>
        <v>-12.5</v>
      </c>
      <c r="L10" s="116" t="str">
        <f t="shared" ca="1" si="1"/>
        <v>EW_sand_Ruled_30</v>
      </c>
      <c r="M10" s="105" t="str">
        <f t="shared" ca="1" si="2"/>
        <v>API sand</v>
      </c>
      <c r="N10" s="47">
        <f t="shared" ca="1" si="3"/>
        <v>9.8000000000000007</v>
      </c>
      <c r="O10" s="63">
        <f t="shared" ca="1" si="4"/>
        <v>0</v>
      </c>
      <c r="P10" s="63">
        <f t="shared" ca="1" si="5"/>
        <v>0</v>
      </c>
      <c r="Q10" s="47">
        <f t="shared" ca="1" si="6"/>
        <v>26.5</v>
      </c>
      <c r="R10" s="47">
        <f t="shared" ca="1" si="7"/>
        <v>21.5</v>
      </c>
      <c r="S10" s="47">
        <f t="shared" ca="1" si="8"/>
        <v>0.8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7300</v>
      </c>
      <c r="Y10" s="47">
        <f t="shared" ca="1" si="14"/>
        <v>0</v>
      </c>
      <c r="Z10" s="47">
        <f t="shared" ca="1" si="15"/>
        <v>69.799999999999983</v>
      </c>
      <c r="AA10" s="47">
        <f t="shared" ca="1" si="16"/>
        <v>1</v>
      </c>
      <c r="AB10" s="47">
        <f t="shared" ca="1" si="17"/>
        <v>3280</v>
      </c>
      <c r="AC10" s="63">
        <f t="shared" ca="1" si="18"/>
        <v>81000</v>
      </c>
      <c r="AD10" s="63">
        <f t="shared" ca="1" si="19"/>
        <v>5555.5555555555538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13.600000000000003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30</v>
      </c>
      <c r="AS10" s="33">
        <f t="shared" ca="1" si="34"/>
        <v>0.2</v>
      </c>
      <c r="AW10" s="2">
        <v>8.5</v>
      </c>
      <c r="AX10" s="2" t="s">
        <v>299</v>
      </c>
      <c r="AY10" s="130">
        <v>29</v>
      </c>
      <c r="AZ10" s="2">
        <v>19.5</v>
      </c>
      <c r="BA10" s="2">
        <v>13</v>
      </c>
      <c r="BB10" s="2">
        <v>64</v>
      </c>
      <c r="BC10" s="2">
        <v>4</v>
      </c>
      <c r="BD10" s="2">
        <v>0.3</v>
      </c>
      <c r="BE10" s="2">
        <v>1</v>
      </c>
      <c r="BF10" s="2">
        <v>1.3</v>
      </c>
      <c r="BG10" s="2">
        <v>7.9</v>
      </c>
      <c r="BH10" s="2">
        <v>29.5</v>
      </c>
      <c r="BI10" s="2">
        <v>11</v>
      </c>
      <c r="BJ10" s="2">
        <v>55</v>
      </c>
      <c r="BK10" s="2">
        <v>63</v>
      </c>
      <c r="BL10" s="2">
        <v>156</v>
      </c>
      <c r="BM10" s="2">
        <v>616</v>
      </c>
      <c r="BN10" s="2"/>
      <c r="BO10" s="2"/>
      <c r="BP10" s="2"/>
      <c r="BQ10" s="2"/>
      <c r="BR10" s="2"/>
      <c r="BS10" s="2"/>
      <c r="BT10" s="2">
        <v>8</v>
      </c>
      <c r="BU10" s="2">
        <v>60</v>
      </c>
      <c r="BV10" s="2">
        <v>130</v>
      </c>
      <c r="BW10" s="2">
        <v>153</v>
      </c>
      <c r="BX10" s="2">
        <v>888</v>
      </c>
      <c r="BY10" s="2">
        <v>30</v>
      </c>
      <c r="BZ10" s="2">
        <v>10</v>
      </c>
      <c r="CA10" s="2">
        <v>3</v>
      </c>
      <c r="CB10" s="2">
        <v>7.1126605183145896E-8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21a</v>
      </c>
      <c r="J11" s="47">
        <f t="shared" ca="1" si="35"/>
        <v>6</v>
      </c>
      <c r="K11" s="19">
        <f t="shared" ca="1" si="36"/>
        <v>-13.4</v>
      </c>
      <c r="L11" s="116" t="str">
        <f t="shared" ca="1" si="1"/>
        <v>EW_sand_Ruled_86</v>
      </c>
      <c r="M11" s="105" t="str">
        <f t="shared" ca="1" si="2"/>
        <v>API sand</v>
      </c>
      <c r="N11" s="47">
        <f t="shared" ca="1" si="3"/>
        <v>9.8000000000000007</v>
      </c>
      <c r="O11" s="63">
        <f t="shared" ca="1" si="4"/>
        <v>0</v>
      </c>
      <c r="P11" s="63">
        <f t="shared" ca="1" si="5"/>
        <v>0</v>
      </c>
      <c r="Q11" s="47">
        <f t="shared" ca="1" si="6"/>
        <v>30</v>
      </c>
      <c r="R11" s="47">
        <f t="shared" ca="1" si="7"/>
        <v>25</v>
      </c>
      <c r="S11" s="47">
        <f t="shared" ca="1" si="8"/>
        <v>2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50500</v>
      </c>
      <c r="Y11" s="47">
        <f t="shared" ca="1" si="14"/>
        <v>0</v>
      </c>
      <c r="Z11" s="47">
        <f t="shared" ca="1" si="15"/>
        <v>80.999999999999972</v>
      </c>
      <c r="AA11" s="47">
        <f t="shared" ca="1" si="16"/>
        <v>1</v>
      </c>
      <c r="AB11" s="47">
        <f t="shared" ca="1" si="17"/>
        <v>4800</v>
      </c>
      <c r="AC11" s="63">
        <f t="shared" ca="1" si="18"/>
        <v>140000</v>
      </c>
      <c r="AD11" s="63">
        <f t="shared" ca="1" si="19"/>
        <v>625.00000000000011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20.000000000000007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86</v>
      </c>
      <c r="AS11" s="33">
        <f t="shared" ca="1" si="34"/>
        <v>0.2</v>
      </c>
      <c r="AW11" s="2">
        <v>10</v>
      </c>
      <c r="AX11" s="2" t="s">
        <v>299</v>
      </c>
      <c r="AY11" s="130">
        <v>29</v>
      </c>
      <c r="AZ11" s="2">
        <v>19.5</v>
      </c>
      <c r="BA11" s="2">
        <v>13</v>
      </c>
      <c r="BB11" s="2">
        <v>64</v>
      </c>
      <c r="BC11" s="2">
        <v>4</v>
      </c>
      <c r="BD11" s="2">
        <v>0.3</v>
      </c>
      <c r="BE11" s="2">
        <v>1</v>
      </c>
      <c r="BF11" s="2">
        <v>1.3</v>
      </c>
      <c r="BG11" s="2">
        <v>7.9</v>
      </c>
      <c r="BH11" s="2">
        <v>29.5</v>
      </c>
      <c r="BI11" s="2">
        <v>11</v>
      </c>
      <c r="BJ11" s="2">
        <v>55</v>
      </c>
      <c r="BK11" s="2">
        <v>63</v>
      </c>
      <c r="BL11" s="2">
        <v>156</v>
      </c>
      <c r="BM11" s="2">
        <v>616</v>
      </c>
      <c r="BN11" s="2"/>
      <c r="BO11" s="2"/>
      <c r="BP11" s="2"/>
      <c r="BQ11" s="2"/>
      <c r="BR11" s="2"/>
      <c r="BS11" s="2"/>
      <c r="BT11" s="2">
        <v>8</v>
      </c>
      <c r="BU11" s="2">
        <v>60</v>
      </c>
      <c r="BV11" s="2">
        <v>130</v>
      </c>
      <c r="BW11" s="2">
        <v>153</v>
      </c>
      <c r="BX11" s="2">
        <v>888</v>
      </c>
      <c r="BY11" s="2">
        <v>30</v>
      </c>
      <c r="BZ11" s="2">
        <v>10</v>
      </c>
      <c r="CA11" s="2">
        <v>3</v>
      </c>
      <c r="CB11" s="2">
        <v>7.1126605183145896E-8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21a</v>
      </c>
      <c r="J12" s="47">
        <f t="shared" ca="1" si="35"/>
        <v>7</v>
      </c>
      <c r="K12" s="19">
        <f t="shared" ca="1" si="36"/>
        <v>-15</v>
      </c>
      <c r="L12" s="116" t="str">
        <f t="shared" ca="1" si="1"/>
        <v>EW_sand_Ruled_70</v>
      </c>
      <c r="M12" s="105" t="str">
        <f t="shared" ca="1" si="2"/>
        <v>API sand</v>
      </c>
      <c r="N12" s="47">
        <f t="shared" ca="1" si="3"/>
        <v>9.8000000000000007</v>
      </c>
      <c r="O12" s="63">
        <f t="shared" ca="1" si="4"/>
        <v>0</v>
      </c>
      <c r="P12" s="63">
        <f t="shared" ca="1" si="5"/>
        <v>0</v>
      </c>
      <c r="Q12" s="47">
        <f t="shared" ca="1" si="6"/>
        <v>29</v>
      </c>
      <c r="R12" s="47">
        <f t="shared" ca="1" si="7"/>
        <v>24</v>
      </c>
      <c r="S12" s="47">
        <f t="shared" ca="1" si="8"/>
        <v>1.4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32200.000000000004</v>
      </c>
      <c r="Y12" s="47">
        <f t="shared" ca="1" si="14"/>
        <v>0</v>
      </c>
      <c r="Z12" s="47">
        <f t="shared" ca="1" si="15"/>
        <v>78.199999999999974</v>
      </c>
      <c r="AA12" s="47">
        <f t="shared" ca="1" si="16"/>
        <v>1</v>
      </c>
      <c r="AB12" s="47">
        <f t="shared" ca="1" si="17"/>
        <v>4420</v>
      </c>
      <c r="AC12" s="63">
        <f t="shared" ca="1" si="18"/>
        <v>137000</v>
      </c>
      <c r="AD12" s="63">
        <f t="shared" ca="1" si="19"/>
        <v>-5000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18.400000000000006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70</v>
      </c>
      <c r="AS12" s="33">
        <f t="shared" ca="1" si="34"/>
        <v>0.2</v>
      </c>
      <c r="AW12" s="2">
        <v>10</v>
      </c>
      <c r="AX12" s="2" t="s">
        <v>299</v>
      </c>
      <c r="AY12" s="130">
        <v>29</v>
      </c>
      <c r="AZ12" s="2">
        <v>19.5</v>
      </c>
      <c r="BA12" s="2">
        <v>13</v>
      </c>
      <c r="BB12" s="2">
        <v>64</v>
      </c>
      <c r="BC12" s="2">
        <v>4</v>
      </c>
      <c r="BD12" s="2">
        <v>1</v>
      </c>
      <c r="BE12" s="2">
        <v>12</v>
      </c>
      <c r="BF12" s="2">
        <v>19.7</v>
      </c>
      <c r="BG12" s="2">
        <v>26.3</v>
      </c>
      <c r="BH12" s="2">
        <v>47.9</v>
      </c>
      <c r="BI12" s="2">
        <v>1030</v>
      </c>
      <c r="BJ12" s="2">
        <v>1071</v>
      </c>
      <c r="BK12" s="2">
        <v>1082</v>
      </c>
      <c r="BL12" s="2">
        <v>1174</v>
      </c>
      <c r="BM12" s="2">
        <v>1635</v>
      </c>
      <c r="BN12" s="2"/>
      <c r="BO12" s="2"/>
      <c r="BP12" s="2"/>
      <c r="BQ12" s="2"/>
      <c r="BR12" s="2"/>
      <c r="BS12" s="2"/>
      <c r="BT12" s="2">
        <v>8</v>
      </c>
      <c r="BU12" s="2">
        <v>200</v>
      </c>
      <c r="BV12" s="2">
        <v>1000</v>
      </c>
      <c r="BW12" s="2">
        <v>1569</v>
      </c>
      <c r="BX12" s="2">
        <v>2303</v>
      </c>
      <c r="BY12" s="2">
        <v>150</v>
      </c>
      <c r="BZ12" s="2">
        <v>25</v>
      </c>
      <c r="CA12" s="2">
        <v>3</v>
      </c>
      <c r="CB12" s="2">
        <v>7.1126605183145896E-8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21a</v>
      </c>
      <c r="J13" s="47">
        <f t="shared" ca="1" si="35"/>
        <v>8</v>
      </c>
      <c r="K13" s="19">
        <f t="shared" ca="1" si="36"/>
        <v>-18</v>
      </c>
      <c r="L13" s="116" t="str">
        <f t="shared" ca="1" si="1"/>
        <v>EW_sand_Ruled_66</v>
      </c>
      <c r="M13" s="105" t="str">
        <f t="shared" ca="1" si="2"/>
        <v>API sand</v>
      </c>
      <c r="N13" s="47">
        <f t="shared" ca="1" si="3"/>
        <v>9.8000000000000007</v>
      </c>
      <c r="O13" s="63">
        <f t="shared" ca="1" si="4"/>
        <v>0</v>
      </c>
      <c r="P13" s="63">
        <f t="shared" ca="1" si="5"/>
        <v>0</v>
      </c>
      <c r="Q13" s="47">
        <f t="shared" ca="1" si="6"/>
        <v>28</v>
      </c>
      <c r="R13" s="47">
        <f t="shared" ca="1" si="7"/>
        <v>23</v>
      </c>
      <c r="S13" s="47">
        <f t="shared" ca="1" si="8"/>
        <v>1.3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28400</v>
      </c>
      <c r="Y13" s="47">
        <f t="shared" ca="1" si="14"/>
        <v>0</v>
      </c>
      <c r="Z13" s="47">
        <f t="shared" ca="1" si="15"/>
        <v>75.399999999999977</v>
      </c>
      <c r="AA13" s="47">
        <f t="shared" ca="1" si="16"/>
        <v>1</v>
      </c>
      <c r="AB13" s="47">
        <f t="shared" ca="1" si="17"/>
        <v>4040</v>
      </c>
      <c r="AC13" s="63">
        <f t="shared" ca="1" si="18"/>
        <v>124000</v>
      </c>
      <c r="AD13" s="63">
        <f t="shared" ca="1" si="19"/>
        <v>24000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16.800000000000004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66</v>
      </c>
      <c r="AS13" s="33">
        <f t="shared" ca="1" si="34"/>
        <v>0.2</v>
      </c>
      <c r="AW13" s="2">
        <v>12.5</v>
      </c>
      <c r="AX13" s="2" t="s">
        <v>299</v>
      </c>
      <c r="AY13" s="130">
        <v>29</v>
      </c>
      <c r="AZ13" s="2">
        <v>19.5</v>
      </c>
      <c r="BA13" s="2">
        <v>13</v>
      </c>
      <c r="BB13" s="2">
        <v>64</v>
      </c>
      <c r="BC13" s="2">
        <v>4</v>
      </c>
      <c r="BD13" s="2">
        <v>1</v>
      </c>
      <c r="BE13" s="2">
        <v>12</v>
      </c>
      <c r="BF13" s="2">
        <v>19.7</v>
      </c>
      <c r="BG13" s="2">
        <v>26.3</v>
      </c>
      <c r="BH13" s="2">
        <v>47.9</v>
      </c>
      <c r="BI13" s="2">
        <v>1030</v>
      </c>
      <c r="BJ13" s="2">
        <v>1071</v>
      </c>
      <c r="BK13" s="2">
        <v>1082</v>
      </c>
      <c r="BL13" s="2">
        <v>1174</v>
      </c>
      <c r="BM13" s="2">
        <v>1635</v>
      </c>
      <c r="BN13" s="2"/>
      <c r="BO13" s="2"/>
      <c r="BP13" s="2"/>
      <c r="BQ13" s="2"/>
      <c r="BR13" s="2"/>
      <c r="BS13" s="2"/>
      <c r="BT13" s="2">
        <v>8</v>
      </c>
      <c r="BU13" s="2">
        <v>200</v>
      </c>
      <c r="BV13" s="2">
        <v>1000</v>
      </c>
      <c r="BW13" s="2">
        <v>1569</v>
      </c>
      <c r="BX13" s="2">
        <v>2303</v>
      </c>
      <c r="BY13" s="2">
        <v>150</v>
      </c>
      <c r="BZ13" s="2">
        <v>25</v>
      </c>
      <c r="CA13" s="2">
        <v>3</v>
      </c>
      <c r="CB13" s="2">
        <v>7.1126605183145896E-8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21a</v>
      </c>
      <c r="J14" s="47">
        <f t="shared" ca="1" si="35"/>
        <v>9</v>
      </c>
      <c r="K14" s="19">
        <f t="shared" ca="1" si="36"/>
        <v>-19</v>
      </c>
      <c r="L14" s="116" t="str">
        <f t="shared" ca="1" si="1"/>
        <v>EW_sand_Ruled_72</v>
      </c>
      <c r="M14" s="105" t="str">
        <f t="shared" ca="1" si="2"/>
        <v>API sand</v>
      </c>
      <c r="N14" s="47">
        <f t="shared" ca="1" si="3"/>
        <v>9.8000000000000007</v>
      </c>
      <c r="O14" s="63">
        <f t="shared" ca="1" si="4"/>
        <v>0</v>
      </c>
      <c r="P14" s="63">
        <f t="shared" ca="1" si="5"/>
        <v>0</v>
      </c>
      <c r="Q14" s="47">
        <f t="shared" ca="1" si="6"/>
        <v>29</v>
      </c>
      <c r="R14" s="47">
        <f t="shared" ca="1" si="7"/>
        <v>24</v>
      </c>
      <c r="S14" s="47">
        <f t="shared" ca="1" si="8"/>
        <v>1.4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36000</v>
      </c>
      <c r="Y14" s="47">
        <f t="shared" ca="1" si="14"/>
        <v>0</v>
      </c>
      <c r="Z14" s="47">
        <f t="shared" ca="1" si="15"/>
        <v>78.199999999999974</v>
      </c>
      <c r="AA14" s="47">
        <f t="shared" ca="1" si="16"/>
        <v>1</v>
      </c>
      <c r="AB14" s="47">
        <f t="shared" ca="1" si="17"/>
        <v>4420</v>
      </c>
      <c r="AC14" s="63">
        <f t="shared" ca="1" si="18"/>
        <v>160000</v>
      </c>
      <c r="AD14" s="63">
        <f t="shared" ca="1" si="19"/>
        <v>-14000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18.400000000000006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72</v>
      </c>
      <c r="AS14" s="33">
        <f t="shared" ca="1" si="34"/>
        <v>0.2</v>
      </c>
      <c r="AW14" s="2">
        <v>12.5</v>
      </c>
      <c r="AX14" s="2" t="s">
        <v>271</v>
      </c>
      <c r="AY14" s="130">
        <v>24.7</v>
      </c>
      <c r="AZ14" s="2">
        <v>19.8</v>
      </c>
      <c r="BA14" s="2"/>
      <c r="BB14" s="2">
        <v>11</v>
      </c>
      <c r="BC14" s="2"/>
      <c r="BD14" s="2">
        <v>2.9</v>
      </c>
      <c r="BE14" s="2">
        <v>4.0999999999999996</v>
      </c>
      <c r="BF14" s="2">
        <v>4.5999999999999996</v>
      </c>
      <c r="BG14" s="2">
        <v>5.0999999999999996</v>
      </c>
      <c r="BH14" s="2">
        <f>40+6.8</f>
        <v>46.8</v>
      </c>
      <c r="BI14" s="2"/>
      <c r="BJ14" s="2"/>
      <c r="BK14" s="2"/>
      <c r="BL14" s="2"/>
      <c r="BM14" s="2"/>
      <c r="BN14" s="2">
        <v>30</v>
      </c>
      <c r="BO14" s="2">
        <v>26</v>
      </c>
      <c r="BP14" s="2">
        <v>26.5</v>
      </c>
      <c r="BQ14" s="2">
        <v>27</v>
      </c>
      <c r="BR14" s="2">
        <v>29</v>
      </c>
      <c r="BS14" s="2">
        <v>33</v>
      </c>
      <c r="BT14" s="2">
        <v>13</v>
      </c>
      <c r="BU14" s="2">
        <v>61</v>
      </c>
      <c r="BV14" s="2">
        <v>81</v>
      </c>
      <c r="BW14" s="2">
        <v>101</v>
      </c>
      <c r="BX14" s="2">
        <v>150</v>
      </c>
      <c r="BY14" s="2">
        <v>7.3</v>
      </c>
      <c r="BZ14" s="2">
        <v>2.1</v>
      </c>
      <c r="CA14" s="2">
        <v>0.8</v>
      </c>
      <c r="CB14" s="2">
        <v>5.7807507349280797E-10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21a</v>
      </c>
      <c r="J15" s="47">
        <f t="shared" ca="1" si="35"/>
        <v>10</v>
      </c>
      <c r="K15" s="19">
        <f t="shared" ca="1" si="36"/>
        <v>-21</v>
      </c>
      <c r="L15" s="116" t="str">
        <f t="shared" ca="1" si="1"/>
        <v>EW_sand_Ruled_59</v>
      </c>
      <c r="M15" s="105" t="str">
        <f t="shared" ca="1" si="2"/>
        <v>API sand</v>
      </c>
      <c r="N15" s="47">
        <f t="shared" ca="1" si="3"/>
        <v>9.8000000000000007</v>
      </c>
      <c r="O15" s="63">
        <f t="shared" ca="1" si="4"/>
        <v>0</v>
      </c>
      <c r="P15" s="63">
        <f t="shared" ca="1" si="5"/>
        <v>0</v>
      </c>
      <c r="Q15" s="47">
        <f t="shared" ca="1" si="6"/>
        <v>27</v>
      </c>
      <c r="R15" s="47">
        <f t="shared" ca="1" si="7"/>
        <v>22</v>
      </c>
      <c r="S15" s="47">
        <f t="shared" ca="1" si="8"/>
        <v>1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25900</v>
      </c>
      <c r="Y15" s="47">
        <f t="shared" ca="1" si="14"/>
        <v>0</v>
      </c>
      <c r="Z15" s="47">
        <f t="shared" ca="1" si="15"/>
        <v>72.59999999999998</v>
      </c>
      <c r="AA15" s="47">
        <f t="shared" ca="1" si="16"/>
        <v>1</v>
      </c>
      <c r="AB15" s="47">
        <f t="shared" ca="1" si="17"/>
        <v>3660</v>
      </c>
      <c r="AC15" s="63">
        <f t="shared" ca="1" si="18"/>
        <v>140000</v>
      </c>
      <c r="AD15" s="63">
        <f t="shared" ca="1" si="19"/>
        <v>-434.78260869565207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15.200000000000003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59</v>
      </c>
      <c r="AS15" s="33">
        <f t="shared" ca="1" si="34"/>
        <v>0.2</v>
      </c>
      <c r="AW15" s="2">
        <v>13.4</v>
      </c>
      <c r="AX15" s="2" t="s">
        <v>271</v>
      </c>
      <c r="AY15" s="130">
        <v>24.7</v>
      </c>
      <c r="AZ15" s="2">
        <v>19.8</v>
      </c>
      <c r="BA15" s="2"/>
      <c r="BB15" s="2">
        <v>11</v>
      </c>
      <c r="BC15" s="2"/>
      <c r="BD15" s="2">
        <v>3.6</v>
      </c>
      <c r="BE15" s="2">
        <v>4.9000000000000004</v>
      </c>
      <c r="BF15" s="2">
        <v>5.3</v>
      </c>
      <c r="BG15" s="2">
        <v>5.9</v>
      </c>
      <c r="BH15" s="2">
        <f>40+7.5</f>
        <v>47.5</v>
      </c>
      <c r="BI15" s="2"/>
      <c r="BJ15" s="2"/>
      <c r="BK15" s="2"/>
      <c r="BL15" s="2"/>
      <c r="BM15" s="2"/>
      <c r="BN15" s="2">
        <v>30</v>
      </c>
      <c r="BO15" s="2">
        <v>26</v>
      </c>
      <c r="BP15" s="2">
        <v>26.5</v>
      </c>
      <c r="BQ15" s="2">
        <v>27</v>
      </c>
      <c r="BR15" s="2">
        <v>29</v>
      </c>
      <c r="BS15" s="2">
        <v>33</v>
      </c>
      <c r="BT15" s="2">
        <v>17</v>
      </c>
      <c r="BU15" s="2">
        <v>66</v>
      </c>
      <c r="BV15" s="2">
        <v>86</v>
      </c>
      <c r="BW15" s="2">
        <v>106</v>
      </c>
      <c r="BX15" s="2">
        <v>155</v>
      </c>
      <c r="BY15" s="2">
        <v>7.3</v>
      </c>
      <c r="BZ15" s="2">
        <v>2.1</v>
      </c>
      <c r="CA15" s="2">
        <v>0.8</v>
      </c>
      <c r="CB15" s="2">
        <v>5.7807507349280797E-10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23d</v>
      </c>
      <c r="J16" s="47">
        <f t="shared" ca="1" si="35"/>
        <v>11</v>
      </c>
      <c r="K16" s="19">
        <f t="shared" ca="1" si="36"/>
        <v>-25.6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8.8999999999999986</v>
      </c>
      <c r="O16" s="63">
        <f t="shared" ca="1" si="4"/>
        <v>187</v>
      </c>
      <c r="P16" s="63">
        <f t="shared" ca="1" si="5"/>
        <v>-8.1818181818181852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2.4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0.5</v>
      </c>
      <c r="X16" s="47">
        <f t="shared" ca="1" si="13"/>
        <v>16800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254000</v>
      </c>
      <c r="AD16" s="63">
        <f t="shared" ca="1" si="19"/>
        <v>-9318.1818181818217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13.4</v>
      </c>
      <c r="AX16" s="2" t="s">
        <v>271</v>
      </c>
      <c r="AY16" s="130">
        <v>24.7</v>
      </c>
      <c r="AZ16" s="2">
        <v>19.8</v>
      </c>
      <c r="BA16" s="2"/>
      <c r="BB16" s="2">
        <v>11</v>
      </c>
      <c r="BC16" s="2"/>
      <c r="BD16" s="2">
        <v>23.1</v>
      </c>
      <c r="BE16" s="2">
        <v>31.6</v>
      </c>
      <c r="BF16" s="2">
        <v>33.9</v>
      </c>
      <c r="BG16" s="2">
        <v>36.6</v>
      </c>
      <c r="BH16" s="2">
        <v>46.4</v>
      </c>
      <c r="BI16" s="2"/>
      <c r="BJ16" s="2"/>
      <c r="BK16" s="2"/>
      <c r="BL16" s="2"/>
      <c r="BM16" s="2"/>
      <c r="BN16" s="2">
        <v>86</v>
      </c>
      <c r="BO16" s="2">
        <v>26</v>
      </c>
      <c r="BP16" s="2">
        <v>30</v>
      </c>
      <c r="BQ16" s="2">
        <v>32</v>
      </c>
      <c r="BR16" s="2">
        <v>35</v>
      </c>
      <c r="BS16" s="2">
        <v>39</v>
      </c>
      <c r="BT16" s="2">
        <v>25</v>
      </c>
      <c r="BU16" s="2">
        <v>107</v>
      </c>
      <c r="BV16" s="2">
        <v>140</v>
      </c>
      <c r="BW16" s="2">
        <v>173</v>
      </c>
      <c r="BX16" s="2">
        <v>254</v>
      </c>
      <c r="BY16" s="2">
        <v>50.5</v>
      </c>
      <c r="BZ16" s="2">
        <v>10.199999999999999</v>
      </c>
      <c r="CA16" s="2">
        <v>2</v>
      </c>
      <c r="CB16" s="2">
        <v>2.3985410520006601E-5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23d</v>
      </c>
      <c r="J17" s="47">
        <f t="shared" ca="1" si="35"/>
        <v>12</v>
      </c>
      <c r="K17" s="19">
        <f t="shared" ca="1" si="36"/>
        <v>-30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8.8999999999999986</v>
      </c>
      <c r="O17" s="63">
        <f t="shared" ca="1" si="4"/>
        <v>172</v>
      </c>
      <c r="P17" s="63">
        <f t="shared" ca="1" si="5"/>
        <v>21.3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2.8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0.5</v>
      </c>
      <c r="X17" s="47">
        <f t="shared" ca="1" si="13"/>
        <v>26900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249000</v>
      </c>
      <c r="AD17" s="63">
        <f t="shared" ca="1" si="19"/>
        <v>30400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15</v>
      </c>
      <c r="AX17" s="2" t="s">
        <v>271</v>
      </c>
      <c r="AY17" s="130">
        <v>24.7</v>
      </c>
      <c r="AZ17" s="2">
        <v>19.8</v>
      </c>
      <c r="BA17" s="2"/>
      <c r="BB17" s="2">
        <v>11</v>
      </c>
      <c r="BC17" s="2"/>
      <c r="BD17" s="2">
        <v>21.5</v>
      </c>
      <c r="BE17" s="2">
        <v>30</v>
      </c>
      <c r="BF17" s="2">
        <v>32.299999999999997</v>
      </c>
      <c r="BG17" s="2">
        <v>35</v>
      </c>
      <c r="BH17" s="2">
        <v>44.8</v>
      </c>
      <c r="BI17" s="2"/>
      <c r="BJ17" s="2"/>
      <c r="BK17" s="2"/>
      <c r="BL17" s="2"/>
      <c r="BM17" s="2"/>
      <c r="BN17" s="2">
        <v>86</v>
      </c>
      <c r="BO17" s="2">
        <v>26</v>
      </c>
      <c r="BP17" s="2">
        <v>30</v>
      </c>
      <c r="BQ17" s="2">
        <v>32</v>
      </c>
      <c r="BR17" s="2">
        <v>35</v>
      </c>
      <c r="BS17" s="2">
        <v>39</v>
      </c>
      <c r="BT17" s="2">
        <v>26</v>
      </c>
      <c r="BU17" s="2">
        <v>108</v>
      </c>
      <c r="BV17" s="2">
        <v>141</v>
      </c>
      <c r="BW17" s="2">
        <v>174</v>
      </c>
      <c r="BX17" s="2">
        <v>255</v>
      </c>
      <c r="BY17" s="2">
        <v>50.5</v>
      </c>
      <c r="BZ17" s="2">
        <v>10.199999999999999</v>
      </c>
      <c r="CA17" s="2">
        <v>2</v>
      </c>
      <c r="CB17" s="2">
        <v>2.3985410520006601E-5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23i</v>
      </c>
      <c r="J18" s="47">
        <f t="shared" ca="1" si="35"/>
        <v>13</v>
      </c>
      <c r="K18" s="19">
        <f t="shared" ca="1" si="36"/>
        <v>-40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8.3000000000000007</v>
      </c>
      <c r="O18" s="63">
        <f t="shared" ca="1" si="4"/>
        <v>336</v>
      </c>
      <c r="P18" s="63">
        <f t="shared" ca="1" si="5"/>
        <v>3.55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2.2000000000000002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0.25</v>
      </c>
      <c r="X18" s="47">
        <f t="shared" ca="1" si="13"/>
        <v>32800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408000</v>
      </c>
      <c r="AD18" s="63">
        <f t="shared" ca="1" si="19"/>
        <v>11000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15</v>
      </c>
      <c r="AX18" s="2" t="s">
        <v>271</v>
      </c>
      <c r="AY18" s="130">
        <v>24.7</v>
      </c>
      <c r="AZ18" s="2">
        <v>19.8</v>
      </c>
      <c r="BA18" s="2"/>
      <c r="BB18" s="2">
        <v>11</v>
      </c>
      <c r="BC18" s="2"/>
      <c r="BD18" s="2">
        <v>21.6</v>
      </c>
      <c r="BE18" s="2">
        <v>24.8</v>
      </c>
      <c r="BF18" s="2">
        <v>25.4</v>
      </c>
      <c r="BG18" s="2">
        <v>26.9</v>
      </c>
      <c r="BH18" s="2">
        <v>34.9</v>
      </c>
      <c r="BI18" s="2"/>
      <c r="BJ18" s="2"/>
      <c r="BK18" s="2"/>
      <c r="BL18" s="2"/>
      <c r="BM18" s="2"/>
      <c r="BN18" s="2">
        <v>70</v>
      </c>
      <c r="BO18" s="2">
        <v>26</v>
      </c>
      <c r="BP18" s="2">
        <v>29</v>
      </c>
      <c r="BQ18" s="2">
        <v>31</v>
      </c>
      <c r="BR18" s="2">
        <v>33</v>
      </c>
      <c r="BS18" s="2">
        <v>38</v>
      </c>
      <c r="BT18" s="2">
        <v>33</v>
      </c>
      <c r="BU18" s="2">
        <v>106</v>
      </c>
      <c r="BV18" s="2">
        <v>137</v>
      </c>
      <c r="BW18" s="2">
        <v>167</v>
      </c>
      <c r="BX18" s="2">
        <v>243</v>
      </c>
      <c r="BY18" s="2">
        <v>32.200000000000003</v>
      </c>
      <c r="BZ18" s="2">
        <v>5.8</v>
      </c>
      <c r="CA18" s="2">
        <v>1.4</v>
      </c>
      <c r="CB18" s="2">
        <v>2.7252675036421602E-6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23l</v>
      </c>
      <c r="J19" s="47">
        <f t="shared" ca="1" si="35"/>
        <v>14</v>
      </c>
      <c r="K19" s="19">
        <f t="shared" ca="1" si="36"/>
        <v>-60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8.8000000000000007</v>
      </c>
      <c r="O19" s="63">
        <f t="shared" ca="1" si="4"/>
        <v>756</v>
      </c>
      <c r="P19" s="63">
        <f t="shared" ca="1" si="5"/>
        <v>22.7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3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0.25</v>
      </c>
      <c r="X19" s="47">
        <f t="shared" ca="1" si="13"/>
        <v>82800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1191000</v>
      </c>
      <c r="AD19" s="63">
        <f t="shared" ca="1" si="19"/>
        <v>43750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18</v>
      </c>
      <c r="AX19" s="2" t="s">
        <v>271</v>
      </c>
      <c r="AY19" s="130">
        <v>24.7</v>
      </c>
      <c r="AZ19" s="2">
        <v>19.8</v>
      </c>
      <c r="BA19" s="2"/>
      <c r="BB19" s="2">
        <v>11</v>
      </c>
      <c r="BC19" s="2"/>
      <c r="BD19" s="2">
        <v>10.1</v>
      </c>
      <c r="BE19" s="2">
        <v>13.3</v>
      </c>
      <c r="BF19" s="2">
        <v>13.9</v>
      </c>
      <c r="BG19" s="2">
        <v>15.4</v>
      </c>
      <c r="BH19" s="2">
        <v>23.4</v>
      </c>
      <c r="BI19" s="2"/>
      <c r="BJ19" s="2"/>
      <c r="BK19" s="2"/>
      <c r="BL19" s="2"/>
      <c r="BM19" s="2"/>
      <c r="BN19" s="2">
        <v>70</v>
      </c>
      <c r="BO19" s="2">
        <v>26</v>
      </c>
      <c r="BP19" s="2">
        <v>29</v>
      </c>
      <c r="BQ19" s="2">
        <v>31</v>
      </c>
      <c r="BR19" s="2">
        <v>33</v>
      </c>
      <c r="BS19" s="2">
        <v>38</v>
      </c>
      <c r="BT19" s="2">
        <v>17</v>
      </c>
      <c r="BU19" s="2">
        <v>91</v>
      </c>
      <c r="BV19" s="2">
        <v>122</v>
      </c>
      <c r="BW19" s="2">
        <v>152</v>
      </c>
      <c r="BX19" s="2">
        <v>228</v>
      </c>
      <c r="BY19" s="2">
        <v>32.200000000000003</v>
      </c>
      <c r="BZ19" s="2">
        <v>5.8</v>
      </c>
      <c r="CA19" s="2">
        <v>1.4</v>
      </c>
      <c r="CB19" s="2">
        <v>2.7252675036421602E-6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18</v>
      </c>
      <c r="AX20" s="2" t="s">
        <v>271</v>
      </c>
      <c r="AY20" s="130">
        <v>24.7</v>
      </c>
      <c r="AZ20" s="2">
        <v>19.8</v>
      </c>
      <c r="BA20" s="2"/>
      <c r="BB20" s="2">
        <v>11</v>
      </c>
      <c r="BC20" s="2"/>
      <c r="BD20" s="2">
        <v>8.1</v>
      </c>
      <c r="BE20" s="2">
        <v>11.9</v>
      </c>
      <c r="BF20" s="2">
        <v>13.3</v>
      </c>
      <c r="BG20" s="2">
        <v>14.8</v>
      </c>
      <c r="BH20" s="2">
        <v>18.899999999999999</v>
      </c>
      <c r="BI20" s="2"/>
      <c r="BJ20" s="2"/>
      <c r="BK20" s="2"/>
      <c r="BL20" s="2"/>
      <c r="BM20" s="2"/>
      <c r="BN20" s="2">
        <v>66</v>
      </c>
      <c r="BO20" s="2">
        <v>26</v>
      </c>
      <c r="BP20" s="2">
        <v>28</v>
      </c>
      <c r="BQ20" s="2">
        <v>31</v>
      </c>
      <c r="BR20" s="2">
        <v>33</v>
      </c>
      <c r="BS20" s="2">
        <v>37</v>
      </c>
      <c r="BT20" s="2">
        <v>18</v>
      </c>
      <c r="BU20" s="2">
        <v>92</v>
      </c>
      <c r="BV20" s="2">
        <v>124</v>
      </c>
      <c r="BW20" s="2">
        <v>156</v>
      </c>
      <c r="BX20" s="2">
        <v>235</v>
      </c>
      <c r="BY20" s="2">
        <v>28.4</v>
      </c>
      <c r="BZ20" s="2">
        <v>4.8</v>
      </c>
      <c r="CA20" s="2">
        <v>1.3</v>
      </c>
      <c r="CB20" s="2">
        <v>1.05751296215905E-6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19</v>
      </c>
      <c r="AX21" s="2" t="s">
        <v>271</v>
      </c>
      <c r="AY21" s="130">
        <v>24.7</v>
      </c>
      <c r="AZ21" s="2">
        <v>19.8</v>
      </c>
      <c r="BA21" s="2"/>
      <c r="BB21" s="2">
        <v>11</v>
      </c>
      <c r="BC21" s="2"/>
      <c r="BD21" s="2">
        <v>22.2</v>
      </c>
      <c r="BE21" s="2">
        <v>26.1</v>
      </c>
      <c r="BF21" s="2">
        <v>27.5</v>
      </c>
      <c r="BG21" s="2">
        <v>29</v>
      </c>
      <c r="BH21" s="2">
        <v>33.1</v>
      </c>
      <c r="BI21" s="2"/>
      <c r="BJ21" s="2"/>
      <c r="BK21" s="2"/>
      <c r="BL21" s="2"/>
      <c r="BM21" s="2"/>
      <c r="BN21" s="2">
        <v>66</v>
      </c>
      <c r="BO21" s="2">
        <v>26</v>
      </c>
      <c r="BP21" s="2">
        <v>28</v>
      </c>
      <c r="BQ21" s="2">
        <v>31</v>
      </c>
      <c r="BR21" s="2">
        <v>33</v>
      </c>
      <c r="BS21" s="2">
        <v>37</v>
      </c>
      <c r="BT21" s="2">
        <v>42</v>
      </c>
      <c r="BU21" s="2">
        <v>116</v>
      </c>
      <c r="BV21" s="2">
        <v>148</v>
      </c>
      <c r="BW21" s="2">
        <v>181</v>
      </c>
      <c r="BX21" s="2">
        <v>260</v>
      </c>
      <c r="BY21" s="2">
        <v>28.4</v>
      </c>
      <c r="BZ21" s="2">
        <v>4.8</v>
      </c>
      <c r="CA21" s="2">
        <v>1.3</v>
      </c>
      <c r="CB21" s="2">
        <v>1.05751296215905E-6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19</v>
      </c>
      <c r="AX22" s="2" t="s">
        <v>271</v>
      </c>
      <c r="AY22" s="130">
        <v>24.7</v>
      </c>
      <c r="AZ22" s="2">
        <v>19.8</v>
      </c>
      <c r="BA22" s="2"/>
      <c r="BB22" s="2">
        <v>11</v>
      </c>
      <c r="BC22" s="2"/>
      <c r="BD22" s="2">
        <v>32.9</v>
      </c>
      <c r="BE22" s="2">
        <v>34.799999999999997</v>
      </c>
      <c r="BF22" s="2">
        <v>35.299999999999997</v>
      </c>
      <c r="BG22" s="2">
        <v>36.1</v>
      </c>
      <c r="BH22" s="2">
        <v>39.5</v>
      </c>
      <c r="BI22" s="2"/>
      <c r="BJ22" s="2"/>
      <c r="BK22" s="2"/>
      <c r="BL22" s="2"/>
      <c r="BM22" s="2"/>
      <c r="BN22" s="2">
        <v>72</v>
      </c>
      <c r="BO22" s="2">
        <v>26</v>
      </c>
      <c r="BP22" s="2">
        <v>29</v>
      </c>
      <c r="BQ22" s="2">
        <v>31</v>
      </c>
      <c r="BR22" s="2">
        <v>33</v>
      </c>
      <c r="BS22" s="2">
        <v>38</v>
      </c>
      <c r="BT22" s="2">
        <v>48</v>
      </c>
      <c r="BU22" s="2">
        <v>126</v>
      </c>
      <c r="BV22" s="2">
        <v>160</v>
      </c>
      <c r="BW22" s="2">
        <v>194</v>
      </c>
      <c r="BX22" s="2">
        <v>279</v>
      </c>
      <c r="BY22" s="2">
        <v>36</v>
      </c>
      <c r="BZ22" s="2">
        <v>5.3</v>
      </c>
      <c r="CA22" s="2">
        <v>1.4</v>
      </c>
      <c r="CB22" s="2">
        <v>9.6368786319103505E-7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21</v>
      </c>
      <c r="AX23" s="2" t="s">
        <v>271</v>
      </c>
      <c r="AY23" s="130">
        <v>24.7</v>
      </c>
      <c r="AZ23" s="2">
        <v>19.8</v>
      </c>
      <c r="BA23" s="2"/>
      <c r="BB23" s="2">
        <v>11</v>
      </c>
      <c r="BC23" s="2"/>
      <c r="BD23" s="2">
        <v>10.199999999999999</v>
      </c>
      <c r="BE23" s="2">
        <v>12.1</v>
      </c>
      <c r="BF23" s="2">
        <v>12.5</v>
      </c>
      <c r="BG23" s="2">
        <v>13.3</v>
      </c>
      <c r="BH23" s="2">
        <v>16.8</v>
      </c>
      <c r="BI23" s="2"/>
      <c r="BJ23" s="2"/>
      <c r="BK23" s="2"/>
      <c r="BL23" s="2"/>
      <c r="BM23" s="2"/>
      <c r="BN23" s="2">
        <v>72</v>
      </c>
      <c r="BO23" s="2">
        <v>26</v>
      </c>
      <c r="BP23" s="2">
        <v>29</v>
      </c>
      <c r="BQ23" s="2">
        <v>31</v>
      </c>
      <c r="BR23" s="2">
        <v>33</v>
      </c>
      <c r="BS23" s="2">
        <v>38</v>
      </c>
      <c r="BT23" s="2">
        <v>20</v>
      </c>
      <c r="BU23" s="2">
        <v>98</v>
      </c>
      <c r="BV23" s="2">
        <v>132</v>
      </c>
      <c r="BW23" s="2">
        <v>167</v>
      </c>
      <c r="BX23" s="2">
        <v>251</v>
      </c>
      <c r="BY23" s="2">
        <v>36</v>
      </c>
      <c r="BZ23" s="2">
        <v>5.3</v>
      </c>
      <c r="CA23" s="2">
        <v>1.4</v>
      </c>
      <c r="CB23" s="2">
        <v>9.6368786319103505E-7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21</v>
      </c>
      <c r="AX24" s="2" t="s">
        <v>271</v>
      </c>
      <c r="AY24" s="130">
        <v>24.7</v>
      </c>
      <c r="AZ24" s="2">
        <v>19.8</v>
      </c>
      <c r="BA24" s="2"/>
      <c r="BB24" s="2">
        <v>11</v>
      </c>
      <c r="BC24" s="2"/>
      <c r="BD24" s="2">
        <v>8.1</v>
      </c>
      <c r="BE24" s="2">
        <v>16.399999999999999</v>
      </c>
      <c r="BF24" s="2">
        <v>17.5</v>
      </c>
      <c r="BG24" s="2">
        <v>18.8</v>
      </c>
      <c r="BH24" s="2">
        <v>28.1</v>
      </c>
      <c r="BI24" s="2"/>
      <c r="BJ24" s="2"/>
      <c r="BK24" s="2"/>
      <c r="BL24" s="2"/>
      <c r="BM24" s="2"/>
      <c r="BN24" s="2">
        <v>59</v>
      </c>
      <c r="BO24" s="2">
        <v>26</v>
      </c>
      <c r="BP24" s="2">
        <v>27</v>
      </c>
      <c r="BQ24" s="2">
        <v>30</v>
      </c>
      <c r="BR24" s="2">
        <v>32</v>
      </c>
      <c r="BS24" s="2">
        <v>36</v>
      </c>
      <c r="BT24" s="2">
        <v>26</v>
      </c>
      <c r="BU24" s="2">
        <v>107</v>
      </c>
      <c r="BV24" s="2">
        <v>140</v>
      </c>
      <c r="BW24" s="2">
        <v>172</v>
      </c>
      <c r="BX24" s="2">
        <v>255</v>
      </c>
      <c r="BY24" s="2">
        <v>25.9</v>
      </c>
      <c r="BZ24" s="2">
        <v>3.4</v>
      </c>
      <c r="CA24" s="2">
        <v>1</v>
      </c>
      <c r="CB24" s="2">
        <v>1.74705088870677E-7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25.6</v>
      </c>
      <c r="AX25" s="2" t="s">
        <v>271</v>
      </c>
      <c r="AY25" s="130">
        <v>24.7</v>
      </c>
      <c r="AZ25" s="2">
        <v>19.8</v>
      </c>
      <c r="BA25" s="2"/>
      <c r="BB25" s="2">
        <v>11</v>
      </c>
      <c r="BC25" s="2"/>
      <c r="BD25" s="2">
        <v>3.9</v>
      </c>
      <c r="BE25" s="2">
        <v>12.1</v>
      </c>
      <c r="BF25" s="2">
        <v>13.3</v>
      </c>
      <c r="BG25" s="2">
        <v>14.5</v>
      </c>
      <c r="BH25" s="2">
        <v>23.9</v>
      </c>
      <c r="BI25" s="2"/>
      <c r="BJ25" s="2"/>
      <c r="BK25" s="2"/>
      <c r="BL25" s="2"/>
      <c r="BM25" s="2"/>
      <c r="BN25" s="2">
        <v>59</v>
      </c>
      <c r="BO25" s="2">
        <v>26</v>
      </c>
      <c r="BP25" s="2">
        <v>27</v>
      </c>
      <c r="BQ25" s="2">
        <v>30</v>
      </c>
      <c r="BR25" s="2">
        <v>32</v>
      </c>
      <c r="BS25" s="2">
        <v>36</v>
      </c>
      <c r="BT25" s="2">
        <v>25</v>
      </c>
      <c r="BU25" s="2">
        <v>106</v>
      </c>
      <c r="BV25" s="2">
        <v>138</v>
      </c>
      <c r="BW25" s="2">
        <v>171</v>
      </c>
      <c r="BX25" s="2">
        <v>254</v>
      </c>
      <c r="BY25" s="2">
        <v>25.9</v>
      </c>
      <c r="BZ25" s="2">
        <v>3.4</v>
      </c>
      <c r="CA25" s="2">
        <v>1</v>
      </c>
      <c r="CB25" s="2">
        <v>1.74705088870677E-7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25.6</v>
      </c>
      <c r="AX26" s="2" t="s">
        <v>273</v>
      </c>
      <c r="AY26" s="130">
        <v>32</v>
      </c>
      <c r="AZ26" s="2">
        <v>18.899999999999999</v>
      </c>
      <c r="BA26" s="2">
        <v>47</v>
      </c>
      <c r="BB26" s="2">
        <v>85</v>
      </c>
      <c r="BC26" s="2">
        <v>3</v>
      </c>
      <c r="BD26" s="2">
        <v>4.4000000000000004</v>
      </c>
      <c r="BE26" s="2">
        <v>4.8</v>
      </c>
      <c r="BF26" s="2">
        <v>5</v>
      </c>
      <c r="BG26" s="2">
        <v>5.0999999999999996</v>
      </c>
      <c r="BH26" s="2">
        <v>5.5</v>
      </c>
      <c r="BI26" s="2">
        <v>113</v>
      </c>
      <c r="BJ26" s="2">
        <v>187</v>
      </c>
      <c r="BK26" s="2">
        <v>222</v>
      </c>
      <c r="BL26" s="2">
        <v>258</v>
      </c>
      <c r="BM26" s="2">
        <v>332</v>
      </c>
      <c r="BN26" s="2"/>
      <c r="BO26" s="2"/>
      <c r="BP26" s="2"/>
      <c r="BQ26" s="2"/>
      <c r="BR26" s="2"/>
      <c r="BS26" s="2"/>
      <c r="BT26" s="2">
        <v>70</v>
      </c>
      <c r="BU26" s="2">
        <v>173</v>
      </c>
      <c r="BV26" s="2">
        <v>254</v>
      </c>
      <c r="BW26" s="2">
        <v>335</v>
      </c>
      <c r="BX26" s="2">
        <v>497</v>
      </c>
      <c r="BY26" s="2">
        <v>16.8</v>
      </c>
      <c r="BZ26" s="2">
        <v>4.4000000000000004</v>
      </c>
      <c r="CA26" s="2">
        <v>2.4</v>
      </c>
      <c r="CB26" s="2">
        <v>5.3351289770285498E-11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30</v>
      </c>
      <c r="AX27" s="2" t="s">
        <v>273</v>
      </c>
      <c r="AY27" s="130">
        <v>32</v>
      </c>
      <c r="AZ27" s="2">
        <v>18.899999999999999</v>
      </c>
      <c r="BA27" s="2">
        <v>47</v>
      </c>
      <c r="BB27" s="2">
        <v>85</v>
      </c>
      <c r="BC27" s="2">
        <v>3</v>
      </c>
      <c r="BD27" s="2">
        <v>3.7</v>
      </c>
      <c r="BE27" s="2">
        <v>4.2</v>
      </c>
      <c r="BF27" s="2">
        <v>4.3</v>
      </c>
      <c r="BG27" s="2">
        <v>4.4000000000000004</v>
      </c>
      <c r="BH27" s="2">
        <v>4.9000000000000004</v>
      </c>
      <c r="BI27" s="2">
        <v>77</v>
      </c>
      <c r="BJ27" s="2">
        <v>151</v>
      </c>
      <c r="BK27" s="2">
        <v>186</v>
      </c>
      <c r="BL27" s="2">
        <v>222</v>
      </c>
      <c r="BM27" s="2">
        <v>296</v>
      </c>
      <c r="BN27" s="2"/>
      <c r="BO27" s="2"/>
      <c r="BP27" s="2"/>
      <c r="BQ27" s="2"/>
      <c r="BR27" s="2"/>
      <c r="BS27" s="2"/>
      <c r="BT27" s="2">
        <v>29</v>
      </c>
      <c r="BU27" s="2">
        <v>132</v>
      </c>
      <c r="BV27" s="2">
        <v>213</v>
      </c>
      <c r="BW27" s="2">
        <v>294</v>
      </c>
      <c r="BX27" s="2">
        <v>457</v>
      </c>
      <c r="BY27" s="2">
        <v>16.8</v>
      </c>
      <c r="BZ27" s="2">
        <v>4.4000000000000004</v>
      </c>
      <c r="CA27" s="2">
        <v>2.4</v>
      </c>
      <c r="CB27" s="2">
        <v>5.3351289770285498E-11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30</v>
      </c>
      <c r="AX28" s="2" t="s">
        <v>273</v>
      </c>
      <c r="AY28" s="130">
        <v>32</v>
      </c>
      <c r="AZ28" s="2">
        <v>18.899999999999999</v>
      </c>
      <c r="BA28" s="2">
        <v>47</v>
      </c>
      <c r="BB28" s="2">
        <v>85</v>
      </c>
      <c r="BC28" s="2">
        <v>3</v>
      </c>
      <c r="BD28" s="2">
        <v>4.3</v>
      </c>
      <c r="BE28" s="2">
        <v>4.8</v>
      </c>
      <c r="BF28" s="2">
        <v>4.9000000000000004</v>
      </c>
      <c r="BG28" s="2">
        <v>5</v>
      </c>
      <c r="BH28" s="2">
        <v>5.5</v>
      </c>
      <c r="BI28" s="2">
        <v>84</v>
      </c>
      <c r="BJ28" s="2">
        <v>172</v>
      </c>
      <c r="BK28" s="2">
        <v>214</v>
      </c>
      <c r="BL28" s="2">
        <v>258</v>
      </c>
      <c r="BM28" s="2">
        <v>346</v>
      </c>
      <c r="BN28" s="2"/>
      <c r="BO28" s="2"/>
      <c r="BP28" s="2"/>
      <c r="BQ28" s="2"/>
      <c r="BR28" s="2"/>
      <c r="BS28" s="2"/>
      <c r="BT28" s="2">
        <v>30</v>
      </c>
      <c r="BU28" s="2">
        <v>164</v>
      </c>
      <c r="BV28" s="2">
        <v>249</v>
      </c>
      <c r="BW28" s="2">
        <v>334</v>
      </c>
      <c r="BX28" s="2">
        <v>506</v>
      </c>
      <c r="BY28" s="2">
        <v>26.9</v>
      </c>
      <c r="BZ28" s="2">
        <v>5.9</v>
      </c>
      <c r="CA28" s="2">
        <v>2.8</v>
      </c>
      <c r="CB28" s="2">
        <v>1.5273318469753099E-10</v>
      </c>
      <c r="CC28" s="2">
        <v>1.8</v>
      </c>
    </row>
    <row r="29" spans="1:81" x14ac:dyDescent="0.25">
      <c r="A29" s="66"/>
      <c r="B29" s="66"/>
      <c r="C29" s="67"/>
      <c r="D29" s="35"/>
      <c r="AW29" s="2">
        <v>40</v>
      </c>
      <c r="AX29" s="2" t="s">
        <v>273</v>
      </c>
      <c r="AY29" s="130">
        <v>32</v>
      </c>
      <c r="AZ29" s="2">
        <v>18.899999999999999</v>
      </c>
      <c r="BA29" s="2">
        <v>47</v>
      </c>
      <c r="BB29" s="2">
        <v>85</v>
      </c>
      <c r="BC29" s="2">
        <v>3</v>
      </c>
      <c r="BD29" s="2">
        <v>8.6999999999999993</v>
      </c>
      <c r="BE29" s="2">
        <v>9.1999999999999993</v>
      </c>
      <c r="BF29" s="2">
        <v>9.3000000000000007</v>
      </c>
      <c r="BG29" s="2">
        <v>9.4</v>
      </c>
      <c r="BH29" s="2">
        <v>9.9</v>
      </c>
      <c r="BI29" s="2">
        <v>298</v>
      </c>
      <c r="BJ29" s="2">
        <v>385</v>
      </c>
      <c r="BK29" s="2">
        <v>428</v>
      </c>
      <c r="BL29" s="2">
        <v>471</v>
      </c>
      <c r="BM29" s="2">
        <v>559</v>
      </c>
      <c r="BN29" s="2"/>
      <c r="BO29" s="2"/>
      <c r="BP29" s="2"/>
      <c r="BQ29" s="2"/>
      <c r="BR29" s="2"/>
      <c r="BS29" s="2"/>
      <c r="BT29" s="2">
        <v>334</v>
      </c>
      <c r="BU29" s="2">
        <v>468</v>
      </c>
      <c r="BV29" s="2">
        <v>553</v>
      </c>
      <c r="BW29" s="2">
        <v>638</v>
      </c>
      <c r="BX29" s="2">
        <v>810</v>
      </c>
      <c r="BY29" s="2">
        <v>26.9</v>
      </c>
      <c r="BZ29" s="2">
        <v>5.9</v>
      </c>
      <c r="CA29" s="2">
        <v>2.8</v>
      </c>
      <c r="CB29" s="2">
        <v>1.5273318469753099E-10</v>
      </c>
      <c r="CC29" s="2">
        <v>1.8</v>
      </c>
    </row>
    <row r="30" spans="1:81" x14ac:dyDescent="0.25">
      <c r="A30" s="66"/>
      <c r="B30" s="66"/>
      <c r="C30" s="67"/>
      <c r="D30" s="35"/>
      <c r="AW30" s="2">
        <v>40</v>
      </c>
      <c r="AX30" s="2" t="s">
        <v>218</v>
      </c>
      <c r="AY30" s="130">
        <v>37</v>
      </c>
      <c r="AZ30" s="2">
        <v>18.3</v>
      </c>
      <c r="BA30" s="2">
        <v>59</v>
      </c>
      <c r="BB30" s="2">
        <v>77</v>
      </c>
      <c r="BC30" s="2">
        <v>3</v>
      </c>
      <c r="BD30" s="2">
        <v>1.5</v>
      </c>
      <c r="BE30" s="2">
        <v>7.4</v>
      </c>
      <c r="BF30" s="2">
        <v>7.5</v>
      </c>
      <c r="BG30" s="2">
        <v>17.7</v>
      </c>
      <c r="BH30" s="2">
        <v>49.4</v>
      </c>
      <c r="BI30" s="2">
        <v>223</v>
      </c>
      <c r="BJ30" s="2">
        <v>336</v>
      </c>
      <c r="BK30" s="2">
        <v>389</v>
      </c>
      <c r="BL30" s="2">
        <v>438</v>
      </c>
      <c r="BM30" s="2">
        <v>537</v>
      </c>
      <c r="BN30" s="2"/>
      <c r="BO30" s="2"/>
      <c r="BP30" s="2"/>
      <c r="BQ30" s="2"/>
      <c r="BR30" s="2"/>
      <c r="BS30" s="2"/>
      <c r="BT30" s="2">
        <v>150</v>
      </c>
      <c r="BU30" s="2">
        <v>322</v>
      </c>
      <c r="BV30" s="2">
        <v>408</v>
      </c>
      <c r="BW30" s="2">
        <v>495</v>
      </c>
      <c r="BX30" s="2">
        <v>667</v>
      </c>
      <c r="BY30" s="2">
        <v>32.799999999999997</v>
      </c>
      <c r="BZ30" s="2">
        <v>5.2</v>
      </c>
      <c r="CA30" s="2">
        <v>2.2000000000000002</v>
      </c>
      <c r="CB30" s="2">
        <v>3.1325677136218901E-12</v>
      </c>
      <c r="CC30" s="2">
        <v>1.8</v>
      </c>
    </row>
    <row r="31" spans="1:81" x14ac:dyDescent="0.25">
      <c r="A31" s="66"/>
      <c r="B31" s="66"/>
      <c r="C31" s="67"/>
      <c r="D31" s="35"/>
      <c r="AW31" s="2">
        <v>60</v>
      </c>
      <c r="AX31" s="2" t="s">
        <v>218</v>
      </c>
      <c r="AY31" s="130">
        <v>37</v>
      </c>
      <c r="AZ31" s="2">
        <v>18.3</v>
      </c>
      <c r="BA31" s="2">
        <v>59</v>
      </c>
      <c r="BB31" s="2">
        <v>77</v>
      </c>
      <c r="BC31" s="2">
        <v>3</v>
      </c>
      <c r="BD31" s="2">
        <v>4.5</v>
      </c>
      <c r="BE31" s="2">
        <v>10.5</v>
      </c>
      <c r="BF31" s="2">
        <v>10.5</v>
      </c>
      <c r="BG31" s="2">
        <v>20.8</v>
      </c>
      <c r="BH31" s="2">
        <v>52.5</v>
      </c>
      <c r="BI31" s="2">
        <v>294</v>
      </c>
      <c r="BJ31" s="2">
        <v>407</v>
      </c>
      <c r="BK31" s="2">
        <v>461</v>
      </c>
      <c r="BL31" s="2">
        <v>510</v>
      </c>
      <c r="BM31" s="2">
        <v>609</v>
      </c>
      <c r="BN31" s="2"/>
      <c r="BO31" s="2"/>
      <c r="BP31" s="2"/>
      <c r="BQ31" s="2"/>
      <c r="BR31" s="2"/>
      <c r="BS31" s="2"/>
      <c r="BT31" s="2">
        <v>369</v>
      </c>
      <c r="BU31" s="2">
        <v>541</v>
      </c>
      <c r="BV31" s="2">
        <v>628</v>
      </c>
      <c r="BW31" s="2">
        <v>715</v>
      </c>
      <c r="BX31" s="2">
        <v>887</v>
      </c>
      <c r="BY31" s="2">
        <v>32.799999999999997</v>
      </c>
      <c r="BZ31" s="2">
        <v>5.2</v>
      </c>
      <c r="CA31" s="2">
        <v>2.2000000000000002</v>
      </c>
      <c r="CB31" s="2">
        <v>3.1325677136218901E-12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60</v>
      </c>
      <c r="AX32" s="2" t="s">
        <v>220</v>
      </c>
      <c r="AY32" s="130">
        <v>29.5</v>
      </c>
      <c r="AZ32" s="2">
        <v>18.8</v>
      </c>
      <c r="BA32" s="2">
        <v>48</v>
      </c>
      <c r="BB32" s="2">
        <v>77</v>
      </c>
      <c r="BC32" s="2">
        <v>3</v>
      </c>
      <c r="BD32" s="2">
        <v>2.2000000000000002</v>
      </c>
      <c r="BE32" s="2">
        <v>16.600000000000001</v>
      </c>
      <c r="BF32" s="2">
        <v>17.2</v>
      </c>
      <c r="BG32" s="2">
        <v>43.3</v>
      </c>
      <c r="BH32" s="2">
        <v>124.5</v>
      </c>
      <c r="BI32" s="2">
        <v>670</v>
      </c>
      <c r="BJ32" s="2">
        <v>756</v>
      </c>
      <c r="BK32" s="2">
        <v>799</v>
      </c>
      <c r="BL32" s="2">
        <v>843</v>
      </c>
      <c r="BM32" s="2">
        <v>929</v>
      </c>
      <c r="BN32" s="2"/>
      <c r="BO32" s="2"/>
      <c r="BP32" s="2"/>
      <c r="BQ32" s="2"/>
      <c r="BR32" s="2"/>
      <c r="BS32" s="2"/>
      <c r="BT32" s="2">
        <v>931</v>
      </c>
      <c r="BU32" s="2">
        <v>1104</v>
      </c>
      <c r="BV32" s="2">
        <v>1191</v>
      </c>
      <c r="BW32" s="2">
        <v>1278</v>
      </c>
      <c r="BX32" s="2">
        <v>1450</v>
      </c>
      <c r="BY32" s="2">
        <v>82.8</v>
      </c>
      <c r="BZ32" s="2">
        <v>9.8000000000000007</v>
      </c>
      <c r="CA32" s="2">
        <v>3</v>
      </c>
      <c r="CB32" s="2">
        <v>4.1968144075789699E-12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80</v>
      </c>
      <c r="AX33" s="2" t="s">
        <v>220</v>
      </c>
      <c r="AY33" s="130">
        <v>29.5</v>
      </c>
      <c r="AZ33" s="2">
        <v>18.8</v>
      </c>
      <c r="BA33" s="2">
        <v>48</v>
      </c>
      <c r="BB33" s="2">
        <v>77</v>
      </c>
      <c r="BC33" s="2">
        <v>3</v>
      </c>
      <c r="BD33" s="2">
        <v>11.6</v>
      </c>
      <c r="BE33" s="2">
        <v>26</v>
      </c>
      <c r="BF33" s="2">
        <v>26.6</v>
      </c>
      <c r="BG33" s="2">
        <v>52.7</v>
      </c>
      <c r="BH33" s="2">
        <v>133.9</v>
      </c>
      <c r="BI33" s="2">
        <v>1124</v>
      </c>
      <c r="BJ33" s="2">
        <v>1210</v>
      </c>
      <c r="BK33" s="2">
        <v>1253</v>
      </c>
      <c r="BL33" s="2">
        <v>1297</v>
      </c>
      <c r="BM33" s="2">
        <v>1383</v>
      </c>
      <c r="BN33" s="2"/>
      <c r="BO33" s="2"/>
      <c r="BP33" s="2"/>
      <c r="BQ33" s="2"/>
      <c r="BR33" s="2"/>
      <c r="BS33" s="2"/>
      <c r="BT33" s="2">
        <v>1807</v>
      </c>
      <c r="BU33" s="2">
        <v>1979</v>
      </c>
      <c r="BV33" s="2">
        <v>2066</v>
      </c>
      <c r="BW33" s="2">
        <v>2153</v>
      </c>
      <c r="BX33" s="2">
        <v>2326</v>
      </c>
      <c r="BY33" s="2">
        <v>82.8</v>
      </c>
      <c r="BZ33" s="2">
        <v>9.8000000000000007</v>
      </c>
      <c r="CA33" s="2">
        <v>3</v>
      </c>
      <c r="CB33" s="2">
        <v>4.1968144075789699E-12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531" priority="12">
      <formula>$L32="API sand"</formula>
    </cfRule>
  </conditionalFormatting>
  <conditionalFormatting sqref="R32:S36 AB32:AB35 AJ32:AL36 Z32:Z36 N32:N36">
    <cfRule type="expression" dxfId="2530" priority="11">
      <formula>$M32="API sand"</formula>
    </cfRule>
  </conditionalFormatting>
  <conditionalFormatting sqref="R32:T36 Z32:AB35 AK32:AL36 N32:N36">
    <cfRule type="expression" dxfId="2529" priority="10">
      <formula>$M32="API clay"</formula>
    </cfRule>
  </conditionalFormatting>
  <conditionalFormatting sqref="U32:W36 AM32:AP36 N32:P36">
    <cfRule type="expression" dxfId="2528" priority="7">
      <formula>$L32="Stiff clay w/o free water"</formula>
    </cfRule>
    <cfRule type="expression" dxfId="2527" priority="9">
      <formula>$L32="API clay"</formula>
    </cfRule>
  </conditionalFormatting>
  <conditionalFormatting sqref="U32:Y36 AM32:AP36 N32:P36">
    <cfRule type="expression" dxfId="2526" priority="8">
      <formula>$L32="Kirsch soft clay"</formula>
    </cfRule>
  </conditionalFormatting>
  <conditionalFormatting sqref="U32:Y36 AM32:AP36 N32:P36">
    <cfRule type="expression" dxfId="2525" priority="6">
      <formula>$L32="Kirsch stiff clay"</formula>
    </cfRule>
  </conditionalFormatting>
  <conditionalFormatting sqref="AM32:AP36 Q32:Q36 X32:Y36 N32:N36">
    <cfRule type="expression" dxfId="2524" priority="5">
      <formula>$L32="Kirsch sand"</formula>
    </cfRule>
  </conditionalFormatting>
  <conditionalFormatting sqref="AC32:AD36 AI32:AI36 AM32:AP36 N32:N36">
    <cfRule type="expression" dxfId="2523" priority="4">
      <formula>$L32="Modified Weak rock"</formula>
    </cfRule>
  </conditionalFormatting>
  <conditionalFormatting sqref="AM32:AP36 N32:P36 U32:V36">
    <cfRule type="expression" dxfId="2522" priority="3">
      <formula>$L32="Reese stiff clay"</formula>
    </cfRule>
  </conditionalFormatting>
  <conditionalFormatting sqref="AB36">
    <cfRule type="expression" dxfId="2521" priority="2">
      <formula>$M36="API sand"</formula>
    </cfRule>
  </conditionalFormatting>
  <conditionalFormatting sqref="Z36:AB36">
    <cfRule type="expression" dxfId="2520" priority="1">
      <formula>$M36="API clay"</formula>
    </cfRule>
  </conditionalFormatting>
  <conditionalFormatting sqref="AE37:AH37">
    <cfRule type="expression" dxfId="2519" priority="13">
      <formula>#REF!="Modified Weak rock"</formula>
    </cfRule>
  </conditionalFormatting>
  <dataValidations count="4">
    <dataValidation type="textLength" showInputMessage="1" showErrorMessage="1" sqref="M27:M31" xr:uid="{89D553BF-6F97-422F-8547-F712E97E6B0E}">
      <formula1>0</formula1>
      <formula2>100</formula2>
    </dataValidation>
    <dataValidation showInputMessage="1" showErrorMessage="1" sqref="L6:M26" xr:uid="{C7DA0EF8-7139-4633-9214-8BD37D81BD50}"/>
    <dataValidation type="list" showInputMessage="1" showErrorMessage="1" sqref="L32:L255" xr:uid="{F796F701-BECE-41A5-B7D0-28BF9783A145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5AFC14C3-BD28-4C2C-AF86-A0B939681DBA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DAC4-28F3-42D8-9A9A-1616277DE150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Ak_Pisa_WTG26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15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EW_sand_Ruled_80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35</v>
      </c>
      <c r="R6" s="47">
        <f t="shared" ref="R6:R26" ca="1" si="7">IF(I6="","",IF(Q6&lt;&gt;0,Q6-5,NA()))</f>
        <v>30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6500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95.999999999999972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9600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27500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40.000000000000007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80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0.5</v>
      </c>
      <c r="BG6" s="2">
        <v>0.8</v>
      </c>
      <c r="BH6" s="2">
        <v>1.8</v>
      </c>
      <c r="BI6" s="2"/>
      <c r="BJ6" s="2"/>
      <c r="BK6" s="2"/>
      <c r="BL6" s="2"/>
      <c r="BM6" s="2"/>
      <c r="BN6" s="2">
        <v>80</v>
      </c>
      <c r="BO6" s="2">
        <v>26</v>
      </c>
      <c r="BP6" s="2">
        <v>35</v>
      </c>
      <c r="BQ6" s="2">
        <v>39</v>
      </c>
      <c r="BR6" s="2">
        <v>42</v>
      </c>
      <c r="BS6" s="2">
        <v>49</v>
      </c>
      <c r="BT6" s="2">
        <v>0</v>
      </c>
      <c r="BU6" s="2">
        <v>0</v>
      </c>
      <c r="BV6" s="2">
        <v>5</v>
      </c>
      <c r="BW6" s="2">
        <v>9</v>
      </c>
      <c r="BX6" s="2">
        <v>19</v>
      </c>
      <c r="BY6" s="2">
        <v>6.5</v>
      </c>
      <c r="BZ6" s="2">
        <v>1</v>
      </c>
      <c r="CA6" s="2">
        <v>0.5</v>
      </c>
      <c r="CB6" s="2">
        <v>2.1354472576100501E-5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09b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-0.8</v>
      </c>
      <c r="L7" s="116" t="str">
        <f t="shared" ca="1" si="1"/>
        <v>Cowden Clay</v>
      </c>
      <c r="M7" s="105" t="str">
        <f t="shared" ca="1" si="2"/>
        <v>API clay</v>
      </c>
      <c r="N7" s="47">
        <f t="shared" ca="1" si="3"/>
        <v>9.5</v>
      </c>
      <c r="O7" s="63">
        <f t="shared" ca="1" si="4"/>
        <v>43</v>
      </c>
      <c r="P7" s="63">
        <f t="shared" ca="1" si="5"/>
        <v>-7.0588235294117645</v>
      </c>
      <c r="Q7" s="47">
        <f t="shared" ca="1" si="6"/>
        <v>0</v>
      </c>
      <c r="R7" s="47" t="e">
        <f t="shared" ca="1" si="7"/>
        <v>#N/A</v>
      </c>
      <c r="S7" s="47">
        <f t="shared" ca="1" si="8"/>
        <v>3</v>
      </c>
      <c r="T7" s="47">
        <f t="shared" ca="1" si="9"/>
        <v>0</v>
      </c>
      <c r="U7" s="75">
        <f t="shared" ca="1" si="10"/>
        <v>1.7999999999999999E-2</v>
      </c>
      <c r="V7" s="75">
        <f t="shared" ca="1" si="11"/>
        <v>0</v>
      </c>
      <c r="W7" s="47">
        <f t="shared" ca="1" si="12"/>
        <v>0.5</v>
      </c>
      <c r="X7" s="47">
        <f t="shared" ca="1" si="13"/>
        <v>7700</v>
      </c>
      <c r="Y7" s="47">
        <f t="shared" ca="1" si="14"/>
        <v>0</v>
      </c>
      <c r="Z7" s="47" t="e">
        <f t="shared" ca="1" si="15"/>
        <v>#N/A</v>
      </c>
      <c r="AA7" s="47">
        <f t="shared" ca="1" si="16"/>
        <v>1</v>
      </c>
      <c r="AB7" s="47" t="e">
        <f t="shared" ca="1" si="17"/>
        <v>#N/A</v>
      </c>
      <c r="AC7" s="63">
        <f t="shared" ca="1" si="18"/>
        <v>37000</v>
      </c>
      <c r="AD7" s="63">
        <f t="shared" ca="1" si="19"/>
        <v>-5294.1176470588234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 t="e">
        <f t="shared" ca="1" si="25"/>
        <v>#N/A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0</v>
      </c>
      <c r="AS7" s="33">
        <f t="shared" ca="1" si="34"/>
        <v>0.4</v>
      </c>
      <c r="AW7" s="2">
        <v>0.8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1.3</v>
      </c>
      <c r="BE7" s="2">
        <v>2.2000000000000002</v>
      </c>
      <c r="BF7" s="2">
        <v>2.6</v>
      </c>
      <c r="BG7" s="2">
        <v>3</v>
      </c>
      <c r="BH7" s="2">
        <v>3.9</v>
      </c>
      <c r="BI7" s="2"/>
      <c r="BJ7" s="2"/>
      <c r="BK7" s="2"/>
      <c r="BL7" s="2"/>
      <c r="BM7" s="2"/>
      <c r="BN7" s="2">
        <v>80</v>
      </c>
      <c r="BO7" s="2">
        <v>26</v>
      </c>
      <c r="BP7" s="2">
        <v>35</v>
      </c>
      <c r="BQ7" s="2">
        <v>39</v>
      </c>
      <c r="BR7" s="2">
        <v>42</v>
      </c>
      <c r="BS7" s="2">
        <v>49</v>
      </c>
      <c r="BT7" s="2">
        <v>12</v>
      </c>
      <c r="BU7" s="2">
        <v>23</v>
      </c>
      <c r="BV7" s="2">
        <v>27</v>
      </c>
      <c r="BW7" s="2">
        <v>32</v>
      </c>
      <c r="BX7" s="2">
        <v>41</v>
      </c>
      <c r="BY7" s="2">
        <v>6.5</v>
      </c>
      <c r="BZ7" s="2">
        <v>1</v>
      </c>
      <c r="CA7" s="2">
        <v>0.5</v>
      </c>
      <c r="CB7" s="2">
        <v>2.1354472576100501E-5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10b</v>
      </c>
      <c r="J8" s="47">
        <f t="shared" ca="1" si="35"/>
        <v>3</v>
      </c>
      <c r="K8" s="19">
        <f t="shared" ca="1" si="36"/>
        <v>-2.5</v>
      </c>
      <c r="L8" s="116" t="str">
        <f t="shared" ca="1" si="1"/>
        <v>EW_sand_Ruled_25</v>
      </c>
      <c r="M8" s="105" t="str">
        <f t="shared" ca="1" si="2"/>
        <v>API sand</v>
      </c>
      <c r="N8" s="47">
        <f t="shared" ca="1" si="3"/>
        <v>9.8999999999999986</v>
      </c>
      <c r="O8" s="63">
        <f t="shared" ca="1" si="4"/>
        <v>0</v>
      </c>
      <c r="P8" s="63">
        <f t="shared" ca="1" si="5"/>
        <v>0</v>
      </c>
      <c r="Q8" s="47">
        <f t="shared" ca="1" si="6"/>
        <v>33</v>
      </c>
      <c r="R8" s="47">
        <f t="shared" ca="1" si="7"/>
        <v>28</v>
      </c>
      <c r="S8" s="47">
        <f t="shared" ca="1" si="8"/>
        <v>1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10300</v>
      </c>
      <c r="Y8" s="47">
        <f t="shared" ca="1" si="14"/>
        <v>0</v>
      </c>
      <c r="Z8" s="47">
        <f t="shared" ca="1" si="15"/>
        <v>89.999999999999972</v>
      </c>
      <c r="AA8" s="47">
        <f t="shared" ca="1" si="16"/>
        <v>1</v>
      </c>
      <c r="AB8" s="47">
        <f t="shared" ca="1" si="17"/>
        <v>7680</v>
      </c>
      <c r="AC8" s="63">
        <f t="shared" ca="1" si="18"/>
        <v>37000</v>
      </c>
      <c r="AD8" s="63">
        <f t="shared" ca="1" si="19"/>
        <v>8500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32.000000000000007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25</v>
      </c>
      <c r="AS8" s="33">
        <f t="shared" ca="1" si="34"/>
        <v>0.4</v>
      </c>
      <c r="AW8" s="2">
        <v>0.8</v>
      </c>
      <c r="AX8" s="2" t="s">
        <v>296</v>
      </c>
      <c r="AY8" s="130">
        <v>28</v>
      </c>
      <c r="AZ8" s="2">
        <v>19.5</v>
      </c>
      <c r="BA8" s="2">
        <v>11</v>
      </c>
      <c r="BB8" s="2">
        <v>34</v>
      </c>
      <c r="BC8" s="2">
        <v>4</v>
      </c>
      <c r="BD8" s="2">
        <v>0.3</v>
      </c>
      <c r="BE8" s="2">
        <v>0.9</v>
      </c>
      <c r="BF8" s="2">
        <v>1</v>
      </c>
      <c r="BG8" s="2">
        <v>1.2</v>
      </c>
      <c r="BH8" s="2">
        <v>1.5</v>
      </c>
      <c r="BI8" s="2">
        <v>16</v>
      </c>
      <c r="BJ8" s="2">
        <v>43</v>
      </c>
      <c r="BK8" s="2">
        <v>56</v>
      </c>
      <c r="BL8" s="2">
        <v>68</v>
      </c>
      <c r="BM8" s="2">
        <v>98</v>
      </c>
      <c r="BN8" s="2"/>
      <c r="BO8" s="2"/>
      <c r="BP8" s="2"/>
      <c r="BQ8" s="2"/>
      <c r="BR8" s="2"/>
      <c r="BS8" s="2"/>
      <c r="BT8" s="2">
        <v>11</v>
      </c>
      <c r="BU8" s="2">
        <v>24</v>
      </c>
      <c r="BV8" s="2">
        <v>37</v>
      </c>
      <c r="BW8" s="2">
        <v>49</v>
      </c>
      <c r="BX8" s="2">
        <v>76</v>
      </c>
      <c r="BY8" s="2">
        <v>7.7</v>
      </c>
      <c r="BZ8" s="2">
        <v>12.4</v>
      </c>
      <c r="CA8" s="2">
        <v>3</v>
      </c>
      <c r="CB8" s="2">
        <v>6.0779033844786899E-8</v>
      </c>
      <c r="CC8" s="2">
        <v>1.8</v>
      </c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10b</v>
      </c>
      <c r="J9" s="47">
        <f t="shared" ca="1" si="35"/>
        <v>4</v>
      </c>
      <c r="K9" s="19">
        <f t="shared" ca="1" si="36"/>
        <v>-4.5</v>
      </c>
      <c r="L9" s="116" t="str">
        <f t="shared" ca="1" si="1"/>
        <v>EW_sand_Ruled_42</v>
      </c>
      <c r="M9" s="105" t="str">
        <f t="shared" ca="1" si="2"/>
        <v>API sand</v>
      </c>
      <c r="N9" s="47">
        <f t="shared" ca="1" si="3"/>
        <v>9.8999999999999986</v>
      </c>
      <c r="O9" s="63">
        <f t="shared" ca="1" si="4"/>
        <v>0</v>
      </c>
      <c r="P9" s="63">
        <f t="shared" ca="1" si="5"/>
        <v>0</v>
      </c>
      <c r="Q9" s="47">
        <f t="shared" ca="1" si="6"/>
        <v>36</v>
      </c>
      <c r="R9" s="47">
        <f t="shared" ca="1" si="7"/>
        <v>31</v>
      </c>
      <c r="S9" s="47">
        <f t="shared" ca="1" si="8"/>
        <v>1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22500</v>
      </c>
      <c r="Y9" s="47">
        <f t="shared" ca="1" si="14"/>
        <v>0</v>
      </c>
      <c r="Z9" s="47">
        <f t="shared" ca="1" si="15"/>
        <v>99.799999999999969</v>
      </c>
      <c r="AA9" s="47">
        <f t="shared" ca="1" si="16"/>
        <v>1</v>
      </c>
      <c r="AB9" s="47">
        <f t="shared" ca="1" si="17"/>
        <v>10080</v>
      </c>
      <c r="AC9" s="63">
        <f t="shared" ca="1" si="18"/>
        <v>61000</v>
      </c>
      <c r="AD9" s="63">
        <f t="shared" ca="1" si="19"/>
        <v>1000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42.000000000000007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42</v>
      </c>
      <c r="AS9" s="33">
        <f t="shared" ca="1" si="34"/>
        <v>0.4</v>
      </c>
      <c r="AW9" s="2">
        <v>2.5</v>
      </c>
      <c r="AX9" s="2" t="s">
        <v>296</v>
      </c>
      <c r="AY9" s="130">
        <v>28</v>
      </c>
      <c r="AZ9" s="2">
        <v>19.5</v>
      </c>
      <c r="BA9" s="2">
        <v>11</v>
      </c>
      <c r="BB9" s="2">
        <v>34</v>
      </c>
      <c r="BC9" s="2">
        <v>4</v>
      </c>
      <c r="BD9" s="2">
        <v>0.1</v>
      </c>
      <c r="BE9" s="2">
        <v>0.6</v>
      </c>
      <c r="BF9" s="2">
        <v>0.8</v>
      </c>
      <c r="BG9" s="2">
        <v>1</v>
      </c>
      <c r="BH9" s="2">
        <v>1.3</v>
      </c>
      <c r="BI9" s="2">
        <v>3</v>
      </c>
      <c r="BJ9" s="2">
        <v>31</v>
      </c>
      <c r="BK9" s="2">
        <v>43</v>
      </c>
      <c r="BL9" s="2">
        <v>56</v>
      </c>
      <c r="BM9" s="2">
        <v>86</v>
      </c>
      <c r="BN9" s="2"/>
      <c r="BO9" s="2"/>
      <c r="BP9" s="2"/>
      <c r="BQ9" s="2"/>
      <c r="BR9" s="2"/>
      <c r="BS9" s="2"/>
      <c r="BT9" s="2">
        <v>2</v>
      </c>
      <c r="BU9" s="2">
        <v>15</v>
      </c>
      <c r="BV9" s="2">
        <v>28</v>
      </c>
      <c r="BW9" s="2">
        <v>40</v>
      </c>
      <c r="BX9" s="2">
        <v>67</v>
      </c>
      <c r="BY9" s="2">
        <v>7.7</v>
      </c>
      <c r="BZ9" s="2">
        <v>12.4</v>
      </c>
      <c r="CA9" s="2">
        <v>3</v>
      </c>
      <c r="CB9" s="2">
        <v>6.0779033844786899E-8</v>
      </c>
      <c r="CC9" s="2">
        <v>1.8</v>
      </c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10c</v>
      </c>
      <c r="J10" s="47">
        <f t="shared" ca="1" si="35"/>
        <v>5</v>
      </c>
      <c r="K10" s="19">
        <f t="shared" ca="1" si="36"/>
        <v>-6.5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8.3999999999999986</v>
      </c>
      <c r="O10" s="63">
        <f t="shared" ca="1" si="4"/>
        <v>73</v>
      </c>
      <c r="P10" s="63">
        <f t="shared" ca="1" si="5"/>
        <v>147.49999999999997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0.5</v>
      </c>
      <c r="X10" s="47">
        <f t="shared" ca="1" si="13"/>
        <v>32200.000000000004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91000</v>
      </c>
      <c r="AD10" s="63">
        <f t="shared" ca="1" si="19"/>
        <v>154166.66666666666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2.5</v>
      </c>
      <c r="AX10" s="2" t="s">
        <v>261</v>
      </c>
      <c r="AY10" s="130">
        <v>24</v>
      </c>
      <c r="AZ10" s="2">
        <v>19.899999999999999</v>
      </c>
      <c r="BA10" s="2"/>
      <c r="BB10" s="2">
        <v>6</v>
      </c>
      <c r="BC10" s="2"/>
      <c r="BD10" s="2">
        <v>0.9</v>
      </c>
      <c r="BE10" s="2">
        <v>1.6</v>
      </c>
      <c r="BF10" s="2">
        <v>1.8</v>
      </c>
      <c r="BG10" s="2">
        <v>2</v>
      </c>
      <c r="BH10" s="2">
        <v>2.7</v>
      </c>
      <c r="BI10" s="2"/>
      <c r="BJ10" s="2"/>
      <c r="BK10" s="2"/>
      <c r="BL10" s="2"/>
      <c r="BM10" s="2"/>
      <c r="BN10" s="2">
        <v>25</v>
      </c>
      <c r="BO10" s="2">
        <v>28</v>
      </c>
      <c r="BP10" s="2">
        <v>33</v>
      </c>
      <c r="BQ10" s="2">
        <v>36</v>
      </c>
      <c r="BR10" s="2">
        <v>39</v>
      </c>
      <c r="BS10" s="2">
        <v>44</v>
      </c>
      <c r="BT10" s="2">
        <v>2</v>
      </c>
      <c r="BU10" s="2">
        <v>26</v>
      </c>
      <c r="BV10" s="2">
        <v>37</v>
      </c>
      <c r="BW10" s="2">
        <v>48</v>
      </c>
      <c r="BX10" s="2">
        <v>74</v>
      </c>
      <c r="BY10" s="2">
        <v>10.3</v>
      </c>
      <c r="BZ10" s="2">
        <v>2.9</v>
      </c>
      <c r="CA10" s="2">
        <v>1</v>
      </c>
      <c r="CB10" s="2">
        <v>1.01250503043455E-7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11a</v>
      </c>
      <c r="J11" s="47">
        <f t="shared" ca="1" si="35"/>
        <v>6</v>
      </c>
      <c r="K11" s="19">
        <f t="shared" ca="1" si="36"/>
        <v>-7.7</v>
      </c>
      <c r="L11" s="116" t="str">
        <f t="shared" ca="1" si="1"/>
        <v>EW_sand_Ruled_100</v>
      </c>
      <c r="M11" s="105" t="str">
        <f t="shared" ca="1" si="2"/>
        <v>API sand</v>
      </c>
      <c r="N11" s="47">
        <f t="shared" ca="1" si="3"/>
        <v>9.6000000000000014</v>
      </c>
      <c r="O11" s="63">
        <f t="shared" ca="1" si="4"/>
        <v>0</v>
      </c>
      <c r="P11" s="63">
        <f t="shared" ca="1" si="5"/>
        <v>0</v>
      </c>
      <c r="Q11" s="47">
        <f t="shared" ca="1" si="6"/>
        <v>45</v>
      </c>
      <c r="R11" s="47">
        <f t="shared" ca="1" si="7"/>
        <v>40</v>
      </c>
      <c r="S11" s="47">
        <f t="shared" ca="1" si="8"/>
        <v>2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180000</v>
      </c>
      <c r="Y11" s="47">
        <f t="shared" ca="1" si="14"/>
        <v>0</v>
      </c>
      <c r="Z11" s="47">
        <f t="shared" ca="1" si="15"/>
        <v>114.99999999999996</v>
      </c>
      <c r="AA11" s="47">
        <f t="shared" ca="1" si="16"/>
        <v>1</v>
      </c>
      <c r="AB11" s="47">
        <f t="shared" ca="1" si="17"/>
        <v>12000</v>
      </c>
      <c r="AC11" s="63">
        <f t="shared" ca="1" si="18"/>
        <v>109000</v>
      </c>
      <c r="AD11" s="63">
        <f t="shared" ca="1" si="19"/>
        <v>14999.999999999996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50.000000000000007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100</v>
      </c>
      <c r="AS11" s="33">
        <f t="shared" ca="1" si="34"/>
        <v>0.4</v>
      </c>
      <c r="AW11" s="2">
        <v>4.5</v>
      </c>
      <c r="AX11" s="2" t="s">
        <v>261</v>
      </c>
      <c r="AY11" s="130">
        <v>24</v>
      </c>
      <c r="AZ11" s="2">
        <v>19.899999999999999</v>
      </c>
      <c r="BA11" s="2"/>
      <c r="BB11" s="2">
        <v>6</v>
      </c>
      <c r="BC11" s="2"/>
      <c r="BD11" s="2">
        <v>3.3</v>
      </c>
      <c r="BE11" s="2">
        <v>4</v>
      </c>
      <c r="BF11" s="2">
        <v>4.2</v>
      </c>
      <c r="BG11" s="2">
        <v>4.4000000000000004</v>
      </c>
      <c r="BH11" s="2">
        <v>5.0999999999999996</v>
      </c>
      <c r="BI11" s="2"/>
      <c r="BJ11" s="2"/>
      <c r="BK11" s="2"/>
      <c r="BL11" s="2"/>
      <c r="BM11" s="2"/>
      <c r="BN11" s="2">
        <v>25</v>
      </c>
      <c r="BO11" s="2">
        <v>28</v>
      </c>
      <c r="BP11" s="2">
        <v>33</v>
      </c>
      <c r="BQ11" s="2">
        <v>36</v>
      </c>
      <c r="BR11" s="2">
        <v>39</v>
      </c>
      <c r="BS11" s="2">
        <v>44</v>
      </c>
      <c r="BT11" s="2">
        <v>19</v>
      </c>
      <c r="BU11" s="2">
        <v>43</v>
      </c>
      <c r="BV11" s="2">
        <v>54</v>
      </c>
      <c r="BW11" s="2">
        <v>64</v>
      </c>
      <c r="BX11" s="2">
        <v>91</v>
      </c>
      <c r="BY11" s="2">
        <v>10.3</v>
      </c>
      <c r="BZ11" s="2">
        <v>2.9</v>
      </c>
      <c r="CA11" s="2">
        <v>1</v>
      </c>
      <c r="CB11" s="2">
        <v>1.01250503043455E-7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12b</v>
      </c>
      <c r="J12" s="47">
        <f t="shared" ca="1" si="35"/>
        <v>7</v>
      </c>
      <c r="K12" s="19">
        <f t="shared" ca="1" si="36"/>
        <v>-10.3</v>
      </c>
      <c r="L12" s="116" t="str">
        <f t="shared" ca="1" si="1"/>
        <v>EW_sand_Ruled_100</v>
      </c>
      <c r="M12" s="105" t="str">
        <f t="shared" ca="1" si="2"/>
        <v>API sand</v>
      </c>
      <c r="N12" s="47">
        <f t="shared" ca="1" si="3"/>
        <v>10.199999999999999</v>
      </c>
      <c r="O12" s="63">
        <f t="shared" ca="1" si="4"/>
        <v>0</v>
      </c>
      <c r="P12" s="63">
        <f t="shared" ca="1" si="5"/>
        <v>0</v>
      </c>
      <c r="Q12" s="47">
        <f t="shared" ca="1" si="6"/>
        <v>43</v>
      </c>
      <c r="R12" s="47">
        <f t="shared" ca="1" si="7"/>
        <v>38</v>
      </c>
      <c r="S12" s="47">
        <f t="shared" ca="1" si="8"/>
        <v>1.4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180000</v>
      </c>
      <c r="Y12" s="47">
        <f t="shared" ca="1" si="14"/>
        <v>0</v>
      </c>
      <c r="Z12" s="47">
        <f t="shared" ca="1" si="15"/>
        <v>114.99999999999996</v>
      </c>
      <c r="AA12" s="47">
        <f t="shared" ca="1" si="16"/>
        <v>1</v>
      </c>
      <c r="AB12" s="47">
        <f t="shared" ca="1" si="17"/>
        <v>12000</v>
      </c>
      <c r="AC12" s="63">
        <f t="shared" ca="1" si="18"/>
        <v>132000</v>
      </c>
      <c r="AD12" s="63">
        <f t="shared" ca="1" si="19"/>
        <v>7812.5000000000018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50.000000000000007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100</v>
      </c>
      <c r="AS12" s="33">
        <f t="shared" ca="1" si="34"/>
        <v>0.4</v>
      </c>
      <c r="AW12" s="2">
        <v>4.5</v>
      </c>
      <c r="AX12" s="2" t="s">
        <v>261</v>
      </c>
      <c r="AY12" s="130">
        <v>24</v>
      </c>
      <c r="AZ12" s="2">
        <v>19.899999999999999</v>
      </c>
      <c r="BA12" s="2"/>
      <c r="BB12" s="2">
        <v>6</v>
      </c>
      <c r="BC12" s="2"/>
      <c r="BD12" s="2">
        <v>5.2</v>
      </c>
      <c r="BE12" s="2">
        <v>5.9</v>
      </c>
      <c r="BF12" s="2">
        <v>6.1</v>
      </c>
      <c r="BG12" s="2">
        <v>6.3</v>
      </c>
      <c r="BH12" s="2">
        <v>7.1</v>
      </c>
      <c r="BI12" s="2"/>
      <c r="BJ12" s="2"/>
      <c r="BK12" s="2"/>
      <c r="BL12" s="2"/>
      <c r="BM12" s="2"/>
      <c r="BN12" s="2">
        <v>42</v>
      </c>
      <c r="BO12" s="2">
        <v>30</v>
      </c>
      <c r="BP12" s="2">
        <v>36</v>
      </c>
      <c r="BQ12" s="2">
        <v>38</v>
      </c>
      <c r="BR12" s="2">
        <v>41</v>
      </c>
      <c r="BS12" s="2">
        <v>47</v>
      </c>
      <c r="BT12" s="2">
        <v>10</v>
      </c>
      <c r="BU12" s="2">
        <v>46</v>
      </c>
      <c r="BV12" s="2">
        <v>61</v>
      </c>
      <c r="BW12" s="2">
        <v>76</v>
      </c>
      <c r="BX12" s="2">
        <v>112</v>
      </c>
      <c r="BY12" s="2">
        <v>22.5</v>
      </c>
      <c r="BZ12" s="2">
        <v>3</v>
      </c>
      <c r="CA12" s="2">
        <v>1</v>
      </c>
      <c r="CB12" s="2">
        <v>4.6515287293966902E-7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21a</v>
      </c>
      <c r="J13" s="47">
        <f t="shared" ca="1" si="35"/>
        <v>8</v>
      </c>
      <c r="K13" s="19">
        <f t="shared" ca="1" si="36"/>
        <v>-13.5</v>
      </c>
      <c r="L13" s="116" t="str">
        <f t="shared" ca="1" si="1"/>
        <v>EW_sand_Ruled_81</v>
      </c>
      <c r="M13" s="105" t="str">
        <f t="shared" ca="1" si="2"/>
        <v>API sand</v>
      </c>
      <c r="N13" s="47">
        <f t="shared" ca="1" si="3"/>
        <v>9.8000000000000007</v>
      </c>
      <c r="O13" s="63">
        <f t="shared" ca="1" si="4"/>
        <v>0</v>
      </c>
      <c r="P13" s="63">
        <f t="shared" ca="1" si="5"/>
        <v>0</v>
      </c>
      <c r="Q13" s="47">
        <f t="shared" ca="1" si="6"/>
        <v>29</v>
      </c>
      <c r="R13" s="47">
        <f t="shared" ca="1" si="7"/>
        <v>24</v>
      </c>
      <c r="S13" s="47">
        <f t="shared" ca="1" si="8"/>
        <v>1.7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50000</v>
      </c>
      <c r="Y13" s="47">
        <f t="shared" ca="1" si="14"/>
        <v>0</v>
      </c>
      <c r="Z13" s="47">
        <f t="shared" ca="1" si="15"/>
        <v>78.199999999999974</v>
      </c>
      <c r="AA13" s="47">
        <f t="shared" ca="1" si="16"/>
        <v>1</v>
      </c>
      <c r="AB13" s="47">
        <f t="shared" ca="1" si="17"/>
        <v>4420</v>
      </c>
      <c r="AC13" s="63">
        <f t="shared" ca="1" si="18"/>
        <v>145000</v>
      </c>
      <c r="AD13" s="63">
        <f t="shared" ca="1" si="19"/>
        <v>727.27272727272725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18.400000000000006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81</v>
      </c>
      <c r="AS13" s="33">
        <f t="shared" ca="1" si="34"/>
        <v>0.2</v>
      </c>
      <c r="AW13" s="2">
        <v>6.5</v>
      </c>
      <c r="AX13" s="2" t="s">
        <v>261</v>
      </c>
      <c r="AY13" s="130">
        <v>24</v>
      </c>
      <c r="AZ13" s="2">
        <v>19.899999999999999</v>
      </c>
      <c r="BA13" s="2"/>
      <c r="BB13" s="2">
        <v>6</v>
      </c>
      <c r="BC13" s="2"/>
      <c r="BD13" s="2">
        <v>3.7</v>
      </c>
      <c r="BE13" s="2">
        <v>4.5</v>
      </c>
      <c r="BF13" s="2">
        <v>4.7</v>
      </c>
      <c r="BG13" s="2">
        <v>4.9000000000000004</v>
      </c>
      <c r="BH13" s="2">
        <v>5.6</v>
      </c>
      <c r="BI13" s="2"/>
      <c r="BJ13" s="2"/>
      <c r="BK13" s="2"/>
      <c r="BL13" s="2"/>
      <c r="BM13" s="2"/>
      <c r="BN13" s="2">
        <v>42</v>
      </c>
      <c r="BO13" s="2">
        <v>30</v>
      </c>
      <c r="BP13" s="2">
        <v>36</v>
      </c>
      <c r="BQ13" s="2">
        <v>38</v>
      </c>
      <c r="BR13" s="2">
        <v>41</v>
      </c>
      <c r="BS13" s="2">
        <v>47</v>
      </c>
      <c r="BT13" s="2">
        <v>12</v>
      </c>
      <c r="BU13" s="2">
        <v>48</v>
      </c>
      <c r="BV13" s="2">
        <v>63</v>
      </c>
      <c r="BW13" s="2">
        <v>78</v>
      </c>
      <c r="BX13" s="2">
        <v>114</v>
      </c>
      <c r="BY13" s="2">
        <v>22.5</v>
      </c>
      <c r="BZ13" s="2">
        <v>3</v>
      </c>
      <c r="CA13" s="2">
        <v>1</v>
      </c>
      <c r="CB13" s="2">
        <v>4.6515287293966902E-7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21a</v>
      </c>
      <c r="J14" s="47">
        <f t="shared" ca="1" si="35"/>
        <v>9</v>
      </c>
      <c r="K14" s="19">
        <f t="shared" ca="1" si="36"/>
        <v>-19</v>
      </c>
      <c r="L14" s="116" t="str">
        <f t="shared" ca="1" si="1"/>
        <v>EW_sand_Ruled_77</v>
      </c>
      <c r="M14" s="105" t="str">
        <f t="shared" ca="1" si="2"/>
        <v>API sand</v>
      </c>
      <c r="N14" s="47">
        <f t="shared" ca="1" si="3"/>
        <v>9.8000000000000007</v>
      </c>
      <c r="O14" s="63">
        <f t="shared" ca="1" si="4"/>
        <v>0</v>
      </c>
      <c r="P14" s="63">
        <f t="shared" ca="1" si="5"/>
        <v>0</v>
      </c>
      <c r="Q14" s="47">
        <f t="shared" ca="1" si="6"/>
        <v>29</v>
      </c>
      <c r="R14" s="47">
        <f t="shared" ca="1" si="7"/>
        <v>24</v>
      </c>
      <c r="S14" s="47">
        <f t="shared" ca="1" si="8"/>
        <v>1.5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50000</v>
      </c>
      <c r="Y14" s="47">
        <f t="shared" ca="1" si="14"/>
        <v>0</v>
      </c>
      <c r="Z14" s="47">
        <f t="shared" ca="1" si="15"/>
        <v>78.199999999999974</v>
      </c>
      <c r="AA14" s="47">
        <f t="shared" ca="1" si="16"/>
        <v>1</v>
      </c>
      <c r="AB14" s="47">
        <f t="shared" ca="1" si="17"/>
        <v>4420</v>
      </c>
      <c r="AC14" s="63">
        <f t="shared" ca="1" si="18"/>
        <v>155000</v>
      </c>
      <c r="AD14" s="63">
        <f t="shared" ca="1" si="19"/>
        <v>-3666.6666666666665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18.400000000000006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77</v>
      </c>
      <c r="AS14" s="33">
        <f t="shared" ca="1" si="34"/>
        <v>0.2</v>
      </c>
      <c r="AW14" s="2">
        <v>6.5</v>
      </c>
      <c r="AX14" s="2" t="s">
        <v>287</v>
      </c>
      <c r="AY14" s="130">
        <v>36</v>
      </c>
      <c r="AZ14" s="2">
        <v>18.399999999999999</v>
      </c>
      <c r="BA14" s="2">
        <v>23</v>
      </c>
      <c r="BB14" s="2">
        <v>53</v>
      </c>
      <c r="BC14" s="2">
        <v>4</v>
      </c>
      <c r="BD14" s="2">
        <v>1.2</v>
      </c>
      <c r="BE14" s="2">
        <v>2</v>
      </c>
      <c r="BF14" s="2">
        <v>2.2999999999999998</v>
      </c>
      <c r="BG14" s="2">
        <v>2.7</v>
      </c>
      <c r="BH14" s="2">
        <v>3.9</v>
      </c>
      <c r="BI14" s="2">
        <v>9</v>
      </c>
      <c r="BJ14" s="2">
        <v>73</v>
      </c>
      <c r="BK14" s="2">
        <v>117</v>
      </c>
      <c r="BL14" s="2">
        <v>166</v>
      </c>
      <c r="BM14" s="2">
        <v>279</v>
      </c>
      <c r="BN14" s="2"/>
      <c r="BO14" s="2"/>
      <c r="BP14" s="2"/>
      <c r="BQ14" s="2"/>
      <c r="BR14" s="2"/>
      <c r="BS14" s="2"/>
      <c r="BT14" s="2">
        <v>6</v>
      </c>
      <c r="BU14" s="2">
        <v>26</v>
      </c>
      <c r="BV14" s="2">
        <v>91</v>
      </c>
      <c r="BW14" s="2">
        <v>158</v>
      </c>
      <c r="BX14" s="2">
        <v>303</v>
      </c>
      <c r="BY14" s="2">
        <v>32.200000000000003</v>
      </c>
      <c r="BZ14" s="2">
        <v>11.7</v>
      </c>
      <c r="CA14" s="2">
        <v>3</v>
      </c>
      <c r="CB14" s="2">
        <v>1.6765863699677599E-8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21a</v>
      </c>
      <c r="J15" s="47">
        <f t="shared" ca="1" si="35"/>
        <v>10</v>
      </c>
      <c r="K15" s="19">
        <f t="shared" ca="1" si="36"/>
        <v>-22</v>
      </c>
      <c r="L15" s="116" t="str">
        <f t="shared" ca="1" si="1"/>
        <v>EW_sand_Ruled_58</v>
      </c>
      <c r="M15" s="105" t="str">
        <f t="shared" ca="1" si="2"/>
        <v>API sand</v>
      </c>
      <c r="N15" s="47">
        <f t="shared" ca="1" si="3"/>
        <v>9.8000000000000007</v>
      </c>
      <c r="O15" s="63">
        <f t="shared" ca="1" si="4"/>
        <v>0</v>
      </c>
      <c r="P15" s="63">
        <f t="shared" ca="1" si="5"/>
        <v>0</v>
      </c>
      <c r="Q15" s="47">
        <f t="shared" ca="1" si="6"/>
        <v>27</v>
      </c>
      <c r="R15" s="47">
        <f t="shared" ca="1" si="7"/>
        <v>22</v>
      </c>
      <c r="S15" s="47">
        <f t="shared" ca="1" si="8"/>
        <v>1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23400</v>
      </c>
      <c r="Y15" s="47">
        <f t="shared" ca="1" si="14"/>
        <v>0</v>
      </c>
      <c r="Z15" s="47">
        <f t="shared" ca="1" si="15"/>
        <v>72.59999999999998</v>
      </c>
      <c r="AA15" s="47">
        <f t="shared" ca="1" si="16"/>
        <v>1</v>
      </c>
      <c r="AB15" s="47">
        <f t="shared" ca="1" si="17"/>
        <v>3660</v>
      </c>
      <c r="AC15" s="63">
        <f t="shared" ca="1" si="18"/>
        <v>134000</v>
      </c>
      <c r="AD15" s="63">
        <f t="shared" ca="1" si="19"/>
        <v>8000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15.200000000000003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58</v>
      </c>
      <c r="AS15" s="33">
        <f t="shared" ca="1" si="34"/>
        <v>0.2</v>
      </c>
      <c r="AW15" s="2">
        <v>7.7</v>
      </c>
      <c r="AX15" s="2" t="s">
        <v>287</v>
      </c>
      <c r="AY15" s="130">
        <v>36</v>
      </c>
      <c r="AZ15" s="2">
        <v>18.399999999999999</v>
      </c>
      <c r="BA15" s="2">
        <v>23</v>
      </c>
      <c r="BB15" s="2">
        <v>53</v>
      </c>
      <c r="BC15" s="2">
        <v>4</v>
      </c>
      <c r="BD15" s="2">
        <v>4.4000000000000004</v>
      </c>
      <c r="BE15" s="2">
        <v>5.2</v>
      </c>
      <c r="BF15" s="2">
        <v>5.5</v>
      </c>
      <c r="BG15" s="2">
        <v>5.9</v>
      </c>
      <c r="BH15" s="2">
        <v>7.1</v>
      </c>
      <c r="BI15" s="2">
        <v>186</v>
      </c>
      <c r="BJ15" s="2">
        <v>250</v>
      </c>
      <c r="BK15" s="2">
        <v>294</v>
      </c>
      <c r="BL15" s="2">
        <v>343</v>
      </c>
      <c r="BM15" s="2">
        <v>456</v>
      </c>
      <c r="BN15" s="2"/>
      <c r="BO15" s="2"/>
      <c r="BP15" s="2"/>
      <c r="BQ15" s="2"/>
      <c r="BR15" s="2"/>
      <c r="BS15" s="2"/>
      <c r="BT15" s="2">
        <v>191</v>
      </c>
      <c r="BU15" s="2">
        <v>211</v>
      </c>
      <c r="BV15" s="2">
        <v>276</v>
      </c>
      <c r="BW15" s="2">
        <v>343</v>
      </c>
      <c r="BX15" s="2">
        <v>487</v>
      </c>
      <c r="BY15" s="2">
        <v>32.200000000000003</v>
      </c>
      <c r="BZ15" s="2">
        <v>11.7</v>
      </c>
      <c r="CA15" s="2">
        <v>3</v>
      </c>
      <c r="CB15" s="2">
        <v>1.6765863699677599E-8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21a</v>
      </c>
      <c r="J16" s="47">
        <f t="shared" ca="1" si="35"/>
        <v>11</v>
      </c>
      <c r="K16" s="19">
        <f t="shared" ca="1" si="36"/>
        <v>-23.5</v>
      </c>
      <c r="L16" s="116" t="str">
        <f t="shared" ca="1" si="1"/>
        <v>EW_sand_Ruled_60</v>
      </c>
      <c r="M16" s="105" t="str">
        <f t="shared" ca="1" si="2"/>
        <v>API sand</v>
      </c>
      <c r="N16" s="47">
        <f t="shared" ca="1" si="3"/>
        <v>9.8000000000000007</v>
      </c>
      <c r="O16" s="63">
        <f t="shared" ca="1" si="4"/>
        <v>0</v>
      </c>
      <c r="P16" s="63">
        <f t="shared" ca="1" si="5"/>
        <v>0</v>
      </c>
      <c r="Q16" s="47">
        <f t="shared" ca="1" si="6"/>
        <v>27</v>
      </c>
      <c r="R16" s="47">
        <f t="shared" ca="1" si="7"/>
        <v>22</v>
      </c>
      <c r="S16" s="47">
        <f t="shared" ca="1" si="8"/>
        <v>1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27600</v>
      </c>
      <c r="Y16" s="47">
        <f t="shared" ca="1" si="14"/>
        <v>0</v>
      </c>
      <c r="Z16" s="47">
        <f t="shared" ca="1" si="15"/>
        <v>72.59999999999998</v>
      </c>
      <c r="AA16" s="47">
        <f t="shared" ca="1" si="16"/>
        <v>1</v>
      </c>
      <c r="AB16" s="47">
        <f t="shared" ca="1" si="17"/>
        <v>3660</v>
      </c>
      <c r="AC16" s="63">
        <f t="shared" ca="1" si="18"/>
        <v>152000</v>
      </c>
      <c r="AD16" s="63">
        <f t="shared" ca="1" si="19"/>
        <v>-1636.3636363636365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15.200000000000003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60</v>
      </c>
      <c r="AS16" s="33">
        <f t="shared" ca="1" si="34"/>
        <v>0.2</v>
      </c>
      <c r="AW16" s="2">
        <v>7.7</v>
      </c>
      <c r="AX16" s="2" t="s">
        <v>293</v>
      </c>
      <c r="AY16" s="130">
        <v>25.8</v>
      </c>
      <c r="AZ16" s="2">
        <v>19.600000000000001</v>
      </c>
      <c r="BA16" s="2"/>
      <c r="BB16" s="2">
        <v>22</v>
      </c>
      <c r="BC16" s="2"/>
      <c r="BD16" s="2">
        <v>20.2</v>
      </c>
      <c r="BE16" s="2">
        <v>26.1</v>
      </c>
      <c r="BF16" s="2">
        <v>27.6</v>
      </c>
      <c r="BG16" s="2">
        <v>29.3</v>
      </c>
      <c r="BH16" s="2">
        <v>35.6</v>
      </c>
      <c r="BI16" s="2"/>
      <c r="BJ16" s="2"/>
      <c r="BK16" s="2"/>
      <c r="BL16" s="2"/>
      <c r="BM16" s="2"/>
      <c r="BN16" s="2">
        <v>100</v>
      </c>
      <c r="BO16" s="2">
        <v>37</v>
      </c>
      <c r="BP16" s="2">
        <v>45</v>
      </c>
      <c r="BQ16" s="2">
        <v>48</v>
      </c>
      <c r="BR16" s="2">
        <v>52</v>
      </c>
      <c r="BS16" s="2">
        <v>54</v>
      </c>
      <c r="BT16" s="2">
        <v>7</v>
      </c>
      <c r="BU16" s="2">
        <v>79</v>
      </c>
      <c r="BV16" s="2">
        <v>109</v>
      </c>
      <c r="BW16" s="2">
        <v>139</v>
      </c>
      <c r="BX16" s="2">
        <v>214</v>
      </c>
      <c r="BY16" s="2">
        <v>180</v>
      </c>
      <c r="BZ16" s="2">
        <v>9.9</v>
      </c>
      <c r="CA16" s="2">
        <v>2</v>
      </c>
      <c r="CB16" s="2">
        <v>3.8464962579123799E-4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21a</v>
      </c>
      <c r="J17" s="47">
        <f t="shared" ca="1" si="35"/>
        <v>12</v>
      </c>
      <c r="K17" s="19">
        <f t="shared" ca="1" si="36"/>
        <v>-29</v>
      </c>
      <c r="L17" s="116" t="str">
        <f t="shared" ca="1" si="1"/>
        <v>EW_sand_Ruled_46</v>
      </c>
      <c r="M17" s="105" t="str">
        <f t="shared" ca="1" si="2"/>
        <v>API sand</v>
      </c>
      <c r="N17" s="47">
        <f t="shared" ca="1" si="3"/>
        <v>9.8000000000000007</v>
      </c>
      <c r="O17" s="63">
        <f t="shared" ca="1" si="4"/>
        <v>0</v>
      </c>
      <c r="P17" s="63">
        <f t="shared" ca="1" si="5"/>
        <v>0</v>
      </c>
      <c r="Q17" s="47">
        <f t="shared" ca="1" si="6"/>
        <v>26</v>
      </c>
      <c r="R17" s="47">
        <f t="shared" ca="1" si="7"/>
        <v>21</v>
      </c>
      <c r="S17" s="47">
        <f t="shared" ca="1" si="8"/>
        <v>0.7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37100</v>
      </c>
      <c r="Y17" s="47">
        <f t="shared" ca="1" si="14"/>
        <v>0</v>
      </c>
      <c r="Z17" s="47">
        <f t="shared" ca="1" si="15"/>
        <v>69.799999999999983</v>
      </c>
      <c r="AA17" s="47">
        <f t="shared" ca="1" si="16"/>
        <v>1</v>
      </c>
      <c r="AB17" s="47">
        <f t="shared" ca="1" si="17"/>
        <v>3280</v>
      </c>
      <c r="AC17" s="63">
        <f t="shared" ca="1" si="18"/>
        <v>129000</v>
      </c>
      <c r="AD17" s="63">
        <f t="shared" ca="1" si="19"/>
        <v>9666.6666666666661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13.600000000000003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46</v>
      </c>
      <c r="AS17" s="33">
        <f t="shared" ca="1" si="34"/>
        <v>0.2</v>
      </c>
      <c r="AW17" s="2">
        <v>10.3</v>
      </c>
      <c r="AX17" s="2" t="s">
        <v>293</v>
      </c>
      <c r="AY17" s="130">
        <v>25.8</v>
      </c>
      <c r="AZ17" s="2">
        <v>19.600000000000001</v>
      </c>
      <c r="BA17" s="2"/>
      <c r="BB17" s="2">
        <v>22</v>
      </c>
      <c r="BC17" s="2"/>
      <c r="BD17" s="2">
        <v>65.099999999999994</v>
      </c>
      <c r="BE17" s="2">
        <v>70.900000000000006</v>
      </c>
      <c r="BF17" s="2">
        <v>72.400000000000006</v>
      </c>
      <c r="BG17" s="2">
        <v>74.099999999999994</v>
      </c>
      <c r="BH17" s="2">
        <v>80.400000000000006</v>
      </c>
      <c r="BI17" s="2"/>
      <c r="BJ17" s="2"/>
      <c r="BK17" s="2"/>
      <c r="BL17" s="2"/>
      <c r="BM17" s="2"/>
      <c r="BN17" s="2">
        <v>100</v>
      </c>
      <c r="BO17" s="2">
        <v>37</v>
      </c>
      <c r="BP17" s="2">
        <v>45</v>
      </c>
      <c r="BQ17" s="2">
        <v>48</v>
      </c>
      <c r="BR17" s="2">
        <v>52</v>
      </c>
      <c r="BS17" s="2">
        <v>54</v>
      </c>
      <c r="BT17" s="2">
        <v>46</v>
      </c>
      <c r="BU17" s="2">
        <v>117</v>
      </c>
      <c r="BV17" s="2">
        <v>148</v>
      </c>
      <c r="BW17" s="2">
        <v>178</v>
      </c>
      <c r="BX17" s="2">
        <v>252</v>
      </c>
      <c r="BY17" s="2">
        <v>180</v>
      </c>
      <c r="BZ17" s="2">
        <v>9.9</v>
      </c>
      <c r="CA17" s="2">
        <v>2</v>
      </c>
      <c r="CB17" s="2">
        <v>3.8464962579123799E-4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23d</v>
      </c>
      <c r="J18" s="47">
        <f t="shared" ca="1" si="35"/>
        <v>13</v>
      </c>
      <c r="K18" s="19">
        <f t="shared" ca="1" si="36"/>
        <v>-32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8.8999999999999986</v>
      </c>
      <c r="O18" s="63">
        <f t="shared" ca="1" si="4"/>
        <v>166</v>
      </c>
      <c r="P18" s="63">
        <f t="shared" ca="1" si="5"/>
        <v>21.25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2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0.5</v>
      </c>
      <c r="X18" s="47">
        <f t="shared" ca="1" si="13"/>
        <v>25400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239000</v>
      </c>
      <c r="AD18" s="63">
        <f t="shared" ca="1" si="19"/>
        <v>30250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10.3</v>
      </c>
      <c r="AX18" s="2" t="s">
        <v>292</v>
      </c>
      <c r="AY18" s="130">
        <v>21.3</v>
      </c>
      <c r="AZ18" s="2">
        <v>20.2</v>
      </c>
      <c r="BA18" s="2"/>
      <c r="BB18" s="2">
        <v>10</v>
      </c>
      <c r="BC18" s="2"/>
      <c r="BD18" s="2">
        <v>65.099999999999994</v>
      </c>
      <c r="BE18" s="2">
        <v>70.900000000000006</v>
      </c>
      <c r="BF18" s="2">
        <v>72.400000000000006</v>
      </c>
      <c r="BG18" s="2">
        <v>74.099999999999994</v>
      </c>
      <c r="BH18" s="2">
        <v>80.400000000000006</v>
      </c>
      <c r="BI18" s="2"/>
      <c r="BJ18" s="2"/>
      <c r="BK18" s="2"/>
      <c r="BL18" s="2"/>
      <c r="BM18" s="2"/>
      <c r="BN18" s="2">
        <v>100</v>
      </c>
      <c r="BO18" s="2">
        <v>37</v>
      </c>
      <c r="BP18" s="2">
        <v>43</v>
      </c>
      <c r="BQ18" s="2">
        <v>46</v>
      </c>
      <c r="BR18" s="2">
        <v>49</v>
      </c>
      <c r="BS18" s="2">
        <v>54</v>
      </c>
      <c r="BT18" s="2">
        <v>14</v>
      </c>
      <c r="BU18" s="2">
        <v>98</v>
      </c>
      <c r="BV18" s="2">
        <v>132</v>
      </c>
      <c r="BW18" s="2">
        <v>166</v>
      </c>
      <c r="BX18" s="2">
        <v>250</v>
      </c>
      <c r="BY18" s="2">
        <v>180</v>
      </c>
      <c r="BZ18" s="2">
        <v>5.8</v>
      </c>
      <c r="CA18" s="2">
        <v>1.4</v>
      </c>
      <c r="CB18" s="2">
        <v>1.5010128870715099E-4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23d</v>
      </c>
      <c r="J19" s="47">
        <f t="shared" ca="1" si="35"/>
        <v>14</v>
      </c>
      <c r="K19" s="19">
        <f t="shared" ca="1" si="36"/>
        <v>-40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8.8999999999999986</v>
      </c>
      <c r="O19" s="63">
        <f t="shared" ca="1" si="4"/>
        <v>350</v>
      </c>
      <c r="P19" s="63">
        <f t="shared" ca="1" si="5"/>
        <v>4.1111111111111107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2.2999999999999998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0.25</v>
      </c>
      <c r="X19" s="47">
        <f t="shared" ca="1" si="13"/>
        <v>36400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509000</v>
      </c>
      <c r="AD19" s="63">
        <f t="shared" ca="1" si="19"/>
        <v>6851.8518518518522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13.5</v>
      </c>
      <c r="AX19" s="2" t="s">
        <v>292</v>
      </c>
      <c r="AY19" s="130">
        <v>21.3</v>
      </c>
      <c r="AZ19" s="2">
        <v>20.2</v>
      </c>
      <c r="BA19" s="2"/>
      <c r="BB19" s="2">
        <v>10</v>
      </c>
      <c r="BC19" s="2"/>
      <c r="BD19" s="2">
        <v>28.4</v>
      </c>
      <c r="BE19" s="2">
        <v>36.4</v>
      </c>
      <c r="BF19" s="2">
        <v>37.799999999999997</v>
      </c>
      <c r="BG19" s="2">
        <v>39.799999999999997</v>
      </c>
      <c r="BH19" s="2">
        <v>50.7</v>
      </c>
      <c r="BI19" s="2"/>
      <c r="BJ19" s="2"/>
      <c r="BK19" s="2"/>
      <c r="BL19" s="2"/>
      <c r="BM19" s="2"/>
      <c r="BN19" s="2">
        <v>100</v>
      </c>
      <c r="BO19" s="2">
        <v>37</v>
      </c>
      <c r="BP19" s="2">
        <v>43</v>
      </c>
      <c r="BQ19" s="2">
        <v>46</v>
      </c>
      <c r="BR19" s="2">
        <v>49</v>
      </c>
      <c r="BS19" s="2">
        <v>54</v>
      </c>
      <c r="BT19" s="2">
        <v>39</v>
      </c>
      <c r="BU19" s="2">
        <v>123</v>
      </c>
      <c r="BV19" s="2">
        <v>157</v>
      </c>
      <c r="BW19" s="2">
        <v>190</v>
      </c>
      <c r="BX19" s="2">
        <v>274</v>
      </c>
      <c r="BY19" s="2">
        <v>180</v>
      </c>
      <c r="BZ19" s="2">
        <v>5.8</v>
      </c>
      <c r="CA19" s="2">
        <v>1.4</v>
      </c>
      <c r="CB19" s="2">
        <v>1.5010128870715099E-4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23l</v>
      </c>
      <c r="J20" s="47">
        <f t="shared" ca="1" si="35"/>
        <v>15</v>
      </c>
      <c r="K20" s="19">
        <f t="shared" ca="1" si="36"/>
        <v>-67</v>
      </c>
      <c r="L20" s="116" t="str">
        <f t="shared" ca="1" si="1"/>
        <v>Cowden Clay</v>
      </c>
      <c r="M20" s="105" t="str">
        <f t="shared" ca="1" si="2"/>
        <v>API clay</v>
      </c>
      <c r="N20" s="47">
        <f t="shared" ca="1" si="3"/>
        <v>8.8000000000000007</v>
      </c>
      <c r="O20" s="63">
        <f t="shared" ca="1" si="4"/>
        <v>955</v>
      </c>
      <c r="P20" s="63">
        <f t="shared" ca="1" si="5"/>
        <v>19.384615384615383</v>
      </c>
      <c r="Q20" s="47">
        <f t="shared" ca="1" si="6"/>
        <v>0</v>
      </c>
      <c r="R20" s="47" t="e">
        <f t="shared" ca="1" si="7"/>
        <v>#N/A</v>
      </c>
      <c r="S20" s="47">
        <f t="shared" ca="1" si="8"/>
        <v>3</v>
      </c>
      <c r="T20" s="47">
        <f t="shared" ca="1" si="9"/>
        <v>0</v>
      </c>
      <c r="U20" s="75">
        <f t="shared" ca="1" si="10"/>
        <v>1.7999999999999999E-2</v>
      </c>
      <c r="V20" s="75">
        <f t="shared" ca="1" si="11"/>
        <v>0</v>
      </c>
      <c r="W20" s="47">
        <f t="shared" ca="1" si="12"/>
        <v>0.25</v>
      </c>
      <c r="X20" s="47">
        <f t="shared" ca="1" si="13"/>
        <v>90200</v>
      </c>
      <c r="Y20" s="47">
        <f t="shared" ca="1" si="14"/>
        <v>0</v>
      </c>
      <c r="Z20" s="47" t="e">
        <f t="shared" ca="1" si="15"/>
        <v>#N/A</v>
      </c>
      <c r="AA20" s="47">
        <f t="shared" ca="1" si="16"/>
        <v>1</v>
      </c>
      <c r="AB20" s="47" t="e">
        <f t="shared" ca="1" si="17"/>
        <v>#N/A</v>
      </c>
      <c r="AC20" s="63">
        <f t="shared" ca="1" si="18"/>
        <v>1568000</v>
      </c>
      <c r="AD20" s="63">
        <f t="shared" ca="1" si="19"/>
        <v>38461.538461538461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 t="e">
        <f t="shared" ca="1" si="25"/>
        <v>#N/A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0</v>
      </c>
      <c r="AS20" s="33">
        <f t="shared" ca="1" si="34"/>
        <v>0.4</v>
      </c>
      <c r="AW20" s="2">
        <v>13.5</v>
      </c>
      <c r="AX20" s="2" t="s">
        <v>271</v>
      </c>
      <c r="AY20" s="130">
        <v>24.7</v>
      </c>
      <c r="AZ20" s="2">
        <v>19.8</v>
      </c>
      <c r="BA20" s="2"/>
      <c r="BB20" s="2">
        <v>11</v>
      </c>
      <c r="BC20" s="2"/>
      <c r="BD20" s="2">
        <v>28.4</v>
      </c>
      <c r="BE20" s="2">
        <v>36.4</v>
      </c>
      <c r="BF20" s="2">
        <v>37.799999999999997</v>
      </c>
      <c r="BG20" s="2">
        <v>39.799999999999997</v>
      </c>
      <c r="BH20" s="2">
        <v>50.7</v>
      </c>
      <c r="BI20" s="2"/>
      <c r="BJ20" s="2"/>
      <c r="BK20" s="2"/>
      <c r="BL20" s="2"/>
      <c r="BM20" s="2"/>
      <c r="BN20" s="2">
        <v>81</v>
      </c>
      <c r="BO20" s="2">
        <v>26</v>
      </c>
      <c r="BP20" s="2">
        <v>29</v>
      </c>
      <c r="BQ20" s="2">
        <v>32</v>
      </c>
      <c r="BR20" s="2">
        <v>34</v>
      </c>
      <c r="BS20" s="2">
        <v>39</v>
      </c>
      <c r="BT20" s="2">
        <v>24</v>
      </c>
      <c r="BU20" s="2">
        <v>110</v>
      </c>
      <c r="BV20" s="2">
        <v>145</v>
      </c>
      <c r="BW20" s="2">
        <v>179</v>
      </c>
      <c r="BX20" s="2">
        <v>265</v>
      </c>
      <c r="BY20" s="2">
        <v>50</v>
      </c>
      <c r="BZ20" s="2">
        <v>7.5</v>
      </c>
      <c r="CA20" s="2">
        <v>1.7</v>
      </c>
      <c r="CB20" s="2">
        <v>7.8026745887048995E-6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19</v>
      </c>
      <c r="AX21" s="2" t="s">
        <v>271</v>
      </c>
      <c r="AY21" s="130">
        <v>24.7</v>
      </c>
      <c r="AZ21" s="2">
        <v>19.8</v>
      </c>
      <c r="BA21" s="2"/>
      <c r="BB21" s="2">
        <v>11</v>
      </c>
      <c r="BC21" s="2"/>
      <c r="BD21" s="2">
        <v>17.3</v>
      </c>
      <c r="BE21" s="2">
        <v>25.3</v>
      </c>
      <c r="BF21" s="2">
        <v>26.8</v>
      </c>
      <c r="BG21" s="2">
        <v>28.7</v>
      </c>
      <c r="BH21" s="2">
        <v>39.6</v>
      </c>
      <c r="BI21" s="2"/>
      <c r="BJ21" s="2"/>
      <c r="BK21" s="2"/>
      <c r="BL21" s="2"/>
      <c r="BM21" s="2"/>
      <c r="BN21" s="2">
        <v>81</v>
      </c>
      <c r="BO21" s="2">
        <v>26</v>
      </c>
      <c r="BP21" s="2">
        <v>29</v>
      </c>
      <c r="BQ21" s="2">
        <v>32</v>
      </c>
      <c r="BR21" s="2">
        <v>34</v>
      </c>
      <c r="BS21" s="2">
        <v>39</v>
      </c>
      <c r="BT21" s="2">
        <v>28</v>
      </c>
      <c r="BU21" s="2">
        <v>114</v>
      </c>
      <c r="BV21" s="2">
        <v>149</v>
      </c>
      <c r="BW21" s="2">
        <v>183</v>
      </c>
      <c r="BX21" s="2">
        <v>269</v>
      </c>
      <c r="BY21" s="2">
        <v>50</v>
      </c>
      <c r="BZ21" s="2">
        <v>7.5</v>
      </c>
      <c r="CA21" s="2">
        <v>1.7</v>
      </c>
      <c r="CB21" s="2">
        <v>7.8026745887048995E-6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19</v>
      </c>
      <c r="AX22" s="2" t="s">
        <v>271</v>
      </c>
      <c r="AY22" s="130">
        <v>24.7</v>
      </c>
      <c r="AZ22" s="2">
        <v>19.8</v>
      </c>
      <c r="BA22" s="2"/>
      <c r="BB22" s="2">
        <v>11</v>
      </c>
      <c r="BC22" s="2"/>
      <c r="BD22" s="2">
        <v>29.1</v>
      </c>
      <c r="BE22" s="2">
        <v>30.5</v>
      </c>
      <c r="BF22" s="2">
        <v>31.1</v>
      </c>
      <c r="BG22" s="2">
        <v>32.6</v>
      </c>
      <c r="BH22" s="2">
        <v>35.700000000000003</v>
      </c>
      <c r="BI22" s="2"/>
      <c r="BJ22" s="2"/>
      <c r="BK22" s="2"/>
      <c r="BL22" s="2"/>
      <c r="BM22" s="2"/>
      <c r="BN22" s="2">
        <v>77</v>
      </c>
      <c r="BO22" s="2">
        <v>26</v>
      </c>
      <c r="BP22" s="2">
        <v>29</v>
      </c>
      <c r="BQ22" s="2">
        <v>31</v>
      </c>
      <c r="BR22" s="2">
        <v>34</v>
      </c>
      <c r="BS22" s="2">
        <v>38</v>
      </c>
      <c r="BT22" s="2">
        <v>33</v>
      </c>
      <c r="BU22" s="2">
        <v>120</v>
      </c>
      <c r="BV22" s="2">
        <v>155</v>
      </c>
      <c r="BW22" s="2">
        <v>190</v>
      </c>
      <c r="BX22" s="2">
        <v>276</v>
      </c>
      <c r="BY22" s="2">
        <v>50</v>
      </c>
      <c r="BZ22" s="2">
        <v>6.1</v>
      </c>
      <c r="CA22" s="2">
        <v>1.5</v>
      </c>
      <c r="CB22" s="2">
        <v>1.4309264868131999E-5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22</v>
      </c>
      <c r="AX23" s="2" t="s">
        <v>271</v>
      </c>
      <c r="AY23" s="130">
        <v>24.7</v>
      </c>
      <c r="AZ23" s="2">
        <v>19.8</v>
      </c>
      <c r="BA23" s="2"/>
      <c r="BB23" s="2">
        <v>11</v>
      </c>
      <c r="BC23" s="2"/>
      <c r="BD23" s="2">
        <v>19.399999999999999</v>
      </c>
      <c r="BE23" s="2">
        <v>20.8</v>
      </c>
      <c r="BF23" s="2">
        <v>21.4</v>
      </c>
      <c r="BG23" s="2">
        <v>22.8</v>
      </c>
      <c r="BH23" s="2">
        <v>26</v>
      </c>
      <c r="BI23" s="2"/>
      <c r="BJ23" s="2"/>
      <c r="BK23" s="2"/>
      <c r="BL23" s="2"/>
      <c r="BM23" s="2"/>
      <c r="BN23" s="2">
        <v>77</v>
      </c>
      <c r="BO23" s="2">
        <v>26</v>
      </c>
      <c r="BP23" s="2">
        <v>29</v>
      </c>
      <c r="BQ23" s="2">
        <v>31</v>
      </c>
      <c r="BR23" s="2">
        <v>34</v>
      </c>
      <c r="BS23" s="2">
        <v>38</v>
      </c>
      <c r="BT23" s="2">
        <v>22</v>
      </c>
      <c r="BU23" s="2">
        <v>109</v>
      </c>
      <c r="BV23" s="2">
        <v>144</v>
      </c>
      <c r="BW23" s="2">
        <v>179</v>
      </c>
      <c r="BX23" s="2">
        <v>266</v>
      </c>
      <c r="BY23" s="2">
        <v>50</v>
      </c>
      <c r="BZ23" s="2">
        <v>6.1</v>
      </c>
      <c r="CA23" s="2">
        <v>1.5</v>
      </c>
      <c r="CB23" s="2">
        <v>1.4309264868131999E-5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22</v>
      </c>
      <c r="AX24" s="2" t="s">
        <v>271</v>
      </c>
      <c r="AY24" s="130">
        <v>24.7</v>
      </c>
      <c r="AZ24" s="2">
        <v>19.8</v>
      </c>
      <c r="BA24" s="2"/>
      <c r="BB24" s="2">
        <v>11</v>
      </c>
      <c r="BC24" s="2"/>
      <c r="BD24" s="2">
        <v>12</v>
      </c>
      <c r="BE24" s="2">
        <v>13.4</v>
      </c>
      <c r="BF24" s="2">
        <v>13.8</v>
      </c>
      <c r="BG24" s="2">
        <v>14.2</v>
      </c>
      <c r="BH24" s="2">
        <v>15.5</v>
      </c>
      <c r="BI24" s="2"/>
      <c r="BJ24" s="2"/>
      <c r="BK24" s="2"/>
      <c r="BL24" s="2"/>
      <c r="BM24" s="2"/>
      <c r="BN24" s="2">
        <v>58</v>
      </c>
      <c r="BO24" s="2">
        <v>26</v>
      </c>
      <c r="BP24" s="2">
        <v>27</v>
      </c>
      <c r="BQ24" s="2">
        <v>30</v>
      </c>
      <c r="BR24" s="2">
        <v>32</v>
      </c>
      <c r="BS24" s="2">
        <v>36</v>
      </c>
      <c r="BT24" s="2">
        <v>22</v>
      </c>
      <c r="BU24" s="2">
        <v>101</v>
      </c>
      <c r="BV24" s="2">
        <v>134</v>
      </c>
      <c r="BW24" s="2">
        <v>167</v>
      </c>
      <c r="BX24" s="2">
        <v>248</v>
      </c>
      <c r="BY24" s="2">
        <v>23.4</v>
      </c>
      <c r="BZ24" s="2">
        <v>3.3</v>
      </c>
      <c r="CA24" s="2">
        <v>1</v>
      </c>
      <c r="CB24" s="2">
        <v>5.3423179789201702E-9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23.5</v>
      </c>
      <c r="AX25" s="2" t="s">
        <v>271</v>
      </c>
      <c r="AY25" s="130">
        <v>24.7</v>
      </c>
      <c r="AZ25" s="2">
        <v>19.8</v>
      </c>
      <c r="BA25" s="2"/>
      <c r="BB25" s="2">
        <v>11</v>
      </c>
      <c r="BC25" s="2"/>
      <c r="BD25" s="2">
        <v>16.8</v>
      </c>
      <c r="BE25" s="2">
        <v>18.2</v>
      </c>
      <c r="BF25" s="2">
        <v>18.600000000000001</v>
      </c>
      <c r="BG25" s="2">
        <v>19</v>
      </c>
      <c r="BH25" s="2">
        <v>20.3</v>
      </c>
      <c r="BI25" s="2"/>
      <c r="BJ25" s="2"/>
      <c r="BK25" s="2"/>
      <c r="BL25" s="2"/>
      <c r="BM25" s="2"/>
      <c r="BN25" s="2">
        <v>58</v>
      </c>
      <c r="BO25" s="2">
        <v>26</v>
      </c>
      <c r="BP25" s="2">
        <v>27</v>
      </c>
      <c r="BQ25" s="2">
        <v>30</v>
      </c>
      <c r="BR25" s="2">
        <v>32</v>
      </c>
      <c r="BS25" s="2">
        <v>36</v>
      </c>
      <c r="BT25" s="2">
        <v>34</v>
      </c>
      <c r="BU25" s="2">
        <v>114</v>
      </c>
      <c r="BV25" s="2">
        <v>146</v>
      </c>
      <c r="BW25" s="2">
        <v>179</v>
      </c>
      <c r="BX25" s="2">
        <v>260</v>
      </c>
      <c r="BY25" s="2">
        <v>23.4</v>
      </c>
      <c r="BZ25" s="2">
        <v>3.3</v>
      </c>
      <c r="CA25" s="2">
        <v>1</v>
      </c>
      <c r="CB25" s="2">
        <v>5.3423179789201702E-9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23.5</v>
      </c>
      <c r="AX26" s="2" t="s">
        <v>271</v>
      </c>
      <c r="AY26" s="130">
        <v>24.7</v>
      </c>
      <c r="AZ26" s="2">
        <v>19.8</v>
      </c>
      <c r="BA26" s="2"/>
      <c r="BB26" s="2">
        <v>11</v>
      </c>
      <c r="BC26" s="2"/>
      <c r="BD26" s="2">
        <v>18.2</v>
      </c>
      <c r="BE26" s="2">
        <v>20.100000000000001</v>
      </c>
      <c r="BF26" s="2">
        <v>20.399999999999999</v>
      </c>
      <c r="BG26" s="2">
        <v>20.8</v>
      </c>
      <c r="BH26" s="2">
        <v>22.7</v>
      </c>
      <c r="BI26" s="2"/>
      <c r="BJ26" s="2"/>
      <c r="BK26" s="2"/>
      <c r="BL26" s="2"/>
      <c r="BM26" s="2"/>
      <c r="BN26" s="2">
        <v>60</v>
      </c>
      <c r="BO26" s="2">
        <v>26</v>
      </c>
      <c r="BP26" s="2">
        <v>27</v>
      </c>
      <c r="BQ26" s="2">
        <v>30</v>
      </c>
      <c r="BR26" s="2">
        <v>32</v>
      </c>
      <c r="BS26" s="2">
        <v>36</v>
      </c>
      <c r="BT26" s="2">
        <v>38</v>
      </c>
      <c r="BU26" s="2">
        <v>118</v>
      </c>
      <c r="BV26" s="2">
        <v>152</v>
      </c>
      <c r="BW26" s="2">
        <v>186</v>
      </c>
      <c r="BX26" s="2">
        <v>272</v>
      </c>
      <c r="BY26" s="2">
        <v>27.6</v>
      </c>
      <c r="BZ26" s="2">
        <v>3.2</v>
      </c>
      <c r="CA26" s="2">
        <v>1</v>
      </c>
      <c r="CB26" s="2">
        <v>4.5807871451554403E-9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29</v>
      </c>
      <c r="AX27" s="2" t="s">
        <v>271</v>
      </c>
      <c r="AY27" s="130">
        <v>24.7</v>
      </c>
      <c r="AZ27" s="2">
        <v>19.8</v>
      </c>
      <c r="BA27" s="2"/>
      <c r="BB27" s="2">
        <v>11</v>
      </c>
      <c r="BC27" s="2"/>
      <c r="BD27" s="2">
        <v>10.9</v>
      </c>
      <c r="BE27" s="2">
        <v>12.8</v>
      </c>
      <c r="BF27" s="2">
        <v>13.2</v>
      </c>
      <c r="BG27" s="2">
        <v>13.6</v>
      </c>
      <c r="BH27" s="2">
        <v>15.5</v>
      </c>
      <c r="BI27" s="2"/>
      <c r="BJ27" s="2"/>
      <c r="BK27" s="2"/>
      <c r="BL27" s="2"/>
      <c r="BM27" s="2"/>
      <c r="BN27" s="2">
        <v>60</v>
      </c>
      <c r="BO27" s="2">
        <v>26</v>
      </c>
      <c r="BP27" s="2">
        <v>27</v>
      </c>
      <c r="BQ27" s="2">
        <v>30</v>
      </c>
      <c r="BR27" s="2">
        <v>32</v>
      </c>
      <c r="BS27" s="2">
        <v>36</v>
      </c>
      <c r="BT27" s="2">
        <v>28</v>
      </c>
      <c r="BU27" s="2">
        <v>108</v>
      </c>
      <c r="BV27" s="2">
        <v>143</v>
      </c>
      <c r="BW27" s="2">
        <v>177</v>
      </c>
      <c r="BX27" s="2">
        <v>263</v>
      </c>
      <c r="BY27" s="2">
        <v>27.6</v>
      </c>
      <c r="BZ27" s="2">
        <v>3.2</v>
      </c>
      <c r="CA27" s="2">
        <v>1</v>
      </c>
      <c r="CB27" s="2">
        <v>4.5807871451554403E-9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29</v>
      </c>
      <c r="AX28" s="2" t="s">
        <v>271</v>
      </c>
      <c r="AY28" s="130">
        <v>24.7</v>
      </c>
      <c r="AZ28" s="2">
        <v>19.8</v>
      </c>
      <c r="BA28" s="2"/>
      <c r="BB28" s="2">
        <v>11</v>
      </c>
      <c r="BC28" s="2"/>
      <c r="BD28" s="2">
        <v>6.4</v>
      </c>
      <c r="BE28" s="2">
        <v>7.4</v>
      </c>
      <c r="BF28" s="2">
        <v>7.6</v>
      </c>
      <c r="BG28" s="2">
        <v>8</v>
      </c>
      <c r="BH28" s="2">
        <v>9.8000000000000007</v>
      </c>
      <c r="BI28" s="2"/>
      <c r="BJ28" s="2"/>
      <c r="BK28" s="2"/>
      <c r="BL28" s="2"/>
      <c r="BM28" s="2"/>
      <c r="BN28" s="2">
        <v>46</v>
      </c>
      <c r="BO28" s="2">
        <v>26</v>
      </c>
      <c r="BP28" s="2">
        <v>26</v>
      </c>
      <c r="BQ28" s="2">
        <v>28</v>
      </c>
      <c r="BR28" s="2">
        <v>31</v>
      </c>
      <c r="BS28" s="2">
        <v>35</v>
      </c>
      <c r="BT28" s="2">
        <v>29</v>
      </c>
      <c r="BU28" s="2">
        <v>96</v>
      </c>
      <c r="BV28" s="2">
        <v>129</v>
      </c>
      <c r="BW28" s="2">
        <v>163</v>
      </c>
      <c r="BX28" s="2">
        <v>246</v>
      </c>
      <c r="BY28" s="2">
        <v>37.1</v>
      </c>
      <c r="BZ28" s="2">
        <v>1.8</v>
      </c>
      <c r="CA28" s="2">
        <v>0.7</v>
      </c>
      <c r="CB28" s="2">
        <v>9.7171409566589103E-10</v>
      </c>
      <c r="CC28" s="2"/>
    </row>
    <row r="29" spans="1:81" x14ac:dyDescent="0.25">
      <c r="A29" s="66"/>
      <c r="B29" s="66"/>
      <c r="C29" s="67"/>
      <c r="D29" s="35"/>
      <c r="AW29" s="2">
        <v>32</v>
      </c>
      <c r="AX29" s="2" t="s">
        <v>271</v>
      </c>
      <c r="AY29" s="130">
        <v>24.7</v>
      </c>
      <c r="AZ29" s="2">
        <v>19.8</v>
      </c>
      <c r="BA29" s="2"/>
      <c r="BB29" s="2">
        <v>11</v>
      </c>
      <c r="BC29" s="2"/>
      <c r="BD29" s="2">
        <v>14.2</v>
      </c>
      <c r="BE29" s="2">
        <v>15.2</v>
      </c>
      <c r="BF29" s="2">
        <v>15.4</v>
      </c>
      <c r="BG29" s="2">
        <v>15.8</v>
      </c>
      <c r="BH29" s="2">
        <v>17.600000000000001</v>
      </c>
      <c r="BI29" s="2"/>
      <c r="BJ29" s="2"/>
      <c r="BK29" s="2"/>
      <c r="BL29" s="2"/>
      <c r="BM29" s="2"/>
      <c r="BN29" s="2">
        <v>46</v>
      </c>
      <c r="BO29" s="2">
        <v>26</v>
      </c>
      <c r="BP29" s="2">
        <v>26</v>
      </c>
      <c r="BQ29" s="2">
        <v>28</v>
      </c>
      <c r="BR29" s="2">
        <v>31</v>
      </c>
      <c r="BS29" s="2">
        <v>35</v>
      </c>
      <c r="BT29" s="2">
        <v>57</v>
      </c>
      <c r="BU29" s="2">
        <v>124</v>
      </c>
      <c r="BV29" s="2">
        <v>158</v>
      </c>
      <c r="BW29" s="2">
        <v>192</v>
      </c>
      <c r="BX29" s="2">
        <v>275</v>
      </c>
      <c r="BY29" s="2">
        <v>37.1</v>
      </c>
      <c r="BZ29" s="2">
        <v>1.8</v>
      </c>
      <c r="CA29" s="2">
        <v>0.7</v>
      </c>
      <c r="CB29" s="2">
        <v>9.7171409566589103E-10</v>
      </c>
      <c r="CC29" s="2"/>
    </row>
    <row r="30" spans="1:81" x14ac:dyDescent="0.25">
      <c r="A30" s="66"/>
      <c r="B30" s="66"/>
      <c r="C30" s="67"/>
      <c r="D30" s="35"/>
      <c r="AW30" s="2">
        <v>32</v>
      </c>
      <c r="AX30" s="2" t="s">
        <v>273</v>
      </c>
      <c r="AY30" s="130">
        <v>32</v>
      </c>
      <c r="AZ30" s="2">
        <v>18.899999999999999</v>
      </c>
      <c r="BA30" s="2">
        <v>47</v>
      </c>
      <c r="BB30" s="2">
        <v>85</v>
      </c>
      <c r="BC30" s="2">
        <v>3</v>
      </c>
      <c r="BD30" s="2">
        <v>3.4</v>
      </c>
      <c r="BE30" s="2">
        <v>4.5999999999999996</v>
      </c>
      <c r="BF30" s="2">
        <v>4.8</v>
      </c>
      <c r="BG30" s="2">
        <v>5</v>
      </c>
      <c r="BH30" s="2">
        <v>6.4</v>
      </c>
      <c r="BI30" s="2">
        <v>73</v>
      </c>
      <c r="BJ30" s="2">
        <v>166</v>
      </c>
      <c r="BK30" s="2">
        <v>205</v>
      </c>
      <c r="BL30" s="2">
        <v>246</v>
      </c>
      <c r="BM30" s="2">
        <v>346</v>
      </c>
      <c r="BN30" s="2"/>
      <c r="BO30" s="2"/>
      <c r="BP30" s="2"/>
      <c r="BQ30" s="2"/>
      <c r="BR30" s="2"/>
      <c r="BS30" s="2"/>
      <c r="BT30" s="2">
        <v>32</v>
      </c>
      <c r="BU30" s="2">
        <v>162</v>
      </c>
      <c r="BV30" s="2">
        <v>239</v>
      </c>
      <c r="BW30" s="2">
        <v>316</v>
      </c>
      <c r="BX30" s="2">
        <v>492</v>
      </c>
      <c r="BY30" s="2">
        <v>25.4</v>
      </c>
      <c r="BZ30" s="2">
        <v>5.3</v>
      </c>
      <c r="CA30" s="2">
        <v>2</v>
      </c>
      <c r="CB30" s="2">
        <v>3.14741654959253E-10</v>
      </c>
      <c r="CC30" s="2">
        <v>1.8</v>
      </c>
    </row>
    <row r="31" spans="1:81" x14ac:dyDescent="0.25">
      <c r="A31" s="66"/>
      <c r="B31" s="66"/>
      <c r="C31" s="67"/>
      <c r="D31" s="35"/>
      <c r="AW31" s="2">
        <v>40</v>
      </c>
      <c r="AX31" s="2" t="s">
        <v>273</v>
      </c>
      <c r="AY31" s="130">
        <v>32</v>
      </c>
      <c r="AZ31" s="2">
        <v>18.899999999999999</v>
      </c>
      <c r="BA31" s="2">
        <v>47</v>
      </c>
      <c r="BB31" s="2">
        <v>85</v>
      </c>
      <c r="BC31" s="2">
        <v>3</v>
      </c>
      <c r="BD31" s="2">
        <v>6.9</v>
      </c>
      <c r="BE31" s="2">
        <v>8</v>
      </c>
      <c r="BF31" s="2">
        <v>8.3000000000000007</v>
      </c>
      <c r="BG31" s="2">
        <v>8.5</v>
      </c>
      <c r="BH31" s="2">
        <v>9.9</v>
      </c>
      <c r="BI31" s="2">
        <v>243</v>
      </c>
      <c r="BJ31" s="2">
        <v>336</v>
      </c>
      <c r="BK31" s="2">
        <v>375</v>
      </c>
      <c r="BL31" s="2">
        <v>416</v>
      </c>
      <c r="BM31" s="2">
        <v>516</v>
      </c>
      <c r="BN31" s="2"/>
      <c r="BO31" s="2"/>
      <c r="BP31" s="2"/>
      <c r="BQ31" s="2"/>
      <c r="BR31" s="2"/>
      <c r="BS31" s="2"/>
      <c r="BT31" s="2">
        <v>273</v>
      </c>
      <c r="BU31" s="2">
        <v>404</v>
      </c>
      <c r="BV31" s="2">
        <v>481</v>
      </c>
      <c r="BW31" s="2">
        <v>558</v>
      </c>
      <c r="BX31" s="2">
        <v>734</v>
      </c>
      <c r="BY31" s="2">
        <v>25.4</v>
      </c>
      <c r="BZ31" s="2">
        <v>5.3</v>
      </c>
      <c r="CA31" s="2">
        <v>2</v>
      </c>
      <c r="CB31" s="2">
        <v>3.14741654959253E-10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40</v>
      </c>
      <c r="AX32" s="2" t="s">
        <v>273</v>
      </c>
      <c r="AY32" s="130">
        <v>32</v>
      </c>
      <c r="AZ32" s="2">
        <v>18.899999999999999</v>
      </c>
      <c r="BA32" s="2">
        <v>47</v>
      </c>
      <c r="BB32" s="2">
        <v>85</v>
      </c>
      <c r="BC32" s="2">
        <v>3</v>
      </c>
      <c r="BD32" s="2">
        <v>7.4</v>
      </c>
      <c r="BE32" s="2">
        <v>8.1999999999999993</v>
      </c>
      <c r="BF32" s="2">
        <v>8.6999999999999993</v>
      </c>
      <c r="BG32" s="2">
        <f>2+8.9</f>
        <v>10.9</v>
      </c>
      <c r="BH32" s="2">
        <f>20+11</f>
        <v>31</v>
      </c>
      <c r="BI32" s="2">
        <v>251</v>
      </c>
      <c r="BJ32" s="2">
        <v>350</v>
      </c>
      <c r="BK32" s="2">
        <v>393</v>
      </c>
      <c r="BL32" s="2">
        <v>438</v>
      </c>
      <c r="BM32" s="2">
        <v>565</v>
      </c>
      <c r="BN32" s="2"/>
      <c r="BO32" s="2"/>
      <c r="BP32" s="2"/>
      <c r="BQ32" s="2"/>
      <c r="BR32" s="2"/>
      <c r="BS32" s="2"/>
      <c r="BT32" s="2">
        <v>236</v>
      </c>
      <c r="BU32" s="2">
        <v>423</v>
      </c>
      <c r="BV32" s="2">
        <v>509</v>
      </c>
      <c r="BW32" s="2">
        <v>598</v>
      </c>
      <c r="BX32" s="2">
        <v>826</v>
      </c>
      <c r="BY32" s="2">
        <v>36.4</v>
      </c>
      <c r="BZ32" s="2">
        <v>6.3</v>
      </c>
      <c r="CA32" s="2">
        <v>2.2999999999999998</v>
      </c>
      <c r="CB32" s="2">
        <v>8.9535294130308603E-10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67</v>
      </c>
      <c r="AX33" s="2" t="s">
        <v>273</v>
      </c>
      <c r="AY33" s="130">
        <v>32</v>
      </c>
      <c r="AZ33" s="2">
        <v>18.899999999999999</v>
      </c>
      <c r="BA33" s="2">
        <v>47</v>
      </c>
      <c r="BB33" s="2">
        <v>85</v>
      </c>
      <c r="BC33" s="2">
        <v>3</v>
      </c>
      <c r="BD33" s="2">
        <v>9.8000000000000007</v>
      </c>
      <c r="BE33" s="2">
        <v>10.9</v>
      </c>
      <c r="BF33" s="2">
        <v>11</v>
      </c>
      <c r="BG33" s="2">
        <f>2+11.3</f>
        <v>13.3</v>
      </c>
      <c r="BH33" s="2">
        <f>20+13.3</f>
        <v>33.299999999999997</v>
      </c>
      <c r="BI33" s="2">
        <v>362</v>
      </c>
      <c r="BJ33" s="2">
        <v>461</v>
      </c>
      <c r="BK33" s="2">
        <v>504</v>
      </c>
      <c r="BL33" s="2">
        <v>550</v>
      </c>
      <c r="BM33" s="2">
        <v>676</v>
      </c>
      <c r="BN33" s="2"/>
      <c r="BO33" s="2"/>
      <c r="BP33" s="2"/>
      <c r="BQ33" s="2"/>
      <c r="BR33" s="2"/>
      <c r="BS33" s="2"/>
      <c r="BT33" s="2">
        <v>420</v>
      </c>
      <c r="BU33" s="2">
        <v>607</v>
      </c>
      <c r="BV33" s="2">
        <v>694</v>
      </c>
      <c r="BW33" s="2">
        <v>782</v>
      </c>
      <c r="BX33" s="2">
        <v>1010</v>
      </c>
      <c r="BY33" s="2">
        <v>36.4</v>
      </c>
      <c r="BZ33" s="2">
        <v>6.3</v>
      </c>
      <c r="CA33" s="2">
        <v>2.2999999999999998</v>
      </c>
      <c r="CB33" s="2">
        <v>8.9535294130308603E-10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67</v>
      </c>
      <c r="AX34" s="2" t="s">
        <v>220</v>
      </c>
      <c r="AY34" s="130">
        <v>29.5</v>
      </c>
      <c r="AZ34" s="2">
        <v>18.8</v>
      </c>
      <c r="BA34" s="2">
        <v>48</v>
      </c>
      <c r="BB34" s="2">
        <v>77</v>
      </c>
      <c r="BC34" s="2">
        <v>3</v>
      </c>
      <c r="BD34" s="2">
        <v>2.5</v>
      </c>
      <c r="BE34" s="2">
        <v>17</v>
      </c>
      <c r="BF34" s="2">
        <v>21.3</v>
      </c>
      <c r="BG34" s="2">
        <v>49.2</v>
      </c>
      <c r="BH34" s="2">
        <v>135.80000000000001</v>
      </c>
      <c r="BI34" s="2">
        <v>869</v>
      </c>
      <c r="BJ34" s="2">
        <v>955</v>
      </c>
      <c r="BK34" s="2">
        <v>998</v>
      </c>
      <c r="BL34" s="2">
        <v>1042</v>
      </c>
      <c r="BM34" s="2">
        <v>1128</v>
      </c>
      <c r="BN34" s="2"/>
      <c r="BO34" s="2"/>
      <c r="BP34" s="2"/>
      <c r="BQ34" s="2"/>
      <c r="BR34" s="2"/>
      <c r="BS34" s="2"/>
      <c r="BT34" s="2">
        <v>1309</v>
      </c>
      <c r="BU34" s="2">
        <v>1481</v>
      </c>
      <c r="BV34" s="2">
        <v>1568</v>
      </c>
      <c r="BW34" s="2">
        <v>1655</v>
      </c>
      <c r="BX34" s="2">
        <v>1827</v>
      </c>
      <c r="BY34" s="2">
        <v>90.2</v>
      </c>
      <c r="BZ34" s="2">
        <v>9.9</v>
      </c>
      <c r="CA34" s="2">
        <v>3</v>
      </c>
      <c r="CB34" s="2">
        <v>4.6407463048737602E-12</v>
      </c>
      <c r="CC34" s="2">
        <v>1.8</v>
      </c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80</v>
      </c>
      <c r="AX35" s="2" t="s">
        <v>220</v>
      </c>
      <c r="AY35" s="130">
        <v>29.5</v>
      </c>
      <c r="AZ35" s="2">
        <v>18.8</v>
      </c>
      <c r="BA35" s="2">
        <v>48</v>
      </c>
      <c r="BB35" s="2">
        <v>77</v>
      </c>
      <c r="BC35" s="2">
        <v>3</v>
      </c>
      <c r="BD35" s="2">
        <v>7.7</v>
      </c>
      <c r="BE35" s="2">
        <v>22.2</v>
      </c>
      <c r="BF35" s="2">
        <v>26.5</v>
      </c>
      <c r="BG35" s="2">
        <v>54.5</v>
      </c>
      <c r="BH35" s="2">
        <v>141.1</v>
      </c>
      <c r="BI35" s="2">
        <v>1121</v>
      </c>
      <c r="BJ35" s="2">
        <v>1207</v>
      </c>
      <c r="BK35" s="2">
        <v>1250</v>
      </c>
      <c r="BL35" s="2">
        <v>1295</v>
      </c>
      <c r="BM35" s="2">
        <v>1380</v>
      </c>
      <c r="BN35" s="2"/>
      <c r="BO35" s="2"/>
      <c r="BP35" s="2"/>
      <c r="BQ35" s="2"/>
      <c r="BR35" s="2"/>
      <c r="BS35" s="2"/>
      <c r="BT35" s="2">
        <v>1810</v>
      </c>
      <c r="BU35" s="2">
        <v>1982</v>
      </c>
      <c r="BV35" s="2">
        <v>2068</v>
      </c>
      <c r="BW35" s="2">
        <v>2155</v>
      </c>
      <c r="BX35" s="2">
        <v>2327</v>
      </c>
      <c r="BY35" s="2">
        <v>90.2</v>
      </c>
      <c r="BZ35" s="2">
        <v>9.9</v>
      </c>
      <c r="CA35" s="2">
        <v>3</v>
      </c>
      <c r="CB35" s="2">
        <v>4.6407463048737602E-12</v>
      </c>
      <c r="CC35" s="2">
        <v>1.8</v>
      </c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518" priority="12">
      <formula>$L32="API sand"</formula>
    </cfRule>
  </conditionalFormatting>
  <conditionalFormatting sqref="R32:S36 AB32:AB35 AJ32:AL36 Z32:Z36 N32:N36">
    <cfRule type="expression" dxfId="2517" priority="11">
      <formula>$M32="API sand"</formula>
    </cfRule>
  </conditionalFormatting>
  <conditionalFormatting sqref="R32:T36 Z32:AB35 AK32:AL36 N32:N36">
    <cfRule type="expression" dxfId="2516" priority="10">
      <formula>$M32="API clay"</formula>
    </cfRule>
  </conditionalFormatting>
  <conditionalFormatting sqref="U32:W36 AM32:AP36 N32:P36">
    <cfRule type="expression" dxfId="2515" priority="7">
      <formula>$L32="Stiff clay w/o free water"</formula>
    </cfRule>
    <cfRule type="expression" dxfId="2514" priority="9">
      <formula>$L32="API clay"</formula>
    </cfRule>
  </conditionalFormatting>
  <conditionalFormatting sqref="U32:Y36 AM32:AP36 N32:P36">
    <cfRule type="expression" dxfId="2513" priority="8">
      <formula>$L32="Kirsch soft clay"</formula>
    </cfRule>
  </conditionalFormatting>
  <conditionalFormatting sqref="U32:Y36 AM32:AP36 N32:P36">
    <cfRule type="expression" dxfId="2512" priority="6">
      <formula>$L32="Kirsch stiff clay"</formula>
    </cfRule>
  </conditionalFormatting>
  <conditionalFormatting sqref="AM32:AP36 Q32:Q36 X32:Y36 N32:N36">
    <cfRule type="expression" dxfId="2511" priority="5">
      <formula>$L32="Kirsch sand"</formula>
    </cfRule>
  </conditionalFormatting>
  <conditionalFormatting sqref="AC32:AD36 AI32:AI36 AM32:AP36 N32:N36">
    <cfRule type="expression" dxfId="2510" priority="4">
      <formula>$L32="Modified Weak rock"</formula>
    </cfRule>
  </conditionalFormatting>
  <conditionalFormatting sqref="AM32:AP36 N32:P36 U32:V36">
    <cfRule type="expression" dxfId="2509" priority="3">
      <formula>$L32="Reese stiff clay"</formula>
    </cfRule>
  </conditionalFormatting>
  <conditionalFormatting sqref="AB36">
    <cfRule type="expression" dxfId="2508" priority="2">
      <formula>$M36="API sand"</formula>
    </cfRule>
  </conditionalFormatting>
  <conditionalFormatting sqref="Z36:AB36">
    <cfRule type="expression" dxfId="2507" priority="1">
      <formula>$M36="API clay"</formula>
    </cfRule>
  </conditionalFormatting>
  <conditionalFormatting sqref="AE37:AH37">
    <cfRule type="expression" dxfId="2506" priority="13">
      <formula>#REF!="Modified Weak rock"</formula>
    </cfRule>
  </conditionalFormatting>
  <dataValidations count="4">
    <dataValidation type="list" showInputMessage="1" showErrorMessage="1" sqref="M32:M36" xr:uid="{223674CF-7973-4787-B49B-DE3637696F00}">
      <formula1>"',API sand,API clay"</formula1>
    </dataValidation>
    <dataValidation type="list" showInputMessage="1" showErrorMessage="1" sqref="L32:L255" xr:uid="{BB6B27E3-FC85-4E92-9D11-8A4B90415A86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FE587534-757D-449D-B232-0958CC9B75E3}"/>
    <dataValidation type="textLength" showInputMessage="1" showErrorMessage="1" sqref="M27:M31" xr:uid="{7831F123-F506-4030-B32C-034BC64B4772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A8899-2B1D-4CC4-84B1-66D79C6E01DC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Ak_Pisa_WTG27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10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EW_sand_Ruled_67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35</v>
      </c>
      <c r="R6" s="47">
        <f t="shared" ref="R6:R26" ca="1" si="7">IF(I6="","",IF(Q6&lt;&gt;0,Q6-5,NA()))</f>
        <v>30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6000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95.999999999999972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9600</v>
      </c>
      <c r="AC6" s="63">
        <f t="shared" ref="AC6:AC26" ca="1" si="18">IF(I6="","",IF(OFFSET($BV$6,(ROW()-6)*2,0)=0,0,OFFSET($BV$6,(ROW()-6)*2,0)*1000))</f>
        <v>9000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17000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40.000000000000007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67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0.4</v>
      </c>
      <c r="BE6" s="2">
        <v>0.6</v>
      </c>
      <c r="BF6" s="2">
        <v>0.8</v>
      </c>
      <c r="BG6" s="2">
        <v>0.9</v>
      </c>
      <c r="BH6" s="2">
        <v>1.2</v>
      </c>
      <c r="BI6" s="2"/>
      <c r="BJ6" s="2"/>
      <c r="BK6" s="2"/>
      <c r="BL6" s="2"/>
      <c r="BM6" s="2"/>
      <c r="BN6" s="2">
        <v>67</v>
      </c>
      <c r="BO6" s="2">
        <v>29</v>
      </c>
      <c r="BP6" s="2">
        <v>35</v>
      </c>
      <c r="BQ6" s="2">
        <v>38</v>
      </c>
      <c r="BR6" s="2">
        <v>41</v>
      </c>
      <c r="BS6" s="2">
        <v>46</v>
      </c>
      <c r="BT6" s="2">
        <v>0</v>
      </c>
      <c r="BU6" s="2">
        <v>4</v>
      </c>
      <c r="BV6" s="2">
        <v>9</v>
      </c>
      <c r="BW6" s="2">
        <v>14</v>
      </c>
      <c r="BX6" s="2">
        <v>25</v>
      </c>
      <c r="BY6" s="2">
        <v>6</v>
      </c>
      <c r="BZ6" s="2">
        <v>1</v>
      </c>
      <c r="CA6" s="2">
        <v>0.5</v>
      </c>
      <c r="CB6" s="2">
        <v>7.8048385999054996E-7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-1</v>
      </c>
      <c r="L7" s="116" t="str">
        <f t="shared" ca="1" si="1"/>
        <v>EW_sand_Ruled_100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42</v>
      </c>
      <c r="R7" s="47">
        <f t="shared" ca="1" si="7"/>
        <v>37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45700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43000</v>
      </c>
      <c r="AD7" s="63">
        <f t="shared" ca="1" si="19"/>
        <v>10000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100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1.8</v>
      </c>
      <c r="BE7" s="2">
        <v>2.1</v>
      </c>
      <c r="BF7" s="2">
        <v>2.2000000000000002</v>
      </c>
      <c r="BG7" s="2">
        <v>2.4</v>
      </c>
      <c r="BH7" s="2">
        <v>2.7</v>
      </c>
      <c r="BI7" s="2"/>
      <c r="BJ7" s="2"/>
      <c r="BK7" s="2"/>
      <c r="BL7" s="2"/>
      <c r="BM7" s="2"/>
      <c r="BN7" s="2">
        <v>67</v>
      </c>
      <c r="BO7" s="2">
        <v>29</v>
      </c>
      <c r="BP7" s="2">
        <v>35</v>
      </c>
      <c r="BQ7" s="2">
        <v>38</v>
      </c>
      <c r="BR7" s="2">
        <v>41</v>
      </c>
      <c r="BS7" s="2">
        <v>46</v>
      </c>
      <c r="BT7" s="2">
        <v>11</v>
      </c>
      <c r="BU7" s="2">
        <v>21</v>
      </c>
      <c r="BV7" s="2">
        <v>26</v>
      </c>
      <c r="BW7" s="2">
        <v>31</v>
      </c>
      <c r="BX7" s="2">
        <v>42</v>
      </c>
      <c r="BY7" s="2">
        <v>6</v>
      </c>
      <c r="BZ7" s="2">
        <v>1</v>
      </c>
      <c r="CA7" s="2">
        <v>0.5</v>
      </c>
      <c r="CB7" s="2">
        <v>7.8048385999054996E-7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10a</v>
      </c>
      <c r="J8" s="47">
        <f t="shared" ca="1" si="35"/>
        <v>3</v>
      </c>
      <c r="K8" s="19">
        <f t="shared" ca="1" si="36"/>
        <v>-2</v>
      </c>
      <c r="L8" s="116" t="str">
        <f t="shared" ca="1" si="1"/>
        <v>EW_sand_Ruled_100</v>
      </c>
      <c r="M8" s="105" t="str">
        <f t="shared" ca="1" si="2"/>
        <v>API sand</v>
      </c>
      <c r="N8" s="47">
        <f t="shared" ca="1" si="3"/>
        <v>10</v>
      </c>
      <c r="O8" s="63">
        <f t="shared" ca="1" si="4"/>
        <v>0</v>
      </c>
      <c r="P8" s="63">
        <f t="shared" ca="1" si="5"/>
        <v>0</v>
      </c>
      <c r="Q8" s="47">
        <f t="shared" ca="1" si="6"/>
        <v>45</v>
      </c>
      <c r="R8" s="47">
        <f t="shared" ca="1" si="7"/>
        <v>40</v>
      </c>
      <c r="S8" s="47">
        <f t="shared" ca="1" si="8"/>
        <v>3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133700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70000</v>
      </c>
      <c r="AD8" s="63">
        <f t="shared" ca="1" si="19"/>
        <v>8000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100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9.6</v>
      </c>
      <c r="BE8" s="2">
        <v>11.2</v>
      </c>
      <c r="BF8" s="2">
        <v>11.8</v>
      </c>
      <c r="BG8" s="2">
        <v>12.7</v>
      </c>
      <c r="BH8" s="2">
        <v>15.2</v>
      </c>
      <c r="BI8" s="2"/>
      <c r="BJ8" s="2"/>
      <c r="BK8" s="2"/>
      <c r="BL8" s="2"/>
      <c r="BM8" s="2"/>
      <c r="BN8" s="2">
        <v>100</v>
      </c>
      <c r="BO8" s="2">
        <v>36</v>
      </c>
      <c r="BP8" s="2">
        <v>42</v>
      </c>
      <c r="BQ8" s="2">
        <v>46</v>
      </c>
      <c r="BR8" s="2">
        <v>49</v>
      </c>
      <c r="BS8" s="2">
        <v>54</v>
      </c>
      <c r="BT8" s="2">
        <v>4</v>
      </c>
      <c r="BU8" s="2">
        <v>32</v>
      </c>
      <c r="BV8" s="2">
        <v>43</v>
      </c>
      <c r="BW8" s="2">
        <v>55</v>
      </c>
      <c r="BX8" s="2">
        <v>83</v>
      </c>
      <c r="BY8" s="2">
        <v>45.7</v>
      </c>
      <c r="BZ8" s="2">
        <v>1</v>
      </c>
      <c r="CA8" s="2">
        <v>0.5</v>
      </c>
      <c r="CB8" s="2">
        <v>1.9530419810623699E-4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10b</v>
      </c>
      <c r="J9" s="47">
        <f t="shared" ca="1" si="35"/>
        <v>4</v>
      </c>
      <c r="K9" s="19">
        <f t="shared" ca="1" si="36"/>
        <v>-3.5</v>
      </c>
      <c r="L9" s="116" t="str">
        <f t="shared" ca="1" si="1"/>
        <v>EW_sand_Ruled_74</v>
      </c>
      <c r="M9" s="105" t="str">
        <f t="shared" ca="1" si="2"/>
        <v>API sand</v>
      </c>
      <c r="N9" s="47">
        <f t="shared" ca="1" si="3"/>
        <v>9.8999999999999986</v>
      </c>
      <c r="O9" s="63">
        <f t="shared" ca="1" si="4"/>
        <v>0</v>
      </c>
      <c r="P9" s="63">
        <f t="shared" ca="1" si="5"/>
        <v>0</v>
      </c>
      <c r="Q9" s="47">
        <f t="shared" ca="1" si="6"/>
        <v>40</v>
      </c>
      <c r="R9" s="47">
        <f t="shared" ca="1" si="7"/>
        <v>35</v>
      </c>
      <c r="S9" s="47">
        <f t="shared" ca="1" si="8"/>
        <v>1.2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71700</v>
      </c>
      <c r="Y9" s="47">
        <f t="shared" ca="1" si="14"/>
        <v>0</v>
      </c>
      <c r="Z9" s="47">
        <f t="shared" ca="1" si="15"/>
        <v>114.99999999999996</v>
      </c>
      <c r="AA9" s="47">
        <f t="shared" ca="1" si="16"/>
        <v>1</v>
      </c>
      <c r="AB9" s="47">
        <f t="shared" ca="1" si="17"/>
        <v>12000</v>
      </c>
      <c r="AC9" s="63">
        <f t="shared" ca="1" si="18"/>
        <v>79000</v>
      </c>
      <c r="AD9" s="63">
        <f t="shared" ca="1" si="19"/>
        <v>3894.7368421052633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50.000000000000007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74</v>
      </c>
      <c r="AS9" s="33">
        <f t="shared" ca="1" si="34"/>
        <v>0.4</v>
      </c>
      <c r="AW9" s="2">
        <v>2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13.6</v>
      </c>
      <c r="BE9" s="2">
        <v>15.2</v>
      </c>
      <c r="BF9" s="2">
        <v>15.8</v>
      </c>
      <c r="BG9" s="2">
        <v>16.8</v>
      </c>
      <c r="BH9" s="2">
        <v>19.3</v>
      </c>
      <c r="BI9" s="2"/>
      <c r="BJ9" s="2"/>
      <c r="BK9" s="2"/>
      <c r="BL9" s="2"/>
      <c r="BM9" s="2"/>
      <c r="BN9" s="2">
        <v>100</v>
      </c>
      <c r="BO9" s="2">
        <v>36</v>
      </c>
      <c r="BP9" s="2">
        <v>42</v>
      </c>
      <c r="BQ9" s="2">
        <v>46</v>
      </c>
      <c r="BR9" s="2">
        <v>49</v>
      </c>
      <c r="BS9" s="2">
        <v>54</v>
      </c>
      <c r="BT9" s="2">
        <v>13</v>
      </c>
      <c r="BU9" s="2">
        <v>41</v>
      </c>
      <c r="BV9" s="2">
        <v>53</v>
      </c>
      <c r="BW9" s="2">
        <v>64</v>
      </c>
      <c r="BX9" s="2">
        <v>92</v>
      </c>
      <c r="BY9" s="2">
        <v>45.7</v>
      </c>
      <c r="BZ9" s="2">
        <v>1</v>
      </c>
      <c r="CA9" s="2">
        <v>0.5</v>
      </c>
      <c r="CB9" s="2">
        <v>1.9530419810623699E-4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12b</v>
      </c>
      <c r="J10" s="47">
        <f t="shared" ca="1" si="35"/>
        <v>5</v>
      </c>
      <c r="K10" s="19">
        <f t="shared" ca="1" si="36"/>
        <v>-13</v>
      </c>
      <c r="L10" s="116" t="str">
        <f t="shared" ca="1" si="1"/>
        <v>EW_sand_Ruled_65</v>
      </c>
      <c r="M10" s="105" t="str">
        <f t="shared" ca="1" si="2"/>
        <v>API sand</v>
      </c>
      <c r="N10" s="47">
        <f t="shared" ca="1" si="3"/>
        <v>10.199999999999999</v>
      </c>
      <c r="O10" s="63">
        <f t="shared" ca="1" si="4"/>
        <v>0</v>
      </c>
      <c r="P10" s="63">
        <f t="shared" ca="1" si="5"/>
        <v>0</v>
      </c>
      <c r="Q10" s="47">
        <f t="shared" ca="1" si="6"/>
        <v>38</v>
      </c>
      <c r="R10" s="47">
        <f t="shared" ca="1" si="7"/>
        <v>33</v>
      </c>
      <c r="S10" s="47">
        <f t="shared" ca="1" si="8"/>
        <v>0.8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58800</v>
      </c>
      <c r="Y10" s="47">
        <f t="shared" ca="1" si="14"/>
        <v>0</v>
      </c>
      <c r="Z10" s="47">
        <f t="shared" ca="1" si="15"/>
        <v>107.39999999999996</v>
      </c>
      <c r="AA10" s="47">
        <f t="shared" ca="1" si="16"/>
        <v>1</v>
      </c>
      <c r="AB10" s="47">
        <f t="shared" ca="1" si="17"/>
        <v>11040</v>
      </c>
      <c r="AC10" s="63">
        <f t="shared" ca="1" si="18"/>
        <v>113000</v>
      </c>
      <c r="AD10" s="63">
        <f t="shared" ca="1" si="19"/>
        <v>2000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46.000000000000007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65</v>
      </c>
      <c r="AS10" s="33">
        <f t="shared" ca="1" si="34"/>
        <v>0.4</v>
      </c>
      <c r="AW10" s="2">
        <v>2</v>
      </c>
      <c r="AX10" s="2" t="s">
        <v>259</v>
      </c>
      <c r="AY10" s="130">
        <v>25.5</v>
      </c>
      <c r="AZ10" s="2">
        <v>20</v>
      </c>
      <c r="BA10" s="2"/>
      <c r="BB10" s="2">
        <v>14</v>
      </c>
      <c r="BC10" s="2"/>
      <c r="BD10" s="2">
        <v>27.5</v>
      </c>
      <c r="BE10" s="2">
        <v>30.9</v>
      </c>
      <c r="BF10" s="2">
        <v>31.9</v>
      </c>
      <c r="BG10" s="2">
        <v>32.6</v>
      </c>
      <c r="BH10" s="2">
        <v>35</v>
      </c>
      <c r="BI10" s="2"/>
      <c r="BJ10" s="2"/>
      <c r="BK10" s="2"/>
      <c r="BL10" s="2"/>
      <c r="BM10" s="2"/>
      <c r="BN10" s="2">
        <v>100</v>
      </c>
      <c r="BO10" s="2">
        <v>39</v>
      </c>
      <c r="BP10" s="2">
        <v>45</v>
      </c>
      <c r="BQ10" s="2">
        <v>49</v>
      </c>
      <c r="BR10" s="2">
        <v>52</v>
      </c>
      <c r="BS10" s="2">
        <v>54</v>
      </c>
      <c r="BT10" s="2">
        <v>8</v>
      </c>
      <c r="BU10" s="2">
        <v>52</v>
      </c>
      <c r="BV10" s="2">
        <v>70</v>
      </c>
      <c r="BW10" s="2">
        <v>88</v>
      </c>
      <c r="BX10" s="2">
        <v>131</v>
      </c>
      <c r="BY10" s="2">
        <v>133.69999999999999</v>
      </c>
      <c r="BZ10" s="2">
        <v>22.3</v>
      </c>
      <c r="CA10" s="2">
        <v>3</v>
      </c>
      <c r="CB10" s="2">
        <v>5.1271462118913599E-4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12b</v>
      </c>
      <c r="J11" s="47">
        <f t="shared" ca="1" si="35"/>
        <v>6</v>
      </c>
      <c r="K11" s="19">
        <f t="shared" ca="1" si="36"/>
        <v>-16</v>
      </c>
      <c r="L11" s="116" t="str">
        <f t="shared" ca="1" si="1"/>
        <v>EW_sand_Ruled_85</v>
      </c>
      <c r="M11" s="105" t="str">
        <f t="shared" ca="1" si="2"/>
        <v>API sand</v>
      </c>
      <c r="N11" s="47">
        <f t="shared" ca="1" si="3"/>
        <v>10.199999999999999</v>
      </c>
      <c r="O11" s="63">
        <f t="shared" ca="1" si="4"/>
        <v>0</v>
      </c>
      <c r="P11" s="63">
        <f t="shared" ca="1" si="5"/>
        <v>0</v>
      </c>
      <c r="Q11" s="47">
        <f t="shared" ca="1" si="6"/>
        <v>40</v>
      </c>
      <c r="R11" s="47">
        <f t="shared" ca="1" si="7"/>
        <v>35</v>
      </c>
      <c r="S11" s="47">
        <f t="shared" ca="1" si="8"/>
        <v>1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121700</v>
      </c>
      <c r="Y11" s="47">
        <f t="shared" ca="1" si="14"/>
        <v>0</v>
      </c>
      <c r="Z11" s="47">
        <f t="shared" ca="1" si="15"/>
        <v>114.99999999999996</v>
      </c>
      <c r="AA11" s="47">
        <f t="shared" ca="1" si="16"/>
        <v>1</v>
      </c>
      <c r="AB11" s="47">
        <f t="shared" ca="1" si="17"/>
        <v>12000</v>
      </c>
      <c r="AC11" s="63">
        <f t="shared" ca="1" si="18"/>
        <v>144000</v>
      </c>
      <c r="AD11" s="63">
        <f t="shared" ca="1" si="19"/>
        <v>3428.5714285714284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50.000000000000007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85</v>
      </c>
      <c r="AS11" s="33">
        <f t="shared" ca="1" si="34"/>
        <v>0.4</v>
      </c>
      <c r="AW11" s="2">
        <v>3.5</v>
      </c>
      <c r="AX11" s="2" t="s">
        <v>259</v>
      </c>
      <c r="AY11" s="130">
        <v>25.5</v>
      </c>
      <c r="AZ11" s="2">
        <v>20</v>
      </c>
      <c r="BA11" s="2"/>
      <c r="BB11" s="2">
        <v>14</v>
      </c>
      <c r="BC11" s="2"/>
      <c r="BD11" s="2">
        <v>31.5</v>
      </c>
      <c r="BE11" s="2">
        <v>34.9</v>
      </c>
      <c r="BF11" s="2">
        <v>35.799999999999997</v>
      </c>
      <c r="BG11" s="2">
        <v>36.6</v>
      </c>
      <c r="BH11" s="2">
        <v>39</v>
      </c>
      <c r="BI11" s="2"/>
      <c r="BJ11" s="2"/>
      <c r="BK11" s="2"/>
      <c r="BL11" s="2"/>
      <c r="BM11" s="2"/>
      <c r="BN11" s="2">
        <v>100</v>
      </c>
      <c r="BO11" s="2">
        <v>39</v>
      </c>
      <c r="BP11" s="2">
        <v>45</v>
      </c>
      <c r="BQ11" s="2">
        <v>49</v>
      </c>
      <c r="BR11" s="2">
        <v>52</v>
      </c>
      <c r="BS11" s="2">
        <v>54</v>
      </c>
      <c r="BT11" s="2">
        <v>20</v>
      </c>
      <c r="BU11" s="2">
        <v>64</v>
      </c>
      <c r="BV11" s="2">
        <v>82</v>
      </c>
      <c r="BW11" s="2">
        <v>100</v>
      </c>
      <c r="BX11" s="2">
        <v>144</v>
      </c>
      <c r="BY11" s="2">
        <v>133.69999999999999</v>
      </c>
      <c r="BZ11" s="2">
        <v>22.3</v>
      </c>
      <c r="CA11" s="2">
        <v>3</v>
      </c>
      <c r="CB11" s="2">
        <v>5.1271462118913599E-4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12b</v>
      </c>
      <c r="J12" s="47">
        <f t="shared" ca="1" si="35"/>
        <v>7</v>
      </c>
      <c r="K12" s="19">
        <f t="shared" ca="1" si="36"/>
        <v>-19.5</v>
      </c>
      <c r="L12" s="116" t="str">
        <f t="shared" ca="1" si="1"/>
        <v>EW_sand_Ruled_95</v>
      </c>
      <c r="M12" s="105" t="str">
        <f t="shared" ca="1" si="2"/>
        <v>API sand</v>
      </c>
      <c r="N12" s="47">
        <f t="shared" ca="1" si="3"/>
        <v>10.199999999999999</v>
      </c>
      <c r="O12" s="63">
        <f t="shared" ca="1" si="4"/>
        <v>0</v>
      </c>
      <c r="P12" s="63">
        <f t="shared" ca="1" si="5"/>
        <v>0</v>
      </c>
      <c r="Q12" s="47">
        <f t="shared" ca="1" si="6"/>
        <v>42</v>
      </c>
      <c r="R12" s="47">
        <f t="shared" ca="1" si="7"/>
        <v>37</v>
      </c>
      <c r="S12" s="47">
        <f t="shared" ca="1" si="8"/>
        <v>1.1000000000000001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171100</v>
      </c>
      <c r="Y12" s="47">
        <f t="shared" ca="1" si="14"/>
        <v>0</v>
      </c>
      <c r="Z12" s="47">
        <f t="shared" ca="1" si="15"/>
        <v>114.99999999999996</v>
      </c>
      <c r="AA12" s="47">
        <f t="shared" ca="1" si="16"/>
        <v>1</v>
      </c>
      <c r="AB12" s="47">
        <f t="shared" ca="1" si="17"/>
        <v>12000</v>
      </c>
      <c r="AC12" s="63">
        <f t="shared" ca="1" si="18"/>
        <v>161000</v>
      </c>
      <c r="AD12" s="63">
        <f t="shared" ca="1" si="19"/>
        <v>13333.333333333334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50.000000000000007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95</v>
      </c>
      <c r="AS12" s="33">
        <f t="shared" ca="1" si="34"/>
        <v>0.4</v>
      </c>
      <c r="AW12" s="2">
        <v>3.5</v>
      </c>
      <c r="AX12" s="2" t="s">
        <v>261</v>
      </c>
      <c r="AY12" s="130">
        <v>24</v>
      </c>
      <c r="AZ12" s="2">
        <v>19.899999999999999</v>
      </c>
      <c r="BA12" s="2"/>
      <c r="BB12" s="2">
        <v>6</v>
      </c>
      <c r="BC12" s="2"/>
      <c r="BD12" s="2">
        <v>15.5</v>
      </c>
      <c r="BE12" s="2">
        <v>19.3</v>
      </c>
      <c r="BF12" s="2">
        <v>19.600000000000001</v>
      </c>
      <c r="BG12" s="2">
        <v>20.100000000000001</v>
      </c>
      <c r="BH12" s="2">
        <v>24.6</v>
      </c>
      <c r="BI12" s="2"/>
      <c r="BJ12" s="2"/>
      <c r="BK12" s="2"/>
      <c r="BL12" s="2"/>
      <c r="BM12" s="2"/>
      <c r="BN12" s="2">
        <v>74</v>
      </c>
      <c r="BO12" s="2">
        <v>34</v>
      </c>
      <c r="BP12" s="2">
        <v>40</v>
      </c>
      <c r="BQ12" s="2">
        <v>43</v>
      </c>
      <c r="BR12" s="2">
        <v>46</v>
      </c>
      <c r="BS12" s="2">
        <v>52</v>
      </c>
      <c r="BT12" s="2">
        <v>3</v>
      </c>
      <c r="BU12" s="2">
        <v>56</v>
      </c>
      <c r="BV12" s="2">
        <v>79</v>
      </c>
      <c r="BW12" s="2">
        <v>102</v>
      </c>
      <c r="BX12" s="2">
        <v>158</v>
      </c>
      <c r="BY12" s="2">
        <v>71.7</v>
      </c>
      <c r="BZ12" s="2">
        <v>4.4000000000000004</v>
      </c>
      <c r="CA12" s="2">
        <v>1.2</v>
      </c>
      <c r="CB12" s="2">
        <v>1.01237919776035E-5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21a</v>
      </c>
      <c r="J13" s="47">
        <f t="shared" ca="1" si="35"/>
        <v>8</v>
      </c>
      <c r="K13" s="19">
        <f t="shared" ca="1" si="36"/>
        <v>-21</v>
      </c>
      <c r="L13" s="116" t="str">
        <f t="shared" ca="1" si="1"/>
        <v>EW_sand_Ruled_44</v>
      </c>
      <c r="M13" s="105" t="str">
        <f t="shared" ca="1" si="2"/>
        <v>API sand</v>
      </c>
      <c r="N13" s="47">
        <f t="shared" ca="1" si="3"/>
        <v>9.8000000000000007</v>
      </c>
      <c r="O13" s="63">
        <f t="shared" ca="1" si="4"/>
        <v>0</v>
      </c>
      <c r="P13" s="63">
        <f t="shared" ca="1" si="5"/>
        <v>0</v>
      </c>
      <c r="Q13" s="47">
        <f t="shared" ca="1" si="6"/>
        <v>26</v>
      </c>
      <c r="R13" s="47">
        <f t="shared" ca="1" si="7"/>
        <v>21</v>
      </c>
      <c r="S13" s="47">
        <f t="shared" ca="1" si="8"/>
        <v>0.8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14600</v>
      </c>
      <c r="Y13" s="47">
        <f t="shared" ca="1" si="14"/>
        <v>0</v>
      </c>
      <c r="Z13" s="47">
        <f t="shared" ca="1" si="15"/>
        <v>69.799999999999983</v>
      </c>
      <c r="AA13" s="47">
        <f t="shared" ca="1" si="16"/>
        <v>1</v>
      </c>
      <c r="AB13" s="47">
        <f t="shared" ca="1" si="17"/>
        <v>3280</v>
      </c>
      <c r="AC13" s="63">
        <f t="shared" ca="1" si="18"/>
        <v>121000</v>
      </c>
      <c r="AD13" s="63">
        <f t="shared" ca="1" si="19"/>
        <v>1800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13.600000000000003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44</v>
      </c>
      <c r="AS13" s="33">
        <f t="shared" ca="1" si="34"/>
        <v>0.2</v>
      </c>
      <c r="AW13" s="2">
        <v>13</v>
      </c>
      <c r="AX13" s="2" t="s">
        <v>261</v>
      </c>
      <c r="AY13" s="130">
        <v>24</v>
      </c>
      <c r="AZ13" s="2">
        <v>19.899999999999999</v>
      </c>
      <c r="BA13" s="2"/>
      <c r="BB13" s="2">
        <v>6</v>
      </c>
      <c r="BC13" s="2"/>
      <c r="BD13" s="2">
        <v>12.8</v>
      </c>
      <c r="BE13" s="2">
        <v>16.5</v>
      </c>
      <c r="BF13" s="2">
        <v>16.899999999999999</v>
      </c>
      <c r="BG13" s="2">
        <v>17.3</v>
      </c>
      <c r="BH13" s="2">
        <v>21.9</v>
      </c>
      <c r="BI13" s="2"/>
      <c r="BJ13" s="2"/>
      <c r="BK13" s="2"/>
      <c r="BL13" s="2"/>
      <c r="BM13" s="2"/>
      <c r="BN13" s="2">
        <v>74</v>
      </c>
      <c r="BO13" s="2">
        <v>34</v>
      </c>
      <c r="BP13" s="2">
        <v>40</v>
      </c>
      <c r="BQ13" s="2">
        <v>43</v>
      </c>
      <c r="BR13" s="2">
        <v>46</v>
      </c>
      <c r="BS13" s="2">
        <v>52</v>
      </c>
      <c r="BT13" s="2">
        <v>41</v>
      </c>
      <c r="BU13" s="2">
        <v>93</v>
      </c>
      <c r="BV13" s="2">
        <v>116</v>
      </c>
      <c r="BW13" s="2">
        <v>139</v>
      </c>
      <c r="BX13" s="2">
        <v>196</v>
      </c>
      <c r="BY13" s="2">
        <v>71.7</v>
      </c>
      <c r="BZ13" s="2">
        <v>4.4000000000000004</v>
      </c>
      <c r="CA13" s="2">
        <v>1.2</v>
      </c>
      <c r="CB13" s="2">
        <v>1.01237919776035E-5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21a</v>
      </c>
      <c r="J14" s="47">
        <f t="shared" ca="1" si="35"/>
        <v>9</v>
      </c>
      <c r="K14" s="19">
        <f t="shared" ca="1" si="36"/>
        <v>-26</v>
      </c>
      <c r="L14" s="116" t="str">
        <f t="shared" ca="1" si="1"/>
        <v>EW_sand_Ruled_45</v>
      </c>
      <c r="M14" s="105" t="str">
        <f t="shared" ca="1" si="2"/>
        <v>API sand</v>
      </c>
      <c r="N14" s="47">
        <f t="shared" ca="1" si="3"/>
        <v>9.8000000000000007</v>
      </c>
      <c r="O14" s="63">
        <f t="shared" ca="1" si="4"/>
        <v>0</v>
      </c>
      <c r="P14" s="63">
        <f t="shared" ca="1" si="5"/>
        <v>0</v>
      </c>
      <c r="Q14" s="47">
        <f t="shared" ca="1" si="6"/>
        <v>26</v>
      </c>
      <c r="R14" s="47">
        <f t="shared" ca="1" si="7"/>
        <v>21</v>
      </c>
      <c r="S14" s="47">
        <f t="shared" ca="1" si="8"/>
        <v>0.7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41900</v>
      </c>
      <c r="Y14" s="47">
        <f t="shared" ca="1" si="14"/>
        <v>0</v>
      </c>
      <c r="Z14" s="47">
        <f t="shared" ca="1" si="15"/>
        <v>69.799999999999983</v>
      </c>
      <c r="AA14" s="47">
        <f t="shared" ca="1" si="16"/>
        <v>1</v>
      </c>
      <c r="AB14" s="47">
        <f t="shared" ca="1" si="17"/>
        <v>3280</v>
      </c>
      <c r="AC14" s="63">
        <f t="shared" ca="1" si="18"/>
        <v>133000</v>
      </c>
      <c r="AD14" s="63">
        <f t="shared" ca="1" si="19"/>
        <v>1923.0769230769233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13.600000000000003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45</v>
      </c>
      <c r="AS14" s="33">
        <f t="shared" ca="1" si="34"/>
        <v>0.2</v>
      </c>
      <c r="AW14" s="2">
        <v>13</v>
      </c>
      <c r="AX14" s="2" t="s">
        <v>292</v>
      </c>
      <c r="AY14" s="130">
        <v>21.3</v>
      </c>
      <c r="AZ14" s="2">
        <v>20.2</v>
      </c>
      <c r="BA14" s="2"/>
      <c r="BB14" s="2">
        <v>10</v>
      </c>
      <c r="BC14" s="2"/>
      <c r="BD14" s="2">
        <f>-5+14.2</f>
        <v>9.1999999999999993</v>
      </c>
      <c r="BE14" s="2">
        <v>15.1</v>
      </c>
      <c r="BF14" s="2">
        <v>15.3</v>
      </c>
      <c r="BG14" s="2">
        <v>15.7</v>
      </c>
      <c r="BH14" s="2">
        <f>5+17.4</f>
        <v>22.4</v>
      </c>
      <c r="BI14" s="2"/>
      <c r="BJ14" s="2"/>
      <c r="BK14" s="2"/>
      <c r="BL14" s="2"/>
      <c r="BM14" s="2"/>
      <c r="BN14" s="2">
        <v>65</v>
      </c>
      <c r="BO14" s="2">
        <v>32</v>
      </c>
      <c r="BP14" s="2">
        <v>38</v>
      </c>
      <c r="BQ14" s="2">
        <v>41</v>
      </c>
      <c r="BR14" s="2">
        <v>44</v>
      </c>
      <c r="BS14" s="2">
        <v>49</v>
      </c>
      <c r="BT14" s="2">
        <v>19</v>
      </c>
      <c r="BU14" s="2">
        <v>86</v>
      </c>
      <c r="BV14" s="2">
        <v>113</v>
      </c>
      <c r="BW14" s="2">
        <v>140</v>
      </c>
      <c r="BX14" s="2">
        <v>208</v>
      </c>
      <c r="BY14" s="2">
        <v>58.8</v>
      </c>
      <c r="BZ14" s="2">
        <v>2.2999999999999998</v>
      </c>
      <c r="CA14" s="2">
        <v>0.8</v>
      </c>
      <c r="CB14" s="2">
        <v>7.9868578642240196E-7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23d</v>
      </c>
      <c r="J15" s="47">
        <f t="shared" ca="1" si="35"/>
        <v>10</v>
      </c>
      <c r="K15" s="19">
        <f t="shared" ca="1" si="36"/>
        <v>-36.4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8.8999999999999986</v>
      </c>
      <c r="O15" s="63">
        <f t="shared" ca="1" si="4"/>
        <v>347</v>
      </c>
      <c r="P15" s="63">
        <f t="shared" ca="1" si="5"/>
        <v>12.775229357798164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56400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485000</v>
      </c>
      <c r="AD15" s="63">
        <f t="shared" ca="1" si="19"/>
        <v>22981.65137614679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16</v>
      </c>
      <c r="AX15" s="2" t="s">
        <v>292</v>
      </c>
      <c r="AY15" s="130">
        <v>21.3</v>
      </c>
      <c r="AZ15" s="2">
        <v>20.2</v>
      </c>
      <c r="BA15" s="2"/>
      <c r="BB15" s="2">
        <v>10</v>
      </c>
      <c r="BC15" s="2"/>
      <c r="BD15" s="2">
        <f>-5+13.2</f>
        <v>8.1999999999999993</v>
      </c>
      <c r="BE15" s="2">
        <v>14.1</v>
      </c>
      <c r="BF15" s="2">
        <v>14.3</v>
      </c>
      <c r="BG15" s="2">
        <v>14.7</v>
      </c>
      <c r="BH15" s="2">
        <f>5+16.4</f>
        <v>21.4</v>
      </c>
      <c r="BI15" s="2"/>
      <c r="BJ15" s="2"/>
      <c r="BK15" s="2"/>
      <c r="BL15" s="2"/>
      <c r="BM15" s="2"/>
      <c r="BN15" s="2">
        <v>65</v>
      </c>
      <c r="BO15" s="2">
        <v>32</v>
      </c>
      <c r="BP15" s="2">
        <v>38</v>
      </c>
      <c r="BQ15" s="2">
        <v>41</v>
      </c>
      <c r="BR15" s="2">
        <v>44</v>
      </c>
      <c r="BS15" s="2">
        <v>49</v>
      </c>
      <c r="BT15" s="2">
        <v>24</v>
      </c>
      <c r="BU15" s="2">
        <v>92</v>
      </c>
      <c r="BV15" s="2">
        <v>119</v>
      </c>
      <c r="BW15" s="2">
        <v>146</v>
      </c>
      <c r="BX15" s="2">
        <v>213</v>
      </c>
      <c r="BY15" s="2">
        <v>58.8</v>
      </c>
      <c r="BZ15" s="2">
        <v>2.2999999999999998</v>
      </c>
      <c r="CA15" s="2">
        <v>0.8</v>
      </c>
      <c r="CB15" s="2">
        <v>7.9868578642240196E-7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/>
      </c>
      <c r="J16" s="47" t="str">
        <f t="shared" ca="1" si="35"/>
        <v/>
      </c>
      <c r="K16" s="19" t="str">
        <f t="shared" ca="1" si="36"/>
        <v/>
      </c>
      <c r="L16" s="116" t="str">
        <f t="shared" ca="1" si="1"/>
        <v/>
      </c>
      <c r="M16" s="105" t="str">
        <f t="shared" ca="1" si="2"/>
        <v/>
      </c>
      <c r="N16" s="47" t="str">
        <f t="shared" ca="1" si="3"/>
        <v/>
      </c>
      <c r="O16" s="63" t="str">
        <f t="shared" ca="1" si="4"/>
        <v/>
      </c>
      <c r="P16" s="63" t="str">
        <f t="shared" ca="1" si="5"/>
        <v/>
      </c>
      <c r="Q16" s="47" t="str">
        <f t="shared" ca="1" si="6"/>
        <v/>
      </c>
      <c r="R16" s="47" t="str">
        <f t="shared" ca="1" si="7"/>
        <v/>
      </c>
      <c r="S16" s="47" t="str">
        <f t="shared" ca="1" si="8"/>
        <v/>
      </c>
      <c r="T16" s="47" t="str">
        <f t="shared" ca="1" si="9"/>
        <v/>
      </c>
      <c r="U16" s="75" t="str">
        <f t="shared" ca="1" si="10"/>
        <v/>
      </c>
      <c r="V16" s="75" t="str">
        <f t="shared" ca="1" si="11"/>
        <v/>
      </c>
      <c r="W16" s="47" t="str">
        <f t="shared" ca="1" si="12"/>
        <v/>
      </c>
      <c r="X16" s="47" t="str">
        <f t="shared" ca="1" si="13"/>
        <v/>
      </c>
      <c r="Y16" s="47" t="str">
        <f t="shared" ca="1" si="14"/>
        <v/>
      </c>
      <c r="Z16" s="47" t="str">
        <f t="shared" ca="1" si="15"/>
        <v/>
      </c>
      <c r="AA16" s="47" t="str">
        <f t="shared" ca="1" si="16"/>
        <v/>
      </c>
      <c r="AB16" s="47" t="str">
        <f t="shared" ca="1" si="17"/>
        <v/>
      </c>
      <c r="AC16" s="63" t="str">
        <f t="shared" ca="1" si="18"/>
        <v/>
      </c>
      <c r="AD16" s="63" t="str">
        <f t="shared" ca="1" si="19"/>
        <v/>
      </c>
      <c r="AE16" s="63" t="str">
        <f t="shared" ca="1" si="20"/>
        <v/>
      </c>
      <c r="AF16" s="63" t="str">
        <f t="shared" ca="1" si="21"/>
        <v/>
      </c>
      <c r="AG16" s="63" t="str">
        <f t="shared" ca="1" si="22"/>
        <v/>
      </c>
      <c r="AH16" s="63" t="str">
        <f t="shared" ca="1" si="23"/>
        <v/>
      </c>
      <c r="AI16" s="63" t="str">
        <f t="shared" ca="1" si="24"/>
        <v/>
      </c>
      <c r="AJ16" s="47" t="str">
        <f t="shared" ca="1" si="25"/>
        <v/>
      </c>
      <c r="AK16" s="47" t="str">
        <f t="shared" ca="1" si="26"/>
        <v/>
      </c>
      <c r="AL16" s="47" t="str">
        <f t="shared" ca="1" si="27"/>
        <v/>
      </c>
      <c r="AM16" s="47" t="str">
        <f t="shared" ca="1" si="28"/>
        <v/>
      </c>
      <c r="AN16" s="47" t="str">
        <f t="shared" ca="1" si="29"/>
        <v/>
      </c>
      <c r="AO16" s="47" t="str">
        <f t="shared" ca="1" si="30"/>
        <v/>
      </c>
      <c r="AP16" s="47" t="str">
        <f t="shared" ca="1" si="31"/>
        <v/>
      </c>
      <c r="AQ16" s="47" t="str">
        <f t="shared" ca="1" si="32"/>
        <v/>
      </c>
      <c r="AR16" s="47" t="str">
        <f t="shared" ca="1" si="33"/>
        <v/>
      </c>
      <c r="AS16" s="33" t="str">
        <f t="shared" ca="1" si="34"/>
        <v/>
      </c>
      <c r="AW16" s="2">
        <v>16</v>
      </c>
      <c r="AX16" s="2" t="s">
        <v>292</v>
      </c>
      <c r="AY16" s="130">
        <v>21.3</v>
      </c>
      <c r="AZ16" s="2">
        <v>20.2</v>
      </c>
      <c r="BA16" s="2"/>
      <c r="BB16" s="2">
        <v>10</v>
      </c>
      <c r="BC16" s="2"/>
      <c r="BD16" s="2">
        <v>25.8</v>
      </c>
      <c r="BE16" s="2">
        <v>28.7</v>
      </c>
      <c r="BF16" s="2">
        <v>29.2</v>
      </c>
      <c r="BG16" s="2">
        <v>29.8</v>
      </c>
      <c r="BH16" s="2">
        <v>33.1</v>
      </c>
      <c r="BI16" s="2"/>
      <c r="BJ16" s="2"/>
      <c r="BK16" s="2"/>
      <c r="BL16" s="2"/>
      <c r="BM16" s="2"/>
      <c r="BN16" s="2">
        <v>85</v>
      </c>
      <c r="BO16" s="2">
        <v>35</v>
      </c>
      <c r="BP16" s="2">
        <v>40</v>
      </c>
      <c r="BQ16" s="2">
        <v>44</v>
      </c>
      <c r="BR16" s="2">
        <v>47</v>
      </c>
      <c r="BS16" s="2">
        <v>53</v>
      </c>
      <c r="BT16" s="2">
        <v>22</v>
      </c>
      <c r="BU16" s="2">
        <v>109</v>
      </c>
      <c r="BV16" s="2">
        <v>144</v>
      </c>
      <c r="BW16" s="2">
        <v>179</v>
      </c>
      <c r="BX16" s="2">
        <v>266</v>
      </c>
      <c r="BY16" s="2">
        <v>121.7</v>
      </c>
      <c r="BZ16" s="2">
        <v>3.2</v>
      </c>
      <c r="CA16" s="2">
        <v>1</v>
      </c>
      <c r="CB16" s="2">
        <v>5.0383921144135502E-6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19.5</v>
      </c>
      <c r="AX17" s="2" t="s">
        <v>292</v>
      </c>
      <c r="AY17" s="130">
        <v>21.3</v>
      </c>
      <c r="AZ17" s="2">
        <v>20.2</v>
      </c>
      <c r="BA17" s="2"/>
      <c r="BB17" s="2">
        <v>10</v>
      </c>
      <c r="BC17" s="2"/>
      <c r="BD17" s="2">
        <v>27.7</v>
      </c>
      <c r="BE17" s="2">
        <v>30.6</v>
      </c>
      <c r="BF17" s="2">
        <v>31.1</v>
      </c>
      <c r="BG17" s="2">
        <v>31.7</v>
      </c>
      <c r="BH17" s="2">
        <v>35</v>
      </c>
      <c r="BI17" s="2"/>
      <c r="BJ17" s="2"/>
      <c r="BK17" s="2"/>
      <c r="BL17" s="2"/>
      <c r="BM17" s="2"/>
      <c r="BN17" s="2">
        <v>85</v>
      </c>
      <c r="BO17" s="2">
        <v>35</v>
      </c>
      <c r="BP17" s="2">
        <v>40</v>
      </c>
      <c r="BQ17" s="2">
        <v>44</v>
      </c>
      <c r="BR17" s="2">
        <v>47</v>
      </c>
      <c r="BS17" s="2">
        <v>53</v>
      </c>
      <c r="BT17" s="2">
        <v>34</v>
      </c>
      <c r="BU17" s="2">
        <v>121</v>
      </c>
      <c r="BV17" s="2">
        <v>156</v>
      </c>
      <c r="BW17" s="2">
        <v>191</v>
      </c>
      <c r="BX17" s="2">
        <v>278</v>
      </c>
      <c r="BY17" s="2">
        <v>121.7</v>
      </c>
      <c r="BZ17" s="2">
        <v>3.2</v>
      </c>
      <c r="CA17" s="2">
        <v>1</v>
      </c>
      <c r="CB17" s="2">
        <v>5.0383921144135502E-6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19.5</v>
      </c>
      <c r="AX18" s="2" t="s">
        <v>292</v>
      </c>
      <c r="AY18" s="130">
        <v>21.3</v>
      </c>
      <c r="AZ18" s="2">
        <v>20.2</v>
      </c>
      <c r="BA18" s="2"/>
      <c r="BB18" s="2">
        <v>10</v>
      </c>
      <c r="BC18" s="2"/>
      <c r="BD18" s="2">
        <v>32.200000000000003</v>
      </c>
      <c r="BE18" s="2">
        <v>33.6</v>
      </c>
      <c r="BF18" s="2">
        <v>34.1</v>
      </c>
      <c r="BG18" s="2">
        <v>34.6</v>
      </c>
      <c r="BH18" s="2">
        <v>36.200000000000003</v>
      </c>
      <c r="BI18" s="2"/>
      <c r="BJ18" s="2"/>
      <c r="BK18" s="2"/>
      <c r="BL18" s="2"/>
      <c r="BM18" s="2"/>
      <c r="BN18" s="2">
        <v>95</v>
      </c>
      <c r="BO18" s="2">
        <v>35</v>
      </c>
      <c r="BP18" s="2">
        <v>42</v>
      </c>
      <c r="BQ18" s="2">
        <v>45</v>
      </c>
      <c r="BR18" s="2">
        <v>48</v>
      </c>
      <c r="BS18" s="2">
        <v>54</v>
      </c>
      <c r="BT18" s="2">
        <v>22</v>
      </c>
      <c r="BU18" s="2">
        <v>121</v>
      </c>
      <c r="BV18" s="2">
        <v>161</v>
      </c>
      <c r="BW18" s="2">
        <v>201</v>
      </c>
      <c r="BX18" s="2">
        <v>301</v>
      </c>
      <c r="BY18" s="2">
        <v>171.1</v>
      </c>
      <c r="BZ18" s="2">
        <v>3.5</v>
      </c>
      <c r="CA18" s="2">
        <v>1.1000000000000001</v>
      </c>
      <c r="CB18" s="2">
        <v>4.8714564806978098E-6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21</v>
      </c>
      <c r="AX19" s="2" t="s">
        <v>292</v>
      </c>
      <c r="AY19" s="130">
        <v>21.3</v>
      </c>
      <c r="AZ19" s="2">
        <v>20.2</v>
      </c>
      <c r="BA19" s="2"/>
      <c r="BB19" s="2">
        <v>10</v>
      </c>
      <c r="BC19" s="2"/>
      <c r="BD19" s="2">
        <v>48.8</v>
      </c>
      <c r="BE19" s="2">
        <v>50.3</v>
      </c>
      <c r="BF19" s="2">
        <v>50.8</v>
      </c>
      <c r="BG19" s="2">
        <v>51.3</v>
      </c>
      <c r="BH19" s="2">
        <v>52.8</v>
      </c>
      <c r="BI19" s="2"/>
      <c r="BJ19" s="2"/>
      <c r="BK19" s="2"/>
      <c r="BL19" s="2"/>
      <c r="BM19" s="2"/>
      <c r="BN19" s="2">
        <v>95</v>
      </c>
      <c r="BO19" s="2">
        <v>35</v>
      </c>
      <c r="BP19" s="2">
        <v>42</v>
      </c>
      <c r="BQ19" s="2">
        <v>45</v>
      </c>
      <c r="BR19" s="2">
        <v>48</v>
      </c>
      <c r="BS19" s="2">
        <v>54</v>
      </c>
      <c r="BT19" s="2">
        <v>42</v>
      </c>
      <c r="BU19" s="2">
        <v>141</v>
      </c>
      <c r="BV19" s="2">
        <v>181</v>
      </c>
      <c r="BW19" s="2">
        <v>221</v>
      </c>
      <c r="BX19" s="2">
        <v>320</v>
      </c>
      <c r="BY19" s="2">
        <v>171.1</v>
      </c>
      <c r="BZ19" s="2">
        <v>3.5</v>
      </c>
      <c r="CA19" s="2">
        <v>1.1000000000000001</v>
      </c>
      <c r="CB19" s="2">
        <v>4.8714564806978098E-6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21</v>
      </c>
      <c r="AX20" s="2" t="s">
        <v>271</v>
      </c>
      <c r="AY20" s="130">
        <v>24.7</v>
      </c>
      <c r="AZ20" s="2">
        <v>19.8</v>
      </c>
      <c r="BA20" s="2"/>
      <c r="BB20" s="2">
        <v>11</v>
      </c>
      <c r="BC20" s="2"/>
      <c r="BD20" s="2">
        <v>0.7</v>
      </c>
      <c r="BE20" s="2">
        <v>6.2</v>
      </c>
      <c r="BF20" s="2">
        <v>9.3000000000000007</v>
      </c>
      <c r="BG20" s="2">
        <v>20.100000000000001</v>
      </c>
      <c r="BH20" s="2">
        <v>53.4</v>
      </c>
      <c r="BI20" s="2"/>
      <c r="BJ20" s="2"/>
      <c r="BK20" s="2"/>
      <c r="BL20" s="2"/>
      <c r="BM20" s="2"/>
      <c r="BN20" s="2">
        <v>44</v>
      </c>
      <c r="BO20" s="2">
        <v>26</v>
      </c>
      <c r="BP20" s="2">
        <v>26</v>
      </c>
      <c r="BQ20" s="2">
        <v>28</v>
      </c>
      <c r="BR20" s="2">
        <v>31</v>
      </c>
      <c r="BS20" s="2">
        <v>34</v>
      </c>
      <c r="BT20" s="2">
        <v>21</v>
      </c>
      <c r="BU20" s="2">
        <v>91</v>
      </c>
      <c r="BV20" s="2">
        <v>121</v>
      </c>
      <c r="BW20" s="2">
        <v>150</v>
      </c>
      <c r="BX20" s="2">
        <v>223</v>
      </c>
      <c r="BY20" s="2">
        <v>14.6</v>
      </c>
      <c r="BZ20" s="2">
        <v>2.1</v>
      </c>
      <c r="CA20" s="2">
        <v>0.8</v>
      </c>
      <c r="CB20" s="2">
        <v>1.60467367659375E-12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26</v>
      </c>
      <c r="AX21" s="2" t="s">
        <v>271</v>
      </c>
      <c r="AY21" s="130">
        <v>24.7</v>
      </c>
      <c r="AZ21" s="2">
        <v>19.8</v>
      </c>
      <c r="BA21" s="2"/>
      <c r="BB21" s="2">
        <v>11</v>
      </c>
      <c r="BC21" s="2"/>
      <c r="BD21" s="2">
        <v>1.6</v>
      </c>
      <c r="BE21" s="2">
        <v>7</v>
      </c>
      <c r="BF21" s="2">
        <v>10.1</v>
      </c>
      <c r="BG21" s="2">
        <v>20.9</v>
      </c>
      <c r="BH21" s="2">
        <v>54.2</v>
      </c>
      <c r="BI21" s="2"/>
      <c r="BJ21" s="2"/>
      <c r="BK21" s="2"/>
      <c r="BL21" s="2"/>
      <c r="BM21" s="2"/>
      <c r="BN21" s="2">
        <v>44</v>
      </c>
      <c r="BO21" s="2">
        <v>26</v>
      </c>
      <c r="BP21" s="2">
        <v>26</v>
      </c>
      <c r="BQ21" s="2">
        <v>28</v>
      </c>
      <c r="BR21" s="2">
        <v>31</v>
      </c>
      <c r="BS21" s="2">
        <v>34</v>
      </c>
      <c r="BT21" s="2">
        <v>30</v>
      </c>
      <c r="BU21" s="2">
        <v>101</v>
      </c>
      <c r="BV21" s="2">
        <v>130</v>
      </c>
      <c r="BW21" s="2">
        <v>160</v>
      </c>
      <c r="BX21" s="2">
        <v>233</v>
      </c>
      <c r="BY21" s="2">
        <v>14.6</v>
      </c>
      <c r="BZ21" s="2">
        <v>2.1</v>
      </c>
      <c r="CA21" s="2">
        <v>0.8</v>
      </c>
      <c r="CB21" s="2">
        <v>1.60467367659375E-12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26</v>
      </c>
      <c r="AX22" s="2" t="s">
        <v>271</v>
      </c>
      <c r="AY22" s="130">
        <v>24.7</v>
      </c>
      <c r="AZ22" s="2">
        <v>19.8</v>
      </c>
      <c r="BA22" s="2"/>
      <c r="BB22" s="2">
        <v>11</v>
      </c>
      <c r="BC22" s="2"/>
      <c r="BD22" s="2">
        <v>0.9</v>
      </c>
      <c r="BE22" s="2">
        <v>7.2</v>
      </c>
      <c r="BF22" s="2">
        <v>10.199999999999999</v>
      </c>
      <c r="BG22" s="2">
        <v>23.1</v>
      </c>
      <c r="BH22" s="2">
        <v>62.8</v>
      </c>
      <c r="BI22" s="2"/>
      <c r="BJ22" s="2"/>
      <c r="BK22" s="2"/>
      <c r="BL22" s="2"/>
      <c r="BM22" s="2"/>
      <c r="BN22" s="2">
        <v>45</v>
      </c>
      <c r="BO22" s="2">
        <v>26</v>
      </c>
      <c r="BP22" s="2">
        <v>26</v>
      </c>
      <c r="BQ22" s="2">
        <v>28</v>
      </c>
      <c r="BR22" s="2">
        <v>31</v>
      </c>
      <c r="BS22" s="2">
        <v>34</v>
      </c>
      <c r="BT22" s="2">
        <v>26</v>
      </c>
      <c r="BU22" s="2">
        <v>99</v>
      </c>
      <c r="BV22" s="2">
        <v>133</v>
      </c>
      <c r="BW22" s="2">
        <v>167</v>
      </c>
      <c r="BX22" s="2">
        <v>249</v>
      </c>
      <c r="BY22" s="2">
        <v>41.9</v>
      </c>
      <c r="BZ22" s="2">
        <v>1.7</v>
      </c>
      <c r="CA22" s="2">
        <v>0.7</v>
      </c>
      <c r="CB22" s="2">
        <v>1.09649152542459E-12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36.4</v>
      </c>
      <c r="AX23" s="2" t="s">
        <v>271</v>
      </c>
      <c r="AY23" s="130">
        <v>24.7</v>
      </c>
      <c r="AZ23" s="2">
        <v>19.8</v>
      </c>
      <c r="BA23" s="2"/>
      <c r="BB23" s="2">
        <v>11</v>
      </c>
      <c r="BC23" s="2"/>
      <c r="BD23" s="2">
        <v>2.4</v>
      </c>
      <c r="BE23" s="2">
        <v>8.6999999999999993</v>
      </c>
      <c r="BF23" s="2">
        <v>11.7</v>
      </c>
      <c r="BG23" s="2">
        <v>24.5</v>
      </c>
      <c r="BH23" s="2">
        <v>64.2</v>
      </c>
      <c r="BI23" s="2"/>
      <c r="BJ23" s="2"/>
      <c r="BK23" s="2"/>
      <c r="BL23" s="2"/>
      <c r="BM23" s="2"/>
      <c r="BN23" s="2">
        <v>45</v>
      </c>
      <c r="BO23" s="2">
        <v>26</v>
      </c>
      <c r="BP23" s="2">
        <v>26</v>
      </c>
      <c r="BQ23" s="2">
        <v>28</v>
      </c>
      <c r="BR23" s="2">
        <v>31</v>
      </c>
      <c r="BS23" s="2">
        <v>34</v>
      </c>
      <c r="BT23" s="2">
        <v>46</v>
      </c>
      <c r="BU23" s="2">
        <v>120</v>
      </c>
      <c r="BV23" s="2">
        <v>153</v>
      </c>
      <c r="BW23" s="2">
        <v>187</v>
      </c>
      <c r="BX23" s="2">
        <v>270</v>
      </c>
      <c r="BY23" s="2">
        <v>41.9</v>
      </c>
      <c r="BZ23" s="2">
        <v>1.7</v>
      </c>
      <c r="CA23" s="2">
        <v>0.7</v>
      </c>
      <c r="CB23" s="2">
        <v>1.09649152542459E-12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36.4</v>
      </c>
      <c r="AX24" s="2" t="s">
        <v>273</v>
      </c>
      <c r="AY24" s="130">
        <v>32</v>
      </c>
      <c r="AZ24" s="2">
        <v>18.899999999999999</v>
      </c>
      <c r="BA24" s="2">
        <v>47</v>
      </c>
      <c r="BB24" s="2">
        <v>85</v>
      </c>
      <c r="BC24" s="2">
        <v>3</v>
      </c>
      <c r="BD24" s="2">
        <v>1.3</v>
      </c>
      <c r="BE24" s="2">
        <v>6</v>
      </c>
      <c r="BF24" s="2">
        <v>8.6</v>
      </c>
      <c r="BG24" s="2">
        <v>26.3</v>
      </c>
      <c r="BH24" s="2">
        <v>81.2</v>
      </c>
      <c r="BI24" s="2">
        <v>261</v>
      </c>
      <c r="BJ24" s="2">
        <v>347</v>
      </c>
      <c r="BK24" s="2">
        <v>390</v>
      </c>
      <c r="BL24" s="2">
        <v>434</v>
      </c>
      <c r="BM24" s="2">
        <v>520</v>
      </c>
      <c r="BN24" s="2"/>
      <c r="BO24" s="2"/>
      <c r="BP24" s="2"/>
      <c r="BQ24" s="2"/>
      <c r="BR24" s="2"/>
      <c r="BS24" s="2"/>
      <c r="BT24" s="2">
        <v>224</v>
      </c>
      <c r="BU24" s="2">
        <v>398</v>
      </c>
      <c r="BV24" s="2">
        <v>485</v>
      </c>
      <c r="BW24" s="2">
        <v>573</v>
      </c>
      <c r="BX24" s="2">
        <v>747</v>
      </c>
      <c r="BY24" s="2">
        <v>56.4</v>
      </c>
      <c r="BZ24" s="2">
        <v>7.2</v>
      </c>
      <c r="CA24" s="2">
        <v>3</v>
      </c>
      <c r="CB24" s="2">
        <v>7.7771451973005602E-12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80</v>
      </c>
      <c r="AX25" s="2" t="s">
        <v>273</v>
      </c>
      <c r="AY25" s="130">
        <v>32</v>
      </c>
      <c r="AZ25" s="2">
        <v>18.899999999999999</v>
      </c>
      <c r="BA25" s="2">
        <v>47</v>
      </c>
      <c r="BB25" s="2">
        <v>85</v>
      </c>
      <c r="BC25" s="2">
        <v>3</v>
      </c>
      <c r="BD25" s="2">
        <v>13.2</v>
      </c>
      <c r="BE25" s="2">
        <v>18</v>
      </c>
      <c r="BF25" s="2">
        <v>20.5</v>
      </c>
      <c r="BG25" s="2">
        <v>38.200000000000003</v>
      </c>
      <c r="BH25" s="2">
        <v>93.1</v>
      </c>
      <c r="BI25" s="2">
        <v>818</v>
      </c>
      <c r="BJ25" s="2">
        <v>904</v>
      </c>
      <c r="BK25" s="2">
        <v>947</v>
      </c>
      <c r="BL25" s="2">
        <v>991</v>
      </c>
      <c r="BM25" s="2">
        <v>1077</v>
      </c>
      <c r="BN25" s="2"/>
      <c r="BO25" s="2"/>
      <c r="BP25" s="2"/>
      <c r="BQ25" s="2"/>
      <c r="BR25" s="2"/>
      <c r="BS25" s="2"/>
      <c r="BT25" s="2">
        <v>1226</v>
      </c>
      <c r="BU25" s="2">
        <v>1400</v>
      </c>
      <c r="BV25" s="2">
        <v>1487</v>
      </c>
      <c r="BW25" s="2">
        <v>1575</v>
      </c>
      <c r="BX25" s="2">
        <v>1749</v>
      </c>
      <c r="BY25" s="2">
        <v>56.4</v>
      </c>
      <c r="BZ25" s="2">
        <v>7.2</v>
      </c>
      <c r="CA25" s="2">
        <v>3</v>
      </c>
      <c r="CB25" s="2">
        <v>7.7771451973005602E-12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/>
      <c r="AX26" s="2"/>
      <c r="AY26" s="130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/>
      <c r="AX27" s="2"/>
      <c r="AY27" s="130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505" priority="12">
      <formula>$L32="API sand"</formula>
    </cfRule>
  </conditionalFormatting>
  <conditionalFormatting sqref="R32:S36 AB32:AB35 AJ32:AL36 Z32:Z36 N32:N36">
    <cfRule type="expression" dxfId="2504" priority="11">
      <formula>$M32="API sand"</formula>
    </cfRule>
  </conditionalFormatting>
  <conditionalFormatting sqref="R32:T36 Z32:AB35 AK32:AL36 N32:N36">
    <cfRule type="expression" dxfId="2503" priority="10">
      <formula>$M32="API clay"</formula>
    </cfRule>
  </conditionalFormatting>
  <conditionalFormatting sqref="U32:W36 AM32:AP36 N32:P36">
    <cfRule type="expression" dxfId="2502" priority="7">
      <formula>$L32="Stiff clay w/o free water"</formula>
    </cfRule>
    <cfRule type="expression" dxfId="2501" priority="9">
      <formula>$L32="API clay"</formula>
    </cfRule>
  </conditionalFormatting>
  <conditionalFormatting sqref="U32:Y36 AM32:AP36 N32:P36">
    <cfRule type="expression" dxfId="2500" priority="8">
      <formula>$L32="Kirsch soft clay"</formula>
    </cfRule>
  </conditionalFormatting>
  <conditionalFormatting sqref="U32:Y36 AM32:AP36 N32:P36">
    <cfRule type="expression" dxfId="2499" priority="6">
      <formula>$L32="Kirsch stiff clay"</formula>
    </cfRule>
  </conditionalFormatting>
  <conditionalFormatting sqref="AM32:AP36 Q32:Q36 X32:Y36 N32:N36">
    <cfRule type="expression" dxfId="2498" priority="5">
      <formula>$L32="Kirsch sand"</formula>
    </cfRule>
  </conditionalFormatting>
  <conditionalFormatting sqref="AC32:AD36 AI32:AI36 AM32:AP36 N32:N36">
    <cfRule type="expression" dxfId="2497" priority="4">
      <formula>$L32="Modified Weak rock"</formula>
    </cfRule>
  </conditionalFormatting>
  <conditionalFormatting sqref="AM32:AP36 N32:P36 U32:V36">
    <cfRule type="expression" dxfId="2496" priority="3">
      <formula>$L32="Reese stiff clay"</formula>
    </cfRule>
  </conditionalFormatting>
  <conditionalFormatting sqref="AB36">
    <cfRule type="expression" dxfId="2495" priority="2">
      <formula>$M36="API sand"</formula>
    </cfRule>
  </conditionalFormatting>
  <conditionalFormatting sqref="Z36:AB36">
    <cfRule type="expression" dxfId="2494" priority="1">
      <formula>$M36="API clay"</formula>
    </cfRule>
  </conditionalFormatting>
  <conditionalFormatting sqref="AE37:AH37">
    <cfRule type="expression" dxfId="2493" priority="13">
      <formula>#REF!="Modified Weak rock"</formula>
    </cfRule>
  </conditionalFormatting>
  <dataValidations count="4">
    <dataValidation type="textLength" showInputMessage="1" showErrorMessage="1" sqref="M27:M31" xr:uid="{34E1EA0D-77C5-4275-AAF4-816195897E89}">
      <formula1>0</formula1>
      <formula2>100</formula2>
    </dataValidation>
    <dataValidation showInputMessage="1" showErrorMessage="1" sqref="L6:M26" xr:uid="{ADF40675-267F-4FD5-87B7-460406B3F5D1}"/>
    <dataValidation type="list" showInputMessage="1" showErrorMessage="1" sqref="L32:L255" xr:uid="{15041931-A5EF-4AF9-8AC6-EF2BCE32E3F7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3D8639D2-039E-4F4C-AFD2-90B4CB424184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9D374-F7CD-4868-A47A-463352529F8C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Ak_Pisa_WTG28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EW_sand_Ruled_62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31</v>
      </c>
      <c r="R6" s="47">
        <f t="shared" ref="R6:R26" ca="1" si="7">IF(I6="","",IF(Q6&lt;&gt;0,Q6-5,NA()))</f>
        <v>26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1900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83.999999999999972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5760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24.000000000000007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62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0.3</v>
      </c>
      <c r="BG6" s="2">
        <v>0.8</v>
      </c>
      <c r="BH6" s="2">
        <v>1.8</v>
      </c>
      <c r="BI6" s="2"/>
      <c r="BJ6" s="2"/>
      <c r="BK6" s="2"/>
      <c r="BL6" s="2"/>
      <c r="BM6" s="2"/>
      <c r="BN6" s="2">
        <v>62</v>
      </c>
      <c r="BO6" s="2">
        <v>20</v>
      </c>
      <c r="BP6" s="2">
        <v>31</v>
      </c>
      <c r="BQ6" s="2">
        <v>34</v>
      </c>
      <c r="BR6" s="2">
        <v>37</v>
      </c>
      <c r="BS6" s="2">
        <v>49</v>
      </c>
      <c r="BT6" s="2">
        <v>0</v>
      </c>
      <c r="BU6" s="2">
        <v>2</v>
      </c>
      <c r="BV6" s="2">
        <v>5</v>
      </c>
      <c r="BW6" s="2">
        <v>8</v>
      </c>
      <c r="BX6" s="2">
        <v>14</v>
      </c>
      <c r="BY6" s="2">
        <v>1.9</v>
      </c>
      <c r="BZ6" s="2">
        <v>1</v>
      </c>
      <c r="CA6" s="2">
        <v>0.5</v>
      </c>
      <c r="CB6" s="2">
        <v>1.06059141856397E-4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5" ca="1" si="36">IF(OFFSET($AW$6,(ROW()-6)*2,0)=0,"",-OFFSET($AW$6,(ROW()-6)*2,0))</f>
        <v>-0.5</v>
      </c>
      <c r="L7" s="116" t="str">
        <f t="shared" ca="1" si="1"/>
        <v>EW_sand_Ruled_89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41</v>
      </c>
      <c r="R7" s="47">
        <f t="shared" ca="1" si="7"/>
        <v>36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30700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33000</v>
      </c>
      <c r="AD7" s="63">
        <f t="shared" ca="1" si="19"/>
        <v>6000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89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0.4</v>
      </c>
      <c r="BE7" s="2">
        <v>0.7</v>
      </c>
      <c r="BF7" s="2">
        <v>0.8</v>
      </c>
      <c r="BG7" s="2">
        <v>1.3</v>
      </c>
      <c r="BH7" s="2">
        <v>2.2999999999999998</v>
      </c>
      <c r="BI7" s="2"/>
      <c r="BJ7" s="2"/>
      <c r="BK7" s="2"/>
      <c r="BL7" s="2"/>
      <c r="BM7" s="2"/>
      <c r="BN7" s="2">
        <v>62</v>
      </c>
      <c r="BO7" s="2">
        <v>20</v>
      </c>
      <c r="BP7" s="2">
        <v>31</v>
      </c>
      <c r="BQ7" s="2">
        <v>34</v>
      </c>
      <c r="BR7" s="2">
        <v>37</v>
      </c>
      <c r="BS7" s="2">
        <v>49</v>
      </c>
      <c r="BT7" s="2">
        <v>7</v>
      </c>
      <c r="BU7" s="2">
        <v>13</v>
      </c>
      <c r="BV7" s="2">
        <v>16</v>
      </c>
      <c r="BW7" s="2">
        <v>19</v>
      </c>
      <c r="BX7" s="2">
        <v>25</v>
      </c>
      <c r="BY7" s="2">
        <v>1.9</v>
      </c>
      <c r="BZ7" s="2">
        <v>1</v>
      </c>
      <c r="CA7" s="2">
        <v>0.5</v>
      </c>
      <c r="CB7" s="2">
        <v>1.06059141856397E-4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02a</v>
      </c>
      <c r="J8" s="47">
        <f t="shared" ca="1" si="35"/>
        <v>3</v>
      </c>
      <c r="K8" s="19">
        <f t="shared" ca="1" si="36"/>
        <v>-1.5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10.199999999999999</v>
      </c>
      <c r="O8" s="63">
        <f t="shared" ca="1" si="4"/>
        <v>79</v>
      </c>
      <c r="P8" s="63">
        <f t="shared" ca="1" si="5"/>
        <v>9.9999999999999982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17600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79000</v>
      </c>
      <c r="AD8" s="63">
        <f t="shared" ca="1" si="19"/>
        <v>9999.9999999999982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6.7</v>
      </c>
      <c r="BE8" s="2">
        <v>7.8</v>
      </c>
      <c r="BF8" s="2">
        <v>8.1999999999999993</v>
      </c>
      <c r="BG8" s="2">
        <v>8.6</v>
      </c>
      <c r="BH8" s="2">
        <v>9.5</v>
      </c>
      <c r="BI8" s="2"/>
      <c r="BJ8" s="2"/>
      <c r="BK8" s="2"/>
      <c r="BL8" s="2"/>
      <c r="BM8" s="2"/>
      <c r="BN8" s="2">
        <v>89</v>
      </c>
      <c r="BO8" s="2">
        <v>35</v>
      </c>
      <c r="BP8" s="2">
        <v>41</v>
      </c>
      <c r="BQ8" s="2">
        <v>44</v>
      </c>
      <c r="BR8" s="2">
        <v>47</v>
      </c>
      <c r="BS8" s="2">
        <v>53</v>
      </c>
      <c r="BT8" s="2">
        <v>3</v>
      </c>
      <c r="BU8" s="2">
        <v>24</v>
      </c>
      <c r="BV8" s="2">
        <v>33</v>
      </c>
      <c r="BW8" s="2">
        <v>41</v>
      </c>
      <c r="BX8" s="2">
        <v>62</v>
      </c>
      <c r="BY8" s="2">
        <v>30.7</v>
      </c>
      <c r="BZ8" s="2">
        <v>1</v>
      </c>
      <c r="CA8" s="2">
        <v>0.5</v>
      </c>
      <c r="CB8" s="2">
        <v>1.06059141856397E-4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02b</v>
      </c>
      <c r="J9" s="47">
        <f t="shared" ca="1" si="35"/>
        <v>4</v>
      </c>
      <c r="K9" s="19">
        <f t="shared" ca="1" si="36"/>
        <v>-2.1</v>
      </c>
      <c r="L9" s="116" t="str">
        <f t="shared" ca="1" si="1"/>
        <v>EW_sand_Ruled_86</v>
      </c>
      <c r="M9" s="105" t="str">
        <f t="shared" ca="1" si="2"/>
        <v>API sand</v>
      </c>
      <c r="N9" s="47">
        <f t="shared" ca="1" si="3"/>
        <v>9.3999999999999986</v>
      </c>
      <c r="O9" s="63">
        <f t="shared" ca="1" si="4"/>
        <v>0</v>
      </c>
      <c r="P9" s="63">
        <f t="shared" ca="1" si="5"/>
        <v>0</v>
      </c>
      <c r="Q9" s="47">
        <f t="shared" ca="1" si="6"/>
        <v>42</v>
      </c>
      <c r="R9" s="47">
        <f t="shared" ca="1" si="7"/>
        <v>37</v>
      </c>
      <c r="S9" s="47">
        <f t="shared" ca="1" si="8"/>
        <v>2.4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57700</v>
      </c>
      <c r="Y9" s="47">
        <f t="shared" ca="1" si="14"/>
        <v>0</v>
      </c>
      <c r="Z9" s="47">
        <f t="shared" ca="1" si="15"/>
        <v>114.99999999999996</v>
      </c>
      <c r="AA9" s="47">
        <f t="shared" ca="1" si="16"/>
        <v>1</v>
      </c>
      <c r="AB9" s="47">
        <f t="shared" ca="1" si="17"/>
        <v>12000</v>
      </c>
      <c r="AC9" s="63">
        <f t="shared" ca="1" si="18"/>
        <v>51000</v>
      </c>
      <c r="AD9" s="63">
        <f t="shared" ca="1" si="19"/>
        <v>18888.888888888891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50.000000000000007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86</v>
      </c>
      <c r="AS9" s="33">
        <f t="shared" ca="1" si="34"/>
        <v>0.4</v>
      </c>
      <c r="AW9" s="2">
        <v>1.5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5.7</v>
      </c>
      <c r="BE9" s="2">
        <v>6.8</v>
      </c>
      <c r="BF9" s="2">
        <v>7.3</v>
      </c>
      <c r="BG9" s="2">
        <v>7.6</v>
      </c>
      <c r="BH9" s="2">
        <v>8.5</v>
      </c>
      <c r="BI9" s="2"/>
      <c r="BJ9" s="2"/>
      <c r="BK9" s="2"/>
      <c r="BL9" s="2"/>
      <c r="BM9" s="2"/>
      <c r="BN9" s="2">
        <v>89</v>
      </c>
      <c r="BO9" s="2">
        <v>35</v>
      </c>
      <c r="BP9" s="2">
        <v>41</v>
      </c>
      <c r="BQ9" s="2">
        <v>44</v>
      </c>
      <c r="BR9" s="2">
        <v>47</v>
      </c>
      <c r="BS9" s="2">
        <v>53</v>
      </c>
      <c r="BT9" s="2">
        <v>9</v>
      </c>
      <c r="BU9" s="2">
        <v>30</v>
      </c>
      <c r="BV9" s="2">
        <v>39</v>
      </c>
      <c r="BW9" s="2">
        <v>47</v>
      </c>
      <c r="BX9" s="2">
        <v>68</v>
      </c>
      <c r="BY9" s="2">
        <v>30.7</v>
      </c>
      <c r="BZ9" s="2">
        <v>1</v>
      </c>
      <c r="CA9" s="2">
        <v>0.5</v>
      </c>
      <c r="CB9" s="2">
        <v>1.06059141856397E-4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02c</v>
      </c>
      <c r="J10" s="47">
        <f t="shared" ca="1" si="35"/>
        <v>5</v>
      </c>
      <c r="K10" s="19">
        <f t="shared" ca="1" si="36"/>
        <v>-3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8.5</v>
      </c>
      <c r="O10" s="63">
        <f t="shared" ca="1" si="4"/>
        <v>82</v>
      </c>
      <c r="P10" s="63">
        <f t="shared" ca="1" si="5"/>
        <v>-16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0.5</v>
      </c>
      <c r="X10" s="47">
        <f t="shared" ca="1" si="13"/>
        <v>13200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75000</v>
      </c>
      <c r="AD10" s="63">
        <f t="shared" ca="1" si="19"/>
        <v>-13000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1.5</v>
      </c>
      <c r="AX10" s="2" t="s">
        <v>255</v>
      </c>
      <c r="AY10" s="130">
        <v>23.1</v>
      </c>
      <c r="AZ10" s="2">
        <v>20.2</v>
      </c>
      <c r="BA10" s="2">
        <v>18</v>
      </c>
      <c r="BB10" s="2">
        <v>28</v>
      </c>
      <c r="BC10" s="2">
        <v>5</v>
      </c>
      <c r="BD10" s="2">
        <v>1.7</v>
      </c>
      <c r="BE10" s="2">
        <v>1.8</v>
      </c>
      <c r="BF10" s="2">
        <v>1.9</v>
      </c>
      <c r="BG10" s="2">
        <v>2.1</v>
      </c>
      <c r="BH10" s="2">
        <v>2.7</v>
      </c>
      <c r="BI10" s="2">
        <v>33</v>
      </c>
      <c r="BJ10" s="2">
        <v>79</v>
      </c>
      <c r="BK10" s="2">
        <v>101</v>
      </c>
      <c r="BL10" s="2">
        <v>127</v>
      </c>
      <c r="BM10" s="2">
        <v>184</v>
      </c>
      <c r="BN10" s="2"/>
      <c r="BO10" s="2"/>
      <c r="BP10" s="2"/>
      <c r="BQ10" s="2"/>
      <c r="BR10" s="2"/>
      <c r="BS10" s="2"/>
      <c r="BT10" s="2">
        <v>1</v>
      </c>
      <c r="BU10" s="2">
        <v>50</v>
      </c>
      <c r="BV10" s="2">
        <v>79</v>
      </c>
      <c r="BW10" s="2">
        <v>111</v>
      </c>
      <c r="BX10" s="2">
        <v>176</v>
      </c>
      <c r="BY10" s="2">
        <v>17.600000000000001</v>
      </c>
      <c r="BZ10" s="2">
        <v>24.6</v>
      </c>
      <c r="CA10" s="2">
        <v>3</v>
      </c>
      <c r="CB10" s="2">
        <v>5.84040205645497E-8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09a</v>
      </c>
      <c r="J11" s="47">
        <f t="shared" ca="1" si="35"/>
        <v>6</v>
      </c>
      <c r="K11" s="19">
        <f t="shared" ca="1" si="36"/>
        <v>-4</v>
      </c>
      <c r="L11" s="116" t="str">
        <f t="shared" ca="1" si="1"/>
        <v>EW_sand_Ruled_43</v>
      </c>
      <c r="M11" s="105" t="str">
        <f t="shared" ca="1" si="2"/>
        <v>API sand</v>
      </c>
      <c r="N11" s="47">
        <f t="shared" ca="1" si="3"/>
        <v>9.3999999999999986</v>
      </c>
      <c r="O11" s="63">
        <f t="shared" ca="1" si="4"/>
        <v>0</v>
      </c>
      <c r="P11" s="63">
        <f t="shared" ca="1" si="5"/>
        <v>0</v>
      </c>
      <c r="Q11" s="47">
        <f t="shared" ca="1" si="6"/>
        <v>36</v>
      </c>
      <c r="R11" s="47">
        <f t="shared" ca="1" si="7"/>
        <v>31</v>
      </c>
      <c r="S11" s="47">
        <f t="shared" ca="1" si="8"/>
        <v>1.1000000000000001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22400</v>
      </c>
      <c r="Y11" s="47">
        <f t="shared" ca="1" si="14"/>
        <v>0</v>
      </c>
      <c r="Z11" s="47">
        <f t="shared" ca="1" si="15"/>
        <v>99.799999999999969</v>
      </c>
      <c r="AA11" s="47">
        <f t="shared" ca="1" si="16"/>
        <v>1</v>
      </c>
      <c r="AB11" s="47">
        <f t="shared" ca="1" si="17"/>
        <v>10080</v>
      </c>
      <c r="AC11" s="63">
        <f t="shared" ca="1" si="18"/>
        <v>55000</v>
      </c>
      <c r="AD11" s="63">
        <f t="shared" ca="1" si="19"/>
        <v>5555.5555555555566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42.000000000000007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43</v>
      </c>
      <c r="AS11" s="33">
        <f t="shared" ca="1" si="34"/>
        <v>0.4</v>
      </c>
      <c r="AW11" s="2">
        <v>2.1</v>
      </c>
      <c r="AX11" s="2" t="s">
        <v>255</v>
      </c>
      <c r="AY11" s="130">
        <v>23.1</v>
      </c>
      <c r="AZ11" s="2">
        <v>20.2</v>
      </c>
      <c r="BA11" s="2">
        <v>18</v>
      </c>
      <c r="BB11" s="2">
        <v>28</v>
      </c>
      <c r="BC11" s="2">
        <v>5</v>
      </c>
      <c r="BD11" s="2">
        <v>1.8</v>
      </c>
      <c r="BE11" s="2">
        <v>1.9</v>
      </c>
      <c r="BF11" s="2">
        <v>2</v>
      </c>
      <c r="BG11" s="2">
        <v>2.2999999999999998</v>
      </c>
      <c r="BH11" s="2">
        <v>2.9</v>
      </c>
      <c r="BI11" s="2">
        <v>39</v>
      </c>
      <c r="BJ11" s="2">
        <v>85</v>
      </c>
      <c r="BK11" s="2">
        <v>107</v>
      </c>
      <c r="BL11" s="2">
        <v>133</v>
      </c>
      <c r="BM11" s="2">
        <v>190</v>
      </c>
      <c r="BN11" s="2"/>
      <c r="BO11" s="2"/>
      <c r="BP11" s="2"/>
      <c r="BQ11" s="2"/>
      <c r="BR11" s="2"/>
      <c r="BS11" s="2"/>
      <c r="BT11" s="2">
        <v>7</v>
      </c>
      <c r="BU11" s="2">
        <v>57</v>
      </c>
      <c r="BV11" s="2">
        <v>85</v>
      </c>
      <c r="BW11" s="2">
        <v>117</v>
      </c>
      <c r="BX11" s="2">
        <v>183</v>
      </c>
      <c r="BY11" s="2">
        <v>17.600000000000001</v>
      </c>
      <c r="BZ11" s="2">
        <v>24.6</v>
      </c>
      <c r="CA11" s="2">
        <v>3</v>
      </c>
      <c r="CB11" s="2">
        <v>5.84040205645497E-8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09a</v>
      </c>
      <c r="J12" s="47">
        <f t="shared" ca="1" si="35"/>
        <v>7</v>
      </c>
      <c r="K12" s="19">
        <f t="shared" ca="1" si="36"/>
        <v>-5.8</v>
      </c>
      <c r="L12" s="116" t="str">
        <f t="shared" ca="1" si="1"/>
        <v>EW_sand_Ruled_62</v>
      </c>
      <c r="M12" s="105" t="str">
        <f t="shared" ca="1" si="2"/>
        <v>API sand</v>
      </c>
      <c r="N12" s="47">
        <f t="shared" ca="1" si="3"/>
        <v>9.3999999999999986</v>
      </c>
      <c r="O12" s="63">
        <f t="shared" ca="1" si="4"/>
        <v>0</v>
      </c>
      <c r="P12" s="63">
        <f t="shared" ca="1" si="5"/>
        <v>0</v>
      </c>
      <c r="Q12" s="47">
        <f t="shared" ca="1" si="6"/>
        <v>38</v>
      </c>
      <c r="R12" s="47">
        <f t="shared" ca="1" si="7"/>
        <v>33</v>
      </c>
      <c r="S12" s="47">
        <f t="shared" ca="1" si="8"/>
        <v>1.2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45500</v>
      </c>
      <c r="Y12" s="47">
        <f t="shared" ca="1" si="14"/>
        <v>0</v>
      </c>
      <c r="Z12" s="47">
        <f t="shared" ca="1" si="15"/>
        <v>107.39999999999996</v>
      </c>
      <c r="AA12" s="47">
        <f t="shared" ca="1" si="16"/>
        <v>1</v>
      </c>
      <c r="AB12" s="47">
        <f t="shared" ca="1" si="17"/>
        <v>11040</v>
      </c>
      <c r="AC12" s="63">
        <f t="shared" ca="1" si="18"/>
        <v>82000</v>
      </c>
      <c r="AD12" s="63">
        <f t="shared" ca="1" si="19"/>
        <v>-4545.454545454545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46.000000000000007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62</v>
      </c>
      <c r="AS12" s="33">
        <f t="shared" ca="1" si="34"/>
        <v>0.4</v>
      </c>
      <c r="AW12" s="2">
        <v>2.1</v>
      </c>
      <c r="AX12" s="2" t="s">
        <v>257</v>
      </c>
      <c r="AY12" s="130">
        <v>29.7</v>
      </c>
      <c r="AZ12" s="2">
        <v>19.399999999999999</v>
      </c>
      <c r="BA12" s="2"/>
      <c r="BB12" s="2">
        <v>24</v>
      </c>
      <c r="BC12" s="2"/>
      <c r="BD12" s="2">
        <v>0.5</v>
      </c>
      <c r="BE12" s="2">
        <v>6</v>
      </c>
      <c r="BF12" s="2">
        <v>8.3000000000000007</v>
      </c>
      <c r="BG12" s="2">
        <v>10.5</v>
      </c>
      <c r="BH12" s="2">
        <v>17.5</v>
      </c>
      <c r="BI12" s="2"/>
      <c r="BJ12" s="2"/>
      <c r="BK12" s="2"/>
      <c r="BL12" s="2"/>
      <c r="BM12" s="2"/>
      <c r="BN12" s="2">
        <v>86</v>
      </c>
      <c r="BO12" s="2">
        <v>35</v>
      </c>
      <c r="BP12" s="2">
        <v>42</v>
      </c>
      <c r="BQ12" s="2">
        <v>45</v>
      </c>
      <c r="BR12" s="2">
        <v>48</v>
      </c>
      <c r="BS12" s="2">
        <v>54</v>
      </c>
      <c r="BT12" s="2">
        <v>2</v>
      </c>
      <c r="BU12" s="2">
        <v>36</v>
      </c>
      <c r="BV12" s="2">
        <v>51</v>
      </c>
      <c r="BW12" s="2">
        <v>65</v>
      </c>
      <c r="BX12" s="2">
        <v>100</v>
      </c>
      <c r="BY12" s="2">
        <v>57.7</v>
      </c>
      <c r="BZ12" s="2">
        <v>13.8</v>
      </c>
      <c r="CA12" s="2">
        <v>2.4</v>
      </c>
      <c r="CB12" s="2">
        <v>1.19277382289152E-4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09b</v>
      </c>
      <c r="J13" s="47">
        <f t="shared" ca="1" si="35"/>
        <v>8</v>
      </c>
      <c r="K13" s="19">
        <f t="shared" ca="1" si="36"/>
        <v>-8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9.5</v>
      </c>
      <c r="O13" s="63">
        <f t="shared" ca="1" si="4"/>
        <v>109</v>
      </c>
      <c r="P13" s="63">
        <f t="shared" ca="1" si="5"/>
        <v>57.142857142857203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0.5</v>
      </c>
      <c r="X13" s="47">
        <f t="shared" ca="1" si="13"/>
        <v>26400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124000</v>
      </c>
      <c r="AD13" s="63">
        <f t="shared" ca="1" si="19"/>
        <v>61428.571428571486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3</v>
      </c>
      <c r="AX13" s="2" t="s">
        <v>257</v>
      </c>
      <c r="AY13" s="130">
        <v>29.7</v>
      </c>
      <c r="AZ13" s="2">
        <v>19.399999999999999</v>
      </c>
      <c r="BA13" s="2"/>
      <c r="BB13" s="2">
        <v>24</v>
      </c>
      <c r="BC13" s="2"/>
      <c r="BD13" s="2">
        <v>13.2</v>
      </c>
      <c r="BE13" s="2">
        <v>19.2</v>
      </c>
      <c r="BF13" s="2">
        <v>21.4</v>
      </c>
      <c r="BG13" s="2">
        <v>23.6</v>
      </c>
      <c r="BH13" s="2">
        <v>30.7</v>
      </c>
      <c r="BI13" s="2"/>
      <c r="BJ13" s="2"/>
      <c r="BK13" s="2"/>
      <c r="BL13" s="2"/>
      <c r="BM13" s="2"/>
      <c r="BN13" s="2">
        <v>86</v>
      </c>
      <c r="BO13" s="2">
        <v>35</v>
      </c>
      <c r="BP13" s="2">
        <v>42</v>
      </c>
      <c r="BQ13" s="2">
        <v>45</v>
      </c>
      <c r="BR13" s="2">
        <v>48</v>
      </c>
      <c r="BS13" s="2">
        <v>54</v>
      </c>
      <c r="BT13" s="2">
        <v>19</v>
      </c>
      <c r="BU13" s="2">
        <v>54</v>
      </c>
      <c r="BV13" s="2">
        <v>68</v>
      </c>
      <c r="BW13" s="2">
        <v>83</v>
      </c>
      <c r="BX13" s="2">
        <v>118</v>
      </c>
      <c r="BY13" s="2">
        <v>57.7</v>
      </c>
      <c r="BZ13" s="2">
        <v>13.8</v>
      </c>
      <c r="CA13" s="2">
        <v>2.4</v>
      </c>
      <c r="CB13" s="2">
        <v>1.19277382289152E-4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10a</v>
      </c>
      <c r="J14" s="47">
        <f t="shared" ca="1" si="35"/>
        <v>9</v>
      </c>
      <c r="K14" s="19">
        <f t="shared" ca="1" si="36"/>
        <v>-8.6999999999999993</v>
      </c>
      <c r="L14" s="116" t="str">
        <f t="shared" ca="1" si="1"/>
        <v>EW_sand_Ruled_76</v>
      </c>
      <c r="M14" s="105" t="str">
        <f t="shared" ca="1" si="2"/>
        <v>API sand</v>
      </c>
      <c r="N14" s="47">
        <f t="shared" ca="1" si="3"/>
        <v>10</v>
      </c>
      <c r="O14" s="63">
        <f t="shared" ca="1" si="4"/>
        <v>0</v>
      </c>
      <c r="P14" s="63">
        <f t="shared" ca="1" si="5"/>
        <v>0</v>
      </c>
      <c r="Q14" s="47">
        <f t="shared" ca="1" si="6"/>
        <v>39</v>
      </c>
      <c r="R14" s="47">
        <f t="shared" ca="1" si="7"/>
        <v>34</v>
      </c>
      <c r="S14" s="47">
        <f t="shared" ca="1" si="8"/>
        <v>0.9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82600</v>
      </c>
      <c r="Y14" s="47">
        <f t="shared" ca="1" si="14"/>
        <v>0</v>
      </c>
      <c r="Z14" s="47">
        <f t="shared" ca="1" si="15"/>
        <v>111.19999999999996</v>
      </c>
      <c r="AA14" s="47">
        <f t="shared" ca="1" si="16"/>
        <v>1</v>
      </c>
      <c r="AB14" s="47">
        <f t="shared" ca="1" si="17"/>
        <v>11520</v>
      </c>
      <c r="AC14" s="63">
        <f t="shared" ca="1" si="18"/>
        <v>102000</v>
      </c>
      <c r="AD14" s="63">
        <f t="shared" ca="1" si="19"/>
        <v>3577.2357723577234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48.000000000000007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76</v>
      </c>
      <c r="AS14" s="33">
        <f t="shared" ca="1" si="34"/>
        <v>0.4</v>
      </c>
      <c r="AW14" s="2">
        <v>3</v>
      </c>
      <c r="AX14" s="2" t="s">
        <v>298</v>
      </c>
      <c r="AY14" s="130">
        <v>37.1</v>
      </c>
      <c r="AZ14" s="2">
        <v>18.5</v>
      </c>
      <c r="BA14" s="2">
        <v>30</v>
      </c>
      <c r="BB14" s="2">
        <v>88</v>
      </c>
      <c r="BC14" s="2">
        <v>3</v>
      </c>
      <c r="BD14" s="2">
        <v>1.6</v>
      </c>
      <c r="BE14" s="2">
        <v>1.8</v>
      </c>
      <c r="BF14" s="2">
        <v>1.9</v>
      </c>
      <c r="BG14" s="2">
        <v>2</v>
      </c>
      <c r="BH14" s="2">
        <v>2.2000000000000002</v>
      </c>
      <c r="BI14" s="2">
        <v>38</v>
      </c>
      <c r="BJ14" s="2">
        <v>82</v>
      </c>
      <c r="BK14" s="2">
        <v>102</v>
      </c>
      <c r="BL14" s="2">
        <v>123</v>
      </c>
      <c r="BM14" s="2">
        <v>166</v>
      </c>
      <c r="BN14" s="2"/>
      <c r="BO14" s="2"/>
      <c r="BP14" s="2"/>
      <c r="BQ14" s="2"/>
      <c r="BR14" s="2"/>
      <c r="BS14" s="2"/>
      <c r="BT14" s="2">
        <v>17</v>
      </c>
      <c r="BU14" s="2">
        <v>51</v>
      </c>
      <c r="BV14" s="2">
        <v>75</v>
      </c>
      <c r="BW14" s="2">
        <v>99</v>
      </c>
      <c r="BX14" s="2">
        <v>147</v>
      </c>
      <c r="BY14" s="2">
        <v>13.2</v>
      </c>
      <c r="BZ14" s="2">
        <v>9.8000000000000007</v>
      </c>
      <c r="CA14" s="2">
        <v>3</v>
      </c>
      <c r="CB14" s="2">
        <v>5.7227217489431304E-9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10b</v>
      </c>
      <c r="J15" s="47">
        <f t="shared" ca="1" si="35"/>
        <v>10</v>
      </c>
      <c r="K15" s="19">
        <f t="shared" ca="1" si="36"/>
        <v>-21</v>
      </c>
      <c r="L15" s="116" t="str">
        <f t="shared" ca="1" si="1"/>
        <v>EW_sand_Ruled_88</v>
      </c>
      <c r="M15" s="105" t="str">
        <f t="shared" ca="1" si="2"/>
        <v>API sand</v>
      </c>
      <c r="N15" s="47">
        <f t="shared" ca="1" si="3"/>
        <v>9.8999999999999986</v>
      </c>
      <c r="O15" s="63">
        <f t="shared" ca="1" si="4"/>
        <v>0</v>
      </c>
      <c r="P15" s="63">
        <f t="shared" ca="1" si="5"/>
        <v>0</v>
      </c>
      <c r="Q15" s="47">
        <f t="shared" ca="1" si="6"/>
        <v>41</v>
      </c>
      <c r="R15" s="47">
        <f t="shared" ca="1" si="7"/>
        <v>36</v>
      </c>
      <c r="S15" s="47">
        <f t="shared" ca="1" si="8"/>
        <v>0.9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149900</v>
      </c>
      <c r="Y15" s="47">
        <f t="shared" ca="1" si="14"/>
        <v>0</v>
      </c>
      <c r="Z15" s="47">
        <f t="shared" ca="1" si="15"/>
        <v>114.99999999999996</v>
      </c>
      <c r="AA15" s="47">
        <f t="shared" ca="1" si="16"/>
        <v>1</v>
      </c>
      <c r="AB15" s="47">
        <f t="shared" ca="1" si="17"/>
        <v>12000</v>
      </c>
      <c r="AC15" s="63">
        <f t="shared" ca="1" si="18"/>
        <v>166000</v>
      </c>
      <c r="AD15" s="63">
        <f t="shared" ca="1" si="19"/>
        <v>3400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50.000000000000007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88</v>
      </c>
      <c r="AS15" s="33">
        <f t="shared" ca="1" si="34"/>
        <v>0.4</v>
      </c>
      <c r="AW15" s="2">
        <v>4</v>
      </c>
      <c r="AX15" s="2" t="s">
        <v>298</v>
      </c>
      <c r="AY15" s="130">
        <v>37.1</v>
      </c>
      <c r="AZ15" s="2">
        <v>18.5</v>
      </c>
      <c r="BA15" s="2">
        <v>30</v>
      </c>
      <c r="BB15" s="2">
        <v>88</v>
      </c>
      <c r="BC15" s="2">
        <v>3</v>
      </c>
      <c r="BD15" s="2">
        <v>1.3</v>
      </c>
      <c r="BE15" s="2">
        <v>1.5</v>
      </c>
      <c r="BF15" s="2">
        <v>1.6</v>
      </c>
      <c r="BG15" s="2">
        <v>1.8</v>
      </c>
      <c r="BH15" s="2">
        <v>2</v>
      </c>
      <c r="BI15" s="2">
        <v>22</v>
      </c>
      <c r="BJ15" s="2">
        <v>66</v>
      </c>
      <c r="BK15" s="2">
        <v>86</v>
      </c>
      <c r="BL15" s="2">
        <v>107</v>
      </c>
      <c r="BM15" s="2">
        <v>150</v>
      </c>
      <c r="BN15" s="2"/>
      <c r="BO15" s="2"/>
      <c r="BP15" s="2"/>
      <c r="BQ15" s="2"/>
      <c r="BR15" s="2"/>
      <c r="BS15" s="2"/>
      <c r="BT15" s="2">
        <v>4</v>
      </c>
      <c r="BU15" s="2">
        <v>37</v>
      </c>
      <c r="BV15" s="2">
        <v>62</v>
      </c>
      <c r="BW15" s="2">
        <v>86</v>
      </c>
      <c r="BX15" s="2">
        <v>134</v>
      </c>
      <c r="BY15" s="2">
        <v>13.2</v>
      </c>
      <c r="BZ15" s="2">
        <v>9.8000000000000007</v>
      </c>
      <c r="CA15" s="2">
        <v>3</v>
      </c>
      <c r="CB15" s="2">
        <v>5.7227217489431304E-9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10b</v>
      </c>
      <c r="J16" s="47">
        <f t="shared" ca="1" si="35"/>
        <v>11</v>
      </c>
      <c r="K16" s="19">
        <f t="shared" ca="1" si="36"/>
        <v>-26</v>
      </c>
      <c r="L16" s="116" t="str">
        <f t="shared" ca="1" si="1"/>
        <v>EW_sand_Ruled_65</v>
      </c>
      <c r="M16" s="105" t="str">
        <f t="shared" ca="1" si="2"/>
        <v>API sand</v>
      </c>
      <c r="N16" s="47">
        <f t="shared" ca="1" si="3"/>
        <v>9.8999999999999986</v>
      </c>
      <c r="O16" s="63">
        <f t="shared" ca="1" si="4"/>
        <v>0</v>
      </c>
      <c r="P16" s="63">
        <f t="shared" ca="1" si="5"/>
        <v>0</v>
      </c>
      <c r="Q16" s="47">
        <f t="shared" ca="1" si="6"/>
        <v>37</v>
      </c>
      <c r="R16" s="47">
        <f t="shared" ca="1" si="7"/>
        <v>32</v>
      </c>
      <c r="S16" s="47">
        <f t="shared" ca="1" si="8"/>
        <v>0.6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58900</v>
      </c>
      <c r="Y16" s="47">
        <f t="shared" ca="1" si="14"/>
        <v>0</v>
      </c>
      <c r="Z16" s="47">
        <f t="shared" ca="1" si="15"/>
        <v>103.59999999999997</v>
      </c>
      <c r="AA16" s="47">
        <f t="shared" ca="1" si="16"/>
        <v>1</v>
      </c>
      <c r="AB16" s="47">
        <f t="shared" ca="1" si="17"/>
        <v>10560</v>
      </c>
      <c r="AC16" s="63">
        <f t="shared" ca="1" si="18"/>
        <v>170000</v>
      </c>
      <c r="AD16" s="63">
        <f t="shared" ca="1" si="19"/>
        <v>-6000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44.000000000000007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65</v>
      </c>
      <c r="AS16" s="33">
        <f t="shared" ca="1" si="34"/>
        <v>0.4</v>
      </c>
      <c r="AW16" s="2">
        <v>4</v>
      </c>
      <c r="AX16" s="2" t="s">
        <v>295</v>
      </c>
      <c r="AY16" s="130">
        <v>25.8</v>
      </c>
      <c r="AZ16" s="2">
        <v>19.399999999999999</v>
      </c>
      <c r="BA16" s="2"/>
      <c r="BB16" s="2">
        <v>2</v>
      </c>
      <c r="BC16" s="2"/>
      <c r="BD16" s="2">
        <v>3.6</v>
      </c>
      <c r="BE16" s="2">
        <v>4.9000000000000004</v>
      </c>
      <c r="BF16" s="2">
        <v>5.2</v>
      </c>
      <c r="BG16" s="2">
        <v>5.6</v>
      </c>
      <c r="BH16" s="2">
        <v>6.8</v>
      </c>
      <c r="BI16" s="2"/>
      <c r="BJ16" s="2"/>
      <c r="BK16" s="2"/>
      <c r="BL16" s="2"/>
      <c r="BM16" s="2"/>
      <c r="BN16" s="2">
        <v>43</v>
      </c>
      <c r="BO16" s="2">
        <v>31</v>
      </c>
      <c r="BP16" s="2">
        <v>36</v>
      </c>
      <c r="BQ16" s="2">
        <v>39</v>
      </c>
      <c r="BR16" s="2">
        <v>42</v>
      </c>
      <c r="BS16" s="2">
        <v>47</v>
      </c>
      <c r="BT16" s="2">
        <v>6</v>
      </c>
      <c r="BU16" s="2">
        <v>41</v>
      </c>
      <c r="BV16" s="2">
        <v>55</v>
      </c>
      <c r="BW16" s="2">
        <v>70</v>
      </c>
      <c r="BX16" s="2">
        <v>105</v>
      </c>
      <c r="BY16" s="2">
        <v>22.4</v>
      </c>
      <c r="BZ16" s="2">
        <v>3.6</v>
      </c>
      <c r="CA16" s="2">
        <v>1.1000000000000001</v>
      </c>
      <c r="CB16" s="2">
        <v>1.5251641641797901E-7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10b</v>
      </c>
      <c r="J17" s="47">
        <f t="shared" ca="1" si="35"/>
        <v>12</v>
      </c>
      <c r="K17" s="19">
        <f t="shared" ca="1" si="36"/>
        <v>-30</v>
      </c>
      <c r="L17" s="116" t="str">
        <f t="shared" ca="1" si="1"/>
        <v>EW_sand_Ruled_69</v>
      </c>
      <c r="M17" s="105" t="str">
        <f t="shared" ca="1" si="2"/>
        <v>API sand</v>
      </c>
      <c r="N17" s="47">
        <f t="shared" ca="1" si="3"/>
        <v>9.8999999999999986</v>
      </c>
      <c r="O17" s="63">
        <f t="shared" ca="1" si="4"/>
        <v>0</v>
      </c>
      <c r="P17" s="63">
        <f t="shared" ca="1" si="5"/>
        <v>0</v>
      </c>
      <c r="Q17" s="47">
        <f t="shared" ca="1" si="6"/>
        <v>38</v>
      </c>
      <c r="R17" s="47">
        <f t="shared" ca="1" si="7"/>
        <v>33</v>
      </c>
      <c r="S17" s="47">
        <f t="shared" ca="1" si="8"/>
        <v>0.6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66700</v>
      </c>
      <c r="Y17" s="47">
        <f t="shared" ca="1" si="14"/>
        <v>0</v>
      </c>
      <c r="Z17" s="47">
        <f t="shared" ca="1" si="15"/>
        <v>107.39999999999996</v>
      </c>
      <c r="AA17" s="47">
        <f t="shared" ca="1" si="16"/>
        <v>1</v>
      </c>
      <c r="AB17" s="47">
        <f t="shared" ca="1" si="17"/>
        <v>11040</v>
      </c>
      <c r="AC17" s="63">
        <f t="shared" ca="1" si="18"/>
        <v>162000</v>
      </c>
      <c r="AD17" s="63">
        <f t="shared" ca="1" si="19"/>
        <v>4500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46.000000000000007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69</v>
      </c>
      <c r="AS17" s="33">
        <f t="shared" ca="1" si="34"/>
        <v>0.4</v>
      </c>
      <c r="AW17" s="2">
        <v>5.8</v>
      </c>
      <c r="AX17" s="2" t="s">
        <v>295</v>
      </c>
      <c r="AY17" s="130">
        <v>25.8</v>
      </c>
      <c r="AZ17" s="2">
        <v>19.399999999999999</v>
      </c>
      <c r="BA17" s="2"/>
      <c r="BB17" s="2">
        <v>2</v>
      </c>
      <c r="BC17" s="2"/>
      <c r="BD17" s="2">
        <v>4.7</v>
      </c>
      <c r="BE17" s="2">
        <v>5.9</v>
      </c>
      <c r="BF17" s="2">
        <v>6.3</v>
      </c>
      <c r="BG17" s="2">
        <v>6.6</v>
      </c>
      <c r="BH17" s="2">
        <v>7.9</v>
      </c>
      <c r="BI17" s="2"/>
      <c r="BJ17" s="2"/>
      <c r="BK17" s="2"/>
      <c r="BL17" s="2"/>
      <c r="BM17" s="2"/>
      <c r="BN17" s="2">
        <v>43</v>
      </c>
      <c r="BO17" s="2">
        <v>31</v>
      </c>
      <c r="BP17" s="2">
        <v>36</v>
      </c>
      <c r="BQ17" s="2">
        <v>39</v>
      </c>
      <c r="BR17" s="2">
        <v>42</v>
      </c>
      <c r="BS17" s="2">
        <v>47</v>
      </c>
      <c r="BT17" s="2">
        <v>16</v>
      </c>
      <c r="BU17" s="2">
        <v>50</v>
      </c>
      <c r="BV17" s="2">
        <v>65</v>
      </c>
      <c r="BW17" s="2">
        <v>79</v>
      </c>
      <c r="BX17" s="2">
        <v>114</v>
      </c>
      <c r="BY17" s="2">
        <v>22.4</v>
      </c>
      <c r="BZ17" s="2">
        <v>3.6</v>
      </c>
      <c r="CA17" s="2">
        <v>1.1000000000000001</v>
      </c>
      <c r="CB17" s="2">
        <v>1.5251641641797901E-7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21a</v>
      </c>
      <c r="J18" s="47">
        <f t="shared" ca="1" si="35"/>
        <v>13</v>
      </c>
      <c r="K18" s="19">
        <f t="shared" ca="1" si="36"/>
        <v>-38</v>
      </c>
      <c r="L18" s="116" t="str">
        <f t="shared" ca="1" si="1"/>
        <v>EW_sand_Ruled_56</v>
      </c>
      <c r="M18" s="105" t="str">
        <f t="shared" ca="1" si="2"/>
        <v>API sand</v>
      </c>
      <c r="N18" s="47">
        <f t="shared" ca="1" si="3"/>
        <v>9.8000000000000007</v>
      </c>
      <c r="O18" s="63">
        <f t="shared" ca="1" si="4"/>
        <v>0</v>
      </c>
      <c r="P18" s="63">
        <f t="shared" ca="1" si="5"/>
        <v>0</v>
      </c>
      <c r="Q18" s="47">
        <f t="shared" ca="1" si="6"/>
        <v>27</v>
      </c>
      <c r="R18" s="47">
        <f t="shared" ca="1" si="7"/>
        <v>22</v>
      </c>
      <c r="S18" s="47">
        <f t="shared" ca="1" si="8"/>
        <v>0.8</v>
      </c>
      <c r="T18" s="47">
        <f t="shared" ca="1" si="9"/>
        <v>0</v>
      </c>
      <c r="U18" s="75">
        <f t="shared" ca="1" si="10"/>
        <v>0</v>
      </c>
      <c r="V18" s="75">
        <f t="shared" ca="1" si="11"/>
        <v>0</v>
      </c>
      <c r="W18" s="47">
        <f t="shared" ca="1" si="12"/>
        <v>0</v>
      </c>
      <c r="X18" s="47">
        <f t="shared" ca="1" si="13"/>
        <v>34200</v>
      </c>
      <c r="Y18" s="47">
        <f t="shared" ca="1" si="14"/>
        <v>0</v>
      </c>
      <c r="Z18" s="47">
        <f t="shared" ca="1" si="15"/>
        <v>72.59999999999998</v>
      </c>
      <c r="AA18" s="47">
        <f t="shared" ca="1" si="16"/>
        <v>1</v>
      </c>
      <c r="AB18" s="47">
        <f t="shared" ca="1" si="17"/>
        <v>3660</v>
      </c>
      <c r="AC18" s="63">
        <f t="shared" ca="1" si="18"/>
        <v>165000</v>
      </c>
      <c r="AD18" s="63">
        <f t="shared" ca="1" si="19"/>
        <v>2602.7397260273983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>
        <f t="shared" ca="1" si="25"/>
        <v>15.200000000000003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56</v>
      </c>
      <c r="AS18" s="33">
        <f t="shared" ca="1" si="34"/>
        <v>0.2</v>
      </c>
      <c r="AW18" s="2">
        <v>5.8</v>
      </c>
      <c r="AX18" s="2" t="s">
        <v>295</v>
      </c>
      <c r="AY18" s="130">
        <v>25.8</v>
      </c>
      <c r="AZ18" s="2">
        <v>19.399999999999999</v>
      </c>
      <c r="BA18" s="2"/>
      <c r="BB18" s="2">
        <v>2</v>
      </c>
      <c r="BC18" s="2"/>
      <c r="BD18" s="2">
        <v>11</v>
      </c>
      <c r="BE18" s="2">
        <v>13.4</v>
      </c>
      <c r="BF18" s="2">
        <v>14</v>
      </c>
      <c r="BG18" s="2">
        <v>14.6</v>
      </c>
      <c r="BH18" s="2">
        <v>17.2</v>
      </c>
      <c r="BI18" s="2"/>
      <c r="BJ18" s="2"/>
      <c r="BK18" s="2"/>
      <c r="BL18" s="2"/>
      <c r="BM18" s="2"/>
      <c r="BN18" s="2">
        <v>62</v>
      </c>
      <c r="BO18" s="2">
        <v>31</v>
      </c>
      <c r="BP18" s="2">
        <v>38</v>
      </c>
      <c r="BQ18" s="2">
        <v>41</v>
      </c>
      <c r="BR18" s="2">
        <v>44</v>
      </c>
      <c r="BS18" s="2">
        <v>51</v>
      </c>
      <c r="BT18" s="2">
        <v>19</v>
      </c>
      <c r="BU18" s="2">
        <v>64</v>
      </c>
      <c r="BV18" s="2">
        <v>82</v>
      </c>
      <c r="BW18" s="2">
        <v>100</v>
      </c>
      <c r="BX18" s="2">
        <v>145</v>
      </c>
      <c r="BY18" s="2">
        <v>45.5</v>
      </c>
      <c r="BZ18" s="2">
        <v>4.3</v>
      </c>
      <c r="CA18" s="2">
        <v>1.2</v>
      </c>
      <c r="CB18" s="2">
        <v>2.6046134259927801E-6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23d</v>
      </c>
      <c r="J19" s="47">
        <f t="shared" ca="1" si="35"/>
        <v>14</v>
      </c>
      <c r="K19" s="19">
        <f t="shared" ca="1" si="36"/>
        <v>-45.3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8.8999999999999986</v>
      </c>
      <c r="O19" s="63">
        <f t="shared" ca="1" si="4"/>
        <v>362</v>
      </c>
      <c r="P19" s="63">
        <f t="shared" ca="1" si="5"/>
        <v>5.878962536023054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1.9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0.25</v>
      </c>
      <c r="X19" s="47">
        <f t="shared" ca="1" si="13"/>
        <v>40900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535000</v>
      </c>
      <c r="AD19" s="63">
        <f t="shared" ca="1" si="19"/>
        <v>10749.279538904899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8</v>
      </c>
      <c r="AX19" s="2" t="s">
        <v>295</v>
      </c>
      <c r="AY19" s="130">
        <v>25.8</v>
      </c>
      <c r="AZ19" s="2">
        <v>19.399999999999999</v>
      </c>
      <c r="BA19" s="2"/>
      <c r="BB19" s="2">
        <v>2</v>
      </c>
      <c r="BC19" s="2"/>
      <c r="BD19" s="2">
        <v>2.5</v>
      </c>
      <c r="BE19" s="2">
        <v>4.9000000000000004</v>
      </c>
      <c r="BF19" s="2">
        <v>5.4</v>
      </c>
      <c r="BG19" s="2">
        <v>6</v>
      </c>
      <c r="BH19" s="2">
        <v>8.6</v>
      </c>
      <c r="BI19" s="2"/>
      <c r="BJ19" s="2"/>
      <c r="BK19" s="2"/>
      <c r="BL19" s="2"/>
      <c r="BM19" s="2"/>
      <c r="BN19" s="2">
        <v>62</v>
      </c>
      <c r="BO19" s="2">
        <v>31</v>
      </c>
      <c r="BP19" s="2">
        <v>38</v>
      </c>
      <c r="BQ19" s="2">
        <v>41</v>
      </c>
      <c r="BR19" s="2">
        <v>44</v>
      </c>
      <c r="BS19" s="2">
        <v>51</v>
      </c>
      <c r="BT19" s="2">
        <v>9</v>
      </c>
      <c r="BU19" s="2">
        <v>53</v>
      </c>
      <c r="BV19" s="2">
        <v>72</v>
      </c>
      <c r="BW19" s="2">
        <v>90</v>
      </c>
      <c r="BX19" s="2">
        <v>135</v>
      </c>
      <c r="BY19" s="2">
        <v>45.5</v>
      </c>
      <c r="BZ19" s="2">
        <v>4.3</v>
      </c>
      <c r="CA19" s="2">
        <v>1.2</v>
      </c>
      <c r="CB19" s="2">
        <v>2.6046134259927801E-6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8</v>
      </c>
      <c r="AX20" s="2" t="s">
        <v>296</v>
      </c>
      <c r="AY20" s="130">
        <v>28</v>
      </c>
      <c r="AZ20" s="2">
        <v>19.5</v>
      </c>
      <c r="BA20" s="2">
        <v>11</v>
      </c>
      <c r="BB20" s="2">
        <v>34</v>
      </c>
      <c r="BC20" s="2">
        <v>4</v>
      </c>
      <c r="BD20" s="2">
        <v>2.4</v>
      </c>
      <c r="BE20" s="2">
        <v>2.6</v>
      </c>
      <c r="BF20" s="2">
        <v>2.7</v>
      </c>
      <c r="BG20" s="2">
        <v>3.1</v>
      </c>
      <c r="BH20" s="2">
        <v>4</v>
      </c>
      <c r="BI20" s="2">
        <v>35</v>
      </c>
      <c r="BJ20" s="2">
        <v>109</v>
      </c>
      <c r="BK20" s="2">
        <v>142</v>
      </c>
      <c r="BL20" s="2">
        <v>181</v>
      </c>
      <c r="BM20" s="2">
        <v>268</v>
      </c>
      <c r="BN20" s="2"/>
      <c r="BO20" s="2"/>
      <c r="BP20" s="2"/>
      <c r="BQ20" s="2"/>
      <c r="BR20" s="2"/>
      <c r="BS20" s="2"/>
      <c r="BT20" s="2">
        <v>8</v>
      </c>
      <c r="BU20" s="2">
        <v>73</v>
      </c>
      <c r="BV20" s="2">
        <v>124</v>
      </c>
      <c r="BW20" s="2">
        <v>178</v>
      </c>
      <c r="BX20" s="2">
        <v>290</v>
      </c>
      <c r="BY20" s="2">
        <v>26.4</v>
      </c>
      <c r="BZ20" s="2">
        <v>8.4</v>
      </c>
      <c r="CA20" s="2">
        <v>3</v>
      </c>
      <c r="CB20" s="2">
        <v>4.6052600306298899E-10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t="shared" ca="1" si="36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8.6999999999999993</v>
      </c>
      <c r="AX21" s="2" t="s">
        <v>296</v>
      </c>
      <c r="AY21" s="130">
        <v>28</v>
      </c>
      <c r="AZ21" s="2">
        <v>19.5</v>
      </c>
      <c r="BA21" s="2">
        <v>11</v>
      </c>
      <c r="BB21" s="2">
        <v>34</v>
      </c>
      <c r="BC21" s="2">
        <v>4</v>
      </c>
      <c r="BD21" s="2">
        <v>3.2</v>
      </c>
      <c r="BE21" s="2">
        <v>3.3</v>
      </c>
      <c r="BF21" s="2">
        <v>3.5</v>
      </c>
      <c r="BG21" s="2">
        <v>3.8</v>
      </c>
      <c r="BH21" s="2">
        <v>4.7</v>
      </c>
      <c r="BI21" s="2">
        <v>75</v>
      </c>
      <c r="BJ21" s="2">
        <v>149</v>
      </c>
      <c r="BK21" s="2">
        <v>182</v>
      </c>
      <c r="BL21" s="2">
        <v>221</v>
      </c>
      <c r="BM21" s="2">
        <v>308</v>
      </c>
      <c r="BN21" s="2"/>
      <c r="BO21" s="2"/>
      <c r="BP21" s="2"/>
      <c r="BQ21" s="2"/>
      <c r="BR21" s="2"/>
      <c r="BS21" s="2"/>
      <c r="BT21" s="2">
        <v>50</v>
      </c>
      <c r="BU21" s="2">
        <v>116</v>
      </c>
      <c r="BV21" s="2">
        <v>167</v>
      </c>
      <c r="BW21" s="2">
        <v>221</v>
      </c>
      <c r="BX21" s="2">
        <v>333</v>
      </c>
      <c r="BY21" s="2">
        <v>26.4</v>
      </c>
      <c r="BZ21" s="2">
        <v>8.4</v>
      </c>
      <c r="CA21" s="2">
        <v>3</v>
      </c>
      <c r="CB21" s="2">
        <v>4.6052600306298899E-10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ca="1" si="36"/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8.6999999999999993</v>
      </c>
      <c r="AX22" s="2" t="s">
        <v>259</v>
      </c>
      <c r="AY22" s="130">
        <v>25.5</v>
      </c>
      <c r="AZ22" s="2">
        <v>20</v>
      </c>
      <c r="BA22" s="2"/>
      <c r="BB22" s="2">
        <v>14</v>
      </c>
      <c r="BC22" s="2"/>
      <c r="BD22" s="2">
        <v>12.2</v>
      </c>
      <c r="BE22" s="2">
        <v>19.600000000000001</v>
      </c>
      <c r="BF22" s="2">
        <v>20.2</v>
      </c>
      <c r="BG22" s="2">
        <v>20.7</v>
      </c>
      <c r="BH22" s="2">
        <v>27.4</v>
      </c>
      <c r="BI22" s="2"/>
      <c r="BJ22" s="2"/>
      <c r="BK22" s="2"/>
      <c r="BL22" s="2"/>
      <c r="BM22" s="2"/>
      <c r="BN22" s="2">
        <v>76</v>
      </c>
      <c r="BO22" s="2">
        <v>33</v>
      </c>
      <c r="BP22" s="2">
        <v>39</v>
      </c>
      <c r="BQ22" s="2">
        <v>42</v>
      </c>
      <c r="BR22" s="2">
        <v>45</v>
      </c>
      <c r="BS22" s="2">
        <v>51</v>
      </c>
      <c r="BT22" s="2">
        <v>8</v>
      </c>
      <c r="BU22" s="2">
        <v>73</v>
      </c>
      <c r="BV22" s="2">
        <v>102</v>
      </c>
      <c r="BW22" s="2">
        <v>132</v>
      </c>
      <c r="BX22" s="2">
        <v>204</v>
      </c>
      <c r="BY22" s="2">
        <v>82.6</v>
      </c>
      <c r="BZ22" s="2">
        <v>2.7</v>
      </c>
      <c r="CA22" s="2">
        <v>0.9</v>
      </c>
      <c r="CB22" s="2">
        <v>1.68224324413455E-6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6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21</v>
      </c>
      <c r="AX23" s="2" t="s">
        <v>259</v>
      </c>
      <c r="AY23" s="130">
        <v>25.5</v>
      </c>
      <c r="AZ23" s="2">
        <v>20</v>
      </c>
      <c r="BA23" s="2"/>
      <c r="BB23" s="2">
        <v>14</v>
      </c>
      <c r="BC23" s="2"/>
      <c r="BD23" s="2">
        <v>13.6</v>
      </c>
      <c r="BE23" s="2">
        <v>21</v>
      </c>
      <c r="BF23" s="2">
        <v>21.6</v>
      </c>
      <c r="BG23" s="2">
        <v>22.1</v>
      </c>
      <c r="BH23" s="2">
        <v>28.8</v>
      </c>
      <c r="BI23" s="2"/>
      <c r="BJ23" s="2"/>
      <c r="BK23" s="2"/>
      <c r="BL23" s="2"/>
      <c r="BM23" s="2"/>
      <c r="BN23" s="2">
        <v>76</v>
      </c>
      <c r="BO23" s="2">
        <v>33</v>
      </c>
      <c r="BP23" s="2">
        <v>39</v>
      </c>
      <c r="BQ23" s="2">
        <v>42</v>
      </c>
      <c r="BR23" s="2">
        <v>45</v>
      </c>
      <c r="BS23" s="2">
        <v>51</v>
      </c>
      <c r="BT23" s="2">
        <v>52</v>
      </c>
      <c r="BU23" s="2">
        <v>117</v>
      </c>
      <c r="BV23" s="2">
        <v>146</v>
      </c>
      <c r="BW23" s="2">
        <v>175</v>
      </c>
      <c r="BX23" s="2">
        <v>247</v>
      </c>
      <c r="BY23" s="2">
        <v>82.6</v>
      </c>
      <c r="BZ23" s="2">
        <v>2.7</v>
      </c>
      <c r="CA23" s="2">
        <v>0.9</v>
      </c>
      <c r="CB23" s="2">
        <v>1.68224324413455E-6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6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21</v>
      </c>
      <c r="AX24" s="2" t="s">
        <v>261</v>
      </c>
      <c r="AY24" s="130">
        <v>24</v>
      </c>
      <c r="AZ24" s="2">
        <v>19.899999999999999</v>
      </c>
      <c r="BA24" s="2"/>
      <c r="BB24" s="2">
        <v>6</v>
      </c>
      <c r="BC24" s="2"/>
      <c r="BD24" s="2">
        <v>21.9</v>
      </c>
      <c r="BE24" s="2">
        <v>32.6</v>
      </c>
      <c r="BF24" s="2">
        <v>34</v>
      </c>
      <c r="BG24" s="2">
        <v>34.9</v>
      </c>
      <c r="BH24" s="2">
        <v>42.5</v>
      </c>
      <c r="BI24" s="2"/>
      <c r="BJ24" s="2"/>
      <c r="BK24" s="2"/>
      <c r="BL24" s="2"/>
      <c r="BM24" s="2"/>
      <c r="BN24" s="2">
        <v>88</v>
      </c>
      <c r="BO24" s="2">
        <v>35</v>
      </c>
      <c r="BP24" s="2">
        <v>41</v>
      </c>
      <c r="BQ24" s="2">
        <v>44</v>
      </c>
      <c r="BR24" s="2">
        <v>47</v>
      </c>
      <c r="BS24" s="2">
        <v>53</v>
      </c>
      <c r="BT24" s="2">
        <v>23</v>
      </c>
      <c r="BU24" s="2">
        <v>125</v>
      </c>
      <c r="BV24" s="2">
        <v>166</v>
      </c>
      <c r="BW24" s="2">
        <v>206</v>
      </c>
      <c r="BX24" s="2">
        <v>308</v>
      </c>
      <c r="BY24" s="2">
        <v>149.9</v>
      </c>
      <c r="BZ24" s="2">
        <v>2.7</v>
      </c>
      <c r="CA24" s="2">
        <v>0.9</v>
      </c>
      <c r="CB24" s="2">
        <v>2.9019942841703099E-6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6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26</v>
      </c>
      <c r="AX25" s="2" t="s">
        <v>261</v>
      </c>
      <c r="AY25" s="130">
        <v>24</v>
      </c>
      <c r="AZ25" s="2">
        <v>19.899999999999999</v>
      </c>
      <c r="BA25" s="2"/>
      <c r="BB25" s="2">
        <v>6</v>
      </c>
      <c r="BC25" s="2"/>
      <c r="BD25" s="2">
        <v>27</v>
      </c>
      <c r="BE25" s="2">
        <v>37.700000000000003</v>
      </c>
      <c r="BF25" s="2">
        <v>39.1</v>
      </c>
      <c r="BG25" s="2">
        <v>40</v>
      </c>
      <c r="BH25" s="2">
        <v>47.6</v>
      </c>
      <c r="BI25" s="2"/>
      <c r="BJ25" s="2"/>
      <c r="BK25" s="2"/>
      <c r="BL25" s="2"/>
      <c r="BM25" s="2"/>
      <c r="BN25" s="2">
        <v>88</v>
      </c>
      <c r="BO25" s="2">
        <v>35</v>
      </c>
      <c r="BP25" s="2">
        <v>41</v>
      </c>
      <c r="BQ25" s="2">
        <v>44</v>
      </c>
      <c r="BR25" s="2">
        <v>47</v>
      </c>
      <c r="BS25" s="2">
        <v>53</v>
      </c>
      <c r="BT25" s="2">
        <v>40</v>
      </c>
      <c r="BU25" s="2">
        <v>142</v>
      </c>
      <c r="BV25" s="2">
        <v>183</v>
      </c>
      <c r="BW25" s="2">
        <v>223</v>
      </c>
      <c r="BX25" s="2">
        <v>325</v>
      </c>
      <c r="BY25" s="2">
        <v>149.9</v>
      </c>
      <c r="BZ25" s="2">
        <v>2.7</v>
      </c>
      <c r="CA25" s="2">
        <v>0.9</v>
      </c>
      <c r="CB25" s="2">
        <v>2.9019942841703099E-6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26</v>
      </c>
      <c r="AX26" s="2" t="s">
        <v>261</v>
      </c>
      <c r="AY26" s="130">
        <v>24</v>
      </c>
      <c r="AZ26" s="2">
        <v>19.899999999999999</v>
      </c>
      <c r="BA26" s="2"/>
      <c r="BB26" s="2">
        <v>6</v>
      </c>
      <c r="BC26" s="2"/>
      <c r="BD26" s="2">
        <v>21.8</v>
      </c>
      <c r="BE26" s="2">
        <v>26.1</v>
      </c>
      <c r="BF26" s="2">
        <v>26.7</v>
      </c>
      <c r="BG26" s="2">
        <v>27.4</v>
      </c>
      <c r="BH26" s="2">
        <v>31.6</v>
      </c>
      <c r="BI26" s="2"/>
      <c r="BJ26" s="2"/>
      <c r="BK26" s="2"/>
      <c r="BL26" s="2"/>
      <c r="BM26" s="2"/>
      <c r="BN26" s="2">
        <v>65</v>
      </c>
      <c r="BO26" s="2">
        <v>31</v>
      </c>
      <c r="BP26" s="2">
        <v>37</v>
      </c>
      <c r="BQ26" s="2">
        <v>40</v>
      </c>
      <c r="BR26" s="2">
        <v>44</v>
      </c>
      <c r="BS26" s="2">
        <v>49</v>
      </c>
      <c r="BT26" s="2">
        <v>54</v>
      </c>
      <c r="BU26" s="2">
        <v>133</v>
      </c>
      <c r="BV26" s="2">
        <v>170</v>
      </c>
      <c r="BW26" s="2">
        <v>207</v>
      </c>
      <c r="BX26" s="2">
        <v>299</v>
      </c>
      <c r="BY26" s="2">
        <v>58.9</v>
      </c>
      <c r="BZ26" s="2">
        <v>1.5</v>
      </c>
      <c r="CA26" s="2">
        <v>0.6</v>
      </c>
      <c r="CB26" s="2">
        <v>1.48210284460804E-7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30</v>
      </c>
      <c r="AX27" s="2" t="s">
        <v>261</v>
      </c>
      <c r="AY27" s="130">
        <v>24</v>
      </c>
      <c r="AZ27" s="2">
        <v>19.899999999999999</v>
      </c>
      <c r="BA27" s="2"/>
      <c r="BB27" s="2">
        <v>6</v>
      </c>
      <c r="BC27" s="2"/>
      <c r="BD27" s="2">
        <v>7.6</v>
      </c>
      <c r="BE27" s="2">
        <v>11.8</v>
      </c>
      <c r="BF27" s="2">
        <v>12.5</v>
      </c>
      <c r="BG27" s="2">
        <v>13.1</v>
      </c>
      <c r="BH27" s="2">
        <v>17.399999999999999</v>
      </c>
      <c r="BI27" s="2"/>
      <c r="BJ27" s="2"/>
      <c r="BK27" s="2"/>
      <c r="BL27" s="2"/>
      <c r="BM27" s="2"/>
      <c r="BN27" s="2">
        <v>65</v>
      </c>
      <c r="BO27" s="2">
        <v>31</v>
      </c>
      <c r="BP27" s="2">
        <v>37</v>
      </c>
      <c r="BQ27" s="2">
        <v>40</v>
      </c>
      <c r="BR27" s="2">
        <v>44</v>
      </c>
      <c r="BS27" s="2">
        <v>49</v>
      </c>
      <c r="BT27" s="2">
        <v>29</v>
      </c>
      <c r="BU27" s="2">
        <v>109</v>
      </c>
      <c r="BV27" s="2">
        <v>146</v>
      </c>
      <c r="BW27" s="2">
        <v>183</v>
      </c>
      <c r="BX27" s="2">
        <v>275</v>
      </c>
      <c r="BY27" s="2">
        <v>58.9</v>
      </c>
      <c r="BZ27" s="2">
        <v>1.5</v>
      </c>
      <c r="CA27" s="2">
        <v>0.6</v>
      </c>
      <c r="CB27" s="2">
        <v>1.48210284460804E-7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30</v>
      </c>
      <c r="AX28" s="2" t="s">
        <v>261</v>
      </c>
      <c r="AY28" s="130">
        <v>24</v>
      </c>
      <c r="AZ28" s="2">
        <v>19.899999999999999</v>
      </c>
      <c r="BA28" s="2"/>
      <c r="BB28" s="2">
        <v>6</v>
      </c>
      <c r="BC28" s="2"/>
      <c r="BD28" s="2">
        <v>10</v>
      </c>
      <c r="BE28" s="2">
        <v>16.600000000000001</v>
      </c>
      <c r="BF28" s="2">
        <v>17.3</v>
      </c>
      <c r="BG28" s="2">
        <v>18</v>
      </c>
      <c r="BH28" s="2">
        <v>25</v>
      </c>
      <c r="BI28" s="2"/>
      <c r="BJ28" s="2"/>
      <c r="BK28" s="2"/>
      <c r="BL28" s="2"/>
      <c r="BM28" s="2"/>
      <c r="BN28" s="2">
        <v>69</v>
      </c>
      <c r="BO28" s="2">
        <v>32</v>
      </c>
      <c r="BP28" s="2">
        <v>38</v>
      </c>
      <c r="BQ28" s="2">
        <v>41</v>
      </c>
      <c r="BR28" s="2">
        <v>44</v>
      </c>
      <c r="BS28" s="2">
        <v>50</v>
      </c>
      <c r="BT28" s="2">
        <v>30</v>
      </c>
      <c r="BU28" s="2">
        <v>120</v>
      </c>
      <c r="BV28" s="2">
        <v>162</v>
      </c>
      <c r="BW28" s="2">
        <v>204</v>
      </c>
      <c r="BX28" s="2">
        <v>309</v>
      </c>
      <c r="BY28" s="2">
        <v>66.7</v>
      </c>
      <c r="BZ28" s="2">
        <v>1.4</v>
      </c>
      <c r="CA28" s="2">
        <v>0.6</v>
      </c>
      <c r="CB28" s="2">
        <v>1.9276898324358599E-7</v>
      </c>
      <c r="CC28" s="2"/>
    </row>
    <row r="29" spans="1:81" x14ac:dyDescent="0.25">
      <c r="A29" s="66"/>
      <c r="B29" s="66"/>
      <c r="C29" s="67"/>
      <c r="D29" s="35"/>
      <c r="AW29" s="2">
        <v>38</v>
      </c>
      <c r="AX29" s="2" t="s">
        <v>261</v>
      </c>
      <c r="AY29" s="130">
        <v>24</v>
      </c>
      <c r="AZ29" s="2">
        <v>19.899999999999999</v>
      </c>
      <c r="BA29" s="2"/>
      <c r="BB29" s="2">
        <v>6</v>
      </c>
      <c r="BC29" s="2"/>
      <c r="BD29" s="2">
        <v>23.1</v>
      </c>
      <c r="BE29" s="2">
        <v>29.7</v>
      </c>
      <c r="BF29" s="2">
        <v>30.4</v>
      </c>
      <c r="BG29" s="2">
        <v>31.1</v>
      </c>
      <c r="BH29" s="2">
        <v>38.200000000000003</v>
      </c>
      <c r="BI29" s="2"/>
      <c r="BJ29" s="2"/>
      <c r="BK29" s="2"/>
      <c r="BL29" s="2"/>
      <c r="BM29" s="2"/>
      <c r="BN29" s="2">
        <v>69</v>
      </c>
      <c r="BO29" s="2">
        <v>32</v>
      </c>
      <c r="BP29" s="2">
        <v>38</v>
      </c>
      <c r="BQ29" s="2">
        <v>41</v>
      </c>
      <c r="BR29" s="2">
        <v>44</v>
      </c>
      <c r="BS29" s="2">
        <v>50</v>
      </c>
      <c r="BT29" s="2">
        <v>66</v>
      </c>
      <c r="BU29" s="2">
        <v>156</v>
      </c>
      <c r="BV29" s="2">
        <v>198</v>
      </c>
      <c r="BW29" s="2">
        <v>240</v>
      </c>
      <c r="BX29" s="2">
        <v>345</v>
      </c>
      <c r="BY29" s="2">
        <v>66.7</v>
      </c>
      <c r="BZ29" s="2">
        <v>1.4</v>
      </c>
      <c r="CA29" s="2">
        <v>0.6</v>
      </c>
      <c r="CB29" s="2">
        <v>1.9276898324358599E-7</v>
      </c>
      <c r="CC29" s="2"/>
    </row>
    <row r="30" spans="1:81" x14ac:dyDescent="0.25">
      <c r="A30" s="66"/>
      <c r="B30" s="66"/>
      <c r="C30" s="67"/>
      <c r="D30" s="35"/>
      <c r="AW30" s="2">
        <v>38</v>
      </c>
      <c r="AX30" s="2" t="s">
        <v>271</v>
      </c>
      <c r="AY30" s="130">
        <v>24.7</v>
      </c>
      <c r="AZ30" s="2">
        <v>19.8</v>
      </c>
      <c r="BA30" s="2"/>
      <c r="BB30" s="2">
        <v>11</v>
      </c>
      <c r="BC30" s="2"/>
      <c r="BD30" s="2">
        <v>12</v>
      </c>
      <c r="BE30" s="2">
        <v>13.8</v>
      </c>
      <c r="BF30" s="2">
        <v>14.2</v>
      </c>
      <c r="BG30" s="2">
        <v>15</v>
      </c>
      <c r="BH30" s="2">
        <v>19.3</v>
      </c>
      <c r="BI30" s="2"/>
      <c r="BJ30" s="2"/>
      <c r="BK30" s="2"/>
      <c r="BL30" s="2"/>
      <c r="BM30" s="2"/>
      <c r="BN30" s="2">
        <v>56</v>
      </c>
      <c r="BO30" s="2">
        <v>26</v>
      </c>
      <c r="BP30" s="2">
        <v>27</v>
      </c>
      <c r="BQ30" s="2">
        <v>29</v>
      </c>
      <c r="BR30" s="2">
        <v>32</v>
      </c>
      <c r="BS30" s="2">
        <v>36</v>
      </c>
      <c r="BT30" s="2">
        <v>38</v>
      </c>
      <c r="BU30" s="2">
        <v>124</v>
      </c>
      <c r="BV30" s="2">
        <v>165</v>
      </c>
      <c r="BW30" s="2">
        <v>206</v>
      </c>
      <c r="BX30" s="2">
        <v>308</v>
      </c>
      <c r="BY30" s="2">
        <v>34.200000000000003</v>
      </c>
      <c r="BZ30" s="2">
        <v>2</v>
      </c>
      <c r="CA30" s="2">
        <v>0.8</v>
      </c>
      <c r="CB30" s="2">
        <v>3.9424678008849503E-8</v>
      </c>
      <c r="CC30" s="2"/>
    </row>
    <row r="31" spans="1:81" x14ac:dyDescent="0.25">
      <c r="A31" s="66"/>
      <c r="B31" s="66"/>
      <c r="C31" s="67"/>
      <c r="D31" s="35"/>
      <c r="AW31" s="2">
        <v>45.3</v>
      </c>
      <c r="AX31" s="2" t="s">
        <v>271</v>
      </c>
      <c r="AY31" s="130">
        <v>24.7</v>
      </c>
      <c r="AZ31" s="2">
        <v>19.8</v>
      </c>
      <c r="BA31" s="2"/>
      <c r="BB31" s="2">
        <v>11</v>
      </c>
      <c r="BC31" s="2"/>
      <c r="BD31" s="2">
        <v>17.8</v>
      </c>
      <c r="BE31" s="2">
        <v>19.7</v>
      </c>
      <c r="BF31" s="2">
        <v>20.100000000000001</v>
      </c>
      <c r="BG31" s="2">
        <v>20.9</v>
      </c>
      <c r="BH31" s="2">
        <v>25.2</v>
      </c>
      <c r="BI31" s="2"/>
      <c r="BJ31" s="2"/>
      <c r="BK31" s="2"/>
      <c r="BL31" s="2"/>
      <c r="BM31" s="2"/>
      <c r="BN31" s="2">
        <v>56</v>
      </c>
      <c r="BO31" s="2">
        <v>26</v>
      </c>
      <c r="BP31" s="2">
        <v>27</v>
      </c>
      <c r="BQ31" s="2">
        <v>29</v>
      </c>
      <c r="BR31" s="2">
        <v>32</v>
      </c>
      <c r="BS31" s="2">
        <v>36</v>
      </c>
      <c r="BT31" s="2">
        <v>56</v>
      </c>
      <c r="BU31" s="2">
        <v>143</v>
      </c>
      <c r="BV31" s="2">
        <v>184</v>
      </c>
      <c r="BW31" s="2">
        <v>225</v>
      </c>
      <c r="BX31" s="2">
        <v>327</v>
      </c>
      <c r="BY31" s="2">
        <v>34.200000000000003</v>
      </c>
      <c r="BZ31" s="2">
        <v>2</v>
      </c>
      <c r="CA31" s="2">
        <v>0.8</v>
      </c>
      <c r="CB31" s="2">
        <v>3.9424678008849503E-8</v>
      </c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45.3</v>
      </c>
      <c r="AX32" s="2" t="s">
        <v>273</v>
      </c>
      <c r="AY32" s="130">
        <v>32</v>
      </c>
      <c r="AZ32" s="2">
        <v>18.899999999999999</v>
      </c>
      <c r="BA32" s="2">
        <v>47</v>
      </c>
      <c r="BB32" s="2">
        <v>85</v>
      </c>
      <c r="BC32" s="2">
        <v>3</v>
      </c>
      <c r="BD32" s="2">
        <v>1.6</v>
      </c>
      <c r="BE32" s="2">
        <v>7</v>
      </c>
      <c r="BF32" s="2">
        <v>9</v>
      </c>
      <c r="BG32" s="2">
        <v>22.9</v>
      </c>
      <c r="BH32" s="2">
        <v>65.8</v>
      </c>
      <c r="BI32" s="2">
        <v>276</v>
      </c>
      <c r="BJ32" s="2">
        <v>362</v>
      </c>
      <c r="BK32" s="2">
        <v>405</v>
      </c>
      <c r="BL32" s="2">
        <v>449</v>
      </c>
      <c r="BM32" s="2">
        <v>535</v>
      </c>
      <c r="BN32" s="2"/>
      <c r="BO32" s="2"/>
      <c r="BP32" s="2"/>
      <c r="BQ32" s="2"/>
      <c r="BR32" s="2"/>
      <c r="BS32" s="2"/>
      <c r="BT32" s="2">
        <v>276</v>
      </c>
      <c r="BU32" s="2">
        <v>449</v>
      </c>
      <c r="BV32" s="2">
        <v>535</v>
      </c>
      <c r="BW32" s="2">
        <v>622</v>
      </c>
      <c r="BX32" s="2">
        <v>795</v>
      </c>
      <c r="BY32" s="2">
        <v>40.9</v>
      </c>
      <c r="BZ32" s="2">
        <v>5.0999999999999996</v>
      </c>
      <c r="CA32" s="2">
        <v>1.9</v>
      </c>
      <c r="CB32" s="2">
        <v>4.0847355391846996E-12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80</v>
      </c>
      <c r="AX33" s="2" t="s">
        <v>273</v>
      </c>
      <c r="AY33" s="130">
        <v>32</v>
      </c>
      <c r="AZ33" s="2">
        <v>18.899999999999999</v>
      </c>
      <c r="BA33" s="2">
        <v>47</v>
      </c>
      <c r="BB33" s="2">
        <v>85</v>
      </c>
      <c r="BC33" s="2">
        <v>3</v>
      </c>
      <c r="BD33" s="2">
        <v>6.3</v>
      </c>
      <c r="BE33" s="2">
        <v>11</v>
      </c>
      <c r="BF33" s="2">
        <v>13.7</v>
      </c>
      <c r="BG33" s="2">
        <v>27.6</v>
      </c>
      <c r="BH33" s="2">
        <v>70.5</v>
      </c>
      <c r="BI33" s="2">
        <v>480</v>
      </c>
      <c r="BJ33" s="2">
        <v>566</v>
      </c>
      <c r="BK33" s="2">
        <v>609</v>
      </c>
      <c r="BL33" s="2">
        <v>653</v>
      </c>
      <c r="BM33" s="2">
        <v>739</v>
      </c>
      <c r="BN33" s="2"/>
      <c r="BO33" s="2"/>
      <c r="BP33" s="2"/>
      <c r="BQ33" s="2"/>
      <c r="BR33" s="2"/>
      <c r="BS33" s="2"/>
      <c r="BT33" s="2">
        <v>649</v>
      </c>
      <c r="BU33" s="2">
        <v>821</v>
      </c>
      <c r="BV33" s="2">
        <v>908</v>
      </c>
      <c r="BW33" s="2">
        <v>995</v>
      </c>
      <c r="BX33" s="2">
        <v>1167</v>
      </c>
      <c r="BY33" s="2">
        <v>40.9</v>
      </c>
      <c r="BZ33" s="2">
        <v>5.0999999999999996</v>
      </c>
      <c r="CA33" s="2">
        <v>1.9</v>
      </c>
      <c r="CB33" s="2">
        <v>4.0847355391846996E-12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492" priority="12">
      <formula>$L32="API sand"</formula>
    </cfRule>
  </conditionalFormatting>
  <conditionalFormatting sqref="R32:S36 AB32:AB35 AJ32:AL36 Z32:Z36 N32:N36">
    <cfRule type="expression" dxfId="2491" priority="11">
      <formula>$M32="API sand"</formula>
    </cfRule>
  </conditionalFormatting>
  <conditionalFormatting sqref="R32:T36 Z32:AB35 AK32:AL36 N32:N36">
    <cfRule type="expression" dxfId="2490" priority="10">
      <formula>$M32="API clay"</formula>
    </cfRule>
  </conditionalFormatting>
  <conditionalFormatting sqref="U32:W36 AM32:AP36 N32:P36">
    <cfRule type="expression" dxfId="2489" priority="7">
      <formula>$L32="Stiff clay w/o free water"</formula>
    </cfRule>
    <cfRule type="expression" dxfId="2488" priority="9">
      <formula>$L32="API clay"</formula>
    </cfRule>
  </conditionalFormatting>
  <conditionalFormatting sqref="U32:Y36 AM32:AP36 N32:P36">
    <cfRule type="expression" dxfId="2487" priority="8">
      <formula>$L32="Kirsch soft clay"</formula>
    </cfRule>
  </conditionalFormatting>
  <conditionalFormatting sqref="U32:Y36 AM32:AP36 N32:P36">
    <cfRule type="expression" dxfId="2486" priority="6">
      <formula>$L32="Kirsch stiff clay"</formula>
    </cfRule>
  </conditionalFormatting>
  <conditionalFormatting sqref="AM32:AP36 Q32:Q36 X32:Y36 N32:N36">
    <cfRule type="expression" dxfId="2485" priority="5">
      <formula>$L32="Kirsch sand"</formula>
    </cfRule>
  </conditionalFormatting>
  <conditionalFormatting sqref="AC32:AD36 AI32:AI36 AM32:AP36 N32:N36">
    <cfRule type="expression" dxfId="2484" priority="4">
      <formula>$L32="Modified Weak rock"</formula>
    </cfRule>
  </conditionalFormatting>
  <conditionalFormatting sqref="AM32:AP36 N32:P36 U32:V36">
    <cfRule type="expression" dxfId="2483" priority="3">
      <formula>$L32="Reese stiff clay"</formula>
    </cfRule>
  </conditionalFormatting>
  <conditionalFormatting sqref="AB36">
    <cfRule type="expression" dxfId="2482" priority="2">
      <formula>$M36="API sand"</formula>
    </cfRule>
  </conditionalFormatting>
  <conditionalFormatting sqref="Z36:AB36">
    <cfRule type="expression" dxfId="2481" priority="1">
      <formula>$M36="API clay"</formula>
    </cfRule>
  </conditionalFormatting>
  <conditionalFormatting sqref="AE37:AH37">
    <cfRule type="expression" dxfId="2480" priority="13">
      <formula>#REF!="Modified Weak rock"</formula>
    </cfRule>
  </conditionalFormatting>
  <dataValidations count="4">
    <dataValidation type="list" showInputMessage="1" showErrorMessage="1" sqref="M32:M36" xr:uid="{859EC60E-AEF2-42A0-92FC-B2D57A8EBEC8}">
      <formula1>"',API sand,API clay"</formula1>
    </dataValidation>
    <dataValidation type="list" showInputMessage="1" showErrorMessage="1" sqref="L32:L255" xr:uid="{EED10E14-76E7-447A-8499-47F4000931DB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41F370B7-D373-4278-BF31-29D6A3FE8708}"/>
    <dataValidation type="textLength" showInputMessage="1" showErrorMessage="1" sqref="M27:M31" xr:uid="{83CE5FE2-336A-4B7D-9ACB-01617E8CB4AA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6640B-E7CD-4069-B678-E2D3A3EBCD58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Ak_Pisa_WTG29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17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EW_sand_Ruled_94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39</v>
      </c>
      <c r="R6" s="47">
        <f t="shared" ref="R6:R26" ca="1" si="7">IF(I6="","",IF(Q6&lt;&gt;0,Q6-5,NA()))</f>
        <v>34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15000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111.19999999999996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11520</v>
      </c>
      <c r="AC6" s="63">
        <f t="shared" ref="AC6:AC26" ca="1" si="18">IF(I6="","",IF(OFFSET($BV$6,(ROW()-6)*2,0)=0,0,OFFSET($BV$6,(ROW()-6)*2,0)*1000))</f>
        <v>12000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94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1.3</v>
      </c>
      <c r="BF6" s="2">
        <v>2.4</v>
      </c>
      <c r="BG6" s="2">
        <v>3.6</v>
      </c>
      <c r="BH6" s="2">
        <v>6.8</v>
      </c>
      <c r="BI6" s="2"/>
      <c r="BJ6" s="2"/>
      <c r="BK6" s="2"/>
      <c r="BL6" s="2"/>
      <c r="BM6" s="2"/>
      <c r="BN6" s="2">
        <v>94</v>
      </c>
      <c r="BO6" s="2">
        <v>29</v>
      </c>
      <c r="BP6" s="2">
        <v>39</v>
      </c>
      <c r="BQ6" s="2">
        <v>42</v>
      </c>
      <c r="BR6" s="2">
        <v>46</v>
      </c>
      <c r="BS6" s="2">
        <v>54</v>
      </c>
      <c r="BT6" s="2">
        <v>0</v>
      </c>
      <c r="BU6" s="2">
        <v>6</v>
      </c>
      <c r="BV6" s="2">
        <v>12</v>
      </c>
      <c r="BW6" s="2">
        <v>18</v>
      </c>
      <c r="BX6" s="2">
        <v>31</v>
      </c>
      <c r="BY6" s="2">
        <v>15</v>
      </c>
      <c r="BZ6" s="2">
        <v>1</v>
      </c>
      <c r="CA6" s="2">
        <v>0.5</v>
      </c>
      <c r="CB6" s="2">
        <v>2.12172368960652E-5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-1</v>
      </c>
      <c r="L7" s="116" t="str">
        <f t="shared" ca="1" si="1"/>
        <v>EW_sand_Ruled_100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42</v>
      </c>
      <c r="R7" s="47">
        <f t="shared" ca="1" si="7"/>
        <v>37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44100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42000</v>
      </c>
      <c r="AD7" s="63">
        <f t="shared" ca="1" si="19"/>
        <v>9000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100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2.6</v>
      </c>
      <c r="BE7" s="2">
        <v>5.8</v>
      </c>
      <c r="BF7" s="2">
        <v>7</v>
      </c>
      <c r="BG7" s="2">
        <v>8.1</v>
      </c>
      <c r="BH7" s="2">
        <v>11.3</v>
      </c>
      <c r="BI7" s="2"/>
      <c r="BJ7" s="2"/>
      <c r="BK7" s="2"/>
      <c r="BL7" s="2"/>
      <c r="BM7" s="2"/>
      <c r="BN7" s="2">
        <v>94</v>
      </c>
      <c r="BO7" s="2">
        <v>29</v>
      </c>
      <c r="BP7" s="2">
        <v>39</v>
      </c>
      <c r="BQ7" s="2">
        <v>42</v>
      </c>
      <c r="BR7" s="2">
        <v>46</v>
      </c>
      <c r="BS7" s="2">
        <v>54</v>
      </c>
      <c r="BT7" s="2">
        <v>15</v>
      </c>
      <c r="BU7" s="2">
        <v>28</v>
      </c>
      <c r="BV7" s="2">
        <v>34</v>
      </c>
      <c r="BW7" s="2">
        <v>39</v>
      </c>
      <c r="BX7" s="2">
        <v>52</v>
      </c>
      <c r="BY7" s="2">
        <v>15</v>
      </c>
      <c r="BZ7" s="2">
        <v>1</v>
      </c>
      <c r="CA7" s="2">
        <v>0.5</v>
      </c>
      <c r="CB7" s="2">
        <v>2.12172368960652E-5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02b</v>
      </c>
      <c r="J8" s="47">
        <f t="shared" ca="1" si="35"/>
        <v>3</v>
      </c>
      <c r="K8" s="19">
        <f t="shared" ca="1" si="36"/>
        <v>-2</v>
      </c>
      <c r="L8" s="116" t="str">
        <f t="shared" ca="1" si="1"/>
        <v>EW_sand_Ruled_67</v>
      </c>
      <c r="M8" s="105" t="str">
        <f t="shared" ca="1" si="2"/>
        <v>API sand</v>
      </c>
      <c r="N8" s="47">
        <f t="shared" ca="1" si="3"/>
        <v>9.3999999999999986</v>
      </c>
      <c r="O8" s="63">
        <f t="shared" ca="1" si="4"/>
        <v>0</v>
      </c>
      <c r="P8" s="63">
        <f t="shared" ca="1" si="5"/>
        <v>0</v>
      </c>
      <c r="Q8" s="47">
        <f t="shared" ca="1" si="6"/>
        <v>38</v>
      </c>
      <c r="R8" s="47">
        <f t="shared" ca="1" si="7"/>
        <v>33</v>
      </c>
      <c r="S8" s="47">
        <f t="shared" ca="1" si="8"/>
        <v>1.6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31100</v>
      </c>
      <c r="Y8" s="47">
        <f t="shared" ca="1" si="14"/>
        <v>0</v>
      </c>
      <c r="Z8" s="47">
        <f t="shared" ca="1" si="15"/>
        <v>107.39999999999996</v>
      </c>
      <c r="AA8" s="47">
        <f t="shared" ca="1" si="16"/>
        <v>1</v>
      </c>
      <c r="AB8" s="47">
        <f t="shared" ca="1" si="17"/>
        <v>11040</v>
      </c>
      <c r="AC8" s="63">
        <f t="shared" ca="1" si="18"/>
        <v>55000</v>
      </c>
      <c r="AD8" s="63">
        <f t="shared" ca="1" si="19"/>
        <v>-3125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46.000000000000007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67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8.5</v>
      </c>
      <c r="BE8" s="2">
        <v>9.8000000000000007</v>
      </c>
      <c r="BF8" s="2">
        <v>10.3</v>
      </c>
      <c r="BG8" s="2">
        <v>10.7</v>
      </c>
      <c r="BH8" s="2">
        <v>11.7</v>
      </c>
      <c r="BI8" s="2"/>
      <c r="BJ8" s="2"/>
      <c r="BK8" s="2"/>
      <c r="BL8" s="2"/>
      <c r="BM8" s="2"/>
      <c r="BN8" s="2">
        <v>100</v>
      </c>
      <c r="BO8" s="2">
        <v>36</v>
      </c>
      <c r="BP8" s="2">
        <v>42</v>
      </c>
      <c r="BQ8" s="2">
        <v>45</v>
      </c>
      <c r="BR8" s="2">
        <v>48</v>
      </c>
      <c r="BS8" s="2">
        <v>54</v>
      </c>
      <c r="BT8" s="2">
        <v>4</v>
      </c>
      <c r="BU8" s="2">
        <v>31</v>
      </c>
      <c r="BV8" s="2">
        <v>42</v>
      </c>
      <c r="BW8" s="2">
        <v>53</v>
      </c>
      <c r="BX8" s="2">
        <v>80</v>
      </c>
      <c r="BY8" s="2">
        <v>44.1</v>
      </c>
      <c r="BZ8" s="2">
        <v>1</v>
      </c>
      <c r="CA8" s="2">
        <v>0.5</v>
      </c>
      <c r="CB8" s="2">
        <v>1.4092057804160601E-4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02c</v>
      </c>
      <c r="J9" s="47">
        <f t="shared" ca="1" si="35"/>
        <v>4</v>
      </c>
      <c r="K9" s="19">
        <f t="shared" ca="1" si="36"/>
        <v>-3.6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8.5</v>
      </c>
      <c r="O9" s="63">
        <f t="shared" ca="1" si="4"/>
        <v>65</v>
      </c>
      <c r="P9" s="63">
        <f t="shared" ca="1" si="5"/>
        <v>-69.999999999999986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8100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53000</v>
      </c>
      <c r="AD9" s="63">
        <f t="shared" ca="1" si="19"/>
        <v>-51666.666666666657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2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12.2</v>
      </c>
      <c r="BE9" s="2">
        <v>13.4</v>
      </c>
      <c r="BF9" s="2">
        <v>13.9</v>
      </c>
      <c r="BG9" s="2">
        <v>14.3</v>
      </c>
      <c r="BH9" s="2">
        <v>15.3</v>
      </c>
      <c r="BI9" s="2"/>
      <c r="BJ9" s="2"/>
      <c r="BK9" s="2"/>
      <c r="BL9" s="2"/>
      <c r="BM9" s="2"/>
      <c r="BN9" s="2">
        <v>100</v>
      </c>
      <c r="BO9" s="2">
        <v>36</v>
      </c>
      <c r="BP9" s="2">
        <v>42</v>
      </c>
      <c r="BQ9" s="2">
        <v>45</v>
      </c>
      <c r="BR9" s="2">
        <v>48</v>
      </c>
      <c r="BS9" s="2">
        <v>54</v>
      </c>
      <c r="BT9" s="2">
        <v>13</v>
      </c>
      <c r="BU9" s="2">
        <v>40</v>
      </c>
      <c r="BV9" s="2">
        <v>51</v>
      </c>
      <c r="BW9" s="2">
        <v>63</v>
      </c>
      <c r="BX9" s="2">
        <v>90</v>
      </c>
      <c r="BY9" s="2">
        <v>44.1</v>
      </c>
      <c r="BZ9" s="2">
        <v>1</v>
      </c>
      <c r="CA9" s="2">
        <v>0.5</v>
      </c>
      <c r="CB9" s="2">
        <v>1.4092057804160601E-4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11a</v>
      </c>
      <c r="J10" s="47">
        <f t="shared" ca="1" si="35"/>
        <v>5</v>
      </c>
      <c r="K10" s="19">
        <f t="shared" ca="1" si="36"/>
        <v>-4.2</v>
      </c>
      <c r="L10" s="116" t="str">
        <f t="shared" ca="1" si="1"/>
        <v>EW_sand_Ruled_51</v>
      </c>
      <c r="M10" s="105" t="str">
        <f t="shared" ca="1" si="2"/>
        <v>API sand</v>
      </c>
      <c r="N10" s="47">
        <f t="shared" ca="1" si="3"/>
        <v>9.6000000000000014</v>
      </c>
      <c r="O10" s="63">
        <f t="shared" ca="1" si="4"/>
        <v>0</v>
      </c>
      <c r="P10" s="63">
        <f t="shared" ca="1" si="5"/>
        <v>0</v>
      </c>
      <c r="Q10" s="47">
        <f t="shared" ca="1" si="6"/>
        <v>35</v>
      </c>
      <c r="R10" s="47">
        <f t="shared" ca="1" si="7"/>
        <v>30</v>
      </c>
      <c r="S10" s="47">
        <f t="shared" ca="1" si="8"/>
        <v>0.9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18700</v>
      </c>
      <c r="Y10" s="47">
        <f t="shared" ca="1" si="14"/>
        <v>0</v>
      </c>
      <c r="Z10" s="47">
        <f t="shared" ca="1" si="15"/>
        <v>95.999999999999972</v>
      </c>
      <c r="AA10" s="47">
        <f t="shared" ca="1" si="16"/>
        <v>1</v>
      </c>
      <c r="AB10" s="47">
        <f t="shared" ca="1" si="17"/>
        <v>9600</v>
      </c>
      <c r="AC10" s="63">
        <f t="shared" ca="1" si="18"/>
        <v>56000</v>
      </c>
      <c r="AD10" s="63">
        <f t="shared" ca="1" si="19"/>
        <v>2500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40.000000000000007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51</v>
      </c>
      <c r="AS10" s="33">
        <f t="shared" ca="1" si="34"/>
        <v>0.4</v>
      </c>
      <c r="AW10" s="2">
        <v>2</v>
      </c>
      <c r="AX10" s="2" t="s">
        <v>257</v>
      </c>
      <c r="AY10" s="130">
        <v>29.7</v>
      </c>
      <c r="AZ10" s="2">
        <v>19.399999999999999</v>
      </c>
      <c r="BA10" s="2"/>
      <c r="BB10" s="2">
        <v>24</v>
      </c>
      <c r="BC10" s="2"/>
      <c r="BD10" s="2">
        <v>5.9</v>
      </c>
      <c r="BE10" s="2">
        <v>10</v>
      </c>
      <c r="BF10" s="2">
        <v>11</v>
      </c>
      <c r="BG10" s="2">
        <v>12</v>
      </c>
      <c r="BH10" s="2">
        <v>15.8</v>
      </c>
      <c r="BI10" s="2"/>
      <c r="BJ10" s="2"/>
      <c r="BK10" s="2"/>
      <c r="BL10" s="2"/>
      <c r="BM10" s="2"/>
      <c r="BN10" s="2">
        <v>67</v>
      </c>
      <c r="BO10" s="2">
        <v>32</v>
      </c>
      <c r="BP10" s="2">
        <v>38</v>
      </c>
      <c r="BQ10" s="2">
        <v>41</v>
      </c>
      <c r="BR10" s="2">
        <v>44</v>
      </c>
      <c r="BS10" s="2">
        <v>51</v>
      </c>
      <c r="BT10" s="2">
        <v>11</v>
      </c>
      <c r="BU10" s="2">
        <v>42</v>
      </c>
      <c r="BV10" s="2">
        <v>55</v>
      </c>
      <c r="BW10" s="2">
        <v>68</v>
      </c>
      <c r="BX10" s="2">
        <v>99</v>
      </c>
      <c r="BY10" s="2">
        <v>31.1</v>
      </c>
      <c r="BZ10" s="2">
        <v>7.1</v>
      </c>
      <c r="CA10" s="2">
        <v>1.6</v>
      </c>
      <c r="CB10" s="2">
        <v>1.66501701105022E-5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11a</v>
      </c>
      <c r="J11" s="47">
        <f t="shared" ca="1" si="35"/>
        <v>6</v>
      </c>
      <c r="K11" s="19">
        <f t="shared" ca="1" si="36"/>
        <v>-7</v>
      </c>
      <c r="L11" s="116" t="str">
        <f t="shared" ca="1" si="1"/>
        <v>EW_sand_Ruled_55</v>
      </c>
      <c r="M11" s="105" t="str">
        <f t="shared" ca="1" si="2"/>
        <v>API sand</v>
      </c>
      <c r="N11" s="47">
        <f t="shared" ca="1" si="3"/>
        <v>9.6000000000000014</v>
      </c>
      <c r="O11" s="63">
        <f t="shared" ca="1" si="4"/>
        <v>0</v>
      </c>
      <c r="P11" s="63">
        <f t="shared" ca="1" si="5"/>
        <v>0</v>
      </c>
      <c r="Q11" s="47">
        <f t="shared" ca="1" si="6"/>
        <v>35</v>
      </c>
      <c r="R11" s="47">
        <f t="shared" ca="1" si="7"/>
        <v>30</v>
      </c>
      <c r="S11" s="47">
        <f t="shared" ca="1" si="8"/>
        <v>0.8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26400</v>
      </c>
      <c r="Y11" s="47">
        <f t="shared" ca="1" si="14"/>
        <v>0</v>
      </c>
      <c r="Z11" s="47">
        <f t="shared" ca="1" si="15"/>
        <v>95.999999999999972</v>
      </c>
      <c r="AA11" s="47">
        <f t="shared" ca="1" si="16"/>
        <v>1</v>
      </c>
      <c r="AB11" s="47">
        <f t="shared" ca="1" si="17"/>
        <v>9600</v>
      </c>
      <c r="AC11" s="63">
        <f t="shared" ca="1" si="18"/>
        <v>72000</v>
      </c>
      <c r="AD11" s="63">
        <f t="shared" ca="1" si="19"/>
        <v>3333.3333333333335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40.000000000000007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55</v>
      </c>
      <c r="AS11" s="33">
        <f t="shared" ca="1" si="34"/>
        <v>0.4</v>
      </c>
      <c r="AW11" s="2">
        <v>3.6</v>
      </c>
      <c r="AX11" s="2" t="s">
        <v>257</v>
      </c>
      <c r="AY11" s="130">
        <v>29.7</v>
      </c>
      <c r="AZ11" s="2">
        <v>19.399999999999999</v>
      </c>
      <c r="BA11" s="2"/>
      <c r="BB11" s="2">
        <v>24</v>
      </c>
      <c r="BC11" s="2"/>
      <c r="BD11" s="2">
        <v>0.1</v>
      </c>
      <c r="BE11" s="2">
        <v>4.2</v>
      </c>
      <c r="BF11" s="2">
        <v>5.3</v>
      </c>
      <c r="BG11" s="2">
        <v>6.3</v>
      </c>
      <c r="BH11" s="2">
        <v>10</v>
      </c>
      <c r="BI11" s="2"/>
      <c r="BJ11" s="2"/>
      <c r="BK11" s="2"/>
      <c r="BL11" s="2"/>
      <c r="BM11" s="2"/>
      <c r="BN11" s="2">
        <v>67</v>
      </c>
      <c r="BO11" s="2">
        <v>32</v>
      </c>
      <c r="BP11" s="2">
        <v>38</v>
      </c>
      <c r="BQ11" s="2">
        <v>41</v>
      </c>
      <c r="BR11" s="2">
        <v>44</v>
      </c>
      <c r="BS11" s="2">
        <v>51</v>
      </c>
      <c r="BT11" s="2">
        <v>6</v>
      </c>
      <c r="BU11" s="2">
        <v>37</v>
      </c>
      <c r="BV11" s="2">
        <v>50</v>
      </c>
      <c r="BW11" s="2">
        <v>62</v>
      </c>
      <c r="BX11" s="2">
        <v>93</v>
      </c>
      <c r="BY11" s="2">
        <v>31.1</v>
      </c>
      <c r="BZ11" s="2">
        <v>7.1</v>
      </c>
      <c r="CA11" s="2">
        <v>1.6</v>
      </c>
      <c r="CB11" s="2">
        <v>1.66501701105022E-5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11b</v>
      </c>
      <c r="J12" s="47">
        <f t="shared" ca="1" si="35"/>
        <v>7</v>
      </c>
      <c r="K12" s="19">
        <f t="shared" ca="1" si="36"/>
        <v>-11.5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9.5</v>
      </c>
      <c r="O12" s="63">
        <f t="shared" ca="1" si="4"/>
        <v>103</v>
      </c>
      <c r="P12" s="63">
        <f t="shared" ca="1" si="5"/>
        <v>-16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0.5</v>
      </c>
      <c r="X12" s="47">
        <f t="shared" ca="1" si="13"/>
        <v>19800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118000</v>
      </c>
      <c r="AD12" s="63">
        <f t="shared" ca="1" si="19"/>
        <v>-16000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3.6</v>
      </c>
      <c r="AX12" s="2" t="s">
        <v>298</v>
      </c>
      <c r="AY12" s="130">
        <v>37.1</v>
      </c>
      <c r="AZ12" s="2">
        <v>18.5</v>
      </c>
      <c r="BA12" s="2">
        <v>30</v>
      </c>
      <c r="BB12" s="2">
        <v>88</v>
      </c>
      <c r="BC12" s="2">
        <v>3</v>
      </c>
      <c r="BD12" s="2">
        <v>1.3</v>
      </c>
      <c r="BE12" s="2">
        <v>1.4</v>
      </c>
      <c r="BF12" s="2">
        <v>1.5</v>
      </c>
      <c r="BG12" s="2">
        <v>1.7</v>
      </c>
      <c r="BH12" s="2">
        <v>2.1</v>
      </c>
      <c r="BI12" s="2">
        <v>47</v>
      </c>
      <c r="BJ12" s="2">
        <v>65</v>
      </c>
      <c r="BK12" s="2">
        <v>76</v>
      </c>
      <c r="BL12" s="2">
        <v>93</v>
      </c>
      <c r="BM12" s="2">
        <v>129</v>
      </c>
      <c r="BN12" s="2"/>
      <c r="BO12" s="2"/>
      <c r="BP12" s="2"/>
      <c r="BQ12" s="2"/>
      <c r="BR12" s="2"/>
      <c r="BS12" s="2"/>
      <c r="BT12" s="2">
        <v>35</v>
      </c>
      <c r="BU12" s="2">
        <v>40</v>
      </c>
      <c r="BV12" s="2">
        <v>53</v>
      </c>
      <c r="BW12" s="2">
        <v>69</v>
      </c>
      <c r="BX12" s="2">
        <v>102</v>
      </c>
      <c r="BY12" s="2">
        <v>8.1</v>
      </c>
      <c r="BZ12" s="2">
        <v>5.0999999999999996</v>
      </c>
      <c r="CA12" s="2">
        <v>3</v>
      </c>
      <c r="CB12" s="2">
        <v>7.8031306057334902E-10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21a</v>
      </c>
      <c r="J13" s="47">
        <f t="shared" ca="1" si="35"/>
        <v>8</v>
      </c>
      <c r="K13" s="19">
        <f t="shared" ca="1" si="36"/>
        <v>-12</v>
      </c>
      <c r="L13" s="116" t="str">
        <f t="shared" ca="1" si="1"/>
        <v>EW_sand_Ruled_56</v>
      </c>
      <c r="M13" s="105" t="str">
        <f t="shared" ca="1" si="2"/>
        <v>API sand</v>
      </c>
      <c r="N13" s="47">
        <f t="shared" ca="1" si="3"/>
        <v>9.8000000000000007</v>
      </c>
      <c r="O13" s="63">
        <f t="shared" ca="1" si="4"/>
        <v>0</v>
      </c>
      <c r="P13" s="63">
        <f t="shared" ca="1" si="5"/>
        <v>0</v>
      </c>
      <c r="Q13" s="47">
        <f t="shared" ca="1" si="6"/>
        <v>28</v>
      </c>
      <c r="R13" s="47">
        <f t="shared" ca="1" si="7"/>
        <v>23</v>
      </c>
      <c r="S13" s="47">
        <f t="shared" ca="1" si="8"/>
        <v>1.3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18200</v>
      </c>
      <c r="Y13" s="47">
        <f t="shared" ca="1" si="14"/>
        <v>0</v>
      </c>
      <c r="Z13" s="47">
        <f t="shared" ca="1" si="15"/>
        <v>75.399999999999977</v>
      </c>
      <c r="AA13" s="47">
        <f t="shared" ca="1" si="16"/>
        <v>1</v>
      </c>
      <c r="AB13" s="47">
        <f t="shared" ca="1" si="17"/>
        <v>4040</v>
      </c>
      <c r="AC13" s="63">
        <f t="shared" ca="1" si="18"/>
        <v>100000</v>
      </c>
      <c r="AD13" s="63">
        <f t="shared" ca="1" si="19"/>
        <v>6000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16.800000000000004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56</v>
      </c>
      <c r="AS13" s="33">
        <f t="shared" ca="1" si="34"/>
        <v>0.2</v>
      </c>
      <c r="AW13" s="2">
        <v>4.2</v>
      </c>
      <c r="AX13" s="2" t="s">
        <v>298</v>
      </c>
      <c r="AY13" s="130">
        <v>37.1</v>
      </c>
      <c r="AZ13" s="2">
        <v>18.5</v>
      </c>
      <c r="BA13" s="2">
        <v>30</v>
      </c>
      <c r="BB13" s="2">
        <v>88</v>
      </c>
      <c r="BC13" s="2">
        <v>3</v>
      </c>
      <c r="BD13" s="2">
        <v>0.5</v>
      </c>
      <c r="BE13" s="2">
        <v>0.6</v>
      </c>
      <c r="BF13" s="2">
        <v>0.7</v>
      </c>
      <c r="BG13" s="2">
        <v>1</v>
      </c>
      <c r="BH13" s="2">
        <v>1.4</v>
      </c>
      <c r="BI13" s="2">
        <v>5</v>
      </c>
      <c r="BJ13" s="2">
        <v>23</v>
      </c>
      <c r="BK13" s="2">
        <v>35</v>
      </c>
      <c r="BL13" s="2">
        <v>52</v>
      </c>
      <c r="BM13" s="2">
        <v>87</v>
      </c>
      <c r="BN13" s="2"/>
      <c r="BO13" s="2"/>
      <c r="BP13" s="2"/>
      <c r="BQ13" s="2"/>
      <c r="BR13" s="2"/>
      <c r="BS13" s="2"/>
      <c r="BT13" s="2">
        <v>4</v>
      </c>
      <c r="BU13" s="2">
        <v>8</v>
      </c>
      <c r="BV13" s="2">
        <v>22</v>
      </c>
      <c r="BW13" s="2">
        <v>38</v>
      </c>
      <c r="BX13" s="2">
        <v>71</v>
      </c>
      <c r="BY13" s="2">
        <v>8.1</v>
      </c>
      <c r="BZ13" s="2">
        <v>5.0999999999999996</v>
      </c>
      <c r="CA13" s="2">
        <v>3</v>
      </c>
      <c r="CB13" s="2">
        <v>7.8031306057334902E-10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21c</v>
      </c>
      <c r="J14" s="47">
        <f t="shared" ca="1" si="35"/>
        <v>9</v>
      </c>
      <c r="K14" s="19">
        <f t="shared" ca="1" si="36"/>
        <v>-13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9.3000000000000007</v>
      </c>
      <c r="O14" s="63">
        <f t="shared" ca="1" si="4"/>
        <v>107</v>
      </c>
      <c r="P14" s="63">
        <f t="shared" ca="1" si="5"/>
        <v>9.9999999999999982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2.8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0.5</v>
      </c>
      <c r="X14" s="47">
        <f t="shared" ca="1" si="13"/>
        <v>12000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127000</v>
      </c>
      <c r="AD14" s="63">
        <f t="shared" ca="1" si="19"/>
        <v>11162.790697674418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4.2</v>
      </c>
      <c r="AX14" s="2" t="s">
        <v>293</v>
      </c>
      <c r="AY14" s="130">
        <v>25.8</v>
      </c>
      <c r="AZ14" s="2">
        <v>19.600000000000001</v>
      </c>
      <c r="BA14" s="2"/>
      <c r="BB14" s="2">
        <v>22</v>
      </c>
      <c r="BC14" s="2"/>
      <c r="BD14" s="2">
        <v>1.4</v>
      </c>
      <c r="BE14" s="2">
        <v>4.3</v>
      </c>
      <c r="BF14" s="2">
        <v>4.9000000000000004</v>
      </c>
      <c r="BG14" s="2">
        <v>5.3</v>
      </c>
      <c r="BH14" s="2">
        <v>7.6</v>
      </c>
      <c r="BI14" s="2"/>
      <c r="BJ14" s="2"/>
      <c r="BK14" s="2"/>
      <c r="BL14" s="2"/>
      <c r="BM14" s="2"/>
      <c r="BN14" s="2">
        <v>51</v>
      </c>
      <c r="BO14" s="2">
        <v>28</v>
      </c>
      <c r="BP14" s="2">
        <v>35</v>
      </c>
      <c r="BQ14" s="2">
        <v>38</v>
      </c>
      <c r="BR14" s="2">
        <v>41</v>
      </c>
      <c r="BS14" s="2">
        <v>46</v>
      </c>
      <c r="BT14" s="2">
        <v>6</v>
      </c>
      <c r="BU14" s="2">
        <v>42</v>
      </c>
      <c r="BV14" s="2">
        <v>56</v>
      </c>
      <c r="BW14" s="2">
        <v>70</v>
      </c>
      <c r="BX14" s="2">
        <v>105</v>
      </c>
      <c r="BY14" s="2">
        <v>18.7</v>
      </c>
      <c r="BZ14" s="2">
        <v>2.9</v>
      </c>
      <c r="CA14" s="2">
        <v>0.9</v>
      </c>
      <c r="CB14" s="2">
        <v>1.7927573967559999E-7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21c</v>
      </c>
      <c r="J15" s="47">
        <f t="shared" ca="1" si="35"/>
        <v>10</v>
      </c>
      <c r="K15" s="19">
        <f t="shared" ca="1" si="36"/>
        <v>-17.3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9.3000000000000007</v>
      </c>
      <c r="O15" s="63">
        <f t="shared" ca="1" si="4"/>
        <v>370</v>
      </c>
      <c r="P15" s="63">
        <f t="shared" ca="1" si="5"/>
        <v>40.714285714285722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35800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468000</v>
      </c>
      <c r="AD15" s="63">
        <f t="shared" ca="1" si="19"/>
        <v>58571.428571428587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7</v>
      </c>
      <c r="AX15" s="2" t="s">
        <v>293</v>
      </c>
      <c r="AY15" s="130">
        <v>25.8</v>
      </c>
      <c r="AZ15" s="2">
        <v>19.600000000000001</v>
      </c>
      <c r="BA15" s="2"/>
      <c r="BB15" s="2">
        <v>22</v>
      </c>
      <c r="BC15" s="2"/>
      <c r="BD15" s="2">
        <v>0.9</v>
      </c>
      <c r="BE15" s="2">
        <v>3.7</v>
      </c>
      <c r="BF15" s="2">
        <v>4.3</v>
      </c>
      <c r="BG15" s="2">
        <v>4.8</v>
      </c>
      <c r="BH15" s="2">
        <v>7</v>
      </c>
      <c r="BI15" s="2"/>
      <c r="BJ15" s="2"/>
      <c r="BK15" s="2"/>
      <c r="BL15" s="2"/>
      <c r="BM15" s="2"/>
      <c r="BN15" s="2">
        <v>51</v>
      </c>
      <c r="BO15" s="2">
        <v>28</v>
      </c>
      <c r="BP15" s="2">
        <v>35</v>
      </c>
      <c r="BQ15" s="2">
        <v>38</v>
      </c>
      <c r="BR15" s="2">
        <v>41</v>
      </c>
      <c r="BS15" s="2">
        <v>46</v>
      </c>
      <c r="BT15" s="2">
        <v>13</v>
      </c>
      <c r="BU15" s="2">
        <v>49</v>
      </c>
      <c r="BV15" s="2">
        <v>63</v>
      </c>
      <c r="BW15" s="2">
        <v>78</v>
      </c>
      <c r="BX15" s="2">
        <v>113</v>
      </c>
      <c r="BY15" s="2">
        <v>18.7</v>
      </c>
      <c r="BZ15" s="2">
        <v>2.9</v>
      </c>
      <c r="CA15" s="2">
        <v>0.9</v>
      </c>
      <c r="CB15" s="2">
        <v>1.7927573967559999E-7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21e</v>
      </c>
      <c r="J16" s="47">
        <f t="shared" ca="1" si="35"/>
        <v>11</v>
      </c>
      <c r="K16" s="19">
        <f t="shared" ca="1" si="36"/>
        <v>-21.5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8.8999999999999986</v>
      </c>
      <c r="O16" s="63">
        <f t="shared" ca="1" si="4"/>
        <v>329</v>
      </c>
      <c r="P16" s="63">
        <f t="shared" ca="1" si="5"/>
        <v>-44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3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23600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414000</v>
      </c>
      <c r="AD16" s="63">
        <f t="shared" ca="1" si="19"/>
        <v>-52666.666666666664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7</v>
      </c>
      <c r="AX16" s="2" t="s">
        <v>293</v>
      </c>
      <c r="AY16" s="130">
        <v>25.8</v>
      </c>
      <c r="AZ16" s="2">
        <v>19.600000000000001</v>
      </c>
      <c r="BA16" s="2"/>
      <c r="BB16" s="2">
        <v>22</v>
      </c>
      <c r="BC16" s="2"/>
      <c r="BD16" s="2">
        <v>5</v>
      </c>
      <c r="BE16" s="2">
        <v>6.3</v>
      </c>
      <c r="BF16" s="2">
        <v>6.5</v>
      </c>
      <c r="BG16" s="2">
        <v>6.9</v>
      </c>
      <c r="BH16" s="2">
        <v>9.1</v>
      </c>
      <c r="BI16" s="2"/>
      <c r="BJ16" s="2"/>
      <c r="BK16" s="2"/>
      <c r="BL16" s="2"/>
      <c r="BM16" s="2"/>
      <c r="BN16" s="2">
        <v>55</v>
      </c>
      <c r="BO16" s="2">
        <v>30</v>
      </c>
      <c r="BP16" s="2">
        <v>35</v>
      </c>
      <c r="BQ16" s="2">
        <v>38</v>
      </c>
      <c r="BR16" s="2">
        <v>41</v>
      </c>
      <c r="BS16" s="2">
        <v>46</v>
      </c>
      <c r="BT16" s="2">
        <v>7</v>
      </c>
      <c r="BU16" s="2">
        <v>53</v>
      </c>
      <c r="BV16" s="2">
        <v>72</v>
      </c>
      <c r="BW16" s="2">
        <v>91</v>
      </c>
      <c r="BX16" s="2">
        <v>137</v>
      </c>
      <c r="BY16" s="2">
        <v>26.4</v>
      </c>
      <c r="BZ16" s="2">
        <v>2.2000000000000002</v>
      </c>
      <c r="CA16" s="2">
        <v>0.8</v>
      </c>
      <c r="CB16" s="2">
        <v>1.67291739661734E-7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23c</v>
      </c>
      <c r="J17" s="47">
        <f t="shared" ca="1" si="35"/>
        <v>12</v>
      </c>
      <c r="K17" s="19">
        <f t="shared" ca="1" si="36"/>
        <v>-24.5</v>
      </c>
      <c r="L17" s="116" t="str">
        <f t="shared" ca="1" si="1"/>
        <v>EW_sand_Ruled_78</v>
      </c>
      <c r="M17" s="105" t="str">
        <f t="shared" ca="1" si="2"/>
        <v>API sand</v>
      </c>
      <c r="N17" s="47">
        <f t="shared" ca="1" si="3"/>
        <v>9.3000000000000007</v>
      </c>
      <c r="O17" s="63">
        <f t="shared" ca="1" si="4"/>
        <v>0</v>
      </c>
      <c r="P17" s="63">
        <f t="shared" ca="1" si="5"/>
        <v>0</v>
      </c>
      <c r="Q17" s="47">
        <f t="shared" ca="1" si="6"/>
        <v>29</v>
      </c>
      <c r="R17" s="47">
        <f t="shared" ca="1" si="7"/>
        <v>24</v>
      </c>
      <c r="S17" s="47">
        <f t="shared" ca="1" si="8"/>
        <v>1.3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43600</v>
      </c>
      <c r="Y17" s="47">
        <f t="shared" ca="1" si="14"/>
        <v>0</v>
      </c>
      <c r="Z17" s="47">
        <f t="shared" ca="1" si="15"/>
        <v>78.199999999999974</v>
      </c>
      <c r="AA17" s="47">
        <f t="shared" ca="1" si="16"/>
        <v>1</v>
      </c>
      <c r="AB17" s="47">
        <f t="shared" ca="1" si="17"/>
        <v>4420</v>
      </c>
      <c r="AC17" s="63">
        <f t="shared" ca="1" si="18"/>
        <v>155000</v>
      </c>
      <c r="AD17" s="63">
        <f t="shared" ca="1" si="19"/>
        <v>20000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18.400000000000006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78</v>
      </c>
      <c r="AS17" s="33">
        <f t="shared" ca="1" si="34"/>
        <v>0.4</v>
      </c>
      <c r="AW17" s="2">
        <v>11.5</v>
      </c>
      <c r="AX17" s="2" t="s">
        <v>293</v>
      </c>
      <c r="AY17" s="130">
        <v>25.8</v>
      </c>
      <c r="AZ17" s="2">
        <v>19.600000000000001</v>
      </c>
      <c r="BA17" s="2"/>
      <c r="BB17" s="2">
        <v>22</v>
      </c>
      <c r="BC17" s="2"/>
      <c r="BD17" s="2">
        <v>5.6</v>
      </c>
      <c r="BE17" s="2">
        <v>6.9</v>
      </c>
      <c r="BF17" s="2">
        <v>7.1</v>
      </c>
      <c r="BG17" s="2">
        <v>7.5</v>
      </c>
      <c r="BH17" s="2">
        <v>9.6999999999999993</v>
      </c>
      <c r="BI17" s="2"/>
      <c r="BJ17" s="2"/>
      <c r="BK17" s="2"/>
      <c r="BL17" s="2"/>
      <c r="BM17" s="2"/>
      <c r="BN17" s="2">
        <v>55</v>
      </c>
      <c r="BO17" s="2">
        <v>30</v>
      </c>
      <c r="BP17" s="2">
        <v>35</v>
      </c>
      <c r="BQ17" s="2">
        <v>38</v>
      </c>
      <c r="BR17" s="2">
        <v>41</v>
      </c>
      <c r="BS17" s="2">
        <v>46</v>
      </c>
      <c r="BT17" s="2">
        <v>22</v>
      </c>
      <c r="BU17" s="2">
        <v>68</v>
      </c>
      <c r="BV17" s="2">
        <v>87</v>
      </c>
      <c r="BW17" s="2">
        <v>106</v>
      </c>
      <c r="BX17" s="2">
        <v>152</v>
      </c>
      <c r="BY17" s="2">
        <v>26.4</v>
      </c>
      <c r="BZ17" s="2">
        <v>2.2000000000000002</v>
      </c>
      <c r="CA17" s="2">
        <v>0.8</v>
      </c>
      <c r="CB17" s="2">
        <v>1.67291739661734E-7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23d</v>
      </c>
      <c r="J18" s="47">
        <f t="shared" ca="1" si="35"/>
        <v>13</v>
      </c>
      <c r="K18" s="19">
        <f t="shared" ca="1" si="36"/>
        <v>-25.5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8.8999999999999986</v>
      </c>
      <c r="O18" s="63">
        <f t="shared" ca="1" si="4"/>
        <v>143</v>
      </c>
      <c r="P18" s="63">
        <f t="shared" ca="1" si="5"/>
        <v>6.601941747572817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1.7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0.5</v>
      </c>
      <c r="X18" s="47">
        <f t="shared" ca="1" si="13"/>
        <v>17100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203000</v>
      </c>
      <c r="AD18" s="63">
        <f t="shared" ca="1" si="19"/>
        <v>9029.1262135922352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11.5</v>
      </c>
      <c r="AX18" s="2" t="s">
        <v>299</v>
      </c>
      <c r="AY18" s="130">
        <v>29</v>
      </c>
      <c r="AZ18" s="2">
        <v>19.5</v>
      </c>
      <c r="BA18" s="2">
        <v>13</v>
      </c>
      <c r="BB18" s="2">
        <v>64</v>
      </c>
      <c r="BC18" s="2">
        <v>4</v>
      </c>
      <c r="BD18" s="2">
        <v>1.9</v>
      </c>
      <c r="BE18" s="2">
        <v>2.4</v>
      </c>
      <c r="BF18" s="2">
        <v>2.6</v>
      </c>
      <c r="BG18" s="2">
        <v>2.9</v>
      </c>
      <c r="BH18" s="2">
        <v>3.4</v>
      </c>
      <c r="BI18" s="2">
        <v>40</v>
      </c>
      <c r="BJ18" s="2">
        <v>103</v>
      </c>
      <c r="BK18" s="2">
        <v>132</v>
      </c>
      <c r="BL18" s="2">
        <v>163</v>
      </c>
      <c r="BM18" s="2">
        <v>226</v>
      </c>
      <c r="BN18" s="2"/>
      <c r="BO18" s="2"/>
      <c r="BP18" s="2"/>
      <c r="BQ18" s="2"/>
      <c r="BR18" s="2"/>
      <c r="BS18" s="2"/>
      <c r="BT18" s="2">
        <v>19</v>
      </c>
      <c r="BU18" s="2">
        <v>76</v>
      </c>
      <c r="BV18" s="2">
        <v>118</v>
      </c>
      <c r="BW18" s="2">
        <v>159</v>
      </c>
      <c r="BX18" s="2">
        <v>242</v>
      </c>
      <c r="BY18" s="2">
        <v>19.8</v>
      </c>
      <c r="BZ18" s="2">
        <v>4.2</v>
      </c>
      <c r="CA18" s="2">
        <v>3</v>
      </c>
      <c r="CB18" s="2">
        <v>1.07010991804407E-10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23e</v>
      </c>
      <c r="J19" s="47">
        <f t="shared" ca="1" si="35"/>
        <v>14</v>
      </c>
      <c r="K19" s="19">
        <f t="shared" ca="1" si="36"/>
        <v>-35.799999999999997</v>
      </c>
      <c r="L19" s="116" t="str">
        <f t="shared" ca="1" si="1"/>
        <v>EW_sand_Ruled_75</v>
      </c>
      <c r="M19" s="105" t="str">
        <f t="shared" ca="1" si="2"/>
        <v>API sand</v>
      </c>
      <c r="N19" s="47">
        <f t="shared" ca="1" si="3"/>
        <v>9</v>
      </c>
      <c r="O19" s="63">
        <f t="shared" ca="1" si="4"/>
        <v>0</v>
      </c>
      <c r="P19" s="63">
        <f t="shared" ca="1" si="5"/>
        <v>0</v>
      </c>
      <c r="Q19" s="47">
        <f t="shared" ca="1" si="6"/>
        <v>29</v>
      </c>
      <c r="R19" s="47">
        <f t="shared" ca="1" si="7"/>
        <v>24</v>
      </c>
      <c r="S19" s="47">
        <f t="shared" ca="1" si="8"/>
        <v>1.1000000000000001</v>
      </c>
      <c r="T19" s="47">
        <f t="shared" ca="1" si="9"/>
        <v>0</v>
      </c>
      <c r="U19" s="75">
        <f t="shared" ca="1" si="10"/>
        <v>0</v>
      </c>
      <c r="V19" s="75">
        <f t="shared" ca="1" si="11"/>
        <v>0</v>
      </c>
      <c r="W19" s="47">
        <f t="shared" ca="1" si="12"/>
        <v>0</v>
      </c>
      <c r="X19" s="47">
        <f t="shared" ca="1" si="13"/>
        <v>55100</v>
      </c>
      <c r="Y19" s="47">
        <f t="shared" ca="1" si="14"/>
        <v>0</v>
      </c>
      <c r="Z19" s="47">
        <f t="shared" ca="1" si="15"/>
        <v>78.199999999999974</v>
      </c>
      <c r="AA19" s="47">
        <f t="shared" ca="1" si="16"/>
        <v>1</v>
      </c>
      <c r="AB19" s="47">
        <f t="shared" ca="1" si="17"/>
        <v>4420</v>
      </c>
      <c r="AC19" s="63">
        <f t="shared" ca="1" si="18"/>
        <v>198000</v>
      </c>
      <c r="AD19" s="63">
        <f t="shared" ca="1" si="19"/>
        <v>1264.3678160919535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>
        <f t="shared" ca="1" si="25"/>
        <v>18.400000000000006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75</v>
      </c>
      <c r="AS19" s="33">
        <f t="shared" ca="1" si="34"/>
        <v>0.4</v>
      </c>
      <c r="AW19" s="2">
        <v>12</v>
      </c>
      <c r="AX19" s="2" t="s">
        <v>299</v>
      </c>
      <c r="AY19" s="130">
        <v>29</v>
      </c>
      <c r="AZ19" s="2">
        <v>19.5</v>
      </c>
      <c r="BA19" s="2">
        <v>13</v>
      </c>
      <c r="BB19" s="2">
        <v>64</v>
      </c>
      <c r="BC19" s="2">
        <v>4</v>
      </c>
      <c r="BD19" s="2">
        <v>1.8</v>
      </c>
      <c r="BE19" s="2">
        <v>2.2000000000000002</v>
      </c>
      <c r="BF19" s="2">
        <v>2.5</v>
      </c>
      <c r="BG19" s="2">
        <v>2.7</v>
      </c>
      <c r="BH19" s="2">
        <v>3.2</v>
      </c>
      <c r="BI19" s="2">
        <v>32</v>
      </c>
      <c r="BJ19" s="2">
        <v>95</v>
      </c>
      <c r="BK19" s="2">
        <v>124</v>
      </c>
      <c r="BL19" s="2">
        <v>155</v>
      </c>
      <c r="BM19" s="2">
        <v>218</v>
      </c>
      <c r="BN19" s="2"/>
      <c r="BO19" s="2"/>
      <c r="BP19" s="2"/>
      <c r="BQ19" s="2"/>
      <c r="BR19" s="2"/>
      <c r="BS19" s="2"/>
      <c r="BT19" s="2">
        <v>12</v>
      </c>
      <c r="BU19" s="2">
        <v>69</v>
      </c>
      <c r="BV19" s="2">
        <v>110</v>
      </c>
      <c r="BW19" s="2">
        <v>152</v>
      </c>
      <c r="BX19" s="2">
        <v>235</v>
      </c>
      <c r="BY19" s="2">
        <v>19.8</v>
      </c>
      <c r="BZ19" s="2">
        <v>4.2</v>
      </c>
      <c r="CA19" s="2">
        <v>3</v>
      </c>
      <c r="CB19" s="2">
        <v>1.07010991804407E-10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23i</v>
      </c>
      <c r="J20" s="47">
        <f t="shared" ca="1" si="35"/>
        <v>15</v>
      </c>
      <c r="K20" s="19">
        <f t="shared" ca="1" si="36"/>
        <v>-44.5</v>
      </c>
      <c r="L20" s="116" t="str">
        <f t="shared" ca="1" si="1"/>
        <v>Cowden Clay</v>
      </c>
      <c r="M20" s="105" t="str">
        <f t="shared" ca="1" si="2"/>
        <v>API clay</v>
      </c>
      <c r="N20" s="47">
        <f t="shared" ca="1" si="3"/>
        <v>8.3000000000000007</v>
      </c>
      <c r="O20" s="63">
        <f t="shared" ca="1" si="4"/>
        <v>343</v>
      </c>
      <c r="P20" s="63">
        <f t="shared" ca="1" si="5"/>
        <v>-1.2</v>
      </c>
      <c r="Q20" s="47">
        <f t="shared" ca="1" si="6"/>
        <v>0</v>
      </c>
      <c r="R20" s="47" t="e">
        <f t="shared" ca="1" si="7"/>
        <v>#N/A</v>
      </c>
      <c r="S20" s="47">
        <f t="shared" ca="1" si="8"/>
        <v>1.8</v>
      </c>
      <c r="T20" s="47">
        <f t="shared" ca="1" si="9"/>
        <v>0</v>
      </c>
      <c r="U20" s="75">
        <f t="shared" ca="1" si="10"/>
        <v>1.7999999999999999E-2</v>
      </c>
      <c r="V20" s="75">
        <f t="shared" ca="1" si="11"/>
        <v>0</v>
      </c>
      <c r="W20" s="47">
        <f t="shared" ca="1" si="12"/>
        <v>0.25</v>
      </c>
      <c r="X20" s="47">
        <f t="shared" ca="1" si="13"/>
        <v>30200</v>
      </c>
      <c r="Y20" s="47">
        <f t="shared" ca="1" si="14"/>
        <v>0</v>
      </c>
      <c r="Z20" s="47" t="e">
        <f t="shared" ca="1" si="15"/>
        <v>#N/A</v>
      </c>
      <c r="AA20" s="47">
        <f t="shared" ca="1" si="16"/>
        <v>1</v>
      </c>
      <c r="AB20" s="47" t="e">
        <f t="shared" ca="1" si="17"/>
        <v>#N/A</v>
      </c>
      <c r="AC20" s="63">
        <f t="shared" ca="1" si="18"/>
        <v>493000</v>
      </c>
      <c r="AD20" s="63">
        <f t="shared" ca="1" si="19"/>
        <v>-320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 t="e">
        <f t="shared" ca="1" si="25"/>
        <v>#N/A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0</v>
      </c>
      <c r="AS20" s="33">
        <f t="shared" ca="1" si="34"/>
        <v>0.4</v>
      </c>
      <c r="AW20" s="2">
        <v>12</v>
      </c>
      <c r="AX20" s="2" t="s">
        <v>271</v>
      </c>
      <c r="AY20" s="130">
        <v>24.7</v>
      </c>
      <c r="AZ20" s="2">
        <v>19.8</v>
      </c>
      <c r="BA20" s="2"/>
      <c r="BB20" s="2">
        <v>11</v>
      </c>
      <c r="BC20" s="2"/>
      <c r="BD20" s="2">
        <v>9.1</v>
      </c>
      <c r="BE20" s="2">
        <v>10.4</v>
      </c>
      <c r="BF20" s="2">
        <v>11</v>
      </c>
      <c r="BG20" s="2">
        <v>11.7</v>
      </c>
      <c r="BH20" s="2">
        <f>10+13.5</f>
        <v>23.5</v>
      </c>
      <c r="BI20" s="2"/>
      <c r="BJ20" s="2"/>
      <c r="BK20" s="2"/>
      <c r="BL20" s="2"/>
      <c r="BM20" s="2"/>
      <c r="BN20" s="2">
        <v>56</v>
      </c>
      <c r="BO20" s="2">
        <v>26</v>
      </c>
      <c r="BP20" s="2">
        <v>28</v>
      </c>
      <c r="BQ20" s="2">
        <v>30</v>
      </c>
      <c r="BR20" s="2">
        <v>32</v>
      </c>
      <c r="BS20" s="2">
        <v>36</v>
      </c>
      <c r="BT20" s="2">
        <v>16</v>
      </c>
      <c r="BU20" s="2">
        <v>76</v>
      </c>
      <c r="BV20" s="2">
        <v>100</v>
      </c>
      <c r="BW20" s="2">
        <v>124</v>
      </c>
      <c r="BX20" s="2">
        <v>184</v>
      </c>
      <c r="BY20" s="2">
        <v>18.2</v>
      </c>
      <c r="BZ20" s="2">
        <v>5</v>
      </c>
      <c r="CA20" s="2">
        <v>1.3</v>
      </c>
      <c r="CB20" s="2">
        <v>3.3710484032913101E-7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>23l</v>
      </c>
      <c r="J21" s="47">
        <f t="shared" ca="1" si="35"/>
        <v>16</v>
      </c>
      <c r="K21" s="19">
        <f ca="1">IF(OFFSET($AW$6,(ROW()-6)*2,0)=0,"",-OFFSET($AW$6,(ROW()-6)*2,0))</f>
        <v>-57</v>
      </c>
      <c r="L21" s="116" t="str">
        <f t="shared" ca="1" si="1"/>
        <v>Cowden Clay</v>
      </c>
      <c r="M21" s="105" t="str">
        <f t="shared" ca="1" si="2"/>
        <v>API clay</v>
      </c>
      <c r="N21" s="47">
        <f t="shared" ca="1" si="3"/>
        <v>8.8000000000000007</v>
      </c>
      <c r="O21" s="63">
        <f t="shared" ca="1" si="4"/>
        <v>825</v>
      </c>
      <c r="P21" s="63">
        <f t="shared" ca="1" si="5"/>
        <v>12.571428571428571</v>
      </c>
      <c r="Q21" s="47">
        <f t="shared" ca="1" si="6"/>
        <v>0</v>
      </c>
      <c r="R21" s="47" t="e">
        <f t="shared" ca="1" si="7"/>
        <v>#N/A</v>
      </c>
      <c r="S21" s="47">
        <f t="shared" ca="1" si="8"/>
        <v>3</v>
      </c>
      <c r="T21" s="47">
        <f t="shared" ca="1" si="9"/>
        <v>0</v>
      </c>
      <c r="U21" s="75">
        <f t="shared" ca="1" si="10"/>
        <v>1.7999999999999999E-2</v>
      </c>
      <c r="V21" s="75">
        <f t="shared" ca="1" si="11"/>
        <v>0</v>
      </c>
      <c r="W21" s="47">
        <f t="shared" ca="1" si="12"/>
        <v>0.25</v>
      </c>
      <c r="X21" s="47">
        <f t="shared" ca="1" si="13"/>
        <v>80300</v>
      </c>
      <c r="Y21" s="47">
        <f t="shared" ca="1" si="14"/>
        <v>0</v>
      </c>
      <c r="Z21" s="47" t="e">
        <f t="shared" ca="1" si="15"/>
        <v>#N/A</v>
      </c>
      <c r="AA21" s="47">
        <f t="shared" ca="1" si="16"/>
        <v>1</v>
      </c>
      <c r="AB21" s="47" t="e">
        <f t="shared" ca="1" si="17"/>
        <v>#N/A</v>
      </c>
      <c r="AC21" s="63">
        <f t="shared" ca="1" si="18"/>
        <v>1310000</v>
      </c>
      <c r="AD21" s="63">
        <f t="shared" ca="1" si="19"/>
        <v>24952.380952380954</v>
      </c>
      <c r="AE21" s="63">
        <f t="shared" ca="1" si="20"/>
        <v>0.3</v>
      </c>
      <c r="AF21" s="63">
        <f t="shared" ca="1" si="21"/>
        <v>0</v>
      </c>
      <c r="AG21" s="63">
        <f t="shared" ca="1" si="22"/>
        <v>0</v>
      </c>
      <c r="AH21" s="63">
        <f t="shared" ca="1" si="23"/>
        <v>0</v>
      </c>
      <c r="AI21" s="63">
        <f t="shared" ca="1" si="24"/>
        <v>0</v>
      </c>
      <c r="AJ21" s="47" t="e">
        <f t="shared" ca="1" si="25"/>
        <v>#N/A</v>
      </c>
      <c r="AK21" s="47">
        <f t="shared" ca="1" si="26"/>
        <v>1</v>
      </c>
      <c r="AL21" s="47">
        <f t="shared" ca="1" si="27"/>
        <v>1</v>
      </c>
      <c r="AM21" s="47">
        <f t="shared" ca="1" si="28"/>
        <v>1</v>
      </c>
      <c r="AN21" s="47">
        <f t="shared" ca="1" si="29"/>
        <v>1</v>
      </c>
      <c r="AO21" s="47">
        <f t="shared" ca="1" si="30"/>
        <v>1</v>
      </c>
      <c r="AP21" s="47">
        <f t="shared" ca="1" si="31"/>
        <v>1</v>
      </c>
      <c r="AQ21" s="47">
        <f t="shared" ca="1" si="32"/>
        <v>0</v>
      </c>
      <c r="AR21" s="47">
        <f t="shared" ca="1" si="33"/>
        <v>0</v>
      </c>
      <c r="AS21" s="33">
        <f t="shared" ca="1" si="34"/>
        <v>0.4</v>
      </c>
      <c r="AW21" s="2">
        <v>13</v>
      </c>
      <c r="AX21" s="2" t="s">
        <v>271</v>
      </c>
      <c r="AY21" s="130">
        <v>24.7</v>
      </c>
      <c r="AZ21" s="2">
        <v>19.8</v>
      </c>
      <c r="BA21" s="2"/>
      <c r="BB21" s="2">
        <v>11</v>
      </c>
      <c r="BC21" s="2"/>
      <c r="BD21" s="2">
        <v>11.4</v>
      </c>
      <c r="BE21" s="2">
        <v>12.7</v>
      </c>
      <c r="BF21" s="2">
        <v>13.3</v>
      </c>
      <c r="BG21" s="2">
        <v>14</v>
      </c>
      <c r="BH21" s="2">
        <f>10+15.8</f>
        <v>25.8</v>
      </c>
      <c r="BI21" s="2"/>
      <c r="BJ21" s="2"/>
      <c r="BK21" s="2"/>
      <c r="BL21" s="2"/>
      <c r="BM21" s="2"/>
      <c r="BN21" s="2">
        <v>56</v>
      </c>
      <c r="BO21" s="2">
        <v>26</v>
      </c>
      <c r="BP21" s="2">
        <v>28</v>
      </c>
      <c r="BQ21" s="2">
        <v>30</v>
      </c>
      <c r="BR21" s="2">
        <v>32</v>
      </c>
      <c r="BS21" s="2">
        <v>36</v>
      </c>
      <c r="BT21" s="2">
        <v>22</v>
      </c>
      <c r="BU21" s="2">
        <v>82</v>
      </c>
      <c r="BV21" s="2">
        <v>106</v>
      </c>
      <c r="BW21" s="2">
        <v>131</v>
      </c>
      <c r="BX21" s="2">
        <v>191</v>
      </c>
      <c r="BY21" s="2">
        <v>18.2</v>
      </c>
      <c r="BZ21" s="2">
        <v>5</v>
      </c>
      <c r="CA21" s="2">
        <v>1.3</v>
      </c>
      <c r="CB21" s="2">
        <v>3.3710484032913101E-7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>23m</v>
      </c>
      <c r="J22" s="47">
        <f t="shared" ca="1" si="35"/>
        <v>17</v>
      </c>
      <c r="K22" s="19">
        <f t="shared" ref="K22:K25" ca="1" si="37">IF(OFFSET($AW$6,(ROW()-6)*2,0)=0,"",-OFFSET($AW$6,(ROW()-6)*2,0))</f>
        <v>-78</v>
      </c>
      <c r="L22" s="116" t="str">
        <f t="shared" ca="1" si="1"/>
        <v>Cowden Clay</v>
      </c>
      <c r="M22" s="105" t="str">
        <f t="shared" ca="1" si="2"/>
        <v>API clay</v>
      </c>
      <c r="N22" s="47">
        <f t="shared" ca="1" si="3"/>
        <v>8.5</v>
      </c>
      <c r="O22" s="63">
        <f t="shared" ca="1" si="4"/>
        <v>1100</v>
      </c>
      <c r="P22" s="63">
        <f t="shared" ca="1" si="5"/>
        <v>3.5</v>
      </c>
      <c r="Q22" s="47">
        <f t="shared" ca="1" si="6"/>
        <v>0</v>
      </c>
      <c r="R22" s="47" t="e">
        <f t="shared" ca="1" si="7"/>
        <v>#N/A</v>
      </c>
      <c r="S22" s="47">
        <f t="shared" ca="1" si="8"/>
        <v>3</v>
      </c>
      <c r="T22" s="47">
        <f t="shared" ca="1" si="9"/>
        <v>0</v>
      </c>
      <c r="U22" s="75">
        <f t="shared" ca="1" si="10"/>
        <v>1.7999999999999999E-2</v>
      </c>
      <c r="V22" s="75">
        <f t="shared" ca="1" si="11"/>
        <v>0</v>
      </c>
      <c r="W22" s="47">
        <f t="shared" ca="1" si="12"/>
        <v>0.25</v>
      </c>
      <c r="X22" s="47">
        <f t="shared" ca="1" si="13"/>
        <v>92500</v>
      </c>
      <c r="Y22" s="47">
        <f t="shared" ca="1" si="14"/>
        <v>0</v>
      </c>
      <c r="Z22" s="47" t="e">
        <f t="shared" ca="1" si="15"/>
        <v>#N/A</v>
      </c>
      <c r="AA22" s="47">
        <f t="shared" ca="1" si="16"/>
        <v>1</v>
      </c>
      <c r="AB22" s="47" t="e">
        <f t="shared" ca="1" si="17"/>
        <v>#N/A</v>
      </c>
      <c r="AC22" s="63">
        <f t="shared" ca="1" si="18"/>
        <v>1834000</v>
      </c>
      <c r="AD22" s="63">
        <f t="shared" ca="1" si="19"/>
        <v>13500</v>
      </c>
      <c r="AE22" s="63">
        <f t="shared" ca="1" si="20"/>
        <v>0.3</v>
      </c>
      <c r="AF22" s="63">
        <f t="shared" ca="1" si="21"/>
        <v>0</v>
      </c>
      <c r="AG22" s="63">
        <f t="shared" ca="1" si="22"/>
        <v>0</v>
      </c>
      <c r="AH22" s="63">
        <f t="shared" ca="1" si="23"/>
        <v>0</v>
      </c>
      <c r="AI22" s="63">
        <f t="shared" ca="1" si="24"/>
        <v>0</v>
      </c>
      <c r="AJ22" s="47" t="e">
        <f t="shared" ca="1" si="25"/>
        <v>#N/A</v>
      </c>
      <c r="AK22" s="47">
        <f t="shared" ca="1" si="26"/>
        <v>1</v>
      </c>
      <c r="AL22" s="47">
        <f t="shared" ca="1" si="27"/>
        <v>1</v>
      </c>
      <c r="AM22" s="47">
        <f t="shared" ca="1" si="28"/>
        <v>1</v>
      </c>
      <c r="AN22" s="47">
        <f t="shared" ca="1" si="29"/>
        <v>1</v>
      </c>
      <c r="AO22" s="47">
        <f t="shared" ca="1" si="30"/>
        <v>1</v>
      </c>
      <c r="AP22" s="47">
        <f t="shared" ca="1" si="31"/>
        <v>1</v>
      </c>
      <c r="AQ22" s="47">
        <f t="shared" ca="1" si="32"/>
        <v>0</v>
      </c>
      <c r="AR22" s="47">
        <f t="shared" ca="1" si="33"/>
        <v>0</v>
      </c>
      <c r="AS22" s="33">
        <f t="shared" ca="1" si="34"/>
        <v>0.4</v>
      </c>
      <c r="AW22" s="2">
        <v>13</v>
      </c>
      <c r="AX22" s="2" t="s">
        <v>216</v>
      </c>
      <c r="AY22" s="130">
        <v>31.7</v>
      </c>
      <c r="AZ22" s="2">
        <v>19.3</v>
      </c>
      <c r="BA22" s="2">
        <v>20</v>
      </c>
      <c r="BB22" s="2">
        <v>45</v>
      </c>
      <c r="BC22" s="2">
        <v>4</v>
      </c>
      <c r="BD22" s="2">
        <v>2.4</v>
      </c>
      <c r="BE22" s="2">
        <v>2.7</v>
      </c>
      <c r="BF22" s="2">
        <v>2.8</v>
      </c>
      <c r="BG22" s="2">
        <v>3</v>
      </c>
      <c r="BH22" s="2">
        <v>4.0999999999999996</v>
      </c>
      <c r="BI22" s="2">
        <v>33</v>
      </c>
      <c r="BJ22" s="2">
        <v>107</v>
      </c>
      <c r="BK22" s="2">
        <v>141</v>
      </c>
      <c r="BL22" s="2">
        <v>176</v>
      </c>
      <c r="BM22" s="2">
        <v>267</v>
      </c>
      <c r="BN22" s="2"/>
      <c r="BO22" s="2"/>
      <c r="BP22" s="2"/>
      <c r="BQ22" s="2"/>
      <c r="BR22" s="2"/>
      <c r="BS22" s="2"/>
      <c r="BT22" s="2">
        <v>13</v>
      </c>
      <c r="BU22" s="2">
        <v>75</v>
      </c>
      <c r="BV22" s="2">
        <v>127</v>
      </c>
      <c r="BW22" s="2">
        <v>181</v>
      </c>
      <c r="BX22" s="2">
        <v>301</v>
      </c>
      <c r="BY22" s="2">
        <v>12</v>
      </c>
      <c r="BZ22" s="2">
        <v>6.2</v>
      </c>
      <c r="CA22" s="2">
        <v>2.8</v>
      </c>
      <c r="CB22" s="2">
        <v>1.96352276159791E-10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17.3</v>
      </c>
      <c r="AX23" s="2" t="s">
        <v>216</v>
      </c>
      <c r="AY23" s="130">
        <v>31.7</v>
      </c>
      <c r="AZ23" s="2">
        <v>19.3</v>
      </c>
      <c r="BA23" s="2">
        <v>20</v>
      </c>
      <c r="BB23" s="2">
        <v>45</v>
      </c>
      <c r="BC23" s="2">
        <v>4</v>
      </c>
      <c r="BD23" s="2">
        <v>3.3</v>
      </c>
      <c r="BE23" s="2">
        <v>3.6</v>
      </c>
      <c r="BF23" s="2">
        <v>3.7</v>
      </c>
      <c r="BG23" s="2">
        <v>3.8</v>
      </c>
      <c r="BH23" s="2">
        <v>4.9000000000000004</v>
      </c>
      <c r="BI23" s="2">
        <v>76</v>
      </c>
      <c r="BJ23" s="2">
        <v>150</v>
      </c>
      <c r="BK23" s="2">
        <v>184</v>
      </c>
      <c r="BL23" s="2">
        <v>219</v>
      </c>
      <c r="BM23" s="2">
        <v>310</v>
      </c>
      <c r="BN23" s="2"/>
      <c r="BO23" s="2"/>
      <c r="BP23" s="2"/>
      <c r="BQ23" s="2"/>
      <c r="BR23" s="2"/>
      <c r="BS23" s="2"/>
      <c r="BT23" s="2">
        <v>60</v>
      </c>
      <c r="BU23" s="2">
        <v>122</v>
      </c>
      <c r="BV23" s="2">
        <v>175</v>
      </c>
      <c r="BW23" s="2">
        <v>228</v>
      </c>
      <c r="BX23" s="2">
        <v>349</v>
      </c>
      <c r="BY23" s="2">
        <v>12</v>
      </c>
      <c r="BZ23" s="2">
        <v>6.2</v>
      </c>
      <c r="CA23" s="2">
        <v>2.8</v>
      </c>
      <c r="CB23" s="2">
        <v>1.96352276159791E-10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17.3</v>
      </c>
      <c r="AX24" s="2" t="s">
        <v>216</v>
      </c>
      <c r="AY24" s="130">
        <v>31.7</v>
      </c>
      <c r="AZ24" s="2">
        <v>19.3</v>
      </c>
      <c r="BA24" s="2">
        <v>20</v>
      </c>
      <c r="BB24" s="2">
        <v>45</v>
      </c>
      <c r="BC24" s="2">
        <v>4</v>
      </c>
      <c r="BD24" s="2">
        <v>6.9</v>
      </c>
      <c r="BE24" s="2">
        <v>7.8</v>
      </c>
      <c r="BF24" s="2">
        <v>8</v>
      </c>
      <c r="BG24" s="2">
        <v>8.1</v>
      </c>
      <c r="BH24" s="2">
        <v>9</v>
      </c>
      <c r="BI24" s="2">
        <v>246</v>
      </c>
      <c r="BJ24" s="2">
        <v>370</v>
      </c>
      <c r="BK24" s="2">
        <v>423</v>
      </c>
      <c r="BL24" s="2">
        <v>478</v>
      </c>
      <c r="BM24" s="2">
        <v>600</v>
      </c>
      <c r="BN24" s="2"/>
      <c r="BO24" s="2"/>
      <c r="BP24" s="2"/>
      <c r="BQ24" s="2"/>
      <c r="BR24" s="2"/>
      <c r="BS24" s="2"/>
      <c r="BT24" s="2">
        <v>190</v>
      </c>
      <c r="BU24" s="2">
        <v>378</v>
      </c>
      <c r="BV24" s="2">
        <v>468</v>
      </c>
      <c r="BW24" s="2">
        <v>559</v>
      </c>
      <c r="BX24" s="2">
        <v>746</v>
      </c>
      <c r="BY24" s="2">
        <v>35.799999999999997</v>
      </c>
      <c r="BZ24" s="2">
        <v>14.7</v>
      </c>
      <c r="CA24" s="2">
        <v>3</v>
      </c>
      <c r="CB24" s="2">
        <v>5.0217680209102701E-10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21.5</v>
      </c>
      <c r="AX25" s="2" t="s">
        <v>216</v>
      </c>
      <c r="AY25" s="130">
        <v>31.7</v>
      </c>
      <c r="AZ25" s="2">
        <v>19.3</v>
      </c>
      <c r="BA25" s="2">
        <v>20</v>
      </c>
      <c r="BB25" s="2">
        <v>45</v>
      </c>
      <c r="BC25" s="2">
        <v>4</v>
      </c>
      <c r="BD25" s="2">
        <v>10</v>
      </c>
      <c r="BE25" s="2">
        <v>10.9</v>
      </c>
      <c r="BF25" s="2">
        <v>11.1</v>
      </c>
      <c r="BG25" s="2">
        <v>11.3</v>
      </c>
      <c r="BH25" s="2">
        <v>12.1</v>
      </c>
      <c r="BI25" s="2">
        <v>417</v>
      </c>
      <c r="BJ25" s="2">
        <v>541</v>
      </c>
      <c r="BK25" s="2">
        <v>595</v>
      </c>
      <c r="BL25" s="2">
        <v>649</v>
      </c>
      <c r="BM25" s="2">
        <v>772</v>
      </c>
      <c r="BN25" s="2"/>
      <c r="BO25" s="2"/>
      <c r="BP25" s="2"/>
      <c r="BQ25" s="2"/>
      <c r="BR25" s="2"/>
      <c r="BS25" s="2"/>
      <c r="BT25" s="2">
        <v>436</v>
      </c>
      <c r="BU25" s="2">
        <v>624</v>
      </c>
      <c r="BV25" s="2">
        <v>714</v>
      </c>
      <c r="BW25" s="2">
        <v>805</v>
      </c>
      <c r="BX25" s="2">
        <v>992</v>
      </c>
      <c r="BY25" s="2">
        <v>35.799999999999997</v>
      </c>
      <c r="BZ25" s="2">
        <v>14.7</v>
      </c>
      <c r="CA25" s="2">
        <v>3</v>
      </c>
      <c r="CB25" s="2">
        <v>5.0217680209102701E-10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21.5</v>
      </c>
      <c r="AX26" s="2" t="s">
        <v>311</v>
      </c>
      <c r="AY26" s="130">
        <v>32.5</v>
      </c>
      <c r="AZ26" s="2">
        <v>18.899999999999999</v>
      </c>
      <c r="BA26" s="2"/>
      <c r="BB26" s="2">
        <v>30</v>
      </c>
      <c r="BC26" s="2">
        <v>5</v>
      </c>
      <c r="BD26" s="2">
        <v>5.5</v>
      </c>
      <c r="BE26" s="2">
        <v>7</v>
      </c>
      <c r="BF26" s="2">
        <v>7.3</v>
      </c>
      <c r="BG26" s="2">
        <v>7.8</v>
      </c>
      <c r="BH26" s="2">
        <v>10.3</v>
      </c>
      <c r="BI26" s="2">
        <v>194</v>
      </c>
      <c r="BJ26" s="2">
        <v>329</v>
      </c>
      <c r="BK26" s="2">
        <v>381</v>
      </c>
      <c r="BL26" s="2">
        <v>438</v>
      </c>
      <c r="BM26" s="2">
        <v>610</v>
      </c>
      <c r="BN26" s="2"/>
      <c r="BO26" s="2"/>
      <c r="BP26" s="2"/>
      <c r="BQ26" s="2"/>
      <c r="BR26" s="2"/>
      <c r="BS26" s="2"/>
      <c r="BT26" s="2">
        <v>182</v>
      </c>
      <c r="BU26" s="2">
        <v>327</v>
      </c>
      <c r="BV26" s="2">
        <v>414</v>
      </c>
      <c r="BW26" s="2">
        <v>504</v>
      </c>
      <c r="BX26" s="2">
        <v>740</v>
      </c>
      <c r="BY26" s="2">
        <v>23.6</v>
      </c>
      <c r="BZ26" s="2">
        <v>8.3000000000000007</v>
      </c>
      <c r="CA26" s="2">
        <v>3</v>
      </c>
      <c r="CB26" s="2">
        <v>1.5338903171988499E-10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24.5</v>
      </c>
      <c r="AX27" s="2" t="s">
        <v>311</v>
      </c>
      <c r="AY27" s="130">
        <v>32.5</v>
      </c>
      <c r="AZ27" s="2">
        <v>18.899999999999999</v>
      </c>
      <c r="BA27" s="2"/>
      <c r="BB27" s="2">
        <v>30</v>
      </c>
      <c r="BC27" s="2">
        <v>5</v>
      </c>
      <c r="BD27" s="2">
        <v>3.1</v>
      </c>
      <c r="BE27" s="2">
        <v>4.7</v>
      </c>
      <c r="BF27" s="2">
        <v>5</v>
      </c>
      <c r="BG27" s="2">
        <v>5.4</v>
      </c>
      <c r="BH27" s="2">
        <v>8</v>
      </c>
      <c r="BI27" s="2">
        <v>62</v>
      </c>
      <c r="BJ27" s="2">
        <v>197</v>
      </c>
      <c r="BK27" s="2">
        <v>249</v>
      </c>
      <c r="BL27" s="2">
        <v>306</v>
      </c>
      <c r="BM27" s="2">
        <v>479</v>
      </c>
      <c r="BN27" s="2"/>
      <c r="BO27" s="2"/>
      <c r="BP27" s="2"/>
      <c r="BQ27" s="2"/>
      <c r="BR27" s="2"/>
      <c r="BS27" s="2"/>
      <c r="BT27" s="2">
        <v>24</v>
      </c>
      <c r="BU27" s="2">
        <v>169</v>
      </c>
      <c r="BV27" s="2">
        <v>256</v>
      </c>
      <c r="BW27" s="2">
        <v>346</v>
      </c>
      <c r="BX27" s="2">
        <v>581</v>
      </c>
      <c r="BY27" s="2">
        <v>23.6</v>
      </c>
      <c r="BZ27" s="2">
        <v>8.3000000000000007</v>
      </c>
      <c r="CA27" s="2">
        <v>3</v>
      </c>
      <c r="CB27" s="2">
        <v>1.5338903171988499E-10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24.5</v>
      </c>
      <c r="AX28" s="2" t="s">
        <v>302</v>
      </c>
      <c r="AY28" s="130">
        <v>27.7</v>
      </c>
      <c r="AZ28" s="2">
        <v>19.3</v>
      </c>
      <c r="BA28" s="2"/>
      <c r="BB28" s="2">
        <v>15</v>
      </c>
      <c r="BC28" s="2"/>
      <c r="BD28" s="2">
        <v>17.399999999999999</v>
      </c>
      <c r="BE28" s="2">
        <v>21.1</v>
      </c>
      <c r="BF28" s="2">
        <v>22.4</v>
      </c>
      <c r="BG28" s="2">
        <v>24.3</v>
      </c>
      <c r="BH28" s="2">
        <v>29.3</v>
      </c>
      <c r="BI28" s="2"/>
      <c r="BJ28" s="2"/>
      <c r="BK28" s="2"/>
      <c r="BL28" s="2"/>
      <c r="BM28" s="2"/>
      <c r="BN28" s="2">
        <v>78</v>
      </c>
      <c r="BO28" s="2">
        <v>26</v>
      </c>
      <c r="BP28" s="2">
        <v>29</v>
      </c>
      <c r="BQ28" s="2">
        <v>31</v>
      </c>
      <c r="BR28" s="2">
        <v>34</v>
      </c>
      <c r="BS28" s="2">
        <v>38</v>
      </c>
      <c r="BT28" s="2">
        <v>24</v>
      </c>
      <c r="BU28" s="2">
        <v>117</v>
      </c>
      <c r="BV28" s="2">
        <v>155</v>
      </c>
      <c r="BW28" s="2">
        <v>194</v>
      </c>
      <c r="BX28" s="2">
        <v>290</v>
      </c>
      <c r="BY28" s="2">
        <v>43.6</v>
      </c>
      <c r="BZ28" s="2">
        <v>5.0999999999999996</v>
      </c>
      <c r="CA28" s="2">
        <v>1.3</v>
      </c>
      <c r="CB28" s="2">
        <v>4.2786261793207901E-7</v>
      </c>
      <c r="CC28" s="2"/>
    </row>
    <row r="29" spans="1:81" x14ac:dyDescent="0.25">
      <c r="A29" s="66"/>
      <c r="B29" s="66"/>
      <c r="C29" s="67"/>
      <c r="D29" s="35"/>
      <c r="AW29" s="2">
        <v>25.5</v>
      </c>
      <c r="AX29" s="2" t="s">
        <v>302</v>
      </c>
      <c r="AY29" s="130">
        <v>27.7</v>
      </c>
      <c r="AZ29" s="2">
        <v>19.3</v>
      </c>
      <c r="BA29" s="2"/>
      <c r="BB29" s="2">
        <v>15</v>
      </c>
      <c r="BC29" s="2"/>
      <c r="BD29" s="2">
        <v>30.1</v>
      </c>
      <c r="BE29" s="2">
        <v>33.799999999999997</v>
      </c>
      <c r="BF29" s="2">
        <v>35.200000000000003</v>
      </c>
      <c r="BG29" s="2">
        <v>37</v>
      </c>
      <c r="BH29" s="2">
        <v>42</v>
      </c>
      <c r="BI29" s="2"/>
      <c r="BJ29" s="2"/>
      <c r="BK29" s="2"/>
      <c r="BL29" s="2"/>
      <c r="BM29" s="2"/>
      <c r="BN29" s="2">
        <v>78</v>
      </c>
      <c r="BO29" s="2">
        <v>26</v>
      </c>
      <c r="BP29" s="2">
        <v>29</v>
      </c>
      <c r="BQ29" s="2">
        <v>31</v>
      </c>
      <c r="BR29" s="2">
        <v>34</v>
      </c>
      <c r="BS29" s="2">
        <v>38</v>
      </c>
      <c r="BT29" s="2">
        <v>44</v>
      </c>
      <c r="BU29" s="2">
        <v>137</v>
      </c>
      <c r="BV29" s="2">
        <v>175</v>
      </c>
      <c r="BW29" s="2">
        <v>214</v>
      </c>
      <c r="BX29" s="2">
        <v>310</v>
      </c>
      <c r="BY29" s="2">
        <v>43.6</v>
      </c>
      <c r="BZ29" s="2">
        <v>5.0999999999999996</v>
      </c>
      <c r="CA29" s="2">
        <v>1.3</v>
      </c>
      <c r="CB29" s="2">
        <v>4.2786261793207901E-7</v>
      </c>
      <c r="CC29" s="2"/>
    </row>
    <row r="30" spans="1:81" x14ac:dyDescent="0.25">
      <c r="A30" s="66"/>
      <c r="B30" s="66"/>
      <c r="C30" s="67"/>
      <c r="D30" s="35"/>
      <c r="AW30" s="2">
        <v>25.5</v>
      </c>
      <c r="AX30" s="2" t="s">
        <v>273</v>
      </c>
      <c r="AY30" s="130">
        <v>32</v>
      </c>
      <c r="AZ30" s="2">
        <v>18.899999999999999</v>
      </c>
      <c r="BA30" s="2">
        <v>47</v>
      </c>
      <c r="BB30" s="2">
        <v>85</v>
      </c>
      <c r="BC30" s="2">
        <v>3</v>
      </c>
      <c r="BD30" s="2">
        <v>3.5</v>
      </c>
      <c r="BE30" s="2">
        <v>4</v>
      </c>
      <c r="BF30" s="2">
        <v>4.2</v>
      </c>
      <c r="BG30" s="2">
        <v>4.3</v>
      </c>
      <c r="BH30" s="2">
        <v>4.8</v>
      </c>
      <c r="BI30" s="2">
        <v>66</v>
      </c>
      <c r="BJ30" s="2">
        <v>143</v>
      </c>
      <c r="BK30" s="2">
        <v>180</v>
      </c>
      <c r="BL30" s="2">
        <v>218</v>
      </c>
      <c r="BM30" s="2">
        <v>295</v>
      </c>
      <c r="BN30" s="2"/>
      <c r="BO30" s="2"/>
      <c r="BP30" s="2"/>
      <c r="BQ30" s="2"/>
      <c r="BR30" s="2"/>
      <c r="BS30" s="2"/>
      <c r="BT30" s="2">
        <v>25</v>
      </c>
      <c r="BU30" s="2">
        <v>117</v>
      </c>
      <c r="BV30" s="2">
        <v>203</v>
      </c>
      <c r="BW30" s="2">
        <v>289</v>
      </c>
      <c r="BX30" s="2">
        <v>462</v>
      </c>
      <c r="BY30" s="2">
        <v>17.100000000000001</v>
      </c>
      <c r="BZ30" s="2">
        <v>4.4000000000000004</v>
      </c>
      <c r="CA30" s="2">
        <v>1.7</v>
      </c>
      <c r="CB30" s="2">
        <v>7.4015833354320798E-11</v>
      </c>
      <c r="CC30" s="2">
        <v>1.8</v>
      </c>
    </row>
    <row r="31" spans="1:81" x14ac:dyDescent="0.25">
      <c r="A31" s="66"/>
      <c r="B31" s="66"/>
      <c r="C31" s="67"/>
      <c r="D31" s="35"/>
      <c r="AW31" s="2">
        <v>35.799999999999997</v>
      </c>
      <c r="AX31" s="2" t="s">
        <v>273</v>
      </c>
      <c r="AY31" s="130">
        <v>32</v>
      </c>
      <c r="AZ31" s="2">
        <v>18.899999999999999</v>
      </c>
      <c r="BA31" s="2">
        <v>47</v>
      </c>
      <c r="BB31" s="2">
        <v>85</v>
      </c>
      <c r="BC31" s="2">
        <v>3</v>
      </c>
      <c r="BD31" s="2">
        <v>4.9000000000000004</v>
      </c>
      <c r="BE31" s="2">
        <v>5.5</v>
      </c>
      <c r="BF31" s="2">
        <v>5.6</v>
      </c>
      <c r="BG31" s="2">
        <v>5.7</v>
      </c>
      <c r="BH31" s="2">
        <v>6.2</v>
      </c>
      <c r="BI31" s="2">
        <v>133</v>
      </c>
      <c r="BJ31" s="2">
        <v>211</v>
      </c>
      <c r="BK31" s="2">
        <v>248</v>
      </c>
      <c r="BL31" s="2">
        <v>286</v>
      </c>
      <c r="BM31" s="2">
        <v>363</v>
      </c>
      <c r="BN31" s="2"/>
      <c r="BO31" s="2"/>
      <c r="BP31" s="2"/>
      <c r="BQ31" s="2"/>
      <c r="BR31" s="2"/>
      <c r="BS31" s="2"/>
      <c r="BT31" s="2">
        <v>118</v>
      </c>
      <c r="BU31" s="2">
        <v>210</v>
      </c>
      <c r="BV31" s="2">
        <v>296</v>
      </c>
      <c r="BW31" s="2">
        <v>382</v>
      </c>
      <c r="BX31" s="2">
        <v>555</v>
      </c>
      <c r="BY31" s="2">
        <v>17.100000000000001</v>
      </c>
      <c r="BZ31" s="2">
        <v>4.4000000000000004</v>
      </c>
      <c r="CA31" s="2">
        <v>1.7</v>
      </c>
      <c r="CB31" s="2">
        <v>7.4015833354320798E-11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35.799999999999997</v>
      </c>
      <c r="AX32" s="2" t="s">
        <v>289</v>
      </c>
      <c r="AY32" s="130">
        <v>28.8</v>
      </c>
      <c r="AZ32" s="2">
        <v>19</v>
      </c>
      <c r="BA32" s="2"/>
      <c r="BB32" s="2">
        <v>10</v>
      </c>
      <c r="BC32" s="2"/>
      <c r="BD32" s="2">
        <v>13.9</v>
      </c>
      <c r="BE32" s="2">
        <v>33.700000000000003</v>
      </c>
      <c r="BF32" s="2">
        <v>36</v>
      </c>
      <c r="BG32" s="2">
        <v>38</v>
      </c>
      <c r="BH32" s="2">
        <v>56.6</v>
      </c>
      <c r="BI32" s="2"/>
      <c r="BJ32" s="2"/>
      <c r="BK32" s="2"/>
      <c r="BL32" s="2"/>
      <c r="BM32" s="2"/>
      <c r="BN32" s="2">
        <v>75</v>
      </c>
      <c r="BO32" s="2">
        <v>26</v>
      </c>
      <c r="BP32" s="2">
        <v>29</v>
      </c>
      <c r="BQ32" s="2">
        <v>31</v>
      </c>
      <c r="BR32" s="2">
        <v>33</v>
      </c>
      <c r="BS32" s="2">
        <v>38</v>
      </c>
      <c r="BT32" s="2">
        <v>35</v>
      </c>
      <c r="BU32" s="2">
        <v>150</v>
      </c>
      <c r="BV32" s="2">
        <v>198</v>
      </c>
      <c r="BW32" s="2">
        <v>245</v>
      </c>
      <c r="BX32" s="2">
        <v>366</v>
      </c>
      <c r="BY32" s="2">
        <v>55.1</v>
      </c>
      <c r="BZ32" s="2">
        <v>3.4</v>
      </c>
      <c r="CA32" s="2">
        <v>1.1000000000000001</v>
      </c>
      <c r="CB32" s="2">
        <v>1.7729497204116901E-7</v>
      </c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44.5</v>
      </c>
      <c r="AX33" s="2" t="s">
        <v>289</v>
      </c>
      <c r="AY33" s="130">
        <v>28.8</v>
      </c>
      <c r="AZ33" s="2">
        <v>19</v>
      </c>
      <c r="BA33" s="2"/>
      <c r="BB33" s="2">
        <v>10</v>
      </c>
      <c r="BC33" s="2"/>
      <c r="BD33" s="2">
        <v>4.9000000000000004</v>
      </c>
      <c r="BE33" s="2">
        <v>24.7</v>
      </c>
      <c r="BF33" s="2">
        <v>27</v>
      </c>
      <c r="BG33" s="2">
        <v>29.1</v>
      </c>
      <c r="BH33" s="2">
        <v>47.6</v>
      </c>
      <c r="BI33" s="2"/>
      <c r="BJ33" s="2"/>
      <c r="BK33" s="2"/>
      <c r="BL33" s="2"/>
      <c r="BM33" s="2"/>
      <c r="BN33" s="2">
        <v>75</v>
      </c>
      <c r="BO33" s="2">
        <v>26</v>
      </c>
      <c r="BP33" s="2">
        <v>29</v>
      </c>
      <c r="BQ33" s="2">
        <v>31</v>
      </c>
      <c r="BR33" s="2">
        <v>33</v>
      </c>
      <c r="BS33" s="2">
        <v>38</v>
      </c>
      <c r="BT33" s="2">
        <v>47</v>
      </c>
      <c r="BU33" s="2">
        <v>162</v>
      </c>
      <c r="BV33" s="2">
        <v>209</v>
      </c>
      <c r="BW33" s="2">
        <v>257</v>
      </c>
      <c r="BX33" s="2">
        <v>377</v>
      </c>
      <c r="BY33" s="2">
        <v>55.1</v>
      </c>
      <c r="BZ33" s="2">
        <v>3.4</v>
      </c>
      <c r="CA33" s="2">
        <v>1.1000000000000001</v>
      </c>
      <c r="CB33" s="2">
        <v>1.7729497204116901E-7</v>
      </c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44.5</v>
      </c>
      <c r="AX34" s="2" t="s">
        <v>218</v>
      </c>
      <c r="AY34" s="130">
        <v>37</v>
      </c>
      <c r="AZ34" s="2">
        <v>18.3</v>
      </c>
      <c r="BA34" s="2">
        <v>59</v>
      </c>
      <c r="BB34" s="2">
        <v>77</v>
      </c>
      <c r="BC34" s="2">
        <v>3</v>
      </c>
      <c r="BD34" s="2">
        <v>6.5</v>
      </c>
      <c r="BE34" s="2">
        <v>8.4</v>
      </c>
      <c r="BF34" s="2">
        <v>8.6</v>
      </c>
      <c r="BG34" s="2">
        <f>2+8.9</f>
        <v>10.9</v>
      </c>
      <c r="BH34" s="2">
        <f>5+11.6</f>
        <v>16.600000000000001</v>
      </c>
      <c r="BI34" s="2">
        <v>221</v>
      </c>
      <c r="BJ34" s="2">
        <v>343</v>
      </c>
      <c r="BK34" s="2">
        <v>387</v>
      </c>
      <c r="BL34" s="2">
        <v>434</v>
      </c>
      <c r="BM34" s="2">
        <v>584</v>
      </c>
      <c r="BN34" s="2"/>
      <c r="BO34" s="2"/>
      <c r="BP34" s="2"/>
      <c r="BQ34" s="2"/>
      <c r="BR34" s="2"/>
      <c r="BS34" s="2"/>
      <c r="BT34" s="2">
        <v>189</v>
      </c>
      <c r="BU34" s="2">
        <v>403</v>
      </c>
      <c r="BV34" s="2">
        <v>493</v>
      </c>
      <c r="BW34" s="2">
        <v>584</v>
      </c>
      <c r="BX34" s="2">
        <v>837</v>
      </c>
      <c r="BY34" s="2">
        <v>30.2</v>
      </c>
      <c r="BZ34" s="2">
        <v>4.9000000000000004</v>
      </c>
      <c r="CA34" s="2">
        <v>1.8</v>
      </c>
      <c r="CB34" s="2">
        <v>1.63328586633031E-10</v>
      </c>
      <c r="CC34" s="2">
        <v>1.8</v>
      </c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57</v>
      </c>
      <c r="AX35" s="2" t="s">
        <v>218</v>
      </c>
      <c r="AY35" s="130">
        <v>37</v>
      </c>
      <c r="AZ35" s="2">
        <v>18.3</v>
      </c>
      <c r="BA35" s="2">
        <v>59</v>
      </c>
      <c r="BB35" s="2">
        <v>77</v>
      </c>
      <c r="BC35" s="2">
        <v>3</v>
      </c>
      <c r="BD35" s="2">
        <v>6.4</v>
      </c>
      <c r="BE35" s="2">
        <v>8.3000000000000007</v>
      </c>
      <c r="BF35" s="2">
        <v>8.5</v>
      </c>
      <c r="BG35" s="2">
        <f>2+8.8</f>
        <v>10.8</v>
      </c>
      <c r="BH35" s="2">
        <f>5+11.5</f>
        <v>16.5</v>
      </c>
      <c r="BI35" s="2">
        <v>206</v>
      </c>
      <c r="BJ35" s="2">
        <v>328</v>
      </c>
      <c r="BK35" s="2">
        <v>372</v>
      </c>
      <c r="BL35" s="2">
        <v>419</v>
      </c>
      <c r="BM35" s="2">
        <v>569</v>
      </c>
      <c r="BN35" s="2"/>
      <c r="BO35" s="2"/>
      <c r="BP35" s="2"/>
      <c r="BQ35" s="2"/>
      <c r="BR35" s="2"/>
      <c r="BS35" s="2"/>
      <c r="BT35" s="2">
        <v>185</v>
      </c>
      <c r="BU35" s="2">
        <v>399</v>
      </c>
      <c r="BV35" s="2">
        <v>489</v>
      </c>
      <c r="BW35" s="2">
        <v>580</v>
      </c>
      <c r="BX35" s="2">
        <v>833</v>
      </c>
      <c r="BY35" s="2">
        <v>30.2</v>
      </c>
      <c r="BZ35" s="2">
        <v>4.9000000000000004</v>
      </c>
      <c r="CA35" s="2">
        <v>1.8</v>
      </c>
      <c r="CB35" s="2">
        <v>1.63328586633031E-10</v>
      </c>
      <c r="CC35" s="2">
        <v>1.8</v>
      </c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>
        <v>57</v>
      </c>
      <c r="AX36" s="2" t="s">
        <v>220</v>
      </c>
      <c r="AY36" s="130">
        <v>29.5</v>
      </c>
      <c r="AZ36" s="2">
        <v>18.8</v>
      </c>
      <c r="BA36" s="2">
        <v>48</v>
      </c>
      <c r="BB36" s="2">
        <v>77</v>
      </c>
      <c r="BC36" s="2">
        <v>3</v>
      </c>
      <c r="BD36" s="2">
        <v>2.1</v>
      </c>
      <c r="BE36" s="2">
        <v>15.2</v>
      </c>
      <c r="BF36" s="2">
        <v>18.5</v>
      </c>
      <c r="BG36" s="2">
        <v>44</v>
      </c>
      <c r="BH36" s="2">
        <v>123</v>
      </c>
      <c r="BI36" s="2">
        <v>739</v>
      </c>
      <c r="BJ36" s="2">
        <v>825</v>
      </c>
      <c r="BK36" s="2">
        <v>868</v>
      </c>
      <c r="BL36" s="2">
        <v>912</v>
      </c>
      <c r="BM36" s="2">
        <v>998</v>
      </c>
      <c r="BN36" s="2"/>
      <c r="BO36" s="2"/>
      <c r="BP36" s="2"/>
      <c r="BQ36" s="2"/>
      <c r="BR36" s="2"/>
      <c r="BS36" s="2"/>
      <c r="BT36" s="2">
        <v>1051</v>
      </c>
      <c r="BU36" s="2">
        <v>1223</v>
      </c>
      <c r="BV36" s="2">
        <v>1310</v>
      </c>
      <c r="BW36" s="2">
        <v>1397</v>
      </c>
      <c r="BX36" s="2">
        <v>1569</v>
      </c>
      <c r="BY36" s="2">
        <v>80.3</v>
      </c>
      <c r="BZ36" s="2">
        <v>9.9</v>
      </c>
      <c r="CA36" s="2">
        <v>3</v>
      </c>
      <c r="CB36" s="2">
        <v>4.2378795761635801E-12</v>
      </c>
      <c r="CC36" s="2">
        <v>1.8</v>
      </c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>
        <v>78</v>
      </c>
      <c r="AX37" s="2" t="s">
        <v>220</v>
      </c>
      <c r="AY37" s="130">
        <v>29.5</v>
      </c>
      <c r="AZ37" s="2">
        <v>18.8</v>
      </c>
      <c r="BA37" s="2">
        <v>48</v>
      </c>
      <c r="BB37" s="2">
        <v>77</v>
      </c>
      <c r="BC37" s="2">
        <v>3</v>
      </c>
      <c r="BD37" s="2">
        <v>7.8</v>
      </c>
      <c r="BE37" s="2">
        <v>20.9</v>
      </c>
      <c r="BF37" s="2">
        <v>24.1</v>
      </c>
      <c r="BG37" s="2">
        <v>49.6</v>
      </c>
      <c r="BH37" s="2">
        <v>128.69999999999999</v>
      </c>
      <c r="BI37" s="2">
        <v>1003</v>
      </c>
      <c r="BJ37" s="2">
        <v>1089</v>
      </c>
      <c r="BK37" s="2">
        <v>1132</v>
      </c>
      <c r="BL37" s="2">
        <v>1176</v>
      </c>
      <c r="BM37" s="2">
        <v>1262</v>
      </c>
      <c r="BN37" s="2"/>
      <c r="BO37" s="2"/>
      <c r="BP37" s="2"/>
      <c r="BQ37" s="2"/>
      <c r="BR37" s="2"/>
      <c r="BS37" s="2"/>
      <c r="BT37" s="2">
        <v>1575</v>
      </c>
      <c r="BU37" s="2">
        <v>1747</v>
      </c>
      <c r="BV37" s="2">
        <v>1834</v>
      </c>
      <c r="BW37" s="2">
        <v>1921</v>
      </c>
      <c r="BX37" s="2">
        <v>2093</v>
      </c>
      <c r="BY37" s="2">
        <v>80.3</v>
      </c>
      <c r="BZ37" s="2">
        <v>9.9</v>
      </c>
      <c r="CA37" s="2">
        <v>3</v>
      </c>
      <c r="CB37" s="2">
        <v>4.2378795761635801E-12</v>
      </c>
      <c r="CC37" s="2">
        <v>1.8</v>
      </c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>
        <v>78</v>
      </c>
      <c r="AX38" s="2" t="s">
        <v>221</v>
      </c>
      <c r="AY38" s="130">
        <v>36.1</v>
      </c>
      <c r="AZ38" s="2">
        <v>18.5</v>
      </c>
      <c r="BA38" s="2">
        <v>21</v>
      </c>
      <c r="BB38" s="2">
        <v>72</v>
      </c>
      <c r="BC38" s="2">
        <v>3</v>
      </c>
      <c r="BD38" s="2">
        <v>2.9</v>
      </c>
      <c r="BE38" s="2">
        <v>16.600000000000001</v>
      </c>
      <c r="BF38" s="2">
        <v>24.4</v>
      </c>
      <c r="BG38" s="2">
        <v>47.4</v>
      </c>
      <c r="BH38" s="2">
        <v>118.6</v>
      </c>
      <c r="BI38" s="2">
        <v>942</v>
      </c>
      <c r="BJ38" s="2">
        <v>1100</v>
      </c>
      <c r="BK38" s="2">
        <v>1151</v>
      </c>
      <c r="BL38" s="2">
        <v>1198</v>
      </c>
      <c r="BM38" s="2">
        <v>1306</v>
      </c>
      <c r="BN38" s="2"/>
      <c r="BO38" s="2"/>
      <c r="BP38" s="2"/>
      <c r="BQ38" s="2"/>
      <c r="BR38" s="2"/>
      <c r="BS38" s="2"/>
      <c r="BT38" s="2">
        <v>1576</v>
      </c>
      <c r="BU38" s="2">
        <v>1748</v>
      </c>
      <c r="BV38" s="2">
        <v>1834</v>
      </c>
      <c r="BW38" s="2">
        <v>1921</v>
      </c>
      <c r="BX38" s="2">
        <v>2093</v>
      </c>
      <c r="BY38" s="2">
        <v>92.5</v>
      </c>
      <c r="BZ38" s="2">
        <v>9.8000000000000007</v>
      </c>
      <c r="CA38" s="2">
        <v>3</v>
      </c>
      <c r="CB38" s="2">
        <v>4.3499332310090803E-12</v>
      </c>
      <c r="CC38" s="2">
        <v>1.8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>
        <v>80</v>
      </c>
      <c r="AX39" s="2" t="s">
        <v>221</v>
      </c>
      <c r="AY39" s="130">
        <v>36.1</v>
      </c>
      <c r="AZ39" s="2">
        <v>18.5</v>
      </c>
      <c r="BA39" s="2">
        <v>21</v>
      </c>
      <c r="BB39" s="2">
        <v>72</v>
      </c>
      <c r="BC39" s="2">
        <v>3</v>
      </c>
      <c r="BD39" s="2">
        <v>3</v>
      </c>
      <c r="BE39" s="2">
        <v>16.8</v>
      </c>
      <c r="BF39" s="2">
        <v>24.6</v>
      </c>
      <c r="BG39" s="2">
        <v>47.5</v>
      </c>
      <c r="BH39" s="2">
        <v>118.8</v>
      </c>
      <c r="BI39" s="2">
        <v>949</v>
      </c>
      <c r="BJ39" s="2">
        <v>1107</v>
      </c>
      <c r="BK39" s="2">
        <v>1159</v>
      </c>
      <c r="BL39" s="2">
        <v>1205</v>
      </c>
      <c r="BM39" s="2">
        <v>1313</v>
      </c>
      <c r="BN39" s="2"/>
      <c r="BO39" s="2"/>
      <c r="BP39" s="2"/>
      <c r="BQ39" s="2"/>
      <c r="BR39" s="2"/>
      <c r="BS39" s="2"/>
      <c r="BT39" s="2">
        <v>1602</v>
      </c>
      <c r="BU39" s="2">
        <v>1774</v>
      </c>
      <c r="BV39" s="2">
        <v>1861</v>
      </c>
      <c r="BW39" s="2">
        <v>1948</v>
      </c>
      <c r="BX39" s="2">
        <v>2119</v>
      </c>
      <c r="BY39" s="2">
        <v>92.5</v>
      </c>
      <c r="BZ39" s="2">
        <v>9.8000000000000007</v>
      </c>
      <c r="CA39" s="2">
        <v>3</v>
      </c>
      <c r="CB39" s="2">
        <v>4.3499332310090803E-12</v>
      </c>
      <c r="CC39" s="2">
        <v>1.8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479" priority="12">
      <formula>$L32="API sand"</formula>
    </cfRule>
  </conditionalFormatting>
  <conditionalFormatting sqref="R32:S36 AB32:AB35 AJ32:AL36 Z32:Z36 N32:N36">
    <cfRule type="expression" dxfId="2478" priority="11">
      <formula>$M32="API sand"</formula>
    </cfRule>
  </conditionalFormatting>
  <conditionalFormatting sqref="R32:T36 Z32:AB35 AK32:AL36 N32:N36">
    <cfRule type="expression" dxfId="2477" priority="10">
      <formula>$M32="API clay"</formula>
    </cfRule>
  </conditionalFormatting>
  <conditionalFormatting sqref="U32:W36 AM32:AP36 N32:P36">
    <cfRule type="expression" dxfId="2476" priority="7">
      <formula>$L32="Stiff clay w/o free water"</formula>
    </cfRule>
    <cfRule type="expression" dxfId="2475" priority="9">
      <formula>$L32="API clay"</formula>
    </cfRule>
  </conditionalFormatting>
  <conditionalFormatting sqref="U32:Y36 AM32:AP36 N32:P36">
    <cfRule type="expression" dxfId="2474" priority="8">
      <formula>$L32="Kirsch soft clay"</formula>
    </cfRule>
  </conditionalFormatting>
  <conditionalFormatting sqref="U32:Y36 AM32:AP36 N32:P36">
    <cfRule type="expression" dxfId="2473" priority="6">
      <formula>$L32="Kirsch stiff clay"</formula>
    </cfRule>
  </conditionalFormatting>
  <conditionalFormatting sqref="AM32:AP36 Q32:Q36 X32:Y36 N32:N36">
    <cfRule type="expression" dxfId="2472" priority="5">
      <formula>$L32="Kirsch sand"</formula>
    </cfRule>
  </conditionalFormatting>
  <conditionalFormatting sqref="AC32:AD36 AI32:AI36 AM32:AP36 N32:N36">
    <cfRule type="expression" dxfId="2471" priority="4">
      <formula>$L32="Modified Weak rock"</formula>
    </cfRule>
  </conditionalFormatting>
  <conditionalFormatting sqref="AM32:AP36 N32:P36 U32:V36">
    <cfRule type="expression" dxfId="2470" priority="3">
      <formula>$L32="Reese stiff clay"</formula>
    </cfRule>
  </conditionalFormatting>
  <conditionalFormatting sqref="AB36">
    <cfRule type="expression" dxfId="2469" priority="2">
      <formula>$M36="API sand"</formula>
    </cfRule>
  </conditionalFormatting>
  <conditionalFormatting sqref="Z36:AB36">
    <cfRule type="expression" dxfId="2468" priority="1">
      <formula>$M36="API clay"</formula>
    </cfRule>
  </conditionalFormatting>
  <conditionalFormatting sqref="AE37:AH37">
    <cfRule type="expression" dxfId="2467" priority="13">
      <formula>#REF!="Modified Weak rock"</formula>
    </cfRule>
  </conditionalFormatting>
  <dataValidations count="4">
    <dataValidation type="textLength" showInputMessage="1" showErrorMessage="1" sqref="M27:M31" xr:uid="{0CFA4DCB-A738-4FFA-9C6A-1CE20D649D00}">
      <formula1>0</formula1>
      <formula2>100</formula2>
    </dataValidation>
    <dataValidation showInputMessage="1" showErrorMessage="1" sqref="L6:M26" xr:uid="{DB09E269-A67A-4307-B46D-9C013C29EF4A}"/>
    <dataValidation type="list" showInputMessage="1" showErrorMessage="1" sqref="L32:L255" xr:uid="{57DEB7E5-86DE-4D7D-BC03-A2E0DBF7E618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D903C73D-928C-42AA-809E-CF440F956725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262AD-9212-46BF-9810-90D7395A91B7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Ak_Pisa_WTG31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9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EW_sand_Ruled_72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32</v>
      </c>
      <c r="R6" s="47">
        <f t="shared" ref="R6:R26" ca="1" si="7">IF(I6="","",IF(Q6&lt;&gt;0,Q6-5,NA()))</f>
        <v>27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2800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86.999999999999972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6720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24000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28.000000000000007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72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0.4</v>
      </c>
      <c r="BG6" s="2">
        <v>0.9</v>
      </c>
      <c r="BH6" s="2">
        <v>1.9</v>
      </c>
      <c r="BI6" s="2"/>
      <c r="BJ6" s="2"/>
      <c r="BK6" s="2"/>
      <c r="BL6" s="2"/>
      <c r="BM6" s="2"/>
      <c r="BN6" s="2">
        <v>72</v>
      </c>
      <c r="BO6" s="2">
        <v>21</v>
      </c>
      <c r="BP6" s="2">
        <v>32</v>
      </c>
      <c r="BQ6" s="2">
        <v>36</v>
      </c>
      <c r="BR6" s="2">
        <v>39</v>
      </c>
      <c r="BS6" s="2">
        <v>50</v>
      </c>
      <c r="BT6" s="2">
        <v>0</v>
      </c>
      <c r="BU6" s="2">
        <v>2</v>
      </c>
      <c r="BV6" s="2">
        <v>5</v>
      </c>
      <c r="BW6" s="2">
        <v>8</v>
      </c>
      <c r="BX6" s="2">
        <v>15</v>
      </c>
      <c r="BY6" s="2">
        <v>2.8</v>
      </c>
      <c r="BZ6" s="2">
        <v>1</v>
      </c>
      <c r="CA6" s="2">
        <v>0.5</v>
      </c>
      <c r="CB6" s="2">
        <v>2.12172368960652E-5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-0.5</v>
      </c>
      <c r="L7" s="116" t="str">
        <f t="shared" ca="1" si="1"/>
        <v>EW_sand_Ruled_92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41</v>
      </c>
      <c r="R7" s="47">
        <f t="shared" ca="1" si="7"/>
        <v>36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31000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31000</v>
      </c>
      <c r="AD7" s="63">
        <f t="shared" ca="1" si="19"/>
        <v>8750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92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0.4</v>
      </c>
      <c r="BE7" s="2">
        <v>1</v>
      </c>
      <c r="BF7" s="2">
        <v>1.3</v>
      </c>
      <c r="BG7" s="2">
        <v>1.8</v>
      </c>
      <c r="BH7" s="2">
        <v>2.8</v>
      </c>
      <c r="BI7" s="2"/>
      <c r="BJ7" s="2"/>
      <c r="BK7" s="2"/>
      <c r="BL7" s="2"/>
      <c r="BM7" s="2"/>
      <c r="BN7" s="2">
        <v>72</v>
      </c>
      <c r="BO7" s="2">
        <v>21</v>
      </c>
      <c r="BP7" s="2">
        <v>32</v>
      </c>
      <c r="BQ7" s="2">
        <v>36</v>
      </c>
      <c r="BR7" s="2">
        <v>39</v>
      </c>
      <c r="BS7" s="2">
        <v>50</v>
      </c>
      <c r="BT7" s="2">
        <v>7</v>
      </c>
      <c r="BU7" s="2">
        <v>14</v>
      </c>
      <c r="BV7" s="2">
        <v>17</v>
      </c>
      <c r="BW7" s="2">
        <v>20</v>
      </c>
      <c r="BX7" s="2">
        <v>27</v>
      </c>
      <c r="BY7" s="2">
        <v>2.8</v>
      </c>
      <c r="BZ7" s="2">
        <v>1</v>
      </c>
      <c r="CA7" s="2">
        <v>0.5</v>
      </c>
      <c r="CB7" s="2">
        <v>2.12172368960652E-5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11a</v>
      </c>
      <c r="J8" s="47">
        <f t="shared" ca="1" si="35"/>
        <v>3</v>
      </c>
      <c r="K8" s="19">
        <f t="shared" ca="1" si="36"/>
        <v>-1.3</v>
      </c>
      <c r="L8" s="116" t="str">
        <f t="shared" ca="1" si="1"/>
        <v>EW_sand_Ruled_41</v>
      </c>
      <c r="M8" s="105" t="str">
        <f t="shared" ca="1" si="2"/>
        <v>API sand</v>
      </c>
      <c r="N8" s="47">
        <f t="shared" ca="1" si="3"/>
        <v>9.6000000000000014</v>
      </c>
      <c r="O8" s="63">
        <f t="shared" ca="1" si="4"/>
        <v>0</v>
      </c>
      <c r="P8" s="63">
        <f t="shared" ca="1" si="5"/>
        <v>0</v>
      </c>
      <c r="Q8" s="47">
        <f t="shared" ca="1" si="6"/>
        <v>33</v>
      </c>
      <c r="R8" s="47">
        <f t="shared" ca="1" si="7"/>
        <v>28</v>
      </c>
      <c r="S8" s="47">
        <f t="shared" ca="1" si="8"/>
        <v>1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9700</v>
      </c>
      <c r="Y8" s="47">
        <f t="shared" ca="1" si="14"/>
        <v>0</v>
      </c>
      <c r="Z8" s="47">
        <f t="shared" ca="1" si="15"/>
        <v>89.999999999999972</v>
      </c>
      <c r="AA8" s="47">
        <f t="shared" ca="1" si="16"/>
        <v>1</v>
      </c>
      <c r="AB8" s="47">
        <f t="shared" ca="1" si="17"/>
        <v>7680</v>
      </c>
      <c r="AC8" s="63">
        <f t="shared" ca="1" si="18"/>
        <v>31000</v>
      </c>
      <c r="AD8" s="63">
        <f t="shared" ca="1" si="19"/>
        <v>5185.1851851851852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32.000000000000007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41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0.2</v>
      </c>
      <c r="BE8" s="2">
        <v>3.8</v>
      </c>
      <c r="BF8" s="2">
        <v>5.0999999999999996</v>
      </c>
      <c r="BG8" s="2">
        <v>6</v>
      </c>
      <c r="BH8" s="2">
        <v>8.6999999999999993</v>
      </c>
      <c r="BI8" s="2"/>
      <c r="BJ8" s="2"/>
      <c r="BK8" s="2"/>
      <c r="BL8" s="2"/>
      <c r="BM8" s="2"/>
      <c r="BN8" s="2">
        <v>92</v>
      </c>
      <c r="BO8" s="2">
        <v>35</v>
      </c>
      <c r="BP8" s="2">
        <v>41</v>
      </c>
      <c r="BQ8" s="2">
        <v>44</v>
      </c>
      <c r="BR8" s="2">
        <v>47</v>
      </c>
      <c r="BS8" s="2">
        <v>53</v>
      </c>
      <c r="BT8" s="2">
        <v>2</v>
      </c>
      <c r="BU8" s="2">
        <v>22</v>
      </c>
      <c r="BV8" s="2">
        <v>31</v>
      </c>
      <c r="BW8" s="2">
        <v>39</v>
      </c>
      <c r="BX8" s="2">
        <v>59</v>
      </c>
      <c r="BY8" s="2">
        <v>31</v>
      </c>
      <c r="BZ8" s="2">
        <v>1</v>
      </c>
      <c r="CA8" s="2">
        <v>0.5</v>
      </c>
      <c r="CB8" s="2">
        <v>1.16779131632964E-4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11a</v>
      </c>
      <c r="J9" s="47">
        <f t="shared" ca="1" si="35"/>
        <v>4</v>
      </c>
      <c r="K9" s="19">
        <f t="shared" ca="1" si="36"/>
        <v>-4</v>
      </c>
      <c r="L9" s="116" t="str">
        <f t="shared" ca="1" si="1"/>
        <v>EW_sand_Ruled_59</v>
      </c>
      <c r="M9" s="105" t="str">
        <f t="shared" ca="1" si="2"/>
        <v>API sand</v>
      </c>
      <c r="N9" s="47">
        <f t="shared" ca="1" si="3"/>
        <v>9.6000000000000014</v>
      </c>
      <c r="O9" s="63">
        <f t="shared" ca="1" si="4"/>
        <v>0</v>
      </c>
      <c r="P9" s="63">
        <f t="shared" ca="1" si="5"/>
        <v>0</v>
      </c>
      <c r="Q9" s="47">
        <f t="shared" ca="1" si="6"/>
        <v>36</v>
      </c>
      <c r="R9" s="47">
        <f t="shared" ca="1" si="7"/>
        <v>31</v>
      </c>
      <c r="S9" s="47">
        <f t="shared" ca="1" si="8"/>
        <v>1.1000000000000001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28200</v>
      </c>
      <c r="Y9" s="47">
        <f t="shared" ca="1" si="14"/>
        <v>0</v>
      </c>
      <c r="Z9" s="47">
        <f t="shared" ca="1" si="15"/>
        <v>99.799999999999969</v>
      </c>
      <c r="AA9" s="47">
        <f t="shared" ca="1" si="16"/>
        <v>1</v>
      </c>
      <c r="AB9" s="47">
        <f t="shared" ca="1" si="17"/>
        <v>10080</v>
      </c>
      <c r="AC9" s="63">
        <f t="shared" ca="1" si="18"/>
        <v>57000</v>
      </c>
      <c r="AD9" s="63">
        <f t="shared" ca="1" si="19"/>
        <v>5500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42.000000000000007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59</v>
      </c>
      <c r="AS9" s="33">
        <f t="shared" ca="1" si="34"/>
        <v>0.4</v>
      </c>
      <c r="AW9" s="2">
        <v>1.3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4.7</v>
      </c>
      <c r="BE9" s="2">
        <v>8.4</v>
      </c>
      <c r="BF9" s="2">
        <v>9.6</v>
      </c>
      <c r="BG9" s="2">
        <v>10.6</v>
      </c>
      <c r="BH9" s="2">
        <v>13.3</v>
      </c>
      <c r="BI9" s="2"/>
      <c r="BJ9" s="2"/>
      <c r="BK9" s="2"/>
      <c r="BL9" s="2"/>
      <c r="BM9" s="2"/>
      <c r="BN9" s="2">
        <v>92</v>
      </c>
      <c r="BO9" s="2">
        <v>35</v>
      </c>
      <c r="BP9" s="2">
        <v>41</v>
      </c>
      <c r="BQ9" s="2">
        <v>44</v>
      </c>
      <c r="BR9" s="2">
        <v>47</v>
      </c>
      <c r="BS9" s="2">
        <v>53</v>
      </c>
      <c r="BT9" s="2">
        <v>9</v>
      </c>
      <c r="BU9" s="2">
        <v>29</v>
      </c>
      <c r="BV9" s="2">
        <v>38</v>
      </c>
      <c r="BW9" s="2">
        <v>46</v>
      </c>
      <c r="BX9" s="2">
        <v>66</v>
      </c>
      <c r="BY9" s="2">
        <v>31</v>
      </c>
      <c r="BZ9" s="2">
        <v>1</v>
      </c>
      <c r="CA9" s="2">
        <v>0.5</v>
      </c>
      <c r="CB9" s="2">
        <v>1.16779131632964E-4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11a</v>
      </c>
      <c r="J10" s="47">
        <f t="shared" ca="1" si="35"/>
        <v>5</v>
      </c>
      <c r="K10" s="19">
        <f t="shared" ca="1" si="36"/>
        <v>-8</v>
      </c>
      <c r="L10" s="116" t="str">
        <f t="shared" ca="1" si="1"/>
        <v>EW_sand_Ruled_96</v>
      </c>
      <c r="M10" s="105" t="str">
        <f t="shared" ca="1" si="2"/>
        <v>API sand</v>
      </c>
      <c r="N10" s="47">
        <f t="shared" ca="1" si="3"/>
        <v>9.6000000000000014</v>
      </c>
      <c r="O10" s="63">
        <f t="shared" ca="1" si="4"/>
        <v>0</v>
      </c>
      <c r="P10" s="63">
        <f t="shared" ca="1" si="5"/>
        <v>0</v>
      </c>
      <c r="Q10" s="47">
        <f t="shared" ca="1" si="6"/>
        <v>42</v>
      </c>
      <c r="R10" s="47">
        <f t="shared" ca="1" si="7"/>
        <v>37</v>
      </c>
      <c r="S10" s="47">
        <f t="shared" ca="1" si="8"/>
        <v>1.5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126000</v>
      </c>
      <c r="Y10" s="47">
        <f t="shared" ca="1" si="14"/>
        <v>0</v>
      </c>
      <c r="Z10" s="47">
        <f t="shared" ca="1" si="15"/>
        <v>114.99999999999996</v>
      </c>
      <c r="AA10" s="47">
        <f t="shared" ca="1" si="16"/>
        <v>1</v>
      </c>
      <c r="AB10" s="47">
        <f t="shared" ca="1" si="17"/>
        <v>12000</v>
      </c>
      <c r="AC10" s="63">
        <f t="shared" ca="1" si="18"/>
        <v>101000</v>
      </c>
      <c r="AD10" s="63">
        <f t="shared" ca="1" si="19"/>
        <v>11666.666666666666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50.000000000000007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96</v>
      </c>
      <c r="AS10" s="33">
        <f t="shared" ca="1" si="34"/>
        <v>0.4</v>
      </c>
      <c r="AW10" s="2">
        <v>1.3</v>
      </c>
      <c r="AX10" s="2" t="s">
        <v>293</v>
      </c>
      <c r="AY10" s="130">
        <v>25.8</v>
      </c>
      <c r="AZ10" s="2">
        <v>19.600000000000001</v>
      </c>
      <c r="BA10" s="2"/>
      <c r="BB10" s="2">
        <v>22</v>
      </c>
      <c r="BC10" s="2"/>
      <c r="BD10" s="2">
        <v>0.8</v>
      </c>
      <c r="BE10" s="2">
        <v>2</v>
      </c>
      <c r="BF10" s="2">
        <v>2.2000000000000002</v>
      </c>
      <c r="BG10" s="2">
        <v>2.5</v>
      </c>
      <c r="BH10" s="2">
        <v>3.6</v>
      </c>
      <c r="BI10" s="2"/>
      <c r="BJ10" s="2"/>
      <c r="BK10" s="2"/>
      <c r="BL10" s="2"/>
      <c r="BM10" s="2"/>
      <c r="BN10" s="2">
        <v>41</v>
      </c>
      <c r="BO10" s="2">
        <v>28</v>
      </c>
      <c r="BP10" s="2">
        <v>33</v>
      </c>
      <c r="BQ10" s="2">
        <v>36</v>
      </c>
      <c r="BR10" s="2">
        <v>39</v>
      </c>
      <c r="BS10" s="2">
        <v>44</v>
      </c>
      <c r="BT10" s="2">
        <v>1</v>
      </c>
      <c r="BU10" s="2">
        <v>22</v>
      </c>
      <c r="BV10" s="2">
        <v>31</v>
      </c>
      <c r="BW10" s="2">
        <v>40</v>
      </c>
      <c r="BX10" s="2">
        <v>63</v>
      </c>
      <c r="BY10" s="2">
        <v>9.6999999999999993</v>
      </c>
      <c r="BZ10" s="2">
        <v>3.2</v>
      </c>
      <c r="CA10" s="2">
        <v>1</v>
      </c>
      <c r="CB10" s="2">
        <v>1.4467812266665899E-7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20a</v>
      </c>
      <c r="J11" s="47">
        <f t="shared" ca="1" si="35"/>
        <v>6</v>
      </c>
      <c r="K11" s="19">
        <f t="shared" ca="1" si="36"/>
        <v>-11</v>
      </c>
      <c r="L11" s="116" t="str">
        <f t="shared" ca="1" si="1"/>
        <v>EW_sand_Ruled_73</v>
      </c>
      <c r="M11" s="105" t="str">
        <f t="shared" ca="1" si="2"/>
        <v>API sand</v>
      </c>
      <c r="N11" s="47">
        <f t="shared" ca="1" si="3"/>
        <v>10</v>
      </c>
      <c r="O11" s="63">
        <f t="shared" ca="1" si="4"/>
        <v>0</v>
      </c>
      <c r="P11" s="63">
        <f t="shared" ca="1" si="5"/>
        <v>0</v>
      </c>
      <c r="Q11" s="47">
        <f t="shared" ca="1" si="6"/>
        <v>28</v>
      </c>
      <c r="R11" s="47">
        <f t="shared" ca="1" si="7"/>
        <v>23</v>
      </c>
      <c r="S11" s="47">
        <f t="shared" ca="1" si="8"/>
        <v>1.5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28900</v>
      </c>
      <c r="Y11" s="47">
        <f t="shared" ca="1" si="14"/>
        <v>0</v>
      </c>
      <c r="Z11" s="47">
        <f t="shared" ca="1" si="15"/>
        <v>75.399999999999977</v>
      </c>
      <c r="AA11" s="47">
        <f t="shared" ca="1" si="16"/>
        <v>1</v>
      </c>
      <c r="AB11" s="47">
        <f t="shared" ca="1" si="17"/>
        <v>4040</v>
      </c>
      <c r="AC11" s="63">
        <f t="shared" ca="1" si="18"/>
        <v>115000</v>
      </c>
      <c r="AD11" s="63">
        <f t="shared" ca="1" si="19"/>
        <v>2222.2222222222217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16.800000000000004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73</v>
      </c>
      <c r="AS11" s="33">
        <f t="shared" ca="1" si="34"/>
        <v>0.2</v>
      </c>
      <c r="AW11" s="2">
        <v>4</v>
      </c>
      <c r="AX11" s="2" t="s">
        <v>293</v>
      </c>
      <c r="AY11" s="130">
        <v>25.8</v>
      </c>
      <c r="AZ11" s="2">
        <v>19.600000000000001</v>
      </c>
      <c r="BA11" s="2"/>
      <c r="BB11" s="2">
        <v>22</v>
      </c>
      <c r="BC11" s="2"/>
      <c r="BD11" s="2">
        <v>1.1000000000000001</v>
      </c>
      <c r="BE11" s="2">
        <v>2.2999999999999998</v>
      </c>
      <c r="BF11" s="2">
        <v>2.5</v>
      </c>
      <c r="BG11" s="2">
        <v>2.8</v>
      </c>
      <c r="BH11" s="2">
        <v>3.9</v>
      </c>
      <c r="BI11" s="2"/>
      <c r="BJ11" s="2"/>
      <c r="BK11" s="2"/>
      <c r="BL11" s="2"/>
      <c r="BM11" s="2"/>
      <c r="BN11" s="2">
        <v>41</v>
      </c>
      <c r="BO11" s="2">
        <v>28</v>
      </c>
      <c r="BP11" s="2">
        <v>33</v>
      </c>
      <c r="BQ11" s="2">
        <v>36</v>
      </c>
      <c r="BR11" s="2">
        <v>39</v>
      </c>
      <c r="BS11" s="2">
        <v>44</v>
      </c>
      <c r="BT11" s="2">
        <v>14</v>
      </c>
      <c r="BU11" s="2">
        <v>35</v>
      </c>
      <c r="BV11" s="2">
        <v>45</v>
      </c>
      <c r="BW11" s="2">
        <v>54</v>
      </c>
      <c r="BX11" s="2">
        <v>76</v>
      </c>
      <c r="BY11" s="2">
        <v>9.6999999999999993</v>
      </c>
      <c r="BZ11" s="2">
        <v>3.2</v>
      </c>
      <c r="CA11" s="2">
        <v>1</v>
      </c>
      <c r="CB11" s="2">
        <v>1.4467812266665899E-7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21a</v>
      </c>
      <c r="J12" s="47">
        <f t="shared" ca="1" si="35"/>
        <v>7</v>
      </c>
      <c r="K12" s="19">
        <f t="shared" ca="1" si="36"/>
        <v>-19.100000000000001</v>
      </c>
      <c r="L12" s="116" t="str">
        <f t="shared" ca="1" si="1"/>
        <v>EW_sand_Ruled_21</v>
      </c>
      <c r="M12" s="105" t="str">
        <f t="shared" ca="1" si="2"/>
        <v>API sand</v>
      </c>
      <c r="N12" s="47">
        <f t="shared" ca="1" si="3"/>
        <v>9.8000000000000007</v>
      </c>
      <c r="O12" s="63">
        <f t="shared" ca="1" si="4"/>
        <v>0</v>
      </c>
      <c r="P12" s="63">
        <f t="shared" ca="1" si="5"/>
        <v>0</v>
      </c>
      <c r="Q12" s="47">
        <f t="shared" ca="1" si="6"/>
        <v>25.5</v>
      </c>
      <c r="R12" s="47">
        <f t="shared" ca="1" si="7"/>
        <v>20.5</v>
      </c>
      <c r="S12" s="47">
        <f t="shared" ca="1" si="8"/>
        <v>0.5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17400</v>
      </c>
      <c r="Y12" s="47">
        <f t="shared" ca="1" si="14"/>
        <v>0</v>
      </c>
      <c r="Z12" s="47">
        <f t="shared" ca="1" si="15"/>
        <v>66.999999999999986</v>
      </c>
      <c r="AA12" s="47">
        <f t="shared" ca="1" si="16"/>
        <v>1</v>
      </c>
      <c r="AB12" s="47">
        <f t="shared" ca="1" si="17"/>
        <v>2900</v>
      </c>
      <c r="AC12" s="63">
        <f t="shared" ca="1" si="18"/>
        <v>106000</v>
      </c>
      <c r="AD12" s="63">
        <f t="shared" ca="1" si="19"/>
        <v>217.39130434782612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12.000000000000004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21</v>
      </c>
      <c r="AS12" s="33">
        <f t="shared" ca="1" si="34"/>
        <v>0.2</v>
      </c>
      <c r="AW12" s="2">
        <v>4</v>
      </c>
      <c r="AX12" s="2" t="s">
        <v>293</v>
      </c>
      <c r="AY12" s="130">
        <v>25.8</v>
      </c>
      <c r="AZ12" s="2">
        <v>19.600000000000001</v>
      </c>
      <c r="BA12" s="2"/>
      <c r="BB12" s="2">
        <v>22</v>
      </c>
      <c r="BC12" s="2"/>
      <c r="BD12" s="2">
        <v>4.5</v>
      </c>
      <c r="BE12" s="2">
        <v>5.5</v>
      </c>
      <c r="BF12" s="2">
        <v>5.6</v>
      </c>
      <c r="BG12" s="2">
        <v>5.8</v>
      </c>
      <c r="BH12" s="2">
        <v>6.6</v>
      </c>
      <c r="BI12" s="2"/>
      <c r="BJ12" s="2"/>
      <c r="BK12" s="2"/>
      <c r="BL12" s="2"/>
      <c r="BM12" s="2"/>
      <c r="BN12" s="2">
        <v>59</v>
      </c>
      <c r="BO12" s="2">
        <v>31</v>
      </c>
      <c r="BP12" s="2">
        <v>36</v>
      </c>
      <c r="BQ12" s="2">
        <v>39</v>
      </c>
      <c r="BR12" s="2">
        <v>42</v>
      </c>
      <c r="BS12" s="2">
        <v>47</v>
      </c>
      <c r="BT12" s="2">
        <v>4</v>
      </c>
      <c r="BU12" s="2">
        <v>41</v>
      </c>
      <c r="BV12" s="2">
        <v>57</v>
      </c>
      <c r="BW12" s="2">
        <v>74</v>
      </c>
      <c r="BX12" s="2">
        <v>113</v>
      </c>
      <c r="BY12" s="2">
        <v>28.2</v>
      </c>
      <c r="BZ12" s="2">
        <v>3.5</v>
      </c>
      <c r="CA12" s="2">
        <v>1.1000000000000001</v>
      </c>
      <c r="CB12" s="2">
        <v>1.2143093134455101E-6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23d</v>
      </c>
      <c r="J13" s="47">
        <f t="shared" ca="1" si="35"/>
        <v>8</v>
      </c>
      <c r="K13" s="19">
        <f t="shared" ca="1" si="36"/>
        <v>-37.5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8.8999999999999986</v>
      </c>
      <c r="O13" s="63">
        <f t="shared" ca="1" si="4"/>
        <v>349</v>
      </c>
      <c r="P13" s="63">
        <f t="shared" ca="1" si="5"/>
        <v>13.481481481481481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55700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489000</v>
      </c>
      <c r="AD13" s="63">
        <f t="shared" ca="1" si="19"/>
        <v>24172.839506172837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8</v>
      </c>
      <c r="AX13" s="2" t="s">
        <v>293</v>
      </c>
      <c r="AY13" s="130">
        <v>25.8</v>
      </c>
      <c r="AZ13" s="2">
        <v>19.600000000000001</v>
      </c>
      <c r="BA13" s="2"/>
      <c r="BB13" s="2">
        <v>22</v>
      </c>
      <c r="BC13" s="2"/>
      <c r="BD13" s="2">
        <v>7.2</v>
      </c>
      <c r="BE13" s="2">
        <v>8.1999999999999993</v>
      </c>
      <c r="BF13" s="2">
        <v>8.3000000000000007</v>
      </c>
      <c r="BG13" s="2">
        <v>8.5</v>
      </c>
      <c r="BH13" s="2">
        <v>9.3000000000000007</v>
      </c>
      <c r="BI13" s="2"/>
      <c r="BJ13" s="2"/>
      <c r="BK13" s="2"/>
      <c r="BL13" s="2"/>
      <c r="BM13" s="2"/>
      <c r="BN13" s="2">
        <v>59</v>
      </c>
      <c r="BO13" s="2">
        <v>31</v>
      </c>
      <c r="BP13" s="2">
        <v>36</v>
      </c>
      <c r="BQ13" s="2">
        <v>39</v>
      </c>
      <c r="BR13" s="2">
        <v>42</v>
      </c>
      <c r="BS13" s="2">
        <v>47</v>
      </c>
      <c r="BT13" s="2">
        <v>25</v>
      </c>
      <c r="BU13" s="2">
        <v>62</v>
      </c>
      <c r="BV13" s="2">
        <v>79</v>
      </c>
      <c r="BW13" s="2">
        <v>95</v>
      </c>
      <c r="BX13" s="2">
        <v>134</v>
      </c>
      <c r="BY13" s="2">
        <v>28.2</v>
      </c>
      <c r="BZ13" s="2">
        <v>3.5</v>
      </c>
      <c r="CA13" s="2">
        <v>1.1000000000000001</v>
      </c>
      <c r="CB13" s="2">
        <v>1.2143093134455101E-6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23i</v>
      </c>
      <c r="J14" s="47">
        <f t="shared" ca="1" si="35"/>
        <v>9</v>
      </c>
      <c r="K14" s="19">
        <f t="shared" ca="1" si="36"/>
        <v>-78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8.3000000000000007</v>
      </c>
      <c r="O14" s="63">
        <f t="shared" ca="1" si="4"/>
        <v>543</v>
      </c>
      <c r="P14" s="63">
        <f t="shared" ca="1" si="5"/>
        <v>3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961000</v>
      </c>
      <c r="AD14" s="63">
        <f t="shared" ca="1" si="19"/>
        <v>0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8</v>
      </c>
      <c r="AX14" s="2" t="s">
        <v>293</v>
      </c>
      <c r="AY14" s="130">
        <v>25.8</v>
      </c>
      <c r="AZ14" s="2">
        <v>19.600000000000001</v>
      </c>
      <c r="BA14" s="2"/>
      <c r="BB14" s="2">
        <v>22</v>
      </c>
      <c r="BC14" s="2"/>
      <c r="BD14" s="2">
        <v>7.4</v>
      </c>
      <c r="BE14" s="2">
        <v>18</v>
      </c>
      <c r="BF14" s="2">
        <v>19.899999999999999</v>
      </c>
      <c r="BG14" s="2">
        <v>21.3</v>
      </c>
      <c r="BH14" s="2">
        <v>28.9</v>
      </c>
      <c r="BI14" s="2"/>
      <c r="BJ14" s="2"/>
      <c r="BK14" s="2"/>
      <c r="BL14" s="2"/>
      <c r="BM14" s="2"/>
      <c r="BN14" s="2">
        <v>96</v>
      </c>
      <c r="BO14" s="2">
        <v>35</v>
      </c>
      <c r="BP14" s="2">
        <v>42</v>
      </c>
      <c r="BQ14" s="2">
        <v>45</v>
      </c>
      <c r="BR14" s="2">
        <v>49</v>
      </c>
      <c r="BS14" s="2">
        <v>54</v>
      </c>
      <c r="BT14" s="2">
        <v>8</v>
      </c>
      <c r="BU14" s="2">
        <v>73</v>
      </c>
      <c r="BV14" s="2">
        <v>101</v>
      </c>
      <c r="BW14" s="2">
        <v>129</v>
      </c>
      <c r="BX14" s="2">
        <v>198</v>
      </c>
      <c r="BY14" s="2">
        <v>126</v>
      </c>
      <c r="BZ14" s="2">
        <v>6.2</v>
      </c>
      <c r="CA14" s="2">
        <v>1.5</v>
      </c>
      <c r="CB14" s="2">
        <v>4.7605306119152402E-5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/>
      </c>
      <c r="J15" s="47" t="str">
        <f t="shared" ca="1" si="35"/>
        <v/>
      </c>
      <c r="K15" s="19" t="str">
        <f t="shared" ca="1" si="36"/>
        <v/>
      </c>
      <c r="L15" s="116" t="str">
        <f t="shared" ca="1" si="1"/>
        <v/>
      </c>
      <c r="M15" s="105" t="str">
        <f t="shared" ca="1" si="2"/>
        <v/>
      </c>
      <c r="N15" s="47" t="str">
        <f t="shared" ca="1" si="3"/>
        <v/>
      </c>
      <c r="O15" s="63" t="str">
        <f t="shared" ca="1" si="4"/>
        <v/>
      </c>
      <c r="P15" s="63" t="str">
        <f t="shared" ca="1" si="5"/>
        <v/>
      </c>
      <c r="Q15" s="47" t="str">
        <f t="shared" ca="1" si="6"/>
        <v/>
      </c>
      <c r="R15" s="47" t="str">
        <f t="shared" ca="1" si="7"/>
        <v/>
      </c>
      <c r="S15" s="47" t="str">
        <f t="shared" ca="1" si="8"/>
        <v/>
      </c>
      <c r="T15" s="47" t="str">
        <f t="shared" ca="1" si="9"/>
        <v/>
      </c>
      <c r="U15" s="75" t="str">
        <f t="shared" ca="1" si="10"/>
        <v/>
      </c>
      <c r="V15" s="75" t="str">
        <f t="shared" ca="1" si="11"/>
        <v/>
      </c>
      <c r="W15" s="47" t="str">
        <f t="shared" ca="1" si="12"/>
        <v/>
      </c>
      <c r="X15" s="47" t="str">
        <f t="shared" ca="1" si="13"/>
        <v/>
      </c>
      <c r="Y15" s="47" t="str">
        <f t="shared" ca="1" si="14"/>
        <v/>
      </c>
      <c r="Z15" s="47" t="str">
        <f t="shared" ca="1" si="15"/>
        <v/>
      </c>
      <c r="AA15" s="47" t="str">
        <f t="shared" ca="1" si="16"/>
        <v/>
      </c>
      <c r="AB15" s="47" t="str">
        <f t="shared" ca="1" si="17"/>
        <v/>
      </c>
      <c r="AC15" s="63" t="str">
        <f t="shared" ca="1" si="18"/>
        <v/>
      </c>
      <c r="AD15" s="63" t="str">
        <f t="shared" ca="1" si="19"/>
        <v/>
      </c>
      <c r="AE15" s="63" t="str">
        <f t="shared" ca="1" si="20"/>
        <v/>
      </c>
      <c r="AF15" s="63" t="str">
        <f t="shared" ca="1" si="21"/>
        <v/>
      </c>
      <c r="AG15" s="63" t="str">
        <f t="shared" ca="1" si="22"/>
        <v/>
      </c>
      <c r="AH15" s="63" t="str">
        <f t="shared" ca="1" si="23"/>
        <v/>
      </c>
      <c r="AI15" s="63" t="str">
        <f t="shared" ca="1" si="24"/>
        <v/>
      </c>
      <c r="AJ15" s="47" t="str">
        <f t="shared" ca="1" si="25"/>
        <v/>
      </c>
      <c r="AK15" s="47" t="str">
        <f t="shared" ca="1" si="26"/>
        <v/>
      </c>
      <c r="AL15" s="47" t="str">
        <f t="shared" ca="1" si="27"/>
        <v/>
      </c>
      <c r="AM15" s="47" t="str">
        <f t="shared" ca="1" si="28"/>
        <v/>
      </c>
      <c r="AN15" s="47" t="str">
        <f t="shared" ca="1" si="29"/>
        <v/>
      </c>
      <c r="AO15" s="47" t="str">
        <f t="shared" ca="1" si="30"/>
        <v/>
      </c>
      <c r="AP15" s="47" t="str">
        <f t="shared" ca="1" si="31"/>
        <v/>
      </c>
      <c r="AQ15" s="47" t="str">
        <f t="shared" ca="1" si="32"/>
        <v/>
      </c>
      <c r="AR15" s="47" t="str">
        <f t="shared" ca="1" si="33"/>
        <v/>
      </c>
      <c r="AS15" s="33" t="str">
        <f t="shared" ca="1" si="34"/>
        <v/>
      </c>
      <c r="AW15" s="2">
        <v>11</v>
      </c>
      <c r="AX15" s="2" t="s">
        <v>293</v>
      </c>
      <c r="AY15" s="130">
        <v>25.8</v>
      </c>
      <c r="AZ15" s="2">
        <v>19.600000000000001</v>
      </c>
      <c r="BA15" s="2"/>
      <c r="BB15" s="2">
        <v>22</v>
      </c>
      <c r="BC15" s="2"/>
      <c r="BD15" s="2">
        <v>31.2</v>
      </c>
      <c r="BE15" s="2">
        <v>41.9</v>
      </c>
      <c r="BF15" s="2">
        <v>43.7</v>
      </c>
      <c r="BG15" s="2">
        <v>45.1</v>
      </c>
      <c r="BH15" s="2">
        <v>52.8</v>
      </c>
      <c r="BI15" s="2"/>
      <c r="BJ15" s="2"/>
      <c r="BK15" s="2"/>
      <c r="BL15" s="2"/>
      <c r="BM15" s="2"/>
      <c r="BN15" s="2">
        <v>96</v>
      </c>
      <c r="BO15" s="2">
        <v>35</v>
      </c>
      <c r="BP15" s="2">
        <v>42</v>
      </c>
      <c r="BQ15" s="2">
        <v>45</v>
      </c>
      <c r="BR15" s="2">
        <v>49</v>
      </c>
      <c r="BS15" s="2">
        <v>54</v>
      </c>
      <c r="BT15" s="2">
        <v>42</v>
      </c>
      <c r="BU15" s="2">
        <v>108</v>
      </c>
      <c r="BV15" s="2">
        <v>136</v>
      </c>
      <c r="BW15" s="2">
        <v>164</v>
      </c>
      <c r="BX15" s="2">
        <v>233</v>
      </c>
      <c r="BY15" s="2">
        <v>126</v>
      </c>
      <c r="BZ15" s="2">
        <v>6.2</v>
      </c>
      <c r="CA15" s="2">
        <v>1.5</v>
      </c>
      <c r="CB15" s="2">
        <v>4.7605306119152402E-5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/>
      </c>
      <c r="J16" s="47" t="str">
        <f t="shared" ca="1" si="35"/>
        <v/>
      </c>
      <c r="K16" s="19" t="str">
        <f t="shared" ca="1" si="36"/>
        <v/>
      </c>
      <c r="L16" s="116" t="str">
        <f t="shared" ca="1" si="1"/>
        <v/>
      </c>
      <c r="M16" s="105" t="str">
        <f t="shared" ca="1" si="2"/>
        <v/>
      </c>
      <c r="N16" s="47" t="str">
        <f t="shared" ca="1" si="3"/>
        <v/>
      </c>
      <c r="O16" s="63" t="str">
        <f t="shared" ca="1" si="4"/>
        <v/>
      </c>
      <c r="P16" s="63" t="str">
        <f t="shared" ca="1" si="5"/>
        <v/>
      </c>
      <c r="Q16" s="47" t="str">
        <f t="shared" ca="1" si="6"/>
        <v/>
      </c>
      <c r="R16" s="47" t="str">
        <f t="shared" ca="1" si="7"/>
        <v/>
      </c>
      <c r="S16" s="47" t="str">
        <f t="shared" ca="1" si="8"/>
        <v/>
      </c>
      <c r="T16" s="47" t="str">
        <f t="shared" ca="1" si="9"/>
        <v/>
      </c>
      <c r="U16" s="75" t="str">
        <f t="shared" ca="1" si="10"/>
        <v/>
      </c>
      <c r="V16" s="75" t="str">
        <f t="shared" ca="1" si="11"/>
        <v/>
      </c>
      <c r="W16" s="47" t="str">
        <f t="shared" ca="1" si="12"/>
        <v/>
      </c>
      <c r="X16" s="47" t="str">
        <f t="shared" ca="1" si="13"/>
        <v/>
      </c>
      <c r="Y16" s="47" t="str">
        <f t="shared" ca="1" si="14"/>
        <v/>
      </c>
      <c r="Z16" s="47" t="str">
        <f t="shared" ca="1" si="15"/>
        <v/>
      </c>
      <c r="AA16" s="47" t="str">
        <f t="shared" ca="1" si="16"/>
        <v/>
      </c>
      <c r="AB16" s="47" t="str">
        <f t="shared" ca="1" si="17"/>
        <v/>
      </c>
      <c r="AC16" s="63" t="str">
        <f t="shared" ca="1" si="18"/>
        <v/>
      </c>
      <c r="AD16" s="63" t="str">
        <f t="shared" ca="1" si="19"/>
        <v/>
      </c>
      <c r="AE16" s="63" t="str">
        <f t="shared" ca="1" si="20"/>
        <v/>
      </c>
      <c r="AF16" s="63" t="str">
        <f t="shared" ca="1" si="21"/>
        <v/>
      </c>
      <c r="AG16" s="63" t="str">
        <f t="shared" ca="1" si="22"/>
        <v/>
      </c>
      <c r="AH16" s="63" t="str">
        <f t="shared" ca="1" si="23"/>
        <v/>
      </c>
      <c r="AI16" s="63" t="str">
        <f t="shared" ca="1" si="24"/>
        <v/>
      </c>
      <c r="AJ16" s="47" t="str">
        <f t="shared" ca="1" si="25"/>
        <v/>
      </c>
      <c r="AK16" s="47" t="str">
        <f t="shared" ca="1" si="26"/>
        <v/>
      </c>
      <c r="AL16" s="47" t="str">
        <f t="shared" ca="1" si="27"/>
        <v/>
      </c>
      <c r="AM16" s="47" t="str">
        <f t="shared" ca="1" si="28"/>
        <v/>
      </c>
      <c r="AN16" s="47" t="str">
        <f t="shared" ca="1" si="29"/>
        <v/>
      </c>
      <c r="AO16" s="47" t="str">
        <f t="shared" ca="1" si="30"/>
        <v/>
      </c>
      <c r="AP16" s="47" t="str">
        <f t="shared" ca="1" si="31"/>
        <v/>
      </c>
      <c r="AQ16" s="47" t="str">
        <f t="shared" ca="1" si="32"/>
        <v/>
      </c>
      <c r="AR16" s="47" t="str">
        <f t="shared" ca="1" si="33"/>
        <v/>
      </c>
      <c r="AS16" s="33" t="str">
        <f t="shared" ca="1" si="34"/>
        <v/>
      </c>
      <c r="AW16" s="2">
        <v>11</v>
      </c>
      <c r="AX16" s="2" t="s">
        <v>278</v>
      </c>
      <c r="AY16" s="130">
        <v>25.2</v>
      </c>
      <c r="AZ16" s="2">
        <v>20</v>
      </c>
      <c r="BA16" s="2"/>
      <c r="BB16" s="2">
        <v>22</v>
      </c>
      <c r="BC16" s="2"/>
      <c r="BD16" s="2">
        <v>1.4</v>
      </c>
      <c r="BE16" s="2">
        <v>10.5</v>
      </c>
      <c r="BF16" s="2">
        <v>19.600000000000001</v>
      </c>
      <c r="BG16" s="2">
        <v>43.8</v>
      </c>
      <c r="BH16" s="2">
        <v>118.7</v>
      </c>
      <c r="BI16" s="2"/>
      <c r="BJ16" s="2"/>
      <c r="BK16" s="2"/>
      <c r="BL16" s="2"/>
      <c r="BM16" s="2"/>
      <c r="BN16" s="2">
        <v>73</v>
      </c>
      <c r="BO16" s="2">
        <v>26</v>
      </c>
      <c r="BP16" s="2">
        <v>28</v>
      </c>
      <c r="BQ16" s="2">
        <v>31</v>
      </c>
      <c r="BR16" s="2">
        <v>33</v>
      </c>
      <c r="BS16" s="2">
        <v>37</v>
      </c>
      <c r="BT16" s="2">
        <v>14</v>
      </c>
      <c r="BU16" s="2">
        <v>86</v>
      </c>
      <c r="BV16" s="2">
        <v>115</v>
      </c>
      <c r="BW16" s="2">
        <v>145</v>
      </c>
      <c r="BX16" s="2">
        <v>217</v>
      </c>
      <c r="BY16" s="2">
        <v>28.9</v>
      </c>
      <c r="BZ16" s="2">
        <v>6</v>
      </c>
      <c r="CA16" s="2">
        <v>1.5</v>
      </c>
      <c r="CB16" s="2">
        <v>4.80181344737975E-12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19.100000000000001</v>
      </c>
      <c r="AX17" s="2" t="s">
        <v>278</v>
      </c>
      <c r="AY17" s="130">
        <v>25.2</v>
      </c>
      <c r="AZ17" s="2">
        <v>20</v>
      </c>
      <c r="BA17" s="2"/>
      <c r="BB17" s="2">
        <v>22</v>
      </c>
      <c r="BC17" s="2"/>
      <c r="BD17" s="2">
        <v>0.7</v>
      </c>
      <c r="BE17" s="2">
        <v>9.8000000000000007</v>
      </c>
      <c r="BF17" s="2">
        <v>18.899999999999999</v>
      </c>
      <c r="BG17" s="2">
        <v>43</v>
      </c>
      <c r="BH17" s="2">
        <v>117.9</v>
      </c>
      <c r="BI17" s="2"/>
      <c r="BJ17" s="2"/>
      <c r="BK17" s="2"/>
      <c r="BL17" s="2"/>
      <c r="BM17" s="2"/>
      <c r="BN17" s="2">
        <v>73</v>
      </c>
      <c r="BO17" s="2">
        <v>26</v>
      </c>
      <c r="BP17" s="2">
        <v>28</v>
      </c>
      <c r="BQ17" s="2">
        <v>31</v>
      </c>
      <c r="BR17" s="2">
        <v>33</v>
      </c>
      <c r="BS17" s="2">
        <v>37</v>
      </c>
      <c r="BT17" s="2">
        <v>32</v>
      </c>
      <c r="BU17" s="2">
        <v>104</v>
      </c>
      <c r="BV17" s="2">
        <v>133</v>
      </c>
      <c r="BW17" s="2">
        <v>163</v>
      </c>
      <c r="BX17" s="2">
        <v>235</v>
      </c>
      <c r="BY17" s="2">
        <v>28.9</v>
      </c>
      <c r="BZ17" s="2">
        <v>6</v>
      </c>
      <c r="CA17" s="2">
        <v>1.5</v>
      </c>
      <c r="CB17" s="2">
        <v>4.80181344737975E-12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19.100000000000001</v>
      </c>
      <c r="AX18" s="2" t="s">
        <v>271</v>
      </c>
      <c r="AY18" s="130">
        <v>24.7</v>
      </c>
      <c r="AZ18" s="2">
        <v>19.8</v>
      </c>
      <c r="BA18" s="2"/>
      <c r="BB18" s="2">
        <v>11</v>
      </c>
      <c r="BC18" s="2"/>
      <c r="BD18" s="2">
        <v>0.7</v>
      </c>
      <c r="BE18" s="2">
        <v>2</v>
      </c>
      <c r="BF18" s="2">
        <v>2.4</v>
      </c>
      <c r="BG18" s="2">
        <v>9.6</v>
      </c>
      <c r="BH18" s="2">
        <v>31.5</v>
      </c>
      <c r="BI18" s="2"/>
      <c r="BJ18" s="2"/>
      <c r="BK18" s="2"/>
      <c r="BL18" s="2"/>
      <c r="BM18" s="2"/>
      <c r="BN18" s="2">
        <v>21</v>
      </c>
      <c r="BO18" s="2">
        <v>25</v>
      </c>
      <c r="BP18" s="2">
        <v>25.5</v>
      </c>
      <c r="BQ18" s="2">
        <v>26</v>
      </c>
      <c r="BR18" s="2">
        <v>28</v>
      </c>
      <c r="BS18" s="2">
        <v>32</v>
      </c>
      <c r="BT18" s="2">
        <v>33</v>
      </c>
      <c r="BU18" s="2">
        <v>81</v>
      </c>
      <c r="BV18" s="2">
        <v>106</v>
      </c>
      <c r="BW18" s="2">
        <v>132</v>
      </c>
      <c r="BX18" s="2">
        <v>195</v>
      </c>
      <c r="BY18" s="2">
        <v>17.399999999999999</v>
      </c>
      <c r="BZ18" s="2">
        <v>1</v>
      </c>
      <c r="CA18" s="2">
        <v>0.5</v>
      </c>
      <c r="CB18" s="2">
        <v>2.1746305289254201E-13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37.5</v>
      </c>
      <c r="AX19" s="2" t="s">
        <v>271</v>
      </c>
      <c r="AY19" s="130">
        <v>24.7</v>
      </c>
      <c r="AZ19" s="2">
        <v>19.8</v>
      </c>
      <c r="BA19" s="2"/>
      <c r="BB19" s="2">
        <v>11</v>
      </c>
      <c r="BC19" s="2"/>
      <c r="BD19" s="2">
        <v>1.4</v>
      </c>
      <c r="BE19" s="2">
        <v>3</v>
      </c>
      <c r="BF19" s="2">
        <v>3.2</v>
      </c>
      <c r="BG19" s="2">
        <v>10.4</v>
      </c>
      <c r="BH19" s="2">
        <v>32.299999999999997</v>
      </c>
      <c r="BI19" s="2"/>
      <c r="BJ19" s="2"/>
      <c r="BK19" s="2"/>
      <c r="BL19" s="2"/>
      <c r="BM19" s="2"/>
      <c r="BN19" s="2">
        <v>21</v>
      </c>
      <c r="BO19" s="2">
        <v>25</v>
      </c>
      <c r="BP19" s="2">
        <v>25.5</v>
      </c>
      <c r="BQ19" s="2">
        <v>26</v>
      </c>
      <c r="BR19" s="2">
        <v>28</v>
      </c>
      <c r="BS19" s="2">
        <v>32</v>
      </c>
      <c r="BT19" s="2">
        <v>37</v>
      </c>
      <c r="BU19" s="2">
        <v>85</v>
      </c>
      <c r="BV19" s="2">
        <v>110</v>
      </c>
      <c r="BW19" s="2">
        <v>136</v>
      </c>
      <c r="BX19" s="2">
        <v>198</v>
      </c>
      <c r="BY19" s="2">
        <v>17.399999999999999</v>
      </c>
      <c r="BZ19" s="2">
        <v>1</v>
      </c>
      <c r="CA19" s="2">
        <v>0.5</v>
      </c>
      <c r="CB19" s="2">
        <v>2.1746305289254201E-13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37.5</v>
      </c>
      <c r="AX20" s="2" t="s">
        <v>273</v>
      </c>
      <c r="AY20" s="130">
        <v>32</v>
      </c>
      <c r="AZ20" s="2">
        <v>18.899999999999999</v>
      </c>
      <c r="BA20" s="2">
        <v>47</v>
      </c>
      <c r="BB20" s="2">
        <v>85</v>
      </c>
      <c r="BC20" s="2">
        <v>3</v>
      </c>
      <c r="BD20" s="2">
        <v>1.4</v>
      </c>
      <c r="BE20" s="2">
        <v>7</v>
      </c>
      <c r="BF20" s="2">
        <v>8.6</v>
      </c>
      <c r="BG20" s="2">
        <v>25.5</v>
      </c>
      <c r="BH20" s="2">
        <v>77.8</v>
      </c>
      <c r="BI20" s="2">
        <v>263</v>
      </c>
      <c r="BJ20" s="2">
        <v>349</v>
      </c>
      <c r="BK20" s="2">
        <v>393</v>
      </c>
      <c r="BL20" s="2">
        <v>437</v>
      </c>
      <c r="BM20" s="2">
        <v>523</v>
      </c>
      <c r="BN20" s="2"/>
      <c r="BO20" s="2"/>
      <c r="BP20" s="2"/>
      <c r="BQ20" s="2"/>
      <c r="BR20" s="2"/>
      <c r="BS20" s="2"/>
      <c r="BT20" s="2">
        <v>228</v>
      </c>
      <c r="BU20" s="2">
        <v>402</v>
      </c>
      <c r="BV20" s="2">
        <v>489</v>
      </c>
      <c r="BW20" s="2">
        <v>577</v>
      </c>
      <c r="BX20" s="2">
        <v>752</v>
      </c>
      <c r="BY20" s="2">
        <v>55.7</v>
      </c>
      <c r="BZ20" s="2">
        <v>7.3</v>
      </c>
      <c r="CA20" s="2">
        <v>3</v>
      </c>
      <c r="CB20" s="2">
        <v>7.8719978263058903E-12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78</v>
      </c>
      <c r="AX21" s="2" t="s">
        <v>273</v>
      </c>
      <c r="AY21" s="130">
        <v>32</v>
      </c>
      <c r="AZ21" s="2">
        <v>18.899999999999999</v>
      </c>
      <c r="BA21" s="2">
        <v>47</v>
      </c>
      <c r="BB21" s="2">
        <v>85</v>
      </c>
      <c r="BC21" s="2">
        <v>3</v>
      </c>
      <c r="BD21" s="2">
        <v>13</v>
      </c>
      <c r="BE21" s="2">
        <v>18</v>
      </c>
      <c r="BF21" s="2">
        <v>20.3</v>
      </c>
      <c r="BG21" s="2">
        <v>37.1</v>
      </c>
      <c r="BH21" s="2">
        <v>89.4</v>
      </c>
      <c r="BI21" s="2">
        <v>809</v>
      </c>
      <c r="BJ21" s="2">
        <v>895</v>
      </c>
      <c r="BK21" s="2">
        <v>938</v>
      </c>
      <c r="BL21" s="2">
        <v>982</v>
      </c>
      <c r="BM21" s="2">
        <v>1068</v>
      </c>
      <c r="BN21" s="2"/>
      <c r="BO21" s="2"/>
      <c r="BP21" s="2"/>
      <c r="BQ21" s="2"/>
      <c r="BR21" s="2"/>
      <c r="BS21" s="2"/>
      <c r="BT21" s="2">
        <v>1206</v>
      </c>
      <c r="BU21" s="2">
        <v>1380</v>
      </c>
      <c r="BV21" s="2">
        <v>1468</v>
      </c>
      <c r="BW21" s="2">
        <v>1555</v>
      </c>
      <c r="BX21" s="2">
        <v>1730</v>
      </c>
      <c r="BY21" s="2">
        <v>55.7</v>
      </c>
      <c r="BZ21" s="2">
        <v>7.3</v>
      </c>
      <c r="CA21" s="2">
        <v>3</v>
      </c>
      <c r="CB21" s="2">
        <v>7.8719978263058903E-12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78</v>
      </c>
      <c r="AX22" s="2" t="s">
        <v>218</v>
      </c>
      <c r="AY22" s="130">
        <v>37</v>
      </c>
      <c r="AZ22" s="2">
        <v>18.3</v>
      </c>
      <c r="BA22" s="2">
        <v>59</v>
      </c>
      <c r="BB22" s="2">
        <v>77</v>
      </c>
      <c r="BC22" s="2">
        <v>3</v>
      </c>
      <c r="BD22" s="2">
        <v>3</v>
      </c>
      <c r="BE22" s="2">
        <v>11.8</v>
      </c>
      <c r="BF22" s="2">
        <v>14.8</v>
      </c>
      <c r="BG22" s="2">
        <v>28.6</v>
      </c>
      <c r="BH22" s="2">
        <v>71.5</v>
      </c>
      <c r="BI22" s="2">
        <v>315</v>
      </c>
      <c r="BJ22" s="2">
        <v>543</v>
      </c>
      <c r="BK22" s="2">
        <v>657</v>
      </c>
      <c r="BL22" s="2">
        <v>771</v>
      </c>
      <c r="BM22" s="2">
        <v>1001</v>
      </c>
      <c r="BN22" s="2"/>
      <c r="BO22" s="2"/>
      <c r="BP22" s="2"/>
      <c r="BQ22" s="2"/>
      <c r="BR22" s="2"/>
      <c r="BS22" s="2"/>
      <c r="BT22" s="2">
        <v>80</v>
      </c>
      <c r="BU22" s="2">
        <v>339</v>
      </c>
      <c r="BV22" s="2">
        <v>961</v>
      </c>
      <c r="BW22" s="2">
        <v>1350</v>
      </c>
      <c r="BX22" s="2">
        <v>2914</v>
      </c>
      <c r="BY22" s="2"/>
      <c r="BZ22" s="2"/>
      <c r="CA22" s="2">
        <v>3</v>
      </c>
      <c r="CB22" s="2">
        <v>4.16353463237237E-12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80</v>
      </c>
      <c r="AX23" s="2" t="s">
        <v>218</v>
      </c>
      <c r="AY23" s="130">
        <v>37</v>
      </c>
      <c r="AZ23" s="2">
        <v>18.3</v>
      </c>
      <c r="BA23" s="2">
        <v>59</v>
      </c>
      <c r="BB23" s="2">
        <v>77</v>
      </c>
      <c r="BC23" s="2">
        <v>3</v>
      </c>
      <c r="BD23" s="2">
        <v>3</v>
      </c>
      <c r="BE23" s="2">
        <v>11.8</v>
      </c>
      <c r="BF23" s="2">
        <v>14.8</v>
      </c>
      <c r="BG23" s="2">
        <v>28.6</v>
      </c>
      <c r="BH23" s="2">
        <v>71.5</v>
      </c>
      <c r="BI23" s="2">
        <v>322</v>
      </c>
      <c r="BJ23" s="2">
        <v>549</v>
      </c>
      <c r="BK23" s="2">
        <v>663</v>
      </c>
      <c r="BL23" s="2">
        <v>778</v>
      </c>
      <c r="BM23" s="2">
        <v>1007</v>
      </c>
      <c r="BN23" s="2"/>
      <c r="BO23" s="2"/>
      <c r="BP23" s="2"/>
      <c r="BQ23" s="2"/>
      <c r="BR23" s="2"/>
      <c r="BS23" s="2"/>
      <c r="BT23" s="2">
        <v>80</v>
      </c>
      <c r="BU23" s="2">
        <v>339</v>
      </c>
      <c r="BV23" s="2">
        <v>961</v>
      </c>
      <c r="BW23" s="2">
        <v>1350</v>
      </c>
      <c r="BX23" s="2">
        <v>2914</v>
      </c>
      <c r="BY23" s="2"/>
      <c r="BZ23" s="2"/>
      <c r="CA23" s="2">
        <v>3</v>
      </c>
      <c r="CB23" s="2">
        <v>4.16353463237237E-12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/>
      <c r="AX24" s="2"/>
      <c r="AY24" s="130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/>
      <c r="AX25" s="2"/>
      <c r="AY25" s="130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/>
      <c r="AX26" s="2"/>
      <c r="AY26" s="130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/>
      <c r="AX27" s="2"/>
      <c r="AY27" s="130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466" priority="12">
      <formula>$L32="API sand"</formula>
    </cfRule>
  </conditionalFormatting>
  <conditionalFormatting sqref="R32:S36 AB32:AB35 AJ32:AL36 Z32:Z36 N32:N36">
    <cfRule type="expression" dxfId="2465" priority="11">
      <formula>$M32="API sand"</formula>
    </cfRule>
  </conditionalFormatting>
  <conditionalFormatting sqref="R32:T36 Z32:AB35 AK32:AL36 N32:N36">
    <cfRule type="expression" dxfId="2464" priority="10">
      <formula>$M32="API clay"</formula>
    </cfRule>
  </conditionalFormatting>
  <conditionalFormatting sqref="U32:W36 AM32:AP36 N32:P36">
    <cfRule type="expression" dxfId="2463" priority="7">
      <formula>$L32="Stiff clay w/o free water"</formula>
    </cfRule>
    <cfRule type="expression" dxfId="2462" priority="9">
      <formula>$L32="API clay"</formula>
    </cfRule>
  </conditionalFormatting>
  <conditionalFormatting sqref="U32:Y36 AM32:AP36 N32:P36">
    <cfRule type="expression" dxfId="2461" priority="8">
      <formula>$L32="Kirsch soft clay"</formula>
    </cfRule>
  </conditionalFormatting>
  <conditionalFormatting sqref="U32:Y36 AM32:AP36 N32:P36">
    <cfRule type="expression" dxfId="2460" priority="6">
      <formula>$L32="Kirsch stiff clay"</formula>
    </cfRule>
  </conditionalFormatting>
  <conditionalFormatting sqref="AM32:AP36 Q32:Q36 X32:Y36 N32:N36">
    <cfRule type="expression" dxfId="2459" priority="5">
      <formula>$L32="Kirsch sand"</formula>
    </cfRule>
  </conditionalFormatting>
  <conditionalFormatting sqref="AC32:AD36 AI32:AI36 AM32:AP36 N32:N36">
    <cfRule type="expression" dxfId="2458" priority="4">
      <formula>$L32="Modified Weak rock"</formula>
    </cfRule>
  </conditionalFormatting>
  <conditionalFormatting sqref="AM32:AP36 N32:P36 U32:V36">
    <cfRule type="expression" dxfId="2457" priority="3">
      <formula>$L32="Reese stiff clay"</formula>
    </cfRule>
  </conditionalFormatting>
  <conditionalFormatting sqref="AB36">
    <cfRule type="expression" dxfId="2456" priority="2">
      <formula>$M36="API sand"</formula>
    </cfRule>
  </conditionalFormatting>
  <conditionalFormatting sqref="Z36:AB36">
    <cfRule type="expression" dxfId="2455" priority="1">
      <formula>$M36="API clay"</formula>
    </cfRule>
  </conditionalFormatting>
  <conditionalFormatting sqref="AE37:AH37">
    <cfRule type="expression" dxfId="2454" priority="13">
      <formula>#REF!="Modified Weak rock"</formula>
    </cfRule>
  </conditionalFormatting>
  <dataValidations count="4">
    <dataValidation type="list" showInputMessage="1" showErrorMessage="1" sqref="M32:M36" xr:uid="{97DD292A-CA8F-4B7E-A699-B0DEDF2E6EF4}">
      <formula1>"',API sand,API clay"</formula1>
    </dataValidation>
    <dataValidation type="list" showInputMessage="1" showErrorMessage="1" sqref="L32:L255" xr:uid="{A5C65D22-F0F3-4217-AB36-E391636408FC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B5D7CED9-01E3-40FD-B47D-D7CB71CDF6E2}"/>
    <dataValidation type="textLength" showInputMessage="1" showErrorMessage="1" sqref="M27:M31" xr:uid="{9EA8B79E-7B96-47A1-91BE-75E600DD85F2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C0EF9-FABF-45D1-9358-BBCF7B1F0EBE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Ak_Pisa_WTG35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EW_sand_Ruled_78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36</v>
      </c>
      <c r="R6" s="47">
        <f t="shared" ref="R6:R26" ca="1" si="7">IF(I6="","",IF(Q6&lt;&gt;0,Q6-5,NA()))</f>
        <v>31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7200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99.799999999999969</v>
      </c>
      <c r="AA6" s="47">
        <f t="shared" ref="AA6:AA26" ca="1" si="16">IF(I6="","",1)</f>
        <v>1</v>
      </c>
      <c r="AB6" s="47">
        <f t="shared" ref="AB6:AB26" ca="1" si="17">IF(I6="","",VLOOKUP(R6,$AE$39:$AG$59,3))</f>
        <v>10080</v>
      </c>
      <c r="AC6" s="63">
        <f t="shared" ref="AC6:AC26" ca="1" si="18">IF(I6="","",IF(OFFSET($BV$6,(ROW()-6)*2,0)=0,0,OFFSET($BV$6,(ROW()-6)*2,0)*1000))</f>
        <v>11000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19000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42.000000000000007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78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0.5</v>
      </c>
      <c r="BF6" s="2">
        <v>1</v>
      </c>
      <c r="BG6" s="2">
        <v>1.7</v>
      </c>
      <c r="BH6" s="2">
        <v>3.4</v>
      </c>
      <c r="BI6" s="2"/>
      <c r="BJ6" s="2"/>
      <c r="BK6" s="2"/>
      <c r="BL6" s="2"/>
      <c r="BM6" s="2"/>
      <c r="BN6" s="2">
        <v>78</v>
      </c>
      <c r="BO6" s="2">
        <v>29</v>
      </c>
      <c r="BP6" s="2">
        <v>36</v>
      </c>
      <c r="BQ6" s="2">
        <v>39</v>
      </c>
      <c r="BR6" s="2">
        <v>42</v>
      </c>
      <c r="BS6" s="2">
        <v>49</v>
      </c>
      <c r="BT6" s="2">
        <v>0</v>
      </c>
      <c r="BU6" s="2">
        <v>4</v>
      </c>
      <c r="BV6" s="2">
        <v>11</v>
      </c>
      <c r="BW6" s="2">
        <v>16</v>
      </c>
      <c r="BX6" s="2">
        <v>30</v>
      </c>
      <c r="BY6" s="2">
        <v>7.2</v>
      </c>
      <c r="BZ6" s="2">
        <v>1</v>
      </c>
      <c r="CA6" s="2">
        <v>0.5</v>
      </c>
      <c r="CB6" s="2">
        <v>8.0293802478666297E-6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02b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-1</v>
      </c>
      <c r="L7" s="116" t="str">
        <f t="shared" ca="1" si="1"/>
        <v>EW_sand_Ruled_40</v>
      </c>
      <c r="M7" s="105" t="str">
        <f t="shared" ca="1" si="2"/>
        <v>API sand</v>
      </c>
      <c r="N7" s="47">
        <f t="shared" ca="1" si="3"/>
        <v>9.3999999999999986</v>
      </c>
      <c r="O7" s="63">
        <f t="shared" ca="1" si="4"/>
        <v>0</v>
      </c>
      <c r="P7" s="63">
        <f t="shared" ca="1" si="5"/>
        <v>0</v>
      </c>
      <c r="Q7" s="47">
        <f t="shared" ca="1" si="6"/>
        <v>33</v>
      </c>
      <c r="R7" s="47">
        <f t="shared" ca="1" si="7"/>
        <v>28</v>
      </c>
      <c r="S7" s="47">
        <f t="shared" ca="1" si="8"/>
        <v>1.3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6700</v>
      </c>
      <c r="Y7" s="47">
        <f t="shared" ca="1" si="14"/>
        <v>0</v>
      </c>
      <c r="Z7" s="47">
        <f t="shared" ca="1" si="15"/>
        <v>89.999999999999972</v>
      </c>
      <c r="AA7" s="47">
        <f t="shared" ca="1" si="16"/>
        <v>1</v>
      </c>
      <c r="AB7" s="47">
        <f t="shared" ca="1" si="17"/>
        <v>7680</v>
      </c>
      <c r="AC7" s="63">
        <f t="shared" ca="1" si="18"/>
        <v>27000</v>
      </c>
      <c r="AD7" s="63">
        <f t="shared" ca="1" si="19"/>
        <v>3076.9230769230776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32.000000000000007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40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1.1000000000000001</v>
      </c>
      <c r="BE7" s="2">
        <v>2.2000000000000002</v>
      </c>
      <c r="BF7" s="2">
        <v>2.7</v>
      </c>
      <c r="BG7" s="2">
        <v>3.4</v>
      </c>
      <c r="BH7" s="2">
        <v>5.2</v>
      </c>
      <c r="BI7" s="2"/>
      <c r="BJ7" s="2"/>
      <c r="BK7" s="2"/>
      <c r="BL7" s="2"/>
      <c r="BM7" s="2"/>
      <c r="BN7" s="2">
        <v>78</v>
      </c>
      <c r="BO7" s="2">
        <v>29</v>
      </c>
      <c r="BP7" s="2">
        <v>36</v>
      </c>
      <c r="BQ7" s="2">
        <v>39</v>
      </c>
      <c r="BR7" s="2">
        <v>42</v>
      </c>
      <c r="BS7" s="2">
        <v>49</v>
      </c>
      <c r="BT7" s="2">
        <v>8</v>
      </c>
      <c r="BU7" s="2">
        <v>24</v>
      </c>
      <c r="BV7" s="2">
        <v>30</v>
      </c>
      <c r="BW7" s="2">
        <v>36</v>
      </c>
      <c r="BX7" s="2">
        <v>49</v>
      </c>
      <c r="BY7" s="2">
        <v>7.2</v>
      </c>
      <c r="BZ7" s="2">
        <v>1</v>
      </c>
      <c r="CA7" s="2">
        <v>0.5</v>
      </c>
      <c r="CB7" s="2">
        <v>8.0293802478666297E-6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02c</v>
      </c>
      <c r="J8" s="47">
        <f t="shared" ca="1" si="35"/>
        <v>3</v>
      </c>
      <c r="K8" s="19">
        <f t="shared" ca="1" si="36"/>
        <v>-2.2999999999999998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8.5</v>
      </c>
      <c r="O8" s="63">
        <f t="shared" ca="1" si="4"/>
        <v>14</v>
      </c>
      <c r="P8" s="63">
        <f t="shared" ca="1" si="5"/>
        <v>89.999999999999915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6100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12000</v>
      </c>
      <c r="AD8" s="63">
        <f t="shared" ca="1" si="19"/>
        <v>67499.999999999942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1</v>
      </c>
      <c r="AX8" s="2" t="s">
        <v>257</v>
      </c>
      <c r="AY8" s="130">
        <v>29.7</v>
      </c>
      <c r="AZ8" s="2">
        <v>19.399999999999999</v>
      </c>
      <c r="BA8" s="2"/>
      <c r="BB8" s="2">
        <v>24</v>
      </c>
      <c r="BC8" s="2"/>
      <c r="BD8" s="2">
        <v>1.3</v>
      </c>
      <c r="BE8" s="2">
        <v>1.7</v>
      </c>
      <c r="BF8" s="2">
        <v>1.8</v>
      </c>
      <c r="BG8" s="2">
        <v>2</v>
      </c>
      <c r="BH8" s="2">
        <v>2.2999999999999998</v>
      </c>
      <c r="BI8" s="2"/>
      <c r="BJ8" s="2"/>
      <c r="BK8" s="2"/>
      <c r="BL8" s="2"/>
      <c r="BM8" s="2"/>
      <c r="BN8" s="2">
        <v>40</v>
      </c>
      <c r="BO8" s="2">
        <v>27</v>
      </c>
      <c r="BP8" s="2">
        <v>33</v>
      </c>
      <c r="BQ8" s="2">
        <v>36</v>
      </c>
      <c r="BR8" s="2">
        <v>39</v>
      </c>
      <c r="BS8" s="2">
        <v>44</v>
      </c>
      <c r="BT8" s="2">
        <v>3</v>
      </c>
      <c r="BU8" s="2">
        <v>20</v>
      </c>
      <c r="BV8" s="2">
        <v>27</v>
      </c>
      <c r="BW8" s="2">
        <v>34</v>
      </c>
      <c r="BX8" s="2">
        <v>51</v>
      </c>
      <c r="BY8" s="2">
        <v>6.7</v>
      </c>
      <c r="BZ8" s="2">
        <v>4.8</v>
      </c>
      <c r="CA8" s="2">
        <v>1.3</v>
      </c>
      <c r="CB8" s="2">
        <v>6.1502207683171803E-7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11a</v>
      </c>
      <c r="J9" s="47">
        <f t="shared" ca="1" si="35"/>
        <v>4</v>
      </c>
      <c r="K9" s="19">
        <f t="shared" ca="1" si="36"/>
        <v>-2.7</v>
      </c>
      <c r="L9" s="116" t="str">
        <f t="shared" ca="1" si="1"/>
        <v>EW_sand_Ruled_45</v>
      </c>
      <c r="M9" s="105" t="str">
        <f t="shared" ca="1" si="2"/>
        <v>API sand</v>
      </c>
      <c r="N9" s="47">
        <f t="shared" ca="1" si="3"/>
        <v>9.6000000000000014</v>
      </c>
      <c r="O9" s="63">
        <f t="shared" ca="1" si="4"/>
        <v>0</v>
      </c>
      <c r="P9" s="63">
        <f t="shared" ca="1" si="5"/>
        <v>0</v>
      </c>
      <c r="Q9" s="47">
        <f t="shared" ca="1" si="6"/>
        <v>34</v>
      </c>
      <c r="R9" s="47">
        <f t="shared" ca="1" si="7"/>
        <v>29</v>
      </c>
      <c r="S9" s="47">
        <f t="shared" ca="1" si="8"/>
        <v>1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12900</v>
      </c>
      <c r="Y9" s="47">
        <f t="shared" ca="1" si="14"/>
        <v>0</v>
      </c>
      <c r="Z9" s="47">
        <f t="shared" ca="1" si="15"/>
        <v>92.999999999999972</v>
      </c>
      <c r="AA9" s="47">
        <f t="shared" ca="1" si="16"/>
        <v>1</v>
      </c>
      <c r="AB9" s="47">
        <f t="shared" ca="1" si="17"/>
        <v>8640</v>
      </c>
      <c r="AC9" s="63">
        <f t="shared" ca="1" si="18"/>
        <v>38000</v>
      </c>
      <c r="AD9" s="63">
        <f t="shared" ca="1" si="19"/>
        <v>9130.4347826086978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36.000000000000007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45</v>
      </c>
      <c r="AS9" s="33">
        <f t="shared" ca="1" si="34"/>
        <v>0.4</v>
      </c>
      <c r="AW9" s="2">
        <v>2.2999999999999998</v>
      </c>
      <c r="AX9" s="2" t="s">
        <v>257</v>
      </c>
      <c r="AY9" s="130">
        <v>29.7</v>
      </c>
      <c r="AZ9" s="2">
        <v>19.399999999999999</v>
      </c>
      <c r="BA9" s="2"/>
      <c r="BB9" s="2">
        <v>24</v>
      </c>
      <c r="BC9" s="2"/>
      <c r="BD9" s="2">
        <v>0.9</v>
      </c>
      <c r="BE9" s="2">
        <v>1.2</v>
      </c>
      <c r="BF9" s="2">
        <v>1.4</v>
      </c>
      <c r="BG9" s="2">
        <v>1.6</v>
      </c>
      <c r="BH9" s="2">
        <v>1.9</v>
      </c>
      <c r="BI9" s="2"/>
      <c r="BJ9" s="2"/>
      <c r="BK9" s="2"/>
      <c r="BL9" s="2"/>
      <c r="BM9" s="2"/>
      <c r="BN9" s="2">
        <v>40</v>
      </c>
      <c r="BO9" s="2">
        <v>27</v>
      </c>
      <c r="BP9" s="2">
        <v>33</v>
      </c>
      <c r="BQ9" s="2">
        <v>36</v>
      </c>
      <c r="BR9" s="2">
        <v>39</v>
      </c>
      <c r="BS9" s="2">
        <v>44</v>
      </c>
      <c r="BT9" s="2">
        <v>7</v>
      </c>
      <c r="BU9" s="2">
        <v>23</v>
      </c>
      <c r="BV9" s="2">
        <v>31</v>
      </c>
      <c r="BW9" s="2">
        <v>38</v>
      </c>
      <c r="BX9" s="2">
        <v>55</v>
      </c>
      <c r="BY9" s="2">
        <v>6.7</v>
      </c>
      <c r="BZ9" s="2">
        <v>4.8</v>
      </c>
      <c r="CA9" s="2">
        <v>1.3</v>
      </c>
      <c r="CB9" s="2">
        <v>6.1502207683171803E-7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11a</v>
      </c>
      <c r="J10" s="47">
        <f t="shared" ca="1" si="35"/>
        <v>5</v>
      </c>
      <c r="K10" s="19">
        <f t="shared" ca="1" si="36"/>
        <v>-5</v>
      </c>
      <c r="L10" s="116" t="str">
        <f t="shared" ca="1" si="1"/>
        <v>EW_sand_Ruled_56</v>
      </c>
      <c r="M10" s="105" t="str">
        <f t="shared" ca="1" si="2"/>
        <v>API sand</v>
      </c>
      <c r="N10" s="47">
        <f t="shared" ca="1" si="3"/>
        <v>9.6000000000000014</v>
      </c>
      <c r="O10" s="63">
        <f t="shared" ca="1" si="4"/>
        <v>0</v>
      </c>
      <c r="P10" s="63">
        <f t="shared" ca="1" si="5"/>
        <v>0</v>
      </c>
      <c r="Q10" s="47">
        <f t="shared" ca="1" si="6"/>
        <v>36</v>
      </c>
      <c r="R10" s="47">
        <f t="shared" ca="1" si="7"/>
        <v>31</v>
      </c>
      <c r="S10" s="47">
        <f t="shared" ca="1" si="8"/>
        <v>0.9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26500</v>
      </c>
      <c r="Y10" s="47">
        <f t="shared" ca="1" si="14"/>
        <v>0</v>
      </c>
      <c r="Z10" s="47">
        <f t="shared" ca="1" si="15"/>
        <v>99.799999999999969</v>
      </c>
      <c r="AA10" s="47">
        <f t="shared" ca="1" si="16"/>
        <v>1</v>
      </c>
      <c r="AB10" s="47">
        <f t="shared" ca="1" si="17"/>
        <v>10080</v>
      </c>
      <c r="AC10" s="63">
        <f t="shared" ca="1" si="18"/>
        <v>61000</v>
      </c>
      <c r="AD10" s="63">
        <f t="shared" ca="1" si="19"/>
        <v>5000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42.000000000000007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56</v>
      </c>
      <c r="AS10" s="33">
        <f t="shared" ca="1" si="34"/>
        <v>0.4</v>
      </c>
      <c r="AW10" s="2">
        <v>2.2999999999999998</v>
      </c>
      <c r="AX10" s="2" t="s">
        <v>298</v>
      </c>
      <c r="AY10" s="130">
        <v>37.1</v>
      </c>
      <c r="AZ10" s="2">
        <v>18.5</v>
      </c>
      <c r="BA10" s="2">
        <v>30</v>
      </c>
      <c r="BB10" s="2">
        <v>88</v>
      </c>
      <c r="BC10" s="2">
        <v>3</v>
      </c>
      <c r="BD10" s="2">
        <v>0.2</v>
      </c>
      <c r="BE10" s="2">
        <v>0.4</v>
      </c>
      <c r="BF10" s="2">
        <v>0.5</v>
      </c>
      <c r="BG10" s="2">
        <v>0.6</v>
      </c>
      <c r="BH10" s="2">
        <v>0.8</v>
      </c>
      <c r="BI10" s="2">
        <v>3</v>
      </c>
      <c r="BJ10" s="2">
        <v>14</v>
      </c>
      <c r="BK10" s="2">
        <v>24</v>
      </c>
      <c r="BL10" s="2">
        <v>35</v>
      </c>
      <c r="BM10" s="2">
        <v>57</v>
      </c>
      <c r="BN10" s="2"/>
      <c r="BO10" s="2"/>
      <c r="BP10" s="2"/>
      <c r="BQ10" s="2"/>
      <c r="BR10" s="2"/>
      <c r="BS10" s="2"/>
      <c r="BT10" s="2">
        <v>2</v>
      </c>
      <c r="BU10" s="2">
        <v>2</v>
      </c>
      <c r="BV10" s="2">
        <v>12</v>
      </c>
      <c r="BW10" s="2">
        <v>23</v>
      </c>
      <c r="BX10" s="2">
        <v>43</v>
      </c>
      <c r="BY10" s="2">
        <v>6.1</v>
      </c>
      <c r="BZ10" s="2">
        <v>6.1</v>
      </c>
      <c r="CA10" s="2">
        <v>3</v>
      </c>
      <c r="CB10" s="2">
        <v>2.0363705691705499E-9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11a</v>
      </c>
      <c r="J11" s="47">
        <f t="shared" ca="1" si="35"/>
        <v>6</v>
      </c>
      <c r="K11" s="19">
        <f t="shared" ca="1" si="36"/>
        <v>-9.6</v>
      </c>
      <c r="L11" s="116" t="str">
        <f t="shared" ca="1" si="1"/>
        <v>EW_sand_Ruled_78</v>
      </c>
      <c r="M11" s="105" t="str">
        <f t="shared" ca="1" si="2"/>
        <v>API sand</v>
      </c>
      <c r="N11" s="47">
        <f t="shared" ca="1" si="3"/>
        <v>9.6000000000000014</v>
      </c>
      <c r="O11" s="63">
        <f t="shared" ca="1" si="4"/>
        <v>0</v>
      </c>
      <c r="P11" s="63">
        <f t="shared" ca="1" si="5"/>
        <v>0</v>
      </c>
      <c r="Q11" s="47">
        <f t="shared" ca="1" si="6"/>
        <v>39</v>
      </c>
      <c r="R11" s="47">
        <f t="shared" ca="1" si="7"/>
        <v>34</v>
      </c>
      <c r="S11" s="47">
        <f t="shared" ca="1" si="8"/>
        <v>1.1000000000000001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66700</v>
      </c>
      <c r="Y11" s="47">
        <f t="shared" ca="1" si="14"/>
        <v>0</v>
      </c>
      <c r="Z11" s="47">
        <f t="shared" ca="1" si="15"/>
        <v>111.19999999999996</v>
      </c>
      <c r="AA11" s="47">
        <f t="shared" ca="1" si="16"/>
        <v>1</v>
      </c>
      <c r="AB11" s="47">
        <f t="shared" ca="1" si="17"/>
        <v>11520</v>
      </c>
      <c r="AC11" s="63">
        <f t="shared" ca="1" si="18"/>
        <v>93000</v>
      </c>
      <c r="AD11" s="63">
        <f t="shared" ca="1" si="19"/>
        <v>14444.44444444444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48.000000000000007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78</v>
      </c>
      <c r="AS11" s="33">
        <f t="shared" ca="1" si="34"/>
        <v>0.4</v>
      </c>
      <c r="AW11" s="2">
        <v>2.7</v>
      </c>
      <c r="AX11" s="2" t="s">
        <v>298</v>
      </c>
      <c r="AY11" s="130">
        <v>37.1</v>
      </c>
      <c r="AZ11" s="2">
        <v>18.5</v>
      </c>
      <c r="BA11" s="2">
        <v>30</v>
      </c>
      <c r="BB11" s="2">
        <v>88</v>
      </c>
      <c r="BC11" s="2">
        <v>3</v>
      </c>
      <c r="BD11" s="2">
        <v>0.9</v>
      </c>
      <c r="BE11" s="2">
        <v>1</v>
      </c>
      <c r="BF11" s="2">
        <v>1.1000000000000001</v>
      </c>
      <c r="BG11" s="2">
        <v>1.3</v>
      </c>
      <c r="BH11" s="2">
        <v>1.5</v>
      </c>
      <c r="BI11" s="2">
        <v>39</v>
      </c>
      <c r="BJ11" s="2">
        <v>50</v>
      </c>
      <c r="BK11" s="2">
        <v>60</v>
      </c>
      <c r="BL11" s="2">
        <v>72</v>
      </c>
      <c r="BM11" s="2">
        <v>94</v>
      </c>
      <c r="BN11" s="2"/>
      <c r="BO11" s="2"/>
      <c r="BP11" s="2"/>
      <c r="BQ11" s="2"/>
      <c r="BR11" s="2"/>
      <c r="BS11" s="2"/>
      <c r="BT11" s="2">
        <v>29</v>
      </c>
      <c r="BU11" s="2">
        <v>29</v>
      </c>
      <c r="BV11" s="2">
        <v>39</v>
      </c>
      <c r="BW11" s="2">
        <v>50</v>
      </c>
      <c r="BX11" s="2">
        <v>70</v>
      </c>
      <c r="BY11" s="2">
        <v>6.1</v>
      </c>
      <c r="BZ11" s="2">
        <v>6.1</v>
      </c>
      <c r="CA11" s="2">
        <v>3</v>
      </c>
      <c r="CB11" s="2">
        <v>2.0363705691705499E-9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20a</v>
      </c>
      <c r="J12" s="47">
        <f t="shared" ca="1" si="35"/>
        <v>7</v>
      </c>
      <c r="K12" s="19">
        <f t="shared" ca="1" si="36"/>
        <v>-10.5</v>
      </c>
      <c r="L12" s="116" t="str">
        <f t="shared" ca="1" si="1"/>
        <v>EW_sand_Ruled_79</v>
      </c>
      <c r="M12" s="105" t="str">
        <f t="shared" ca="1" si="2"/>
        <v>API sand</v>
      </c>
      <c r="N12" s="47">
        <f t="shared" ca="1" si="3"/>
        <v>10</v>
      </c>
      <c r="O12" s="63">
        <f t="shared" ca="1" si="4"/>
        <v>0</v>
      </c>
      <c r="P12" s="63">
        <f t="shared" ca="1" si="5"/>
        <v>0</v>
      </c>
      <c r="Q12" s="47">
        <f t="shared" ca="1" si="6"/>
        <v>29</v>
      </c>
      <c r="R12" s="47">
        <f t="shared" ca="1" si="7"/>
        <v>24</v>
      </c>
      <c r="S12" s="47">
        <f t="shared" ca="1" si="8"/>
        <v>1.6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26000</v>
      </c>
      <c r="Y12" s="47">
        <f t="shared" ca="1" si="14"/>
        <v>0</v>
      </c>
      <c r="Z12" s="47">
        <f t="shared" ca="1" si="15"/>
        <v>78.199999999999974</v>
      </c>
      <c r="AA12" s="47">
        <f t="shared" ca="1" si="16"/>
        <v>1</v>
      </c>
      <c r="AB12" s="47">
        <f t="shared" ca="1" si="17"/>
        <v>4420</v>
      </c>
      <c r="AC12" s="63">
        <f t="shared" ca="1" si="18"/>
        <v>111000</v>
      </c>
      <c r="AD12" s="63">
        <f t="shared" ca="1" si="19"/>
        <v>4631.5789473684208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18.400000000000006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79</v>
      </c>
      <c r="AS12" s="33">
        <f t="shared" ca="1" si="34"/>
        <v>0.2</v>
      </c>
      <c r="AW12" s="2">
        <v>2.7</v>
      </c>
      <c r="AX12" s="2" t="s">
        <v>293</v>
      </c>
      <c r="AY12" s="130">
        <v>25.8</v>
      </c>
      <c r="AZ12" s="2">
        <v>19.600000000000001</v>
      </c>
      <c r="BA12" s="2"/>
      <c r="BB12" s="2">
        <v>22</v>
      </c>
      <c r="BC12" s="2"/>
      <c r="BD12" s="2">
        <v>1</v>
      </c>
      <c r="BE12" s="2">
        <v>1.5</v>
      </c>
      <c r="BF12" s="2">
        <v>1.7</v>
      </c>
      <c r="BG12" s="2">
        <v>1.8</v>
      </c>
      <c r="BH12" s="2">
        <v>2.2999999999999998</v>
      </c>
      <c r="BI12" s="2"/>
      <c r="BJ12" s="2"/>
      <c r="BK12" s="2"/>
      <c r="BL12" s="2"/>
      <c r="BM12" s="2"/>
      <c r="BN12" s="2">
        <v>45</v>
      </c>
      <c r="BO12" s="2">
        <v>29</v>
      </c>
      <c r="BP12" s="2">
        <v>34</v>
      </c>
      <c r="BQ12" s="2">
        <v>37</v>
      </c>
      <c r="BR12" s="2">
        <v>39</v>
      </c>
      <c r="BS12" s="2">
        <v>45</v>
      </c>
      <c r="BT12" s="2">
        <v>2</v>
      </c>
      <c r="BU12" s="2">
        <v>26</v>
      </c>
      <c r="BV12" s="2">
        <v>38</v>
      </c>
      <c r="BW12" s="2">
        <v>50</v>
      </c>
      <c r="BX12" s="2">
        <v>78</v>
      </c>
      <c r="BY12" s="2">
        <v>12.9</v>
      </c>
      <c r="BZ12" s="2">
        <v>3.1</v>
      </c>
      <c r="CA12" s="2">
        <v>1</v>
      </c>
      <c r="CB12" s="2">
        <v>1.3267083631004601E-7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20a</v>
      </c>
      <c r="J13" s="47">
        <f t="shared" ca="1" si="35"/>
        <v>8</v>
      </c>
      <c r="K13" s="19">
        <f t="shared" ca="1" si="36"/>
        <v>-20</v>
      </c>
      <c r="L13" s="116" t="str">
        <f t="shared" ca="1" si="1"/>
        <v>EW_sand_Ruled_62</v>
      </c>
      <c r="M13" s="105" t="str">
        <f t="shared" ca="1" si="2"/>
        <v>API sand</v>
      </c>
      <c r="N13" s="47">
        <f t="shared" ca="1" si="3"/>
        <v>10</v>
      </c>
      <c r="O13" s="63">
        <f t="shared" ca="1" si="4"/>
        <v>0</v>
      </c>
      <c r="P13" s="63">
        <f t="shared" ca="1" si="5"/>
        <v>0</v>
      </c>
      <c r="Q13" s="47">
        <f t="shared" ca="1" si="6"/>
        <v>27</v>
      </c>
      <c r="R13" s="47">
        <f t="shared" ca="1" si="7"/>
        <v>22</v>
      </c>
      <c r="S13" s="47">
        <f t="shared" ca="1" si="8"/>
        <v>1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23500</v>
      </c>
      <c r="Y13" s="47">
        <f t="shared" ca="1" si="14"/>
        <v>0</v>
      </c>
      <c r="Z13" s="47">
        <f t="shared" ca="1" si="15"/>
        <v>72.59999999999998</v>
      </c>
      <c r="AA13" s="47">
        <f t="shared" ca="1" si="16"/>
        <v>1</v>
      </c>
      <c r="AB13" s="47">
        <f t="shared" ca="1" si="17"/>
        <v>3660</v>
      </c>
      <c r="AC13" s="63">
        <f t="shared" ca="1" si="18"/>
        <v>105000</v>
      </c>
      <c r="AD13" s="63">
        <f t="shared" ca="1" si="19"/>
        <v>23684.210526315808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15.200000000000003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62</v>
      </c>
      <c r="AS13" s="33">
        <f t="shared" ca="1" si="34"/>
        <v>0.2</v>
      </c>
      <c r="AW13" s="2">
        <v>5</v>
      </c>
      <c r="AX13" s="2" t="s">
        <v>293</v>
      </c>
      <c r="AY13" s="130">
        <v>25.8</v>
      </c>
      <c r="AZ13" s="2">
        <v>19.600000000000001</v>
      </c>
      <c r="BA13" s="2"/>
      <c r="BB13" s="2">
        <v>22</v>
      </c>
      <c r="BC13" s="2"/>
      <c r="BD13" s="2">
        <v>4.5999999999999996</v>
      </c>
      <c r="BE13" s="2">
        <v>5.0999999999999996</v>
      </c>
      <c r="BF13" s="2">
        <v>5.3</v>
      </c>
      <c r="BG13" s="2">
        <v>5.4</v>
      </c>
      <c r="BH13" s="2">
        <v>5.9</v>
      </c>
      <c r="BI13" s="2"/>
      <c r="BJ13" s="2"/>
      <c r="BK13" s="2"/>
      <c r="BL13" s="2"/>
      <c r="BM13" s="2"/>
      <c r="BN13" s="2">
        <v>45</v>
      </c>
      <c r="BO13" s="2">
        <v>29</v>
      </c>
      <c r="BP13" s="2">
        <v>34</v>
      </c>
      <c r="BQ13" s="2">
        <v>37</v>
      </c>
      <c r="BR13" s="2">
        <v>39</v>
      </c>
      <c r="BS13" s="2">
        <v>45</v>
      </c>
      <c r="BT13" s="2">
        <v>23</v>
      </c>
      <c r="BU13" s="2">
        <v>47</v>
      </c>
      <c r="BV13" s="2">
        <v>59</v>
      </c>
      <c r="BW13" s="2">
        <v>70</v>
      </c>
      <c r="BX13" s="2">
        <v>98</v>
      </c>
      <c r="BY13" s="2">
        <v>12.9</v>
      </c>
      <c r="BZ13" s="2">
        <v>3.1</v>
      </c>
      <c r="CA13" s="2">
        <v>1</v>
      </c>
      <c r="CB13" s="2">
        <v>1.3267083631004601E-7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21a</v>
      </c>
      <c r="J14" s="47">
        <f t="shared" ca="1" si="35"/>
        <v>9</v>
      </c>
      <c r="K14" s="19">
        <f t="shared" ca="1" si="36"/>
        <v>-21.9</v>
      </c>
      <c r="L14" s="116" t="str">
        <f t="shared" ca="1" si="1"/>
        <v>EW_sand_Ruled_40</v>
      </c>
      <c r="M14" s="105" t="str">
        <f t="shared" ca="1" si="2"/>
        <v>API sand</v>
      </c>
      <c r="N14" s="47">
        <f t="shared" ca="1" si="3"/>
        <v>9.8000000000000007</v>
      </c>
      <c r="O14" s="63">
        <f t="shared" ca="1" si="4"/>
        <v>0</v>
      </c>
      <c r="P14" s="63">
        <f t="shared" ca="1" si="5"/>
        <v>0</v>
      </c>
      <c r="Q14" s="47">
        <f t="shared" ca="1" si="6"/>
        <v>26</v>
      </c>
      <c r="R14" s="47">
        <f t="shared" ca="1" si="7"/>
        <v>21</v>
      </c>
      <c r="S14" s="47">
        <f t="shared" ca="1" si="8"/>
        <v>0.7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30000</v>
      </c>
      <c r="Y14" s="47">
        <f t="shared" ca="1" si="14"/>
        <v>0</v>
      </c>
      <c r="Z14" s="47">
        <f t="shared" ca="1" si="15"/>
        <v>69.799999999999983</v>
      </c>
      <c r="AA14" s="47">
        <f t="shared" ca="1" si="16"/>
        <v>1</v>
      </c>
      <c r="AB14" s="47">
        <f t="shared" ca="1" si="17"/>
        <v>3280</v>
      </c>
      <c r="AC14" s="63">
        <f t="shared" ca="1" si="18"/>
        <v>124000</v>
      </c>
      <c r="AD14" s="63">
        <f t="shared" ca="1" si="19"/>
        <v>1818.1818181818178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13.600000000000003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40</v>
      </c>
      <c r="AS14" s="33">
        <f t="shared" ca="1" si="34"/>
        <v>0.2</v>
      </c>
      <c r="AW14" s="2">
        <v>5</v>
      </c>
      <c r="AX14" s="2" t="s">
        <v>293</v>
      </c>
      <c r="AY14" s="130">
        <v>25.8</v>
      </c>
      <c r="AZ14" s="2">
        <v>19.600000000000001</v>
      </c>
      <c r="BA14" s="2"/>
      <c r="BB14" s="2">
        <v>22</v>
      </c>
      <c r="BC14" s="2"/>
      <c r="BD14" s="2">
        <v>3.8</v>
      </c>
      <c r="BE14" s="2">
        <v>5</v>
      </c>
      <c r="BF14" s="2">
        <v>5.2</v>
      </c>
      <c r="BG14" s="2">
        <v>5.4</v>
      </c>
      <c r="BH14" s="2">
        <v>6.4</v>
      </c>
      <c r="BI14" s="2"/>
      <c r="BJ14" s="2"/>
      <c r="BK14" s="2"/>
      <c r="BL14" s="2"/>
      <c r="BM14" s="2"/>
      <c r="BN14" s="2">
        <v>56</v>
      </c>
      <c r="BO14" s="2">
        <v>30</v>
      </c>
      <c r="BP14" s="2">
        <v>36</v>
      </c>
      <c r="BQ14" s="2">
        <v>39</v>
      </c>
      <c r="BR14" s="2">
        <v>41</v>
      </c>
      <c r="BS14" s="2">
        <v>47</v>
      </c>
      <c r="BT14" s="2">
        <v>5</v>
      </c>
      <c r="BU14" s="2">
        <v>44</v>
      </c>
      <c r="BV14" s="2">
        <v>61</v>
      </c>
      <c r="BW14" s="2">
        <v>78</v>
      </c>
      <c r="BX14" s="2">
        <v>120</v>
      </c>
      <c r="BY14" s="2">
        <v>26.5</v>
      </c>
      <c r="BZ14" s="2">
        <v>2.6</v>
      </c>
      <c r="CA14" s="2">
        <v>0.9</v>
      </c>
      <c r="CB14" s="2">
        <v>2.8360245255497601E-7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23d</v>
      </c>
      <c r="J15" s="47">
        <f t="shared" ca="1" si="35"/>
        <v>10</v>
      </c>
      <c r="K15" s="19">
        <f t="shared" ca="1" si="36"/>
        <v>-34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8.8999999999999986</v>
      </c>
      <c r="O15" s="63">
        <f t="shared" ca="1" si="4"/>
        <v>180</v>
      </c>
      <c r="P15" s="63">
        <f t="shared" ca="1" si="5"/>
        <v>28.166666666666668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2.1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0.5</v>
      </c>
      <c r="X15" s="47">
        <f t="shared" ca="1" si="13"/>
        <v>26600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260000</v>
      </c>
      <c r="AD15" s="63">
        <f t="shared" ca="1" si="19"/>
        <v>40166.666666666664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9.6</v>
      </c>
      <c r="AX15" s="2" t="s">
        <v>293</v>
      </c>
      <c r="AY15" s="130">
        <v>25.8</v>
      </c>
      <c r="AZ15" s="2">
        <v>19.600000000000001</v>
      </c>
      <c r="BA15" s="2"/>
      <c r="BB15" s="2">
        <v>22</v>
      </c>
      <c r="BC15" s="2"/>
      <c r="BD15" s="2">
        <v>6.7</v>
      </c>
      <c r="BE15" s="2">
        <v>7.9</v>
      </c>
      <c r="BF15" s="2">
        <v>8.1</v>
      </c>
      <c r="BG15" s="2">
        <v>8.3000000000000007</v>
      </c>
      <c r="BH15" s="2">
        <v>9.3000000000000007</v>
      </c>
      <c r="BI15" s="2"/>
      <c r="BJ15" s="2"/>
      <c r="BK15" s="2"/>
      <c r="BL15" s="2"/>
      <c r="BM15" s="2"/>
      <c r="BN15" s="2">
        <v>56</v>
      </c>
      <c r="BO15" s="2">
        <v>30</v>
      </c>
      <c r="BP15" s="2">
        <v>36</v>
      </c>
      <c r="BQ15" s="2">
        <v>39</v>
      </c>
      <c r="BR15" s="2">
        <v>41</v>
      </c>
      <c r="BS15" s="2">
        <v>47</v>
      </c>
      <c r="BT15" s="2">
        <v>27</v>
      </c>
      <c r="BU15" s="2">
        <v>67</v>
      </c>
      <c r="BV15" s="2">
        <v>84</v>
      </c>
      <c r="BW15" s="2">
        <v>101</v>
      </c>
      <c r="BX15" s="2">
        <v>143</v>
      </c>
      <c r="BY15" s="2">
        <v>26.5</v>
      </c>
      <c r="BZ15" s="2">
        <v>2.6</v>
      </c>
      <c r="CA15" s="2">
        <v>0.9</v>
      </c>
      <c r="CB15" s="2">
        <v>2.8360245255497601E-7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23d</v>
      </c>
      <c r="J16" s="47">
        <f t="shared" ca="1" si="35"/>
        <v>11</v>
      </c>
      <c r="K16" s="19">
        <f t="shared" ca="1" si="36"/>
        <v>-40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8.8999999999999986</v>
      </c>
      <c r="O16" s="63">
        <f t="shared" ca="1" si="4"/>
        <v>365</v>
      </c>
      <c r="P16" s="63">
        <f t="shared" ca="1" si="5"/>
        <v>3.129032258064516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2.4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36400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536000</v>
      </c>
      <c r="AD16" s="63">
        <f t="shared" ca="1" si="19"/>
        <v>5225.8064516129034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9.6</v>
      </c>
      <c r="AX16" s="2" t="s">
        <v>293</v>
      </c>
      <c r="AY16" s="130">
        <v>25.8</v>
      </c>
      <c r="AZ16" s="2">
        <v>19.600000000000001</v>
      </c>
      <c r="BA16" s="2"/>
      <c r="BB16" s="2">
        <v>22</v>
      </c>
      <c r="BC16" s="2"/>
      <c r="BD16" s="2">
        <v>7</v>
      </c>
      <c r="BE16" s="2">
        <v>10.6</v>
      </c>
      <c r="BF16" s="2">
        <v>11.7</v>
      </c>
      <c r="BG16" s="2">
        <v>13</v>
      </c>
      <c r="BH16" s="2">
        <v>17</v>
      </c>
      <c r="BI16" s="2"/>
      <c r="BJ16" s="2"/>
      <c r="BK16" s="2"/>
      <c r="BL16" s="2"/>
      <c r="BM16" s="2"/>
      <c r="BN16" s="2">
        <v>78</v>
      </c>
      <c r="BO16" s="2">
        <v>33</v>
      </c>
      <c r="BP16" s="2">
        <v>39</v>
      </c>
      <c r="BQ16" s="2">
        <v>42</v>
      </c>
      <c r="BR16" s="2">
        <v>45</v>
      </c>
      <c r="BS16" s="2">
        <v>51</v>
      </c>
      <c r="BT16" s="2">
        <v>12</v>
      </c>
      <c r="BU16" s="2">
        <v>70</v>
      </c>
      <c r="BV16" s="2">
        <v>93</v>
      </c>
      <c r="BW16" s="2">
        <v>117</v>
      </c>
      <c r="BX16" s="2">
        <v>175</v>
      </c>
      <c r="BY16" s="2">
        <v>66.7</v>
      </c>
      <c r="BZ16" s="2">
        <v>3.7</v>
      </c>
      <c r="CA16" s="2">
        <v>1.1000000000000001</v>
      </c>
      <c r="CB16" s="2">
        <v>2.6136063019693298E-6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23i</v>
      </c>
      <c r="J17" s="47">
        <f t="shared" ca="1" si="35"/>
        <v>12</v>
      </c>
      <c r="K17" s="19">
        <f t="shared" ca="1" si="36"/>
        <v>-71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8.3000000000000007</v>
      </c>
      <c r="O17" s="63">
        <f t="shared" ca="1" si="4"/>
        <v>564</v>
      </c>
      <c r="P17" s="63">
        <f t="shared" ca="1" si="5"/>
        <v>6.4444444444444446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2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51200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865000</v>
      </c>
      <c r="AD17" s="63">
        <f t="shared" ca="1" si="19"/>
        <v>11777.777777777779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10.5</v>
      </c>
      <c r="AX17" s="2" t="s">
        <v>293</v>
      </c>
      <c r="AY17" s="130">
        <v>25.8</v>
      </c>
      <c r="AZ17" s="2">
        <v>19.600000000000001</v>
      </c>
      <c r="BA17" s="2"/>
      <c r="BB17" s="2">
        <v>22</v>
      </c>
      <c r="BC17" s="2"/>
      <c r="BD17" s="2">
        <v>12.8</v>
      </c>
      <c r="BE17" s="2">
        <v>16.3</v>
      </c>
      <c r="BF17" s="2">
        <v>17.5</v>
      </c>
      <c r="BG17" s="2">
        <v>18.8</v>
      </c>
      <c r="BH17" s="2">
        <v>22.8</v>
      </c>
      <c r="BI17" s="2"/>
      <c r="BJ17" s="2"/>
      <c r="BK17" s="2"/>
      <c r="BL17" s="2"/>
      <c r="BM17" s="2"/>
      <c r="BN17" s="2">
        <v>78</v>
      </c>
      <c r="BO17" s="2">
        <v>33</v>
      </c>
      <c r="BP17" s="2">
        <v>39</v>
      </c>
      <c r="BQ17" s="2">
        <v>42</v>
      </c>
      <c r="BR17" s="2">
        <v>45</v>
      </c>
      <c r="BS17" s="2">
        <v>51</v>
      </c>
      <c r="BT17" s="2">
        <v>24</v>
      </c>
      <c r="BU17" s="2">
        <v>82</v>
      </c>
      <c r="BV17" s="2">
        <v>106</v>
      </c>
      <c r="BW17" s="2">
        <v>129</v>
      </c>
      <c r="BX17" s="2">
        <v>187</v>
      </c>
      <c r="BY17" s="2">
        <v>66.7</v>
      </c>
      <c r="BZ17" s="2">
        <v>3.7</v>
      </c>
      <c r="CA17" s="2">
        <v>1.1000000000000001</v>
      </c>
      <c r="CB17" s="2">
        <v>2.6136063019693298E-6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10.5</v>
      </c>
      <c r="AX18" s="2" t="s">
        <v>278</v>
      </c>
      <c r="AY18" s="130">
        <v>25.2</v>
      </c>
      <c r="AZ18" s="2">
        <v>20</v>
      </c>
      <c r="BA18" s="2"/>
      <c r="BB18" s="2">
        <v>22</v>
      </c>
      <c r="BC18" s="2"/>
      <c r="BD18" s="2">
        <v>7.7</v>
      </c>
      <c r="BE18" s="2">
        <v>18.399999999999999</v>
      </c>
      <c r="BF18" s="2">
        <v>19.899999999999999</v>
      </c>
      <c r="BG18" s="2">
        <v>21.2</v>
      </c>
      <c r="BH18" s="2">
        <v>30.4</v>
      </c>
      <c r="BI18" s="2"/>
      <c r="BJ18" s="2"/>
      <c r="BK18" s="2"/>
      <c r="BL18" s="2"/>
      <c r="BM18" s="2"/>
      <c r="BN18" s="2">
        <v>79</v>
      </c>
      <c r="BO18" s="2">
        <v>26</v>
      </c>
      <c r="BP18" s="2">
        <v>29</v>
      </c>
      <c r="BQ18" s="2">
        <v>31</v>
      </c>
      <c r="BR18" s="2">
        <v>34</v>
      </c>
      <c r="BS18" s="2">
        <v>38</v>
      </c>
      <c r="BT18" s="2">
        <v>10</v>
      </c>
      <c r="BU18" s="2">
        <v>80</v>
      </c>
      <c r="BV18" s="2">
        <v>111</v>
      </c>
      <c r="BW18" s="2">
        <v>141</v>
      </c>
      <c r="BX18" s="2">
        <v>217</v>
      </c>
      <c r="BY18" s="2">
        <v>26</v>
      </c>
      <c r="BZ18" s="2">
        <v>7.2</v>
      </c>
      <c r="CA18" s="2">
        <v>1.6</v>
      </c>
      <c r="CB18" s="2">
        <v>4.3163218469724103E-6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20</v>
      </c>
      <c r="AX19" s="2" t="s">
        <v>278</v>
      </c>
      <c r="AY19" s="130">
        <v>25.2</v>
      </c>
      <c r="AZ19" s="2">
        <v>20</v>
      </c>
      <c r="BA19" s="2"/>
      <c r="BB19" s="2">
        <v>22</v>
      </c>
      <c r="BC19" s="2"/>
      <c r="BD19" s="2">
        <v>17.2</v>
      </c>
      <c r="BE19" s="2">
        <v>27.9</v>
      </c>
      <c r="BF19" s="2">
        <v>29.4</v>
      </c>
      <c r="BG19" s="2">
        <v>30.8</v>
      </c>
      <c r="BH19" s="2">
        <v>39.9</v>
      </c>
      <c r="BI19" s="2"/>
      <c r="BJ19" s="2"/>
      <c r="BK19" s="2"/>
      <c r="BL19" s="2"/>
      <c r="BM19" s="2"/>
      <c r="BN19" s="2">
        <v>79</v>
      </c>
      <c r="BO19" s="2">
        <v>26</v>
      </c>
      <c r="BP19" s="2">
        <v>29</v>
      </c>
      <c r="BQ19" s="2">
        <v>31</v>
      </c>
      <c r="BR19" s="2">
        <v>34</v>
      </c>
      <c r="BS19" s="2">
        <v>38</v>
      </c>
      <c r="BT19" s="2">
        <v>54</v>
      </c>
      <c r="BU19" s="2">
        <v>124</v>
      </c>
      <c r="BV19" s="2">
        <v>155</v>
      </c>
      <c r="BW19" s="2">
        <v>185</v>
      </c>
      <c r="BX19" s="2">
        <v>261</v>
      </c>
      <c r="BY19" s="2">
        <v>26</v>
      </c>
      <c r="BZ19" s="2">
        <v>7.2</v>
      </c>
      <c r="CA19" s="2">
        <v>1.6</v>
      </c>
      <c r="CB19" s="2">
        <v>4.3163218469724103E-6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20</v>
      </c>
      <c r="AX20" s="2" t="s">
        <v>278</v>
      </c>
      <c r="AY20" s="130">
        <v>25.2</v>
      </c>
      <c r="AZ20" s="2">
        <v>20</v>
      </c>
      <c r="BA20" s="2"/>
      <c r="BB20" s="2">
        <v>22</v>
      </c>
      <c r="BC20" s="2"/>
      <c r="BD20" s="2">
        <v>0.7</v>
      </c>
      <c r="BE20" s="2">
        <v>3.6</v>
      </c>
      <c r="BF20" s="2">
        <v>5.3</v>
      </c>
      <c r="BG20" s="2">
        <v>7.8</v>
      </c>
      <c r="BH20" s="2">
        <v>18.600000000000001</v>
      </c>
      <c r="BI20" s="2"/>
      <c r="BJ20" s="2"/>
      <c r="BK20" s="2"/>
      <c r="BL20" s="2"/>
      <c r="BM20" s="2"/>
      <c r="BN20" s="2">
        <v>62</v>
      </c>
      <c r="BO20" s="2">
        <v>26</v>
      </c>
      <c r="BP20" s="2">
        <v>27</v>
      </c>
      <c r="BQ20" s="2">
        <v>29</v>
      </c>
      <c r="BR20" s="2">
        <v>32</v>
      </c>
      <c r="BS20" s="2">
        <v>36</v>
      </c>
      <c r="BT20" s="2">
        <v>20</v>
      </c>
      <c r="BU20" s="2">
        <v>74</v>
      </c>
      <c r="BV20" s="2">
        <v>105</v>
      </c>
      <c r="BW20" s="2">
        <v>135</v>
      </c>
      <c r="BX20" s="2">
        <v>213</v>
      </c>
      <c r="BY20" s="2">
        <v>23.5</v>
      </c>
      <c r="BZ20" s="2">
        <v>3.2</v>
      </c>
      <c r="CA20" s="2">
        <v>1</v>
      </c>
      <c r="CB20" s="2">
        <v>1.4765552101606099E-8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21.9</v>
      </c>
      <c r="AX21" s="2" t="s">
        <v>278</v>
      </c>
      <c r="AY21" s="130">
        <v>25.2</v>
      </c>
      <c r="AZ21" s="2">
        <v>20</v>
      </c>
      <c r="BA21" s="2"/>
      <c r="BB21" s="2">
        <v>22</v>
      </c>
      <c r="BC21" s="2"/>
      <c r="BD21" s="2">
        <v>16.2</v>
      </c>
      <c r="BE21" s="2">
        <v>19.2</v>
      </c>
      <c r="BF21" s="2">
        <v>20.8</v>
      </c>
      <c r="BG21" s="2">
        <v>23.3</v>
      </c>
      <c r="BH21" s="2">
        <v>34.1</v>
      </c>
      <c r="BI21" s="2"/>
      <c r="BJ21" s="2"/>
      <c r="BK21" s="2"/>
      <c r="BL21" s="2"/>
      <c r="BM21" s="2"/>
      <c r="BN21" s="2">
        <v>62</v>
      </c>
      <c r="BO21" s="2">
        <v>26</v>
      </c>
      <c r="BP21" s="2">
        <v>27</v>
      </c>
      <c r="BQ21" s="2">
        <v>29</v>
      </c>
      <c r="BR21" s="2">
        <v>32</v>
      </c>
      <c r="BS21" s="2">
        <v>36</v>
      </c>
      <c r="BT21" s="2">
        <v>65</v>
      </c>
      <c r="BU21" s="2">
        <v>120</v>
      </c>
      <c r="BV21" s="2">
        <v>150</v>
      </c>
      <c r="BW21" s="2">
        <v>180</v>
      </c>
      <c r="BX21" s="2">
        <v>258</v>
      </c>
      <c r="BY21" s="2">
        <v>23.5</v>
      </c>
      <c r="BZ21" s="2">
        <v>3.2</v>
      </c>
      <c r="CA21" s="2">
        <v>1</v>
      </c>
      <c r="CB21" s="2">
        <v>1.4765552101606099E-8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21.9</v>
      </c>
      <c r="AX22" s="2" t="s">
        <v>271</v>
      </c>
      <c r="AY22" s="130">
        <v>24.7</v>
      </c>
      <c r="AZ22" s="2">
        <v>19.8</v>
      </c>
      <c r="BA22" s="2"/>
      <c r="BB22" s="2">
        <v>11</v>
      </c>
      <c r="BC22" s="2"/>
      <c r="BD22" s="2">
        <v>5.2</v>
      </c>
      <c r="BE22" s="2">
        <v>7.4</v>
      </c>
      <c r="BF22" s="2">
        <v>7.8</v>
      </c>
      <c r="BG22" s="2">
        <v>8.1</v>
      </c>
      <c r="BH22" s="2">
        <v>10.3</v>
      </c>
      <c r="BI22" s="2"/>
      <c r="BJ22" s="2"/>
      <c r="BK22" s="2"/>
      <c r="BL22" s="2"/>
      <c r="BM22" s="2"/>
      <c r="BN22" s="2">
        <v>40</v>
      </c>
      <c r="BO22" s="2">
        <v>26</v>
      </c>
      <c r="BP22" s="2">
        <v>26</v>
      </c>
      <c r="BQ22" s="2">
        <v>28</v>
      </c>
      <c r="BR22" s="2">
        <v>30</v>
      </c>
      <c r="BS22" s="2">
        <v>34</v>
      </c>
      <c r="BT22" s="2">
        <v>21</v>
      </c>
      <c r="BU22" s="2">
        <v>93</v>
      </c>
      <c r="BV22" s="2">
        <v>124</v>
      </c>
      <c r="BW22" s="2">
        <v>156</v>
      </c>
      <c r="BX22" s="2">
        <v>234</v>
      </c>
      <c r="BY22" s="2">
        <v>30</v>
      </c>
      <c r="BZ22" s="2">
        <v>1.6</v>
      </c>
      <c r="CA22" s="2">
        <v>0.7</v>
      </c>
      <c r="CB22" s="2">
        <v>2.9244471409743701E-10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34</v>
      </c>
      <c r="AX23" s="2" t="s">
        <v>271</v>
      </c>
      <c r="AY23" s="130">
        <v>24.7</v>
      </c>
      <c r="AZ23" s="2">
        <v>19.8</v>
      </c>
      <c r="BA23" s="2"/>
      <c r="BB23" s="2">
        <v>11</v>
      </c>
      <c r="BC23" s="2"/>
      <c r="BD23" s="2">
        <v>8.8000000000000007</v>
      </c>
      <c r="BE23" s="2">
        <v>11</v>
      </c>
      <c r="BF23" s="2">
        <v>11.3</v>
      </c>
      <c r="BG23" s="2">
        <v>11.7</v>
      </c>
      <c r="BH23" s="2">
        <v>13.9</v>
      </c>
      <c r="BI23" s="2"/>
      <c r="BJ23" s="2"/>
      <c r="BK23" s="2"/>
      <c r="BL23" s="2"/>
      <c r="BM23" s="2"/>
      <c r="BN23" s="2">
        <v>40</v>
      </c>
      <c r="BO23" s="2">
        <v>26</v>
      </c>
      <c r="BP23" s="2">
        <v>26</v>
      </c>
      <c r="BQ23" s="2">
        <v>28</v>
      </c>
      <c r="BR23" s="2">
        <v>30</v>
      </c>
      <c r="BS23" s="2">
        <v>34</v>
      </c>
      <c r="BT23" s="2">
        <v>43</v>
      </c>
      <c r="BU23" s="2">
        <v>114</v>
      </c>
      <c r="BV23" s="2">
        <v>146</v>
      </c>
      <c r="BW23" s="2">
        <v>177</v>
      </c>
      <c r="BX23" s="2">
        <v>256</v>
      </c>
      <c r="BY23" s="2">
        <v>30</v>
      </c>
      <c r="BZ23" s="2">
        <v>1.6</v>
      </c>
      <c r="CA23" s="2">
        <v>0.7</v>
      </c>
      <c r="CB23" s="2">
        <v>2.9244471409743701E-10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34</v>
      </c>
      <c r="AX24" s="2" t="s">
        <v>273</v>
      </c>
      <c r="AY24" s="130">
        <v>32</v>
      </c>
      <c r="AZ24" s="2">
        <v>18.899999999999999</v>
      </c>
      <c r="BA24" s="2">
        <v>47</v>
      </c>
      <c r="BB24" s="2">
        <v>85</v>
      </c>
      <c r="BC24" s="2">
        <v>3</v>
      </c>
      <c r="BD24" s="2">
        <v>4.5</v>
      </c>
      <c r="BE24" s="2">
        <v>5</v>
      </c>
      <c r="BF24" s="2">
        <v>5.0999999999999996</v>
      </c>
      <c r="BG24" s="2">
        <v>5.2</v>
      </c>
      <c r="BH24" s="2">
        <v>5.9</v>
      </c>
      <c r="BI24" s="2">
        <v>98</v>
      </c>
      <c r="BJ24" s="2">
        <v>180</v>
      </c>
      <c r="BK24" s="2">
        <v>220</v>
      </c>
      <c r="BL24" s="2">
        <v>261</v>
      </c>
      <c r="BM24" s="2">
        <v>346</v>
      </c>
      <c r="BN24" s="2"/>
      <c r="BO24" s="2"/>
      <c r="BP24" s="2"/>
      <c r="BQ24" s="2"/>
      <c r="BR24" s="2"/>
      <c r="BS24" s="2"/>
      <c r="BT24" s="2">
        <v>34</v>
      </c>
      <c r="BU24" s="2">
        <v>181</v>
      </c>
      <c r="BV24" s="2">
        <v>260</v>
      </c>
      <c r="BW24" s="2">
        <v>340</v>
      </c>
      <c r="BX24" s="2">
        <v>503</v>
      </c>
      <c r="BY24" s="2">
        <v>26.6</v>
      </c>
      <c r="BZ24" s="2">
        <v>5.4</v>
      </c>
      <c r="CA24" s="2">
        <v>2.1</v>
      </c>
      <c r="CB24" s="2">
        <v>2.2665815072646701E-10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40</v>
      </c>
      <c r="AX25" s="2" t="s">
        <v>273</v>
      </c>
      <c r="AY25" s="130">
        <v>32</v>
      </c>
      <c r="AZ25" s="2">
        <v>18.899999999999999</v>
      </c>
      <c r="BA25" s="2">
        <v>47</v>
      </c>
      <c r="BB25" s="2">
        <v>85</v>
      </c>
      <c r="BC25" s="2">
        <v>3</v>
      </c>
      <c r="BD25" s="2">
        <v>8</v>
      </c>
      <c r="BE25" s="2">
        <v>8.5</v>
      </c>
      <c r="BF25" s="2">
        <v>8.6</v>
      </c>
      <c r="BG25" s="2">
        <v>8.6999999999999993</v>
      </c>
      <c r="BH25" s="2">
        <v>9.4</v>
      </c>
      <c r="BI25" s="2">
        <v>267</v>
      </c>
      <c r="BJ25" s="2">
        <v>349</v>
      </c>
      <c r="BK25" s="2">
        <v>389</v>
      </c>
      <c r="BL25" s="2">
        <v>430</v>
      </c>
      <c r="BM25" s="2">
        <v>515</v>
      </c>
      <c r="BN25" s="2"/>
      <c r="BO25" s="2"/>
      <c r="BP25" s="2"/>
      <c r="BQ25" s="2"/>
      <c r="BR25" s="2"/>
      <c r="BS25" s="2"/>
      <c r="BT25" s="2">
        <v>274</v>
      </c>
      <c r="BU25" s="2">
        <v>422</v>
      </c>
      <c r="BV25" s="2">
        <v>501</v>
      </c>
      <c r="BW25" s="2">
        <v>581</v>
      </c>
      <c r="BX25" s="2">
        <v>744</v>
      </c>
      <c r="BY25" s="2">
        <v>26.6</v>
      </c>
      <c r="BZ25" s="2">
        <v>5.4</v>
      </c>
      <c r="CA25" s="2">
        <v>2.1</v>
      </c>
      <c r="CB25" s="2">
        <v>2.2665815072646701E-10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40</v>
      </c>
      <c r="AX26" s="2" t="s">
        <v>273</v>
      </c>
      <c r="AY26" s="130">
        <v>32</v>
      </c>
      <c r="AZ26" s="2">
        <v>18.899999999999999</v>
      </c>
      <c r="BA26" s="2">
        <v>47</v>
      </c>
      <c r="BB26" s="2">
        <v>85</v>
      </c>
      <c r="BC26" s="2">
        <v>3</v>
      </c>
      <c r="BD26" s="2">
        <v>7.3</v>
      </c>
      <c r="BE26" s="2">
        <v>8.8000000000000007</v>
      </c>
      <c r="BF26" s="2">
        <v>9</v>
      </c>
      <c r="BG26" s="2">
        <v>9.3000000000000007</v>
      </c>
      <c r="BH26" s="2">
        <f>20+12.4</f>
        <v>32.4</v>
      </c>
      <c r="BI26" s="2">
        <v>256</v>
      </c>
      <c r="BJ26" s="2">
        <v>365</v>
      </c>
      <c r="BK26" s="2">
        <v>410</v>
      </c>
      <c r="BL26" s="2">
        <v>457</v>
      </c>
      <c r="BM26" s="2">
        <v>625</v>
      </c>
      <c r="BN26" s="2"/>
      <c r="BO26" s="2"/>
      <c r="BP26" s="2"/>
      <c r="BQ26" s="2"/>
      <c r="BR26" s="2"/>
      <c r="BS26" s="2"/>
      <c r="BT26" s="2">
        <v>246</v>
      </c>
      <c r="BU26" s="2">
        <v>448</v>
      </c>
      <c r="BV26" s="2">
        <v>536</v>
      </c>
      <c r="BW26" s="2">
        <v>627</v>
      </c>
      <c r="BX26" s="2">
        <v>914</v>
      </c>
      <c r="BY26" s="2">
        <v>36.4</v>
      </c>
      <c r="BZ26" s="2">
        <v>6.3</v>
      </c>
      <c r="CA26" s="2">
        <v>2.4</v>
      </c>
      <c r="CB26" s="2">
        <v>5.5028624774121202E-10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71</v>
      </c>
      <c r="AX27" s="2" t="s">
        <v>273</v>
      </c>
      <c r="AY27" s="130">
        <v>32</v>
      </c>
      <c r="AZ27" s="2">
        <v>18.899999999999999</v>
      </c>
      <c r="BA27" s="2">
        <v>47</v>
      </c>
      <c r="BB27" s="2">
        <v>85</v>
      </c>
      <c r="BC27" s="2">
        <v>3</v>
      </c>
      <c r="BD27" s="2">
        <v>9.4</v>
      </c>
      <c r="BE27" s="2">
        <v>10.9</v>
      </c>
      <c r="BF27" s="2">
        <v>11.1</v>
      </c>
      <c r="BG27" s="2">
        <v>11.5</v>
      </c>
      <c r="BH27" s="2">
        <f>20+14.6</f>
        <v>34.6</v>
      </c>
      <c r="BI27" s="2">
        <v>352</v>
      </c>
      <c r="BJ27" s="2">
        <v>462</v>
      </c>
      <c r="BK27" s="2">
        <v>506</v>
      </c>
      <c r="BL27" s="2">
        <v>553</v>
      </c>
      <c r="BM27" s="2">
        <v>721</v>
      </c>
      <c r="BN27" s="2"/>
      <c r="BO27" s="2"/>
      <c r="BP27" s="2"/>
      <c r="BQ27" s="2"/>
      <c r="BR27" s="2"/>
      <c r="BS27" s="2"/>
      <c r="BT27" s="2">
        <v>408</v>
      </c>
      <c r="BU27" s="2">
        <v>610</v>
      </c>
      <c r="BV27" s="2">
        <v>698</v>
      </c>
      <c r="BW27" s="2">
        <v>789</v>
      </c>
      <c r="BX27" s="2">
        <v>1076</v>
      </c>
      <c r="BY27" s="2">
        <v>36.4</v>
      </c>
      <c r="BZ27" s="2">
        <v>6.3</v>
      </c>
      <c r="CA27" s="2">
        <v>2.4</v>
      </c>
      <c r="CB27" s="2">
        <v>5.5028624774121202E-10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71</v>
      </c>
      <c r="AX28" s="2" t="s">
        <v>218</v>
      </c>
      <c r="AY28" s="130">
        <v>37</v>
      </c>
      <c r="AZ28" s="2">
        <v>18.3</v>
      </c>
      <c r="BA28" s="2">
        <v>59</v>
      </c>
      <c r="BB28" s="2">
        <v>77</v>
      </c>
      <c r="BC28" s="2">
        <v>3</v>
      </c>
      <c r="BD28" s="2">
        <v>2.6</v>
      </c>
      <c r="BE28" s="2">
        <v>11.4</v>
      </c>
      <c r="BF28" s="2">
        <v>13.5</v>
      </c>
      <c r="BG28" s="2">
        <v>29.6</v>
      </c>
      <c r="BH28" s="2">
        <v>79.400000000000006</v>
      </c>
      <c r="BI28" s="2">
        <v>478</v>
      </c>
      <c r="BJ28" s="2">
        <v>564</v>
      </c>
      <c r="BK28" s="2">
        <v>607</v>
      </c>
      <c r="BL28" s="2">
        <v>651</v>
      </c>
      <c r="BM28" s="2">
        <v>737</v>
      </c>
      <c r="BN28" s="2"/>
      <c r="BO28" s="2"/>
      <c r="BP28" s="2"/>
      <c r="BQ28" s="2"/>
      <c r="BR28" s="2"/>
      <c r="BS28" s="2"/>
      <c r="BT28" s="2">
        <v>607</v>
      </c>
      <c r="BU28" s="2">
        <v>778</v>
      </c>
      <c r="BV28" s="2">
        <v>865</v>
      </c>
      <c r="BW28" s="2">
        <v>952</v>
      </c>
      <c r="BX28" s="2">
        <v>1124</v>
      </c>
      <c r="BY28" s="2">
        <v>51.2</v>
      </c>
      <c r="BZ28" s="2">
        <v>5.5</v>
      </c>
      <c r="CA28" s="2">
        <v>2</v>
      </c>
      <c r="CB28" s="2">
        <v>4.1442746851642099E-12</v>
      </c>
      <c r="CC28" s="2">
        <v>1.8</v>
      </c>
    </row>
    <row r="29" spans="1:81" x14ac:dyDescent="0.25">
      <c r="A29" s="66"/>
      <c r="B29" s="66"/>
      <c r="C29" s="67"/>
      <c r="D29" s="35"/>
      <c r="AW29" s="2">
        <v>80</v>
      </c>
      <c r="AX29" s="2" t="s">
        <v>218</v>
      </c>
      <c r="AY29" s="130">
        <v>37</v>
      </c>
      <c r="AZ29" s="2">
        <v>18.3</v>
      </c>
      <c r="BA29" s="2">
        <v>59</v>
      </c>
      <c r="BB29" s="2">
        <v>77</v>
      </c>
      <c r="BC29" s="2">
        <v>3</v>
      </c>
      <c r="BD29" s="2">
        <v>3.9</v>
      </c>
      <c r="BE29" s="2">
        <v>12.7</v>
      </c>
      <c r="BF29" s="2">
        <v>14.8</v>
      </c>
      <c r="BG29" s="2">
        <v>30.9</v>
      </c>
      <c r="BH29" s="2">
        <v>80.7</v>
      </c>
      <c r="BI29" s="2">
        <v>536</v>
      </c>
      <c r="BJ29" s="2">
        <v>622</v>
      </c>
      <c r="BK29" s="2">
        <v>665</v>
      </c>
      <c r="BL29" s="2">
        <v>709</v>
      </c>
      <c r="BM29" s="2">
        <v>795</v>
      </c>
      <c r="BN29" s="2"/>
      <c r="BO29" s="2"/>
      <c r="BP29" s="2"/>
      <c r="BQ29" s="2"/>
      <c r="BR29" s="2"/>
      <c r="BS29" s="2"/>
      <c r="BT29" s="2">
        <v>713</v>
      </c>
      <c r="BU29" s="2">
        <v>885</v>
      </c>
      <c r="BV29" s="2">
        <v>971</v>
      </c>
      <c r="BW29" s="2">
        <v>1058</v>
      </c>
      <c r="BX29" s="2">
        <v>1230</v>
      </c>
      <c r="BY29" s="2">
        <v>51.2</v>
      </c>
      <c r="BZ29" s="2">
        <v>5.5</v>
      </c>
      <c r="CA29" s="2">
        <v>2</v>
      </c>
      <c r="CB29" s="2">
        <v>4.1442746851642099E-12</v>
      </c>
      <c r="CC29" s="2">
        <v>1.8</v>
      </c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453" priority="12">
      <formula>$L32="API sand"</formula>
    </cfRule>
  </conditionalFormatting>
  <conditionalFormatting sqref="R32:S36 AB32:AB35 AJ32:AL36 Z32:Z36 N32:N36">
    <cfRule type="expression" dxfId="2452" priority="11">
      <formula>$M32="API sand"</formula>
    </cfRule>
  </conditionalFormatting>
  <conditionalFormatting sqref="R32:T36 Z32:AB35 AK32:AL36 N32:N36">
    <cfRule type="expression" dxfId="2451" priority="10">
      <formula>$M32="API clay"</formula>
    </cfRule>
  </conditionalFormatting>
  <conditionalFormatting sqref="U32:W36 AM32:AP36 N32:P36">
    <cfRule type="expression" dxfId="2450" priority="7">
      <formula>$L32="Stiff clay w/o free water"</formula>
    </cfRule>
    <cfRule type="expression" dxfId="2449" priority="9">
      <formula>$L32="API clay"</formula>
    </cfRule>
  </conditionalFormatting>
  <conditionalFormatting sqref="U32:Y36 AM32:AP36 N32:P36">
    <cfRule type="expression" dxfId="2448" priority="8">
      <formula>$L32="Kirsch soft clay"</formula>
    </cfRule>
  </conditionalFormatting>
  <conditionalFormatting sqref="U32:Y36 AM32:AP36 N32:P36">
    <cfRule type="expression" dxfId="2447" priority="6">
      <formula>$L32="Kirsch stiff clay"</formula>
    </cfRule>
  </conditionalFormatting>
  <conditionalFormatting sqref="AM32:AP36 Q32:Q36 X32:Y36 N32:N36">
    <cfRule type="expression" dxfId="2446" priority="5">
      <formula>$L32="Kirsch sand"</formula>
    </cfRule>
  </conditionalFormatting>
  <conditionalFormatting sqref="AC32:AD36 AI32:AI36 AM32:AP36 N32:N36">
    <cfRule type="expression" dxfId="2445" priority="4">
      <formula>$L32="Modified Weak rock"</formula>
    </cfRule>
  </conditionalFormatting>
  <conditionalFormatting sqref="AM32:AP36 N32:P36 U32:V36">
    <cfRule type="expression" dxfId="2444" priority="3">
      <formula>$L32="Reese stiff clay"</formula>
    </cfRule>
  </conditionalFormatting>
  <conditionalFormatting sqref="AB36">
    <cfRule type="expression" dxfId="2443" priority="2">
      <formula>$M36="API sand"</formula>
    </cfRule>
  </conditionalFormatting>
  <conditionalFormatting sqref="Z36:AB36">
    <cfRule type="expression" dxfId="2442" priority="1">
      <formula>$M36="API clay"</formula>
    </cfRule>
  </conditionalFormatting>
  <conditionalFormatting sqref="AE37:AH37">
    <cfRule type="expression" dxfId="2441" priority="13">
      <formula>#REF!="Modified Weak rock"</formula>
    </cfRule>
  </conditionalFormatting>
  <dataValidations count="4">
    <dataValidation type="textLength" showInputMessage="1" showErrorMessage="1" sqref="M27:M31" xr:uid="{9D39515B-42BC-42E8-AE05-2E6D0BE492E3}">
      <formula1>0</formula1>
      <formula2>100</formula2>
    </dataValidation>
    <dataValidation showInputMessage="1" showErrorMessage="1" sqref="L6:M26" xr:uid="{D1113DF3-CC13-4BD8-AA6D-D432B968EAD5}"/>
    <dataValidation type="list" showInputMessage="1" showErrorMessage="1" sqref="L32:L255" xr:uid="{EF71C579-B5BF-4E6C-A995-AA48B6F4B96B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4BB07C2C-3BBA-491E-84EC-DE24E7514567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846E9-7431-40F2-AF4B-DA719FC0F124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Ak_Pisa_WTG36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10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EW_sand_Ruled_75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32</v>
      </c>
      <c r="R6" s="47">
        <f t="shared" ref="R6:R26" ca="1" si="7">IF(I6="","",IF(Q6&lt;&gt;0,Q6-5,NA()))</f>
        <v>27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2400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86.999999999999972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6720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28.000000000000007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75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0.3</v>
      </c>
      <c r="BG6" s="2">
        <v>0.8</v>
      </c>
      <c r="BH6" s="2">
        <v>1.9</v>
      </c>
      <c r="BI6" s="2"/>
      <c r="BJ6" s="2"/>
      <c r="BK6" s="2"/>
      <c r="BL6" s="2"/>
      <c r="BM6" s="2"/>
      <c r="BN6" s="2">
        <v>75</v>
      </c>
      <c r="BO6" s="2">
        <v>24</v>
      </c>
      <c r="BP6" s="2">
        <v>32</v>
      </c>
      <c r="BQ6" s="2">
        <v>35</v>
      </c>
      <c r="BR6" s="2">
        <v>38</v>
      </c>
      <c r="BS6" s="2">
        <v>49</v>
      </c>
      <c r="BT6" s="2">
        <v>0</v>
      </c>
      <c r="BU6" s="2">
        <v>2</v>
      </c>
      <c r="BV6" s="2">
        <v>5</v>
      </c>
      <c r="BW6" s="2">
        <v>8</v>
      </c>
      <c r="BX6" s="2">
        <v>14</v>
      </c>
      <c r="BY6" s="2">
        <v>2.4</v>
      </c>
      <c r="BZ6" s="2">
        <v>1</v>
      </c>
      <c r="CA6" s="2">
        <v>0.5</v>
      </c>
      <c r="CB6" s="2">
        <v>4.5676258656715703E-5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-0.5</v>
      </c>
      <c r="L7" s="116" t="str">
        <f t="shared" ca="1" si="1"/>
        <v>EW_sand_Ruled_97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41</v>
      </c>
      <c r="R7" s="47">
        <f t="shared" ca="1" si="7"/>
        <v>36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35900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22000</v>
      </c>
      <c r="AD7" s="63">
        <f t="shared" ca="1" si="19"/>
        <v>26666.666666666668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97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0.3</v>
      </c>
      <c r="BE7" s="2">
        <v>0.8</v>
      </c>
      <c r="BF7" s="2">
        <v>1</v>
      </c>
      <c r="BG7" s="2">
        <v>1.6</v>
      </c>
      <c r="BH7" s="2">
        <v>2.6</v>
      </c>
      <c r="BI7" s="2"/>
      <c r="BJ7" s="2"/>
      <c r="BK7" s="2"/>
      <c r="BL7" s="2"/>
      <c r="BM7" s="2"/>
      <c r="BN7" s="2">
        <v>75</v>
      </c>
      <c r="BO7" s="2">
        <v>24</v>
      </c>
      <c r="BP7" s="2">
        <v>32</v>
      </c>
      <c r="BQ7" s="2">
        <v>35</v>
      </c>
      <c r="BR7" s="2">
        <v>38</v>
      </c>
      <c r="BS7" s="2">
        <v>49</v>
      </c>
      <c r="BT7" s="2">
        <v>7</v>
      </c>
      <c r="BU7" s="2">
        <v>13</v>
      </c>
      <c r="BV7" s="2">
        <v>16</v>
      </c>
      <c r="BW7" s="2">
        <v>19</v>
      </c>
      <c r="BX7" s="2">
        <v>26</v>
      </c>
      <c r="BY7" s="2">
        <v>2.4</v>
      </c>
      <c r="BZ7" s="2">
        <v>1</v>
      </c>
      <c r="CA7" s="2">
        <v>0.5</v>
      </c>
      <c r="CB7" s="2">
        <v>4.5676258656715703E-5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10a</v>
      </c>
      <c r="J8" s="47">
        <f t="shared" ca="1" si="35"/>
        <v>3</v>
      </c>
      <c r="K8" s="19">
        <f t="shared" ca="1" si="36"/>
        <v>-1.4</v>
      </c>
      <c r="L8" s="116" t="str">
        <f t="shared" ca="1" si="1"/>
        <v>EW_sand_Ruled_80</v>
      </c>
      <c r="M8" s="105" t="str">
        <f t="shared" ca="1" si="2"/>
        <v>API sand</v>
      </c>
      <c r="N8" s="47">
        <f t="shared" ca="1" si="3"/>
        <v>10</v>
      </c>
      <c r="O8" s="63">
        <f t="shared" ca="1" si="4"/>
        <v>0</v>
      </c>
      <c r="P8" s="63">
        <f t="shared" ca="1" si="5"/>
        <v>0</v>
      </c>
      <c r="Q8" s="47">
        <f t="shared" ca="1" si="6"/>
        <v>41</v>
      </c>
      <c r="R8" s="47">
        <f t="shared" ca="1" si="7"/>
        <v>36</v>
      </c>
      <c r="S8" s="47">
        <f t="shared" ca="1" si="8"/>
        <v>2.7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46300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52000</v>
      </c>
      <c r="AD8" s="63">
        <f t="shared" ca="1" si="19"/>
        <v>-11666.666666666664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80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0</v>
      </c>
      <c r="BE8" s="2">
        <v>0.1</v>
      </c>
      <c r="BF8" s="2">
        <v>0.2</v>
      </c>
      <c r="BG8" s="2">
        <v>1</v>
      </c>
      <c r="BH8" s="2">
        <v>7</v>
      </c>
      <c r="BI8" s="2"/>
      <c r="BJ8" s="2"/>
      <c r="BK8" s="2"/>
      <c r="BL8" s="2"/>
      <c r="BM8" s="2"/>
      <c r="BN8" s="2">
        <v>97</v>
      </c>
      <c r="BO8" s="2">
        <v>32</v>
      </c>
      <c r="BP8" s="2">
        <v>41</v>
      </c>
      <c r="BQ8" s="2">
        <v>45</v>
      </c>
      <c r="BR8" s="2">
        <v>48</v>
      </c>
      <c r="BS8" s="2">
        <v>54</v>
      </c>
      <c r="BT8" s="2">
        <v>0</v>
      </c>
      <c r="BU8" s="2">
        <v>14</v>
      </c>
      <c r="BV8" s="2">
        <v>22</v>
      </c>
      <c r="BW8" s="2">
        <v>31</v>
      </c>
      <c r="BX8" s="2">
        <v>51</v>
      </c>
      <c r="BY8" s="2">
        <v>35.9</v>
      </c>
      <c r="BZ8" s="2">
        <v>1</v>
      </c>
      <c r="CA8" s="2">
        <v>0.5</v>
      </c>
      <c r="CB8" s="2">
        <v>3.85515229515712E-4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10b</v>
      </c>
      <c r="J9" s="47">
        <f t="shared" ca="1" si="35"/>
        <v>4</v>
      </c>
      <c r="K9" s="19">
        <f t="shared" ca="1" si="36"/>
        <v>-2</v>
      </c>
      <c r="L9" s="116" t="str">
        <f t="shared" ca="1" si="1"/>
        <v>EW_sand_Ruled_48</v>
      </c>
      <c r="M9" s="105" t="str">
        <f t="shared" ca="1" si="2"/>
        <v>API sand</v>
      </c>
      <c r="N9" s="47">
        <f t="shared" ca="1" si="3"/>
        <v>9.8999999999999986</v>
      </c>
      <c r="O9" s="63">
        <f t="shared" ca="1" si="4"/>
        <v>0</v>
      </c>
      <c r="P9" s="63">
        <f t="shared" ca="1" si="5"/>
        <v>0</v>
      </c>
      <c r="Q9" s="47">
        <f t="shared" ca="1" si="6"/>
        <v>36</v>
      </c>
      <c r="R9" s="47">
        <f t="shared" ca="1" si="7"/>
        <v>31</v>
      </c>
      <c r="S9" s="47">
        <f t="shared" ca="1" si="8"/>
        <v>1.2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26700</v>
      </c>
      <c r="Y9" s="47">
        <f t="shared" ca="1" si="14"/>
        <v>0</v>
      </c>
      <c r="Z9" s="47">
        <f t="shared" ca="1" si="15"/>
        <v>99.799999999999969</v>
      </c>
      <c r="AA9" s="47">
        <f t="shared" ca="1" si="16"/>
        <v>1</v>
      </c>
      <c r="AB9" s="47">
        <f t="shared" ca="1" si="17"/>
        <v>10080</v>
      </c>
      <c r="AC9" s="63">
        <f t="shared" ca="1" si="18"/>
        <v>49000</v>
      </c>
      <c r="AD9" s="63">
        <f t="shared" ca="1" si="19"/>
        <v>4629.6296296296296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42.000000000000007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48</v>
      </c>
      <c r="AS9" s="33">
        <f t="shared" ca="1" si="34"/>
        <v>0.4</v>
      </c>
      <c r="AW9" s="2">
        <v>1.4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9.8000000000000007</v>
      </c>
      <c r="BE9" s="2">
        <v>21.5</v>
      </c>
      <c r="BF9" s="2">
        <v>25.1</v>
      </c>
      <c r="BG9" s="2">
        <v>28.2</v>
      </c>
      <c r="BH9" s="2">
        <v>38.299999999999997</v>
      </c>
      <c r="BI9" s="2"/>
      <c r="BJ9" s="2"/>
      <c r="BK9" s="2"/>
      <c r="BL9" s="2"/>
      <c r="BM9" s="2"/>
      <c r="BN9" s="2">
        <v>97</v>
      </c>
      <c r="BO9" s="2">
        <v>32</v>
      </c>
      <c r="BP9" s="2">
        <v>41</v>
      </c>
      <c r="BQ9" s="2">
        <v>45</v>
      </c>
      <c r="BR9" s="2">
        <v>48</v>
      </c>
      <c r="BS9" s="2">
        <v>54</v>
      </c>
      <c r="BT9" s="2">
        <v>17</v>
      </c>
      <c r="BU9" s="2">
        <v>37</v>
      </c>
      <c r="BV9" s="2">
        <v>46</v>
      </c>
      <c r="BW9" s="2">
        <v>54</v>
      </c>
      <c r="BX9" s="2">
        <v>74</v>
      </c>
      <c r="BY9" s="2">
        <v>35.9</v>
      </c>
      <c r="BZ9" s="2">
        <v>1</v>
      </c>
      <c r="CA9" s="2">
        <v>0.5</v>
      </c>
      <c r="CB9" s="2">
        <v>3.85515229515712E-4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10c</v>
      </c>
      <c r="J10" s="47">
        <f t="shared" ca="1" si="35"/>
        <v>5</v>
      </c>
      <c r="K10" s="19">
        <f t="shared" ca="1" si="36"/>
        <v>-7.4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8.3999999999999986</v>
      </c>
      <c r="O10" s="63">
        <f t="shared" ca="1" si="4"/>
        <v>96</v>
      </c>
      <c r="P10" s="63">
        <f t="shared" ca="1" si="5"/>
        <v>11.250000000000002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0.5</v>
      </c>
      <c r="X10" s="47">
        <f t="shared" ca="1" si="13"/>
        <v>19300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100000</v>
      </c>
      <c r="AD10" s="63">
        <f t="shared" ca="1" si="19"/>
        <v>11250.000000000002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1.4</v>
      </c>
      <c r="AX10" s="2" t="s">
        <v>259</v>
      </c>
      <c r="AY10" s="130">
        <v>25.5</v>
      </c>
      <c r="AZ10" s="2">
        <v>20</v>
      </c>
      <c r="BA10" s="2"/>
      <c r="BB10" s="2">
        <v>14</v>
      </c>
      <c r="BC10" s="2"/>
      <c r="BD10" s="2">
        <v>14.5</v>
      </c>
      <c r="BE10" s="2">
        <v>15.8</v>
      </c>
      <c r="BF10" s="2">
        <v>16.399999999999999</v>
      </c>
      <c r="BG10" s="2">
        <v>17.100000000000001</v>
      </c>
      <c r="BH10" s="2">
        <v>18.600000000000001</v>
      </c>
      <c r="BI10" s="2"/>
      <c r="BJ10" s="2"/>
      <c r="BK10" s="2"/>
      <c r="BL10" s="2"/>
      <c r="BM10" s="2"/>
      <c r="BN10" s="2">
        <v>80</v>
      </c>
      <c r="BO10" s="2">
        <v>35</v>
      </c>
      <c r="BP10" s="2">
        <v>41</v>
      </c>
      <c r="BQ10" s="2">
        <v>45</v>
      </c>
      <c r="BR10" s="2">
        <v>48</v>
      </c>
      <c r="BS10" s="2">
        <v>54</v>
      </c>
      <c r="BT10" s="2">
        <v>12</v>
      </c>
      <c r="BU10" s="2">
        <v>40</v>
      </c>
      <c r="BV10" s="2">
        <v>52</v>
      </c>
      <c r="BW10" s="2">
        <v>63</v>
      </c>
      <c r="BX10" s="2">
        <v>92</v>
      </c>
      <c r="BY10" s="2">
        <v>46.3</v>
      </c>
      <c r="BZ10" s="2">
        <v>16.899999999999999</v>
      </c>
      <c r="CA10" s="2">
        <v>2.7</v>
      </c>
      <c r="CB10" s="2">
        <v>1.8153930603914399E-4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10c</v>
      </c>
      <c r="J11" s="47">
        <f t="shared" ca="1" si="35"/>
        <v>6</v>
      </c>
      <c r="K11" s="19">
        <f t="shared" ca="1" si="36"/>
        <v>-9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8.3999999999999986</v>
      </c>
      <c r="O11" s="63">
        <f t="shared" ca="1" si="4"/>
        <v>352</v>
      </c>
      <c r="P11" s="63">
        <f t="shared" ca="1" si="5"/>
        <v>-19.5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0.25</v>
      </c>
      <c r="X11" s="47">
        <f t="shared" ca="1" si="13"/>
        <v>60600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524000</v>
      </c>
      <c r="AD11" s="63">
        <f t="shared" ca="1" si="19"/>
        <v>-55000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2</v>
      </c>
      <c r="AX11" s="2" t="s">
        <v>259</v>
      </c>
      <c r="AY11" s="130">
        <v>25.5</v>
      </c>
      <c r="AZ11" s="2">
        <v>20</v>
      </c>
      <c r="BA11" s="2"/>
      <c r="BB11" s="2">
        <v>14</v>
      </c>
      <c r="BC11" s="2"/>
      <c r="BD11" s="2">
        <v>5.4</v>
      </c>
      <c r="BE11" s="2">
        <v>6.7</v>
      </c>
      <c r="BF11" s="2">
        <v>7.3</v>
      </c>
      <c r="BG11" s="2">
        <v>8</v>
      </c>
      <c r="BH11" s="2">
        <v>9.5</v>
      </c>
      <c r="BI11" s="2"/>
      <c r="BJ11" s="2"/>
      <c r="BK11" s="2"/>
      <c r="BL11" s="2"/>
      <c r="BM11" s="2"/>
      <c r="BN11" s="2">
        <v>80</v>
      </c>
      <c r="BO11" s="2">
        <v>35</v>
      </c>
      <c r="BP11" s="2">
        <v>41</v>
      </c>
      <c r="BQ11" s="2">
        <v>45</v>
      </c>
      <c r="BR11" s="2">
        <v>48</v>
      </c>
      <c r="BS11" s="2">
        <v>54</v>
      </c>
      <c r="BT11" s="2">
        <v>5</v>
      </c>
      <c r="BU11" s="2">
        <v>34</v>
      </c>
      <c r="BV11" s="2">
        <v>45</v>
      </c>
      <c r="BW11" s="2">
        <v>57</v>
      </c>
      <c r="BX11" s="2">
        <v>85</v>
      </c>
      <c r="BY11" s="2">
        <v>46.3</v>
      </c>
      <c r="BZ11" s="2">
        <v>16.899999999999999</v>
      </c>
      <c r="CA11" s="2">
        <v>2.7</v>
      </c>
      <c r="CB11" s="2">
        <v>1.8153930603914399E-4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20a</v>
      </c>
      <c r="J12" s="47">
        <f t="shared" ca="1" si="35"/>
        <v>7</v>
      </c>
      <c r="K12" s="19">
        <f t="shared" ca="1" si="36"/>
        <v>-11</v>
      </c>
      <c r="L12" s="116" t="str">
        <f t="shared" ca="1" si="1"/>
        <v>EW_sand_Ruled_71</v>
      </c>
      <c r="M12" s="105" t="str">
        <f t="shared" ca="1" si="2"/>
        <v>API sand</v>
      </c>
      <c r="N12" s="47">
        <f t="shared" ca="1" si="3"/>
        <v>10</v>
      </c>
      <c r="O12" s="63">
        <f t="shared" ca="1" si="4"/>
        <v>0</v>
      </c>
      <c r="P12" s="63">
        <f t="shared" ca="1" si="5"/>
        <v>0</v>
      </c>
      <c r="Q12" s="47">
        <f t="shared" ca="1" si="6"/>
        <v>28</v>
      </c>
      <c r="R12" s="47">
        <f t="shared" ca="1" si="7"/>
        <v>23</v>
      </c>
      <c r="S12" s="47">
        <f t="shared" ca="1" si="8"/>
        <v>1.5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24500</v>
      </c>
      <c r="Y12" s="47">
        <f t="shared" ca="1" si="14"/>
        <v>0</v>
      </c>
      <c r="Z12" s="47">
        <f t="shared" ca="1" si="15"/>
        <v>75.399999999999977</v>
      </c>
      <c r="AA12" s="47">
        <f t="shared" ca="1" si="16"/>
        <v>1</v>
      </c>
      <c r="AB12" s="47">
        <f t="shared" ca="1" si="17"/>
        <v>4040</v>
      </c>
      <c r="AC12" s="63">
        <f t="shared" ca="1" si="18"/>
        <v>107000</v>
      </c>
      <c r="AD12" s="63">
        <f t="shared" ca="1" si="19"/>
        <v>1750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16.800000000000004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71</v>
      </c>
      <c r="AS12" s="33">
        <f t="shared" ca="1" si="34"/>
        <v>0.2</v>
      </c>
      <c r="AW12" s="2">
        <v>2</v>
      </c>
      <c r="AX12" s="2" t="s">
        <v>261</v>
      </c>
      <c r="AY12" s="130">
        <v>24</v>
      </c>
      <c r="AZ12" s="2">
        <v>19.899999999999999</v>
      </c>
      <c r="BA12" s="2"/>
      <c r="BB12" s="2">
        <v>6</v>
      </c>
      <c r="BC12" s="2"/>
      <c r="BD12" s="2">
        <v>5.8</v>
      </c>
      <c r="BE12" s="2">
        <v>6.9</v>
      </c>
      <c r="BF12" s="2">
        <v>7.1</v>
      </c>
      <c r="BG12" s="2">
        <v>7.3</v>
      </c>
      <c r="BH12" s="2">
        <v>9</v>
      </c>
      <c r="BI12" s="2"/>
      <c r="BJ12" s="2"/>
      <c r="BK12" s="2"/>
      <c r="BL12" s="2"/>
      <c r="BM12" s="2"/>
      <c r="BN12" s="2">
        <v>48</v>
      </c>
      <c r="BO12" s="2">
        <v>31</v>
      </c>
      <c r="BP12" s="2">
        <v>36</v>
      </c>
      <c r="BQ12" s="2">
        <v>39</v>
      </c>
      <c r="BR12" s="2">
        <v>42</v>
      </c>
      <c r="BS12" s="2">
        <v>48</v>
      </c>
      <c r="BT12" s="2">
        <v>2</v>
      </c>
      <c r="BU12" s="2">
        <v>34</v>
      </c>
      <c r="BV12" s="2">
        <v>49</v>
      </c>
      <c r="BW12" s="2">
        <v>63</v>
      </c>
      <c r="BX12" s="2">
        <v>99</v>
      </c>
      <c r="BY12" s="2">
        <v>26.7</v>
      </c>
      <c r="BZ12" s="2">
        <v>4</v>
      </c>
      <c r="CA12" s="2">
        <v>1.2</v>
      </c>
      <c r="CB12" s="2">
        <v>1.13390514184475E-6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20a</v>
      </c>
      <c r="J13" s="47">
        <f t="shared" ca="1" si="35"/>
        <v>8</v>
      </c>
      <c r="K13" s="19">
        <f t="shared" ca="1" si="36"/>
        <v>-15</v>
      </c>
      <c r="L13" s="116" t="str">
        <f t="shared" ca="1" si="1"/>
        <v>EW_sand_Ruled_31</v>
      </c>
      <c r="M13" s="105" t="str">
        <f t="shared" ca="1" si="2"/>
        <v>API sand</v>
      </c>
      <c r="N13" s="47">
        <f t="shared" ca="1" si="3"/>
        <v>10</v>
      </c>
      <c r="O13" s="63">
        <f t="shared" ca="1" si="4"/>
        <v>0</v>
      </c>
      <c r="P13" s="63">
        <f t="shared" ca="1" si="5"/>
        <v>0</v>
      </c>
      <c r="Q13" s="47">
        <f t="shared" ca="1" si="6"/>
        <v>24.5</v>
      </c>
      <c r="R13" s="47">
        <f t="shared" ca="1" si="7"/>
        <v>19.5</v>
      </c>
      <c r="S13" s="47">
        <f t="shared" ca="1" si="8"/>
        <v>0.5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10600</v>
      </c>
      <c r="Y13" s="47">
        <f t="shared" ca="1" si="14"/>
        <v>0</v>
      </c>
      <c r="Z13" s="47">
        <f t="shared" ca="1" si="15"/>
        <v>63.199999999999989</v>
      </c>
      <c r="AA13" s="47">
        <f t="shared" ca="1" si="16"/>
        <v>1</v>
      </c>
      <c r="AB13" s="47">
        <f t="shared" ca="1" si="17"/>
        <v>2700</v>
      </c>
      <c r="AC13" s="63">
        <f t="shared" ca="1" si="18"/>
        <v>72000</v>
      </c>
      <c r="AD13" s="63">
        <f t="shared" ca="1" si="19"/>
        <v>2647.0588235294122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11.200000000000003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31</v>
      </c>
      <c r="AS13" s="33">
        <f t="shared" ca="1" si="34"/>
        <v>0.2</v>
      </c>
      <c r="AW13" s="2">
        <v>7.4</v>
      </c>
      <c r="AX13" s="2" t="s">
        <v>261</v>
      </c>
      <c r="AY13" s="130">
        <v>24</v>
      </c>
      <c r="AZ13" s="2">
        <v>19.899999999999999</v>
      </c>
      <c r="BA13" s="2"/>
      <c r="BB13" s="2">
        <v>6</v>
      </c>
      <c r="BC13" s="2"/>
      <c r="BD13" s="2">
        <v>4.9000000000000004</v>
      </c>
      <c r="BE13" s="2">
        <v>6</v>
      </c>
      <c r="BF13" s="2">
        <v>6.2</v>
      </c>
      <c r="BG13" s="2">
        <v>6.4</v>
      </c>
      <c r="BH13" s="2">
        <v>8.1</v>
      </c>
      <c r="BI13" s="2"/>
      <c r="BJ13" s="2"/>
      <c r="BK13" s="2"/>
      <c r="BL13" s="2"/>
      <c r="BM13" s="2"/>
      <c r="BN13" s="2">
        <v>48</v>
      </c>
      <c r="BO13" s="2">
        <v>31</v>
      </c>
      <c r="BP13" s="2">
        <v>36</v>
      </c>
      <c r="BQ13" s="2">
        <v>39</v>
      </c>
      <c r="BR13" s="2">
        <v>42</v>
      </c>
      <c r="BS13" s="2">
        <v>48</v>
      </c>
      <c r="BT13" s="2">
        <v>27</v>
      </c>
      <c r="BU13" s="2">
        <v>60</v>
      </c>
      <c r="BV13" s="2">
        <v>74</v>
      </c>
      <c r="BW13" s="2">
        <v>89</v>
      </c>
      <c r="BX13" s="2">
        <v>124</v>
      </c>
      <c r="BY13" s="2">
        <v>26.7</v>
      </c>
      <c r="BZ13" s="2">
        <v>4</v>
      </c>
      <c r="CA13" s="2">
        <v>1.2</v>
      </c>
      <c r="CB13" s="2">
        <v>1.13390514184475E-6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21a</v>
      </c>
      <c r="J14" s="47">
        <f t="shared" ca="1" si="35"/>
        <v>9</v>
      </c>
      <c r="K14" s="19">
        <f t="shared" ca="1" si="36"/>
        <v>-25.2</v>
      </c>
      <c r="L14" s="116" t="str">
        <f t="shared" ca="1" si="1"/>
        <v>EW_sand_Ruled_71</v>
      </c>
      <c r="M14" s="105" t="str">
        <f t="shared" ca="1" si="2"/>
        <v>API sand</v>
      </c>
      <c r="N14" s="47">
        <f t="shared" ca="1" si="3"/>
        <v>9.8000000000000007</v>
      </c>
      <c r="O14" s="63">
        <f t="shared" ca="1" si="4"/>
        <v>0</v>
      </c>
      <c r="P14" s="63">
        <f t="shared" ca="1" si="5"/>
        <v>0</v>
      </c>
      <c r="Q14" s="47">
        <f t="shared" ca="1" si="6"/>
        <v>28</v>
      </c>
      <c r="R14" s="47">
        <f t="shared" ca="1" si="7"/>
        <v>23</v>
      </c>
      <c r="S14" s="47">
        <f t="shared" ca="1" si="8"/>
        <v>1.1000000000000001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39900</v>
      </c>
      <c r="Y14" s="47">
        <f t="shared" ca="1" si="14"/>
        <v>0</v>
      </c>
      <c r="Z14" s="47">
        <f t="shared" ca="1" si="15"/>
        <v>75.399999999999977</v>
      </c>
      <c r="AA14" s="47">
        <f t="shared" ca="1" si="16"/>
        <v>1</v>
      </c>
      <c r="AB14" s="47">
        <f t="shared" ca="1" si="17"/>
        <v>4040</v>
      </c>
      <c r="AC14" s="63">
        <f t="shared" ca="1" si="18"/>
        <v>164000</v>
      </c>
      <c r="AD14" s="63">
        <f t="shared" ca="1" si="19"/>
        <v>2421.875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16.800000000000004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71</v>
      </c>
      <c r="AS14" s="33">
        <f t="shared" ca="1" si="34"/>
        <v>0.2</v>
      </c>
      <c r="AW14" s="2">
        <v>7.4</v>
      </c>
      <c r="AX14" s="2" t="s">
        <v>287</v>
      </c>
      <c r="AY14" s="130">
        <v>36</v>
      </c>
      <c r="AZ14" s="2">
        <v>18.399999999999999</v>
      </c>
      <c r="BA14" s="2">
        <v>23</v>
      </c>
      <c r="BB14" s="2">
        <v>53</v>
      </c>
      <c r="BC14" s="2">
        <v>4</v>
      </c>
      <c r="BD14" s="2">
        <v>1.7</v>
      </c>
      <c r="BE14" s="2">
        <v>2.2000000000000002</v>
      </c>
      <c r="BF14" s="2">
        <v>2.4</v>
      </c>
      <c r="BG14" s="2">
        <v>2.6</v>
      </c>
      <c r="BH14" s="2">
        <v>3</v>
      </c>
      <c r="BI14" s="2">
        <v>29</v>
      </c>
      <c r="BJ14" s="2">
        <v>96</v>
      </c>
      <c r="BK14" s="2">
        <v>125</v>
      </c>
      <c r="BL14" s="2">
        <v>154</v>
      </c>
      <c r="BM14" s="2">
        <v>219</v>
      </c>
      <c r="BN14" s="2"/>
      <c r="BO14" s="2"/>
      <c r="BP14" s="2"/>
      <c r="BQ14" s="2"/>
      <c r="BR14" s="2"/>
      <c r="BS14" s="2"/>
      <c r="BT14" s="2">
        <v>7</v>
      </c>
      <c r="BU14" s="2">
        <v>61</v>
      </c>
      <c r="BV14" s="2">
        <v>100</v>
      </c>
      <c r="BW14" s="2">
        <v>138</v>
      </c>
      <c r="BX14" s="2">
        <v>217</v>
      </c>
      <c r="BY14" s="2">
        <v>19.3</v>
      </c>
      <c r="BZ14" s="2">
        <v>5.9</v>
      </c>
      <c r="CA14" s="2">
        <v>3</v>
      </c>
      <c r="CB14" s="2">
        <v>5.4675662600408295E-10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23d</v>
      </c>
      <c r="J15" s="47">
        <f t="shared" ca="1" si="35"/>
        <v>10</v>
      </c>
      <c r="K15" s="19">
        <f t="shared" ca="1" si="36"/>
        <v>-38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8.8999999999999986</v>
      </c>
      <c r="O15" s="63">
        <f t="shared" ca="1" si="4"/>
        <v>451</v>
      </c>
      <c r="P15" s="63">
        <f t="shared" ca="1" si="5"/>
        <v>11.785714285714286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59600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650000</v>
      </c>
      <c r="AD15" s="63">
        <f t="shared" ca="1" si="19"/>
        <v>21833.333333333332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9</v>
      </c>
      <c r="AX15" s="2" t="s">
        <v>287</v>
      </c>
      <c r="AY15" s="130">
        <v>36</v>
      </c>
      <c r="AZ15" s="2">
        <v>18.399999999999999</v>
      </c>
      <c r="BA15" s="2">
        <v>23</v>
      </c>
      <c r="BB15" s="2">
        <v>53</v>
      </c>
      <c r="BC15" s="2">
        <v>4</v>
      </c>
      <c r="BD15" s="2">
        <v>2</v>
      </c>
      <c r="BE15" s="2">
        <v>2.6</v>
      </c>
      <c r="BF15" s="2">
        <v>2.7</v>
      </c>
      <c r="BG15" s="2">
        <v>2.9</v>
      </c>
      <c r="BH15" s="2">
        <v>3.4</v>
      </c>
      <c r="BI15" s="2">
        <v>47</v>
      </c>
      <c r="BJ15" s="2">
        <v>114</v>
      </c>
      <c r="BK15" s="2">
        <v>143</v>
      </c>
      <c r="BL15" s="2">
        <v>172</v>
      </c>
      <c r="BM15" s="2">
        <v>237</v>
      </c>
      <c r="BN15" s="2"/>
      <c r="BO15" s="2"/>
      <c r="BP15" s="2"/>
      <c r="BQ15" s="2"/>
      <c r="BR15" s="2"/>
      <c r="BS15" s="2"/>
      <c r="BT15" s="2">
        <v>25</v>
      </c>
      <c r="BU15" s="2">
        <v>79</v>
      </c>
      <c r="BV15" s="2">
        <v>118</v>
      </c>
      <c r="BW15" s="2">
        <v>156</v>
      </c>
      <c r="BX15" s="2">
        <v>235</v>
      </c>
      <c r="BY15" s="2">
        <v>19.3</v>
      </c>
      <c r="BZ15" s="2">
        <v>5.9</v>
      </c>
      <c r="CA15" s="2">
        <v>3</v>
      </c>
      <c r="CB15" s="2">
        <v>5.4675662600408295E-10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/>
      </c>
      <c r="J16" s="47" t="str">
        <f t="shared" ca="1" si="35"/>
        <v/>
      </c>
      <c r="K16" s="19" t="str">
        <f t="shared" ca="1" si="36"/>
        <v/>
      </c>
      <c r="L16" s="116" t="str">
        <f t="shared" ca="1" si="1"/>
        <v/>
      </c>
      <c r="M16" s="105" t="str">
        <f t="shared" ca="1" si="2"/>
        <v/>
      </c>
      <c r="N16" s="47" t="str">
        <f t="shared" ca="1" si="3"/>
        <v/>
      </c>
      <c r="O16" s="63" t="str">
        <f t="shared" ca="1" si="4"/>
        <v/>
      </c>
      <c r="P16" s="63" t="str">
        <f t="shared" ca="1" si="5"/>
        <v/>
      </c>
      <c r="Q16" s="47" t="str">
        <f t="shared" ca="1" si="6"/>
        <v/>
      </c>
      <c r="R16" s="47" t="str">
        <f t="shared" ca="1" si="7"/>
        <v/>
      </c>
      <c r="S16" s="47" t="str">
        <f t="shared" ca="1" si="8"/>
        <v/>
      </c>
      <c r="T16" s="47" t="str">
        <f t="shared" ca="1" si="9"/>
        <v/>
      </c>
      <c r="U16" s="75" t="str">
        <f t="shared" ca="1" si="10"/>
        <v/>
      </c>
      <c r="V16" s="75" t="str">
        <f t="shared" ca="1" si="11"/>
        <v/>
      </c>
      <c r="W16" s="47" t="str">
        <f t="shared" ca="1" si="12"/>
        <v/>
      </c>
      <c r="X16" s="47" t="str">
        <f t="shared" ca="1" si="13"/>
        <v/>
      </c>
      <c r="Y16" s="47" t="str">
        <f t="shared" ca="1" si="14"/>
        <v/>
      </c>
      <c r="Z16" s="47" t="str">
        <f t="shared" ca="1" si="15"/>
        <v/>
      </c>
      <c r="AA16" s="47" t="str">
        <f t="shared" ca="1" si="16"/>
        <v/>
      </c>
      <c r="AB16" s="47" t="str">
        <f t="shared" ca="1" si="17"/>
        <v/>
      </c>
      <c r="AC16" s="63" t="str">
        <f t="shared" ca="1" si="18"/>
        <v/>
      </c>
      <c r="AD16" s="63" t="str">
        <f t="shared" ca="1" si="19"/>
        <v/>
      </c>
      <c r="AE16" s="63" t="str">
        <f t="shared" ca="1" si="20"/>
        <v/>
      </c>
      <c r="AF16" s="63" t="str">
        <f t="shared" ca="1" si="21"/>
        <v/>
      </c>
      <c r="AG16" s="63" t="str">
        <f t="shared" ca="1" si="22"/>
        <v/>
      </c>
      <c r="AH16" s="63" t="str">
        <f t="shared" ca="1" si="23"/>
        <v/>
      </c>
      <c r="AI16" s="63" t="str">
        <f t="shared" ca="1" si="24"/>
        <v/>
      </c>
      <c r="AJ16" s="47" t="str">
        <f t="shared" ca="1" si="25"/>
        <v/>
      </c>
      <c r="AK16" s="47" t="str">
        <f t="shared" ca="1" si="26"/>
        <v/>
      </c>
      <c r="AL16" s="47" t="str">
        <f t="shared" ca="1" si="27"/>
        <v/>
      </c>
      <c r="AM16" s="47" t="str">
        <f t="shared" ca="1" si="28"/>
        <v/>
      </c>
      <c r="AN16" s="47" t="str">
        <f t="shared" ca="1" si="29"/>
        <v/>
      </c>
      <c r="AO16" s="47" t="str">
        <f t="shared" ca="1" si="30"/>
        <v/>
      </c>
      <c r="AP16" s="47" t="str">
        <f t="shared" ca="1" si="31"/>
        <v/>
      </c>
      <c r="AQ16" s="47" t="str">
        <f t="shared" ca="1" si="32"/>
        <v/>
      </c>
      <c r="AR16" s="47" t="str">
        <f t="shared" ca="1" si="33"/>
        <v/>
      </c>
      <c r="AS16" s="33" t="str">
        <f t="shared" ca="1" si="34"/>
        <v/>
      </c>
      <c r="AW16" s="2">
        <v>9</v>
      </c>
      <c r="AX16" s="2" t="s">
        <v>287</v>
      </c>
      <c r="AY16" s="130">
        <v>36</v>
      </c>
      <c r="AZ16" s="2">
        <v>18.399999999999999</v>
      </c>
      <c r="BA16" s="2">
        <v>23</v>
      </c>
      <c r="BB16" s="2">
        <v>53</v>
      </c>
      <c r="BC16" s="2">
        <v>4</v>
      </c>
      <c r="BD16" s="2">
        <v>2.1</v>
      </c>
      <c r="BE16" s="2">
        <v>6.8</v>
      </c>
      <c r="BF16" s="2">
        <v>7.9</v>
      </c>
      <c r="BG16" s="2">
        <v>8.8000000000000007</v>
      </c>
      <c r="BH16" s="2">
        <v>12.7</v>
      </c>
      <c r="BI16" s="2">
        <v>71</v>
      </c>
      <c r="BJ16" s="2">
        <v>352</v>
      </c>
      <c r="BK16" s="2">
        <v>429</v>
      </c>
      <c r="BL16" s="2">
        <v>501</v>
      </c>
      <c r="BM16" s="2">
        <v>741</v>
      </c>
      <c r="BN16" s="2"/>
      <c r="BO16" s="2"/>
      <c r="BP16" s="2"/>
      <c r="BQ16" s="2"/>
      <c r="BR16" s="2"/>
      <c r="BS16" s="2"/>
      <c r="BT16" s="2">
        <v>120</v>
      </c>
      <c r="BU16" s="2">
        <v>401</v>
      </c>
      <c r="BV16" s="2">
        <v>524</v>
      </c>
      <c r="BW16" s="2">
        <v>636</v>
      </c>
      <c r="BX16" s="2">
        <v>955</v>
      </c>
      <c r="BY16" s="2">
        <v>60.6</v>
      </c>
      <c r="BZ16" s="2">
        <v>15.8</v>
      </c>
      <c r="CA16" s="2">
        <v>3</v>
      </c>
      <c r="CB16" s="2">
        <v>2.8096676238188799E-9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11</v>
      </c>
      <c r="AX17" s="2" t="s">
        <v>287</v>
      </c>
      <c r="AY17" s="130">
        <v>36</v>
      </c>
      <c r="AZ17" s="2">
        <v>18.399999999999999</v>
      </c>
      <c r="BA17" s="2">
        <v>23</v>
      </c>
      <c r="BB17" s="2">
        <v>53</v>
      </c>
      <c r="BC17" s="2">
        <v>4</v>
      </c>
      <c r="BD17" s="2">
        <v>1.4</v>
      </c>
      <c r="BE17" s="2">
        <v>6.1</v>
      </c>
      <c r="BF17" s="2">
        <v>7.2</v>
      </c>
      <c r="BG17" s="2">
        <v>8.1</v>
      </c>
      <c r="BH17" s="2">
        <v>12.1</v>
      </c>
      <c r="BI17" s="2">
        <v>31</v>
      </c>
      <c r="BJ17" s="2">
        <v>313</v>
      </c>
      <c r="BK17" s="2">
        <v>390</v>
      </c>
      <c r="BL17" s="2">
        <v>461</v>
      </c>
      <c r="BM17" s="2">
        <v>701</v>
      </c>
      <c r="BN17" s="2"/>
      <c r="BO17" s="2"/>
      <c r="BP17" s="2"/>
      <c r="BQ17" s="2"/>
      <c r="BR17" s="2"/>
      <c r="BS17" s="2"/>
      <c r="BT17" s="2">
        <v>11</v>
      </c>
      <c r="BU17" s="2">
        <v>291</v>
      </c>
      <c r="BV17" s="2">
        <v>414</v>
      </c>
      <c r="BW17" s="2">
        <v>526</v>
      </c>
      <c r="BX17" s="2">
        <v>845</v>
      </c>
      <c r="BY17" s="2">
        <v>60.6</v>
      </c>
      <c r="BZ17" s="2">
        <v>15.8</v>
      </c>
      <c r="CA17" s="2">
        <v>3</v>
      </c>
      <c r="CB17" s="2">
        <v>2.8096676238188799E-9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11</v>
      </c>
      <c r="AX18" s="2" t="s">
        <v>278</v>
      </c>
      <c r="AY18" s="130">
        <v>25.2</v>
      </c>
      <c r="AZ18" s="2">
        <v>20</v>
      </c>
      <c r="BA18" s="2"/>
      <c r="BB18" s="2">
        <v>22</v>
      </c>
      <c r="BC18" s="2"/>
      <c r="BD18" s="2">
        <v>13.3</v>
      </c>
      <c r="BE18" s="2">
        <v>15.1</v>
      </c>
      <c r="BF18" s="2">
        <v>15.6</v>
      </c>
      <c r="BG18" s="2">
        <v>16.399999999999999</v>
      </c>
      <c r="BH18" s="2">
        <v>19.899999999999999</v>
      </c>
      <c r="BI18" s="2"/>
      <c r="BJ18" s="2"/>
      <c r="BK18" s="2"/>
      <c r="BL18" s="2"/>
      <c r="BM18" s="2"/>
      <c r="BN18" s="2">
        <v>71</v>
      </c>
      <c r="BO18" s="2">
        <v>26</v>
      </c>
      <c r="BP18" s="2">
        <v>28</v>
      </c>
      <c r="BQ18" s="2">
        <v>31</v>
      </c>
      <c r="BR18" s="2">
        <v>33</v>
      </c>
      <c r="BS18" s="2">
        <v>37</v>
      </c>
      <c r="BT18" s="2">
        <v>17</v>
      </c>
      <c r="BU18" s="2">
        <v>81</v>
      </c>
      <c r="BV18" s="2">
        <v>107</v>
      </c>
      <c r="BW18" s="2">
        <v>133</v>
      </c>
      <c r="BX18" s="2">
        <v>198</v>
      </c>
      <c r="BY18" s="2">
        <v>24.5</v>
      </c>
      <c r="BZ18" s="2">
        <v>6.3</v>
      </c>
      <c r="CA18" s="2">
        <v>1.5</v>
      </c>
      <c r="CB18" s="2">
        <v>1.8499504655691401E-9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15</v>
      </c>
      <c r="AX19" s="2" t="s">
        <v>278</v>
      </c>
      <c r="AY19" s="130">
        <v>25.2</v>
      </c>
      <c r="AZ19" s="2">
        <v>20</v>
      </c>
      <c r="BA19" s="2"/>
      <c r="BB19" s="2">
        <v>22</v>
      </c>
      <c r="BC19" s="2"/>
      <c r="BD19" s="2">
        <v>14.3</v>
      </c>
      <c r="BE19" s="2">
        <v>16.2</v>
      </c>
      <c r="BF19" s="2">
        <v>16.600000000000001</v>
      </c>
      <c r="BG19" s="2">
        <v>17.399999999999999</v>
      </c>
      <c r="BH19" s="2">
        <v>20.9</v>
      </c>
      <c r="BI19" s="2"/>
      <c r="BJ19" s="2"/>
      <c r="BK19" s="2"/>
      <c r="BL19" s="2"/>
      <c r="BM19" s="2"/>
      <c r="BN19" s="2">
        <v>71</v>
      </c>
      <c r="BO19" s="2">
        <v>26</v>
      </c>
      <c r="BP19" s="2">
        <v>28</v>
      </c>
      <c r="BQ19" s="2">
        <v>31</v>
      </c>
      <c r="BR19" s="2">
        <v>33</v>
      </c>
      <c r="BS19" s="2">
        <v>37</v>
      </c>
      <c r="BT19" s="2">
        <v>24</v>
      </c>
      <c r="BU19" s="2">
        <v>88</v>
      </c>
      <c r="BV19" s="2">
        <v>114</v>
      </c>
      <c r="BW19" s="2">
        <v>141</v>
      </c>
      <c r="BX19" s="2">
        <v>205</v>
      </c>
      <c r="BY19" s="2">
        <v>24.5</v>
      </c>
      <c r="BZ19" s="2">
        <v>6.3</v>
      </c>
      <c r="CA19" s="2">
        <v>1.5</v>
      </c>
      <c r="CB19" s="2">
        <v>1.8499504655691401E-9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15</v>
      </c>
      <c r="AX20" s="2" t="s">
        <v>278</v>
      </c>
      <c r="AY20" s="130">
        <v>25.2</v>
      </c>
      <c r="AZ20" s="2">
        <v>20</v>
      </c>
      <c r="BA20" s="2"/>
      <c r="BB20" s="2">
        <v>22</v>
      </c>
      <c r="BC20" s="2"/>
      <c r="BD20" s="2">
        <v>0.5</v>
      </c>
      <c r="BE20" s="2">
        <v>1</v>
      </c>
      <c r="BF20" s="2">
        <v>1.8</v>
      </c>
      <c r="BG20" s="2">
        <v>8.1999999999999993</v>
      </c>
      <c r="BH20" s="2">
        <v>27.7</v>
      </c>
      <c r="BI20" s="2"/>
      <c r="BJ20" s="2"/>
      <c r="BK20" s="2"/>
      <c r="BL20" s="2"/>
      <c r="BM20" s="2"/>
      <c r="BN20" s="2">
        <v>31</v>
      </c>
      <c r="BO20" s="2">
        <v>24</v>
      </c>
      <c r="BP20" s="2">
        <v>24.5</v>
      </c>
      <c r="BQ20" s="2">
        <v>25</v>
      </c>
      <c r="BR20" s="2">
        <v>27</v>
      </c>
      <c r="BS20" s="2">
        <v>31</v>
      </c>
      <c r="BT20" s="2">
        <v>15</v>
      </c>
      <c r="BU20" s="2">
        <v>52</v>
      </c>
      <c r="BV20" s="2">
        <v>72</v>
      </c>
      <c r="BW20" s="2">
        <v>92</v>
      </c>
      <c r="BX20" s="2">
        <v>142</v>
      </c>
      <c r="BY20" s="2">
        <v>10.6</v>
      </c>
      <c r="BZ20" s="2">
        <v>1</v>
      </c>
      <c r="CA20" s="2">
        <v>0.5</v>
      </c>
      <c r="CB20" s="2">
        <v>9.2839566413805206E-14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25.2</v>
      </c>
      <c r="AX21" s="2" t="s">
        <v>278</v>
      </c>
      <c r="AY21" s="130">
        <v>25.2</v>
      </c>
      <c r="AZ21" s="2">
        <v>20</v>
      </c>
      <c r="BA21" s="2"/>
      <c r="BB21" s="2">
        <v>22</v>
      </c>
      <c r="BC21" s="2"/>
      <c r="BD21" s="2">
        <v>2.1</v>
      </c>
      <c r="BE21" s="2">
        <v>2.8</v>
      </c>
      <c r="BF21" s="2">
        <v>3.4</v>
      </c>
      <c r="BG21" s="2">
        <v>9.8000000000000007</v>
      </c>
      <c r="BH21" s="2">
        <v>29.3</v>
      </c>
      <c r="BI21" s="2"/>
      <c r="BJ21" s="2"/>
      <c r="BK21" s="2"/>
      <c r="BL21" s="2"/>
      <c r="BM21" s="2"/>
      <c r="BN21" s="2">
        <v>31</v>
      </c>
      <c r="BO21" s="2">
        <v>24</v>
      </c>
      <c r="BP21" s="2">
        <v>24.5</v>
      </c>
      <c r="BQ21" s="2">
        <v>25</v>
      </c>
      <c r="BR21" s="2">
        <v>27</v>
      </c>
      <c r="BS21" s="2">
        <v>31</v>
      </c>
      <c r="BT21" s="2">
        <v>42</v>
      </c>
      <c r="BU21" s="2">
        <v>79</v>
      </c>
      <c r="BV21" s="2">
        <v>99</v>
      </c>
      <c r="BW21" s="2">
        <v>120</v>
      </c>
      <c r="BX21" s="2">
        <v>169</v>
      </c>
      <c r="BY21" s="2">
        <v>10.6</v>
      </c>
      <c r="BZ21" s="2">
        <v>1</v>
      </c>
      <c r="CA21" s="2">
        <v>0.5</v>
      </c>
      <c r="CB21" s="2">
        <v>9.2839566413805206E-14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25.2</v>
      </c>
      <c r="AX22" s="2" t="s">
        <v>271</v>
      </c>
      <c r="AY22" s="130">
        <v>24.7</v>
      </c>
      <c r="AZ22" s="2">
        <v>19.8</v>
      </c>
      <c r="BA22" s="2"/>
      <c r="BB22" s="2">
        <v>11</v>
      </c>
      <c r="BC22" s="2"/>
      <c r="BD22" s="2">
        <v>0.9</v>
      </c>
      <c r="BE22" s="2">
        <v>15.8</v>
      </c>
      <c r="BF22" s="2">
        <v>24.2</v>
      </c>
      <c r="BG22" s="2">
        <v>55.7</v>
      </c>
      <c r="BH22" s="2">
        <v>153.30000000000001</v>
      </c>
      <c r="BI22" s="2"/>
      <c r="BJ22" s="2"/>
      <c r="BK22" s="2"/>
      <c r="BL22" s="2"/>
      <c r="BM22" s="2"/>
      <c r="BN22" s="2">
        <v>71</v>
      </c>
      <c r="BO22" s="2">
        <v>26</v>
      </c>
      <c r="BP22" s="2">
        <v>28</v>
      </c>
      <c r="BQ22" s="2">
        <v>31</v>
      </c>
      <c r="BR22" s="2">
        <v>33</v>
      </c>
      <c r="BS22" s="2">
        <v>37</v>
      </c>
      <c r="BT22" s="2">
        <v>25</v>
      </c>
      <c r="BU22" s="2">
        <v>122</v>
      </c>
      <c r="BV22" s="2">
        <v>164</v>
      </c>
      <c r="BW22" s="2">
        <v>206</v>
      </c>
      <c r="BX22" s="2">
        <v>310</v>
      </c>
      <c r="BY22" s="2">
        <v>39.9</v>
      </c>
      <c r="BZ22" s="2">
        <v>3.6</v>
      </c>
      <c r="CA22" s="2">
        <v>1.1000000000000001</v>
      </c>
      <c r="CB22" s="2">
        <v>5.3439022839582804E-12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38</v>
      </c>
      <c r="AX23" s="2" t="s">
        <v>271</v>
      </c>
      <c r="AY23" s="130">
        <v>24.7</v>
      </c>
      <c r="AZ23" s="2">
        <v>19.8</v>
      </c>
      <c r="BA23" s="2"/>
      <c r="BB23" s="2">
        <v>11</v>
      </c>
      <c r="BC23" s="2"/>
      <c r="BD23" s="2">
        <v>5.6</v>
      </c>
      <c r="BE23" s="2">
        <v>20.6</v>
      </c>
      <c r="BF23" s="2">
        <v>29</v>
      </c>
      <c r="BG23" s="2">
        <v>60.4</v>
      </c>
      <c r="BH23" s="2">
        <v>158</v>
      </c>
      <c r="BI23" s="2"/>
      <c r="BJ23" s="2"/>
      <c r="BK23" s="2"/>
      <c r="BL23" s="2"/>
      <c r="BM23" s="2"/>
      <c r="BN23" s="2">
        <v>71</v>
      </c>
      <c r="BO23" s="2">
        <v>26</v>
      </c>
      <c r="BP23" s="2">
        <v>28</v>
      </c>
      <c r="BQ23" s="2">
        <v>31</v>
      </c>
      <c r="BR23" s="2">
        <v>33</v>
      </c>
      <c r="BS23" s="2">
        <v>37</v>
      </c>
      <c r="BT23" s="2">
        <v>56</v>
      </c>
      <c r="BU23" s="2">
        <v>153</v>
      </c>
      <c r="BV23" s="2">
        <v>195</v>
      </c>
      <c r="BW23" s="2">
        <v>237</v>
      </c>
      <c r="BX23" s="2">
        <v>341</v>
      </c>
      <c r="BY23" s="2">
        <v>39.9</v>
      </c>
      <c r="BZ23" s="2">
        <v>3.6</v>
      </c>
      <c r="CA23" s="2">
        <v>1.1000000000000001</v>
      </c>
      <c r="CB23" s="2">
        <v>5.3439022839582804E-12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38</v>
      </c>
      <c r="AX24" s="2" t="s">
        <v>273</v>
      </c>
      <c r="AY24" s="130">
        <v>32</v>
      </c>
      <c r="AZ24" s="2">
        <v>18.899999999999999</v>
      </c>
      <c r="BA24" s="2">
        <v>47</v>
      </c>
      <c r="BB24" s="2">
        <v>85</v>
      </c>
      <c r="BC24" s="2">
        <v>3</v>
      </c>
      <c r="BD24" s="2">
        <v>1.4</v>
      </c>
      <c r="BE24" s="2">
        <v>8</v>
      </c>
      <c r="BF24" s="2">
        <v>10.7</v>
      </c>
      <c r="BG24" s="2">
        <v>29.4</v>
      </c>
      <c r="BH24" s="2">
        <v>87.5</v>
      </c>
      <c r="BI24" s="2">
        <v>365</v>
      </c>
      <c r="BJ24" s="2">
        <v>451</v>
      </c>
      <c r="BK24" s="2">
        <v>494</v>
      </c>
      <c r="BL24" s="2">
        <v>538</v>
      </c>
      <c r="BM24" s="2">
        <v>624</v>
      </c>
      <c r="BN24" s="2"/>
      <c r="BO24" s="2"/>
      <c r="BP24" s="2"/>
      <c r="BQ24" s="2"/>
      <c r="BR24" s="2"/>
      <c r="BS24" s="2"/>
      <c r="BT24" s="2">
        <v>389</v>
      </c>
      <c r="BU24" s="2">
        <v>562</v>
      </c>
      <c r="BV24" s="2">
        <v>650</v>
      </c>
      <c r="BW24" s="2">
        <v>737</v>
      </c>
      <c r="BX24" s="2">
        <v>911</v>
      </c>
      <c r="BY24" s="2">
        <v>59.6</v>
      </c>
      <c r="BZ24" s="2">
        <v>8.1</v>
      </c>
      <c r="CA24" s="2">
        <v>3</v>
      </c>
      <c r="CB24" s="2">
        <v>9.4109406323306707E-12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80</v>
      </c>
      <c r="AX25" s="2" t="s">
        <v>273</v>
      </c>
      <c r="AY25" s="130">
        <v>32</v>
      </c>
      <c r="AZ25" s="2">
        <v>18.899999999999999</v>
      </c>
      <c r="BA25" s="2">
        <v>47</v>
      </c>
      <c r="BB25" s="2">
        <v>85</v>
      </c>
      <c r="BC25" s="2">
        <v>3</v>
      </c>
      <c r="BD25" s="2">
        <v>12</v>
      </c>
      <c r="BE25" s="2">
        <v>19</v>
      </c>
      <c r="BF25" s="2">
        <v>21.3</v>
      </c>
      <c r="BG25" s="2">
        <v>40</v>
      </c>
      <c r="BH25" s="2">
        <v>98.1</v>
      </c>
      <c r="BI25" s="2">
        <v>860</v>
      </c>
      <c r="BJ25" s="2">
        <v>946</v>
      </c>
      <c r="BK25" s="2">
        <v>989</v>
      </c>
      <c r="BL25" s="2">
        <v>1033</v>
      </c>
      <c r="BM25" s="2">
        <v>1119</v>
      </c>
      <c r="BN25" s="2"/>
      <c r="BO25" s="2"/>
      <c r="BP25" s="2"/>
      <c r="BQ25" s="2"/>
      <c r="BR25" s="2"/>
      <c r="BS25" s="2"/>
      <c r="BT25" s="2">
        <v>1307</v>
      </c>
      <c r="BU25" s="2">
        <v>1480</v>
      </c>
      <c r="BV25" s="2">
        <v>1567</v>
      </c>
      <c r="BW25" s="2">
        <v>1655</v>
      </c>
      <c r="BX25" s="2">
        <v>1828</v>
      </c>
      <c r="BY25" s="2">
        <v>59.6</v>
      </c>
      <c r="BZ25" s="2">
        <v>8.1</v>
      </c>
      <c r="CA25" s="2">
        <v>3</v>
      </c>
      <c r="CB25" s="2">
        <v>9.4109406323306707E-12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/>
      <c r="AX26" s="2"/>
      <c r="AY26" s="130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/>
      <c r="AX27" s="2"/>
      <c r="AY27" s="130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440" priority="12">
      <formula>$L32="API sand"</formula>
    </cfRule>
  </conditionalFormatting>
  <conditionalFormatting sqref="R32:S36 AB32:AB35 AJ32:AL36 Z32:Z36 N32:N36">
    <cfRule type="expression" dxfId="2439" priority="11">
      <formula>$M32="API sand"</formula>
    </cfRule>
  </conditionalFormatting>
  <conditionalFormatting sqref="R32:T36 Z32:AB35 AK32:AL36 N32:N36">
    <cfRule type="expression" dxfId="2438" priority="10">
      <formula>$M32="API clay"</formula>
    </cfRule>
  </conditionalFormatting>
  <conditionalFormatting sqref="U32:W36 AM32:AP36 N32:P36">
    <cfRule type="expression" dxfId="2437" priority="7">
      <formula>$L32="Stiff clay w/o free water"</formula>
    </cfRule>
    <cfRule type="expression" dxfId="2436" priority="9">
      <formula>$L32="API clay"</formula>
    </cfRule>
  </conditionalFormatting>
  <conditionalFormatting sqref="U32:Y36 AM32:AP36 N32:P36">
    <cfRule type="expression" dxfId="2435" priority="8">
      <formula>$L32="Kirsch soft clay"</formula>
    </cfRule>
  </conditionalFormatting>
  <conditionalFormatting sqref="U32:Y36 AM32:AP36 N32:P36">
    <cfRule type="expression" dxfId="2434" priority="6">
      <formula>$L32="Kirsch stiff clay"</formula>
    </cfRule>
  </conditionalFormatting>
  <conditionalFormatting sqref="AM32:AP36 Q32:Q36 X32:Y36 N32:N36">
    <cfRule type="expression" dxfId="2433" priority="5">
      <formula>$L32="Kirsch sand"</formula>
    </cfRule>
  </conditionalFormatting>
  <conditionalFormatting sqref="AC32:AD36 AI32:AI36 AM32:AP36 N32:N36">
    <cfRule type="expression" dxfId="2432" priority="4">
      <formula>$L32="Modified Weak rock"</formula>
    </cfRule>
  </conditionalFormatting>
  <conditionalFormatting sqref="AM32:AP36 N32:P36 U32:V36">
    <cfRule type="expression" dxfId="2431" priority="3">
      <formula>$L32="Reese stiff clay"</formula>
    </cfRule>
  </conditionalFormatting>
  <conditionalFormatting sqref="AB36">
    <cfRule type="expression" dxfId="2430" priority="2">
      <formula>$M36="API sand"</formula>
    </cfRule>
  </conditionalFormatting>
  <conditionalFormatting sqref="Z36:AB36">
    <cfRule type="expression" dxfId="2429" priority="1">
      <formula>$M36="API clay"</formula>
    </cfRule>
  </conditionalFormatting>
  <conditionalFormatting sqref="AE37:AH37">
    <cfRule type="expression" dxfId="2428" priority="13">
      <formula>#REF!="Modified Weak rock"</formula>
    </cfRule>
  </conditionalFormatting>
  <dataValidations count="4">
    <dataValidation type="list" showInputMessage="1" showErrorMessage="1" sqref="M32:M36" xr:uid="{4F61373E-88C2-4C72-862B-AE96FC2C5E13}">
      <formula1>"',API sand,API clay"</formula1>
    </dataValidation>
    <dataValidation type="list" showInputMessage="1" showErrorMessage="1" sqref="L32:L255" xr:uid="{7FAB1F90-0004-4AF3-9A5A-E230CF99D010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C2A4395B-5984-445C-890D-90D4F4ED7527}"/>
    <dataValidation type="textLength" showInputMessage="1" showErrorMessage="1" sqref="M27:M31" xr:uid="{5B666D52-A2D7-41CE-B0D0-31EC6B0BD415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B669B-BE6A-4B2C-A1A2-B8638E99F82B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Ak_Pisa_WTG37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EW_sand_Ruled_71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32</v>
      </c>
      <c r="R6" s="47">
        <f t="shared" ref="R6:R26" ca="1" si="7">IF(I6="","",IF(Q6&lt;&gt;0,Q6-5,NA()))</f>
        <v>27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2600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86.999999999999972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6720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24000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28.000000000000007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71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0.4</v>
      </c>
      <c r="BG6" s="2">
        <v>0.9</v>
      </c>
      <c r="BH6" s="2">
        <v>1.9</v>
      </c>
      <c r="BI6" s="2"/>
      <c r="BJ6" s="2"/>
      <c r="BK6" s="2"/>
      <c r="BL6" s="2"/>
      <c r="BM6" s="2"/>
      <c r="BN6" s="2">
        <v>71</v>
      </c>
      <c r="BO6" s="2">
        <v>22</v>
      </c>
      <c r="BP6" s="2">
        <v>32</v>
      </c>
      <c r="BQ6" s="2">
        <v>36</v>
      </c>
      <c r="BR6" s="2">
        <v>39</v>
      </c>
      <c r="BS6" s="2">
        <v>49</v>
      </c>
      <c r="BT6" s="2">
        <v>0</v>
      </c>
      <c r="BU6" s="2">
        <v>2</v>
      </c>
      <c r="BV6" s="2">
        <v>5</v>
      </c>
      <c r="BW6" s="2">
        <v>9</v>
      </c>
      <c r="BX6" s="2">
        <v>15</v>
      </c>
      <c r="BY6" s="2">
        <v>2.6</v>
      </c>
      <c r="BZ6" s="2">
        <v>1</v>
      </c>
      <c r="CA6" s="2">
        <v>0.5</v>
      </c>
      <c r="CB6" s="2">
        <v>4.5676258656715703E-5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-0.5</v>
      </c>
      <c r="L7" s="116" t="str">
        <f t="shared" ca="1" si="1"/>
        <v>EW_sand_Ruled_99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42</v>
      </c>
      <c r="R7" s="47">
        <f t="shared" ca="1" si="7"/>
        <v>37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35800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26000</v>
      </c>
      <c r="AD7" s="63">
        <f t="shared" ca="1" si="19"/>
        <v>27142.857142857145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99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0.5</v>
      </c>
      <c r="BE7" s="2">
        <v>1</v>
      </c>
      <c r="BF7" s="2">
        <v>1.3</v>
      </c>
      <c r="BG7" s="2">
        <v>1.8</v>
      </c>
      <c r="BH7" s="2">
        <v>2.8</v>
      </c>
      <c r="BI7" s="2"/>
      <c r="BJ7" s="2"/>
      <c r="BK7" s="2"/>
      <c r="BL7" s="2"/>
      <c r="BM7" s="2"/>
      <c r="BN7" s="2">
        <v>71</v>
      </c>
      <c r="BO7" s="2">
        <v>22</v>
      </c>
      <c r="BP7" s="2">
        <v>32</v>
      </c>
      <c r="BQ7" s="2">
        <v>36</v>
      </c>
      <c r="BR7" s="2">
        <v>39</v>
      </c>
      <c r="BS7" s="2">
        <v>49</v>
      </c>
      <c r="BT7" s="2">
        <v>8</v>
      </c>
      <c r="BU7" s="2">
        <v>14</v>
      </c>
      <c r="BV7" s="2">
        <v>17</v>
      </c>
      <c r="BW7" s="2">
        <v>20</v>
      </c>
      <c r="BX7" s="2">
        <v>27</v>
      </c>
      <c r="BY7" s="2">
        <v>2.6</v>
      </c>
      <c r="BZ7" s="2">
        <v>1</v>
      </c>
      <c r="CA7" s="2">
        <v>0.5</v>
      </c>
      <c r="CB7" s="2">
        <v>4.5676258656715703E-5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-1.2</v>
      </c>
      <c r="L8" s="116" t="str">
        <f t="shared" ca="1" si="1"/>
        <v>EW_sand_Ruled_80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39</v>
      </c>
      <c r="R8" s="47">
        <f t="shared" ca="1" si="7"/>
        <v>34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29100</v>
      </c>
      <c r="Y8" s="47">
        <f t="shared" ca="1" si="14"/>
        <v>0</v>
      </c>
      <c r="Z8" s="47">
        <f t="shared" ca="1" si="15"/>
        <v>111.19999999999996</v>
      </c>
      <c r="AA8" s="47">
        <f t="shared" ca="1" si="16"/>
        <v>1</v>
      </c>
      <c r="AB8" s="47">
        <f t="shared" ca="1" si="17"/>
        <v>11520</v>
      </c>
      <c r="AC8" s="63">
        <f t="shared" ca="1" si="18"/>
        <v>42000</v>
      </c>
      <c r="AD8" s="63">
        <f t="shared" ca="1" si="19"/>
        <v>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48.000000000000007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80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4</v>
      </c>
      <c r="BE8" s="2">
        <v>5.9</v>
      </c>
      <c r="BF8" s="2">
        <v>6.6</v>
      </c>
      <c r="BG8" s="2">
        <v>7.1</v>
      </c>
      <c r="BH8" s="2">
        <v>8.4</v>
      </c>
      <c r="BI8" s="2"/>
      <c r="BJ8" s="2"/>
      <c r="BK8" s="2"/>
      <c r="BL8" s="2"/>
      <c r="BM8" s="2"/>
      <c r="BN8" s="2">
        <v>99</v>
      </c>
      <c r="BO8" s="2">
        <v>36</v>
      </c>
      <c r="BP8" s="2">
        <v>42</v>
      </c>
      <c r="BQ8" s="2">
        <v>45</v>
      </c>
      <c r="BR8" s="2">
        <v>48</v>
      </c>
      <c r="BS8" s="2">
        <v>54</v>
      </c>
      <c r="BT8" s="2">
        <v>0</v>
      </c>
      <c r="BU8" s="2">
        <v>17</v>
      </c>
      <c r="BV8" s="2">
        <v>26</v>
      </c>
      <c r="BW8" s="2">
        <v>35</v>
      </c>
      <c r="BX8" s="2">
        <v>56</v>
      </c>
      <c r="BY8" s="2">
        <v>35.799999999999997</v>
      </c>
      <c r="BZ8" s="2">
        <v>1</v>
      </c>
      <c r="CA8" s="2">
        <v>0.5</v>
      </c>
      <c r="CB8" s="2">
        <v>5.0977109448723196E-4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02a</v>
      </c>
      <c r="J9" s="47">
        <f t="shared" ca="1" si="35"/>
        <v>4</v>
      </c>
      <c r="K9" s="19">
        <f t="shared" ca="1" si="36"/>
        <v>-2.2999999999999998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10.199999999999999</v>
      </c>
      <c r="O9" s="63">
        <f t="shared" ca="1" si="4"/>
        <v>57</v>
      </c>
      <c r="P9" s="63">
        <f t="shared" ca="1" si="5"/>
        <v>86.666666666666657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16600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61000</v>
      </c>
      <c r="AD9" s="63">
        <f t="shared" ca="1" si="19"/>
        <v>83333.333333333314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1.2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8.9</v>
      </c>
      <c r="BE9" s="2">
        <v>10.8</v>
      </c>
      <c r="BF9" s="2">
        <v>11.5</v>
      </c>
      <c r="BG9" s="2">
        <v>12</v>
      </c>
      <c r="BH9" s="2">
        <v>13.3</v>
      </c>
      <c r="BI9" s="2"/>
      <c r="BJ9" s="2"/>
      <c r="BK9" s="2"/>
      <c r="BL9" s="2"/>
      <c r="BM9" s="2"/>
      <c r="BN9" s="2">
        <v>99</v>
      </c>
      <c r="BO9" s="2">
        <v>36</v>
      </c>
      <c r="BP9" s="2">
        <v>42</v>
      </c>
      <c r="BQ9" s="2">
        <v>45</v>
      </c>
      <c r="BR9" s="2">
        <v>48</v>
      </c>
      <c r="BS9" s="2">
        <v>54</v>
      </c>
      <c r="BT9" s="2">
        <v>14</v>
      </c>
      <c r="BU9" s="2">
        <v>36</v>
      </c>
      <c r="BV9" s="2">
        <v>45</v>
      </c>
      <c r="BW9" s="2">
        <v>54</v>
      </c>
      <c r="BX9" s="2">
        <v>75</v>
      </c>
      <c r="BY9" s="2">
        <v>35.799999999999997</v>
      </c>
      <c r="BZ9" s="2">
        <v>1</v>
      </c>
      <c r="CA9" s="2">
        <v>0.5</v>
      </c>
      <c r="CB9" s="2">
        <v>5.0977109448723196E-4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02b</v>
      </c>
      <c r="J10" s="47">
        <f t="shared" ca="1" si="35"/>
        <v>5</v>
      </c>
      <c r="K10" s="19">
        <f t="shared" ca="1" si="36"/>
        <v>-2.9</v>
      </c>
      <c r="L10" s="116" t="str">
        <f t="shared" ca="1" si="1"/>
        <v>EW_sand_Ruled_68</v>
      </c>
      <c r="M10" s="105" t="str">
        <f t="shared" ca="1" si="2"/>
        <v>API sand</v>
      </c>
      <c r="N10" s="47">
        <f t="shared" ca="1" si="3"/>
        <v>9.3999999999999986</v>
      </c>
      <c r="O10" s="63">
        <f t="shared" ca="1" si="4"/>
        <v>0</v>
      </c>
      <c r="P10" s="63">
        <f t="shared" ca="1" si="5"/>
        <v>0</v>
      </c>
      <c r="Q10" s="47">
        <f t="shared" ca="1" si="6"/>
        <v>38</v>
      </c>
      <c r="R10" s="47">
        <f t="shared" ca="1" si="7"/>
        <v>33</v>
      </c>
      <c r="S10" s="47">
        <f t="shared" ca="1" si="8"/>
        <v>1.4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35500</v>
      </c>
      <c r="Y10" s="47">
        <f t="shared" ca="1" si="14"/>
        <v>0</v>
      </c>
      <c r="Z10" s="47">
        <f t="shared" ca="1" si="15"/>
        <v>107.39999999999996</v>
      </c>
      <c r="AA10" s="47">
        <f t="shared" ca="1" si="16"/>
        <v>1</v>
      </c>
      <c r="AB10" s="47">
        <f t="shared" ca="1" si="17"/>
        <v>11040</v>
      </c>
      <c r="AC10" s="63">
        <f t="shared" ca="1" si="18"/>
        <v>59000</v>
      </c>
      <c r="AD10" s="63">
        <f t="shared" ca="1" si="19"/>
        <v>3043.478260869565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46.000000000000007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68</v>
      </c>
      <c r="AS10" s="33">
        <f t="shared" ca="1" si="34"/>
        <v>0.4</v>
      </c>
      <c r="AW10" s="2">
        <v>1.2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5.4</v>
      </c>
      <c r="BE10" s="2">
        <v>7.8</v>
      </c>
      <c r="BF10" s="2">
        <v>8.6</v>
      </c>
      <c r="BG10" s="2">
        <v>9.6</v>
      </c>
      <c r="BH10" s="2">
        <v>12.5</v>
      </c>
      <c r="BI10" s="2"/>
      <c r="BJ10" s="2"/>
      <c r="BK10" s="2"/>
      <c r="BL10" s="2"/>
      <c r="BM10" s="2"/>
      <c r="BN10" s="2">
        <v>80</v>
      </c>
      <c r="BO10" s="2">
        <v>32</v>
      </c>
      <c r="BP10" s="2">
        <v>39</v>
      </c>
      <c r="BQ10" s="2">
        <v>43</v>
      </c>
      <c r="BR10" s="2">
        <v>46</v>
      </c>
      <c r="BS10" s="2">
        <v>52</v>
      </c>
      <c r="BT10" s="2">
        <v>6</v>
      </c>
      <c r="BU10" s="2">
        <v>31</v>
      </c>
      <c r="BV10" s="2">
        <v>42</v>
      </c>
      <c r="BW10" s="2">
        <v>52</v>
      </c>
      <c r="BX10" s="2">
        <v>77</v>
      </c>
      <c r="BY10" s="2">
        <v>29.1</v>
      </c>
      <c r="BZ10" s="2">
        <v>1</v>
      </c>
      <c r="CA10" s="2">
        <v>0.5</v>
      </c>
      <c r="CB10" s="2">
        <v>2.7405673605102201E-5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02c</v>
      </c>
      <c r="J11" s="47">
        <f t="shared" ca="1" si="35"/>
        <v>6</v>
      </c>
      <c r="K11" s="19">
        <f t="shared" ca="1" si="36"/>
        <v>-5.2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8.5</v>
      </c>
      <c r="O11" s="63">
        <f t="shared" ca="1" si="4"/>
        <v>144</v>
      </c>
      <c r="P11" s="63">
        <f t="shared" ca="1" si="5"/>
        <v>-113.3333333333334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0.5</v>
      </c>
      <c r="X11" s="47">
        <f t="shared" ca="1" si="13"/>
        <v>15700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143000</v>
      </c>
      <c r="AD11" s="63">
        <f t="shared" ca="1" si="19"/>
        <v>-111111.11111111117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2.2999999999999998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1.3</v>
      </c>
      <c r="BE11" s="2">
        <v>3.7</v>
      </c>
      <c r="BF11" s="2">
        <v>4.5</v>
      </c>
      <c r="BG11" s="2">
        <v>5.5</v>
      </c>
      <c r="BH11" s="2">
        <v>8.4</v>
      </c>
      <c r="BI11" s="2"/>
      <c r="BJ11" s="2"/>
      <c r="BK11" s="2"/>
      <c r="BL11" s="2"/>
      <c r="BM11" s="2"/>
      <c r="BN11" s="2">
        <v>80</v>
      </c>
      <c r="BO11" s="2">
        <v>32</v>
      </c>
      <c r="BP11" s="2">
        <v>39</v>
      </c>
      <c r="BQ11" s="2">
        <v>43</v>
      </c>
      <c r="BR11" s="2">
        <v>46</v>
      </c>
      <c r="BS11" s="2">
        <v>52</v>
      </c>
      <c r="BT11" s="2">
        <v>6</v>
      </c>
      <c r="BU11" s="2">
        <v>31</v>
      </c>
      <c r="BV11" s="2">
        <v>42</v>
      </c>
      <c r="BW11" s="2">
        <v>52</v>
      </c>
      <c r="BX11" s="2">
        <v>77</v>
      </c>
      <c r="BY11" s="2">
        <v>29.1</v>
      </c>
      <c r="BZ11" s="2">
        <v>1</v>
      </c>
      <c r="CA11" s="2">
        <v>0.5</v>
      </c>
      <c r="CB11" s="2">
        <v>2.7405673605102201E-5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10a</v>
      </c>
      <c r="J12" s="47">
        <f t="shared" ca="1" si="35"/>
        <v>7</v>
      </c>
      <c r="K12" s="19">
        <f t="shared" ca="1" si="36"/>
        <v>-6.1</v>
      </c>
      <c r="L12" s="116" t="str">
        <f t="shared" ca="1" si="1"/>
        <v>EW_sand_Ruled_61</v>
      </c>
      <c r="M12" s="105" t="str">
        <f t="shared" ca="1" si="2"/>
        <v>API sand</v>
      </c>
      <c r="N12" s="47">
        <f t="shared" ca="1" si="3"/>
        <v>10</v>
      </c>
      <c r="O12" s="63">
        <f t="shared" ca="1" si="4"/>
        <v>0</v>
      </c>
      <c r="P12" s="63">
        <f t="shared" ca="1" si="5"/>
        <v>0</v>
      </c>
      <c r="Q12" s="47">
        <f t="shared" ca="1" si="6"/>
        <v>37</v>
      </c>
      <c r="R12" s="47">
        <f t="shared" ca="1" si="7"/>
        <v>32</v>
      </c>
      <c r="S12" s="47">
        <f t="shared" ca="1" si="8"/>
        <v>1.1000000000000001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36700</v>
      </c>
      <c r="Y12" s="47">
        <f t="shared" ca="1" si="14"/>
        <v>0</v>
      </c>
      <c r="Z12" s="47">
        <f t="shared" ca="1" si="15"/>
        <v>103.59999999999997</v>
      </c>
      <c r="AA12" s="47">
        <f t="shared" ca="1" si="16"/>
        <v>1</v>
      </c>
      <c r="AB12" s="47">
        <f t="shared" ca="1" si="17"/>
        <v>10560</v>
      </c>
      <c r="AC12" s="63">
        <f t="shared" ca="1" si="18"/>
        <v>67000</v>
      </c>
      <c r="AD12" s="63">
        <f t="shared" ca="1" si="19"/>
        <v>21111.111111111102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44.000000000000007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61</v>
      </c>
      <c r="AS12" s="33">
        <f t="shared" ca="1" si="34"/>
        <v>0.4</v>
      </c>
      <c r="AW12" s="2">
        <v>2.2999999999999998</v>
      </c>
      <c r="AX12" s="2" t="s">
        <v>255</v>
      </c>
      <c r="AY12" s="130">
        <v>23.1</v>
      </c>
      <c r="AZ12" s="2">
        <v>20.2</v>
      </c>
      <c r="BA12" s="2">
        <v>18</v>
      </c>
      <c r="BB12" s="2">
        <v>28</v>
      </c>
      <c r="BC12" s="2">
        <v>5</v>
      </c>
      <c r="BD12" s="2">
        <v>0.9</v>
      </c>
      <c r="BE12" s="2">
        <v>1.3</v>
      </c>
      <c r="BF12" s="2">
        <v>1.5</v>
      </c>
      <c r="BG12" s="2">
        <v>1.7</v>
      </c>
      <c r="BH12" s="2">
        <v>2</v>
      </c>
      <c r="BI12" s="2">
        <v>5</v>
      </c>
      <c r="BJ12" s="2">
        <v>57</v>
      </c>
      <c r="BK12" s="2">
        <v>81</v>
      </c>
      <c r="BL12" s="2">
        <v>105</v>
      </c>
      <c r="BM12" s="2">
        <v>157</v>
      </c>
      <c r="BN12" s="2"/>
      <c r="BO12" s="2"/>
      <c r="BP12" s="2"/>
      <c r="BQ12" s="2"/>
      <c r="BR12" s="2"/>
      <c r="BS12" s="2"/>
      <c r="BT12" s="2">
        <v>2</v>
      </c>
      <c r="BU12" s="2">
        <v>30</v>
      </c>
      <c r="BV12" s="2">
        <v>61</v>
      </c>
      <c r="BW12" s="2">
        <v>92</v>
      </c>
      <c r="BX12" s="2">
        <v>154</v>
      </c>
      <c r="BY12" s="2">
        <v>16.600000000000001</v>
      </c>
      <c r="BZ12" s="2">
        <v>16.100000000000001</v>
      </c>
      <c r="CA12" s="2">
        <v>3</v>
      </c>
      <c r="CB12" s="2">
        <v>1.0972701199731601E-8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10b</v>
      </c>
      <c r="J13" s="47">
        <f t="shared" ca="1" si="35"/>
        <v>8</v>
      </c>
      <c r="K13" s="19">
        <f t="shared" ca="1" si="36"/>
        <v>-7</v>
      </c>
      <c r="L13" s="116" t="str">
        <f t="shared" ca="1" si="1"/>
        <v>EW_sand_Ruled_82</v>
      </c>
      <c r="M13" s="105" t="str">
        <f t="shared" ca="1" si="2"/>
        <v>API sand</v>
      </c>
      <c r="N13" s="47">
        <f t="shared" ca="1" si="3"/>
        <v>9.8999999999999986</v>
      </c>
      <c r="O13" s="63">
        <f t="shared" ca="1" si="4"/>
        <v>0</v>
      </c>
      <c r="P13" s="63">
        <f t="shared" ca="1" si="5"/>
        <v>0</v>
      </c>
      <c r="Q13" s="47">
        <f t="shared" ca="1" si="6"/>
        <v>41</v>
      </c>
      <c r="R13" s="47">
        <f t="shared" ca="1" si="7"/>
        <v>36</v>
      </c>
      <c r="S13" s="47">
        <f t="shared" ca="1" si="8"/>
        <v>1.4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89200</v>
      </c>
      <c r="Y13" s="47">
        <f t="shared" ca="1" si="14"/>
        <v>0</v>
      </c>
      <c r="Z13" s="47">
        <f t="shared" ca="1" si="15"/>
        <v>114.99999999999996</v>
      </c>
      <c r="AA13" s="47">
        <f t="shared" ca="1" si="16"/>
        <v>1</v>
      </c>
      <c r="AB13" s="47">
        <f t="shared" ca="1" si="17"/>
        <v>12000</v>
      </c>
      <c r="AC13" s="63">
        <f t="shared" ca="1" si="18"/>
        <v>99000</v>
      </c>
      <c r="AD13" s="63">
        <f t="shared" ca="1" si="19"/>
        <v>3076.9230769230776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50.000000000000007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82</v>
      </c>
      <c r="AS13" s="33">
        <f t="shared" ca="1" si="34"/>
        <v>0.4</v>
      </c>
      <c r="AW13" s="2">
        <v>2.9</v>
      </c>
      <c r="AX13" s="2" t="s">
        <v>255</v>
      </c>
      <c r="AY13" s="130">
        <v>23.1</v>
      </c>
      <c r="AZ13" s="2">
        <v>20.2</v>
      </c>
      <c r="BA13" s="2">
        <v>18</v>
      </c>
      <c r="BB13" s="2">
        <v>28</v>
      </c>
      <c r="BC13" s="2">
        <v>5</v>
      </c>
      <c r="BD13" s="2">
        <v>1.9</v>
      </c>
      <c r="BE13" s="2">
        <v>2.2000000000000002</v>
      </c>
      <c r="BF13" s="2">
        <v>2.4</v>
      </c>
      <c r="BG13" s="2">
        <v>2.6</v>
      </c>
      <c r="BH13" s="2">
        <v>3</v>
      </c>
      <c r="BI13" s="2">
        <v>57</v>
      </c>
      <c r="BJ13" s="2">
        <v>109</v>
      </c>
      <c r="BK13" s="2">
        <v>132</v>
      </c>
      <c r="BL13" s="2">
        <v>157</v>
      </c>
      <c r="BM13" s="2">
        <v>208</v>
      </c>
      <c r="BN13" s="2"/>
      <c r="BO13" s="2"/>
      <c r="BP13" s="2"/>
      <c r="BQ13" s="2"/>
      <c r="BR13" s="2"/>
      <c r="BS13" s="2"/>
      <c r="BT13" s="2">
        <v>52</v>
      </c>
      <c r="BU13" s="2">
        <v>80</v>
      </c>
      <c r="BV13" s="2">
        <v>111</v>
      </c>
      <c r="BW13" s="2">
        <v>142</v>
      </c>
      <c r="BX13" s="2">
        <v>204</v>
      </c>
      <c r="BY13" s="2">
        <v>16.600000000000001</v>
      </c>
      <c r="BZ13" s="2">
        <v>16.100000000000001</v>
      </c>
      <c r="CA13" s="2">
        <v>3</v>
      </c>
      <c r="CB13" s="2">
        <v>1.0972701199731601E-8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10c</v>
      </c>
      <c r="J14" s="47">
        <f t="shared" ca="1" si="35"/>
        <v>9</v>
      </c>
      <c r="K14" s="19">
        <f t="shared" ca="1" si="36"/>
        <v>-9.6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8.3999999999999986</v>
      </c>
      <c r="O14" s="63">
        <f t="shared" ca="1" si="4"/>
        <v>132</v>
      </c>
      <c r="P14" s="63">
        <f t="shared" ca="1" si="5"/>
        <v>-9.1304347826086936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0.5</v>
      </c>
      <c r="X14" s="47">
        <f t="shared" ca="1" si="13"/>
        <v>22800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141000</v>
      </c>
      <c r="AD14" s="63">
        <f t="shared" ca="1" si="19"/>
        <v>-8695.6521739130421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2.9</v>
      </c>
      <c r="AX14" s="2" t="s">
        <v>257</v>
      </c>
      <c r="AY14" s="130">
        <v>29.7</v>
      </c>
      <c r="AZ14" s="2">
        <v>19.399999999999999</v>
      </c>
      <c r="BA14" s="2"/>
      <c r="BB14" s="2">
        <v>24</v>
      </c>
      <c r="BC14" s="2"/>
      <c r="BD14" s="2">
        <v>8.1999999999999993</v>
      </c>
      <c r="BE14" s="2">
        <v>9.6</v>
      </c>
      <c r="BF14" s="2">
        <v>9.9</v>
      </c>
      <c r="BG14" s="2">
        <v>10.3</v>
      </c>
      <c r="BH14" s="2">
        <v>12.2</v>
      </c>
      <c r="BI14" s="2"/>
      <c r="BJ14" s="2"/>
      <c r="BK14" s="2"/>
      <c r="BL14" s="2"/>
      <c r="BM14" s="2"/>
      <c r="BN14" s="2">
        <v>68</v>
      </c>
      <c r="BO14" s="2">
        <v>32</v>
      </c>
      <c r="BP14" s="2">
        <v>38</v>
      </c>
      <c r="BQ14" s="2">
        <v>41</v>
      </c>
      <c r="BR14" s="2">
        <v>44</v>
      </c>
      <c r="BS14" s="2">
        <v>50</v>
      </c>
      <c r="BT14" s="2">
        <v>8</v>
      </c>
      <c r="BU14" s="2">
        <v>44</v>
      </c>
      <c r="BV14" s="2">
        <v>59</v>
      </c>
      <c r="BW14" s="2">
        <v>74</v>
      </c>
      <c r="BX14" s="2">
        <v>111</v>
      </c>
      <c r="BY14" s="2">
        <v>35.5</v>
      </c>
      <c r="BZ14" s="2">
        <v>5.4</v>
      </c>
      <c r="CA14" s="2">
        <v>1.4</v>
      </c>
      <c r="CB14" s="2">
        <v>1.4148203917983499E-5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20a</v>
      </c>
      <c r="J15" s="47">
        <f t="shared" ca="1" si="35"/>
        <v>10</v>
      </c>
      <c r="K15" s="19">
        <f t="shared" ca="1" si="36"/>
        <v>-11.9</v>
      </c>
      <c r="L15" s="116" t="str">
        <f t="shared" ca="1" si="1"/>
        <v>EW_sand_Ruled_67</v>
      </c>
      <c r="M15" s="105" t="str">
        <f t="shared" ca="1" si="2"/>
        <v>API sand</v>
      </c>
      <c r="N15" s="47">
        <f t="shared" ca="1" si="3"/>
        <v>10</v>
      </c>
      <c r="O15" s="63">
        <f t="shared" ca="1" si="4"/>
        <v>0</v>
      </c>
      <c r="P15" s="63">
        <f t="shared" ca="1" si="5"/>
        <v>0</v>
      </c>
      <c r="Q15" s="47">
        <f t="shared" ca="1" si="6"/>
        <v>28</v>
      </c>
      <c r="R15" s="47">
        <f t="shared" ca="1" si="7"/>
        <v>23</v>
      </c>
      <c r="S15" s="47">
        <f t="shared" ca="1" si="8"/>
        <v>1.3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19000</v>
      </c>
      <c r="Y15" s="47">
        <f t="shared" ca="1" si="14"/>
        <v>0</v>
      </c>
      <c r="Z15" s="47">
        <f t="shared" ca="1" si="15"/>
        <v>75.399999999999977</v>
      </c>
      <c r="AA15" s="47">
        <f t="shared" ca="1" si="16"/>
        <v>1</v>
      </c>
      <c r="AB15" s="47">
        <f t="shared" ca="1" si="17"/>
        <v>4040</v>
      </c>
      <c r="AC15" s="63">
        <f t="shared" ca="1" si="18"/>
        <v>95000</v>
      </c>
      <c r="AD15" s="63">
        <f t="shared" ca="1" si="19"/>
        <v>5573.7704918032787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16.800000000000004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67</v>
      </c>
      <c r="AS15" s="33">
        <f t="shared" ca="1" si="34"/>
        <v>0.2</v>
      </c>
      <c r="AW15" s="2">
        <v>5.2</v>
      </c>
      <c r="AX15" s="2" t="s">
        <v>257</v>
      </c>
      <c r="AY15" s="130">
        <v>29.7</v>
      </c>
      <c r="AZ15" s="2">
        <v>19.399999999999999</v>
      </c>
      <c r="BA15" s="2"/>
      <c r="BB15" s="2">
        <v>24</v>
      </c>
      <c r="BC15" s="2"/>
      <c r="BD15" s="2">
        <v>6.5</v>
      </c>
      <c r="BE15" s="2">
        <v>7.9</v>
      </c>
      <c r="BF15" s="2">
        <v>8.1999999999999993</v>
      </c>
      <c r="BG15" s="2">
        <v>8.6</v>
      </c>
      <c r="BH15" s="2">
        <v>10.5</v>
      </c>
      <c r="BI15" s="2"/>
      <c r="BJ15" s="2"/>
      <c r="BK15" s="2"/>
      <c r="BL15" s="2"/>
      <c r="BM15" s="2"/>
      <c r="BN15" s="2">
        <v>68</v>
      </c>
      <c r="BO15" s="2">
        <v>32</v>
      </c>
      <c r="BP15" s="2">
        <v>38</v>
      </c>
      <c r="BQ15" s="2">
        <v>41</v>
      </c>
      <c r="BR15" s="2">
        <v>44</v>
      </c>
      <c r="BS15" s="2">
        <v>50</v>
      </c>
      <c r="BT15" s="2">
        <v>15</v>
      </c>
      <c r="BU15" s="2">
        <v>51</v>
      </c>
      <c r="BV15" s="2">
        <v>66</v>
      </c>
      <c r="BW15" s="2">
        <v>81</v>
      </c>
      <c r="BX15" s="2">
        <v>117</v>
      </c>
      <c r="BY15" s="2">
        <v>35.5</v>
      </c>
      <c r="BZ15" s="2">
        <v>5.4</v>
      </c>
      <c r="CA15" s="2">
        <v>1.4</v>
      </c>
      <c r="CB15" s="2">
        <v>1.4148203917983499E-5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20a</v>
      </c>
      <c r="J16" s="47">
        <f t="shared" ca="1" si="35"/>
        <v>11</v>
      </c>
      <c r="K16" s="19">
        <f t="shared" ca="1" si="36"/>
        <v>-18</v>
      </c>
      <c r="L16" s="116" t="str">
        <f t="shared" ca="1" si="1"/>
        <v>EW_sand_Ruled_93</v>
      </c>
      <c r="M16" s="105" t="str">
        <f t="shared" ca="1" si="2"/>
        <v>API sand</v>
      </c>
      <c r="N16" s="47">
        <f t="shared" ca="1" si="3"/>
        <v>10</v>
      </c>
      <c r="O16" s="63">
        <f t="shared" ca="1" si="4"/>
        <v>0</v>
      </c>
      <c r="P16" s="63">
        <f t="shared" ca="1" si="5"/>
        <v>0</v>
      </c>
      <c r="Q16" s="47">
        <f t="shared" ca="1" si="6"/>
        <v>30</v>
      </c>
      <c r="R16" s="47">
        <f t="shared" ca="1" si="7"/>
        <v>25</v>
      </c>
      <c r="S16" s="47">
        <f t="shared" ca="1" si="8"/>
        <v>1.8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70000</v>
      </c>
      <c r="Y16" s="47">
        <f t="shared" ca="1" si="14"/>
        <v>0</v>
      </c>
      <c r="Z16" s="47">
        <f t="shared" ca="1" si="15"/>
        <v>80.999999999999972</v>
      </c>
      <c r="AA16" s="47">
        <f t="shared" ca="1" si="16"/>
        <v>1</v>
      </c>
      <c r="AB16" s="47">
        <f t="shared" ca="1" si="17"/>
        <v>4800</v>
      </c>
      <c r="AC16" s="63">
        <f t="shared" ca="1" si="18"/>
        <v>191000</v>
      </c>
      <c r="AD16" s="63">
        <f t="shared" ca="1" si="19"/>
        <v>-8142.8571428571422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20.000000000000007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93</v>
      </c>
      <c r="AS16" s="33">
        <f t="shared" ca="1" si="34"/>
        <v>0.2</v>
      </c>
      <c r="AW16" s="2">
        <v>5.2</v>
      </c>
      <c r="AX16" s="2" t="s">
        <v>298</v>
      </c>
      <c r="AY16" s="130">
        <v>37.1</v>
      </c>
      <c r="AZ16" s="2">
        <v>18.5</v>
      </c>
      <c r="BA16" s="2">
        <v>30</v>
      </c>
      <c r="BB16" s="2">
        <v>88</v>
      </c>
      <c r="BC16" s="2">
        <v>3</v>
      </c>
      <c r="BD16" s="2">
        <v>2.2999999999999998</v>
      </c>
      <c r="BE16" s="2">
        <v>2.9</v>
      </c>
      <c r="BF16" s="2">
        <v>3.2</v>
      </c>
      <c r="BG16" s="2">
        <v>3.6</v>
      </c>
      <c r="BH16" s="2">
        <f>15+4.7</f>
        <v>19.7</v>
      </c>
      <c r="BI16" s="2">
        <v>110</v>
      </c>
      <c r="BJ16" s="2">
        <v>144</v>
      </c>
      <c r="BK16" s="2">
        <v>171</v>
      </c>
      <c r="BL16" s="2">
        <v>203</v>
      </c>
      <c r="BM16" s="2">
        <v>283</v>
      </c>
      <c r="BN16" s="2"/>
      <c r="BO16" s="2"/>
      <c r="BP16" s="2"/>
      <c r="BQ16" s="2"/>
      <c r="BR16" s="2"/>
      <c r="BS16" s="2"/>
      <c r="BT16" s="2">
        <v>105</v>
      </c>
      <c r="BU16" s="2">
        <v>109</v>
      </c>
      <c r="BV16" s="2">
        <v>143</v>
      </c>
      <c r="BW16" s="2">
        <v>180</v>
      </c>
      <c r="BX16" s="2">
        <v>267</v>
      </c>
      <c r="BY16" s="2">
        <v>15.7</v>
      </c>
      <c r="BZ16" s="2">
        <v>7.1</v>
      </c>
      <c r="CA16" s="2">
        <v>3</v>
      </c>
      <c r="CB16" s="2">
        <v>3.3540424693710401E-10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20a</v>
      </c>
      <c r="J17" s="47">
        <f t="shared" ca="1" si="35"/>
        <v>12</v>
      </c>
      <c r="K17" s="19">
        <f t="shared" ca="1" si="36"/>
        <v>-25</v>
      </c>
      <c r="L17" s="116" t="str">
        <f t="shared" ca="1" si="1"/>
        <v>EW_sand_Ruled_71</v>
      </c>
      <c r="M17" s="105" t="str">
        <f t="shared" ca="1" si="2"/>
        <v>API sand</v>
      </c>
      <c r="N17" s="47">
        <f t="shared" ca="1" si="3"/>
        <v>10</v>
      </c>
      <c r="O17" s="63">
        <f t="shared" ca="1" si="4"/>
        <v>0</v>
      </c>
      <c r="P17" s="63">
        <f t="shared" ca="1" si="5"/>
        <v>0</v>
      </c>
      <c r="Q17" s="47">
        <f t="shared" ca="1" si="6"/>
        <v>28</v>
      </c>
      <c r="R17" s="47">
        <f t="shared" ca="1" si="7"/>
        <v>23</v>
      </c>
      <c r="S17" s="47">
        <f t="shared" ca="1" si="8"/>
        <v>1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19000</v>
      </c>
      <c r="Y17" s="47">
        <f t="shared" ca="1" si="14"/>
        <v>0</v>
      </c>
      <c r="Z17" s="47">
        <f t="shared" ca="1" si="15"/>
        <v>75.399999999999977</v>
      </c>
      <c r="AA17" s="47">
        <f t="shared" ca="1" si="16"/>
        <v>1</v>
      </c>
      <c r="AB17" s="47">
        <f t="shared" ca="1" si="17"/>
        <v>4040</v>
      </c>
      <c r="AC17" s="63">
        <f t="shared" ca="1" si="18"/>
        <v>155000</v>
      </c>
      <c r="AD17" s="63">
        <f t="shared" ca="1" si="19"/>
        <v>3230.7692307692309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16.800000000000004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71</v>
      </c>
      <c r="AS17" s="33">
        <f t="shared" ca="1" si="34"/>
        <v>0.2</v>
      </c>
      <c r="AW17" s="2">
        <v>6.1</v>
      </c>
      <c r="AX17" s="2" t="s">
        <v>298</v>
      </c>
      <c r="AY17" s="130">
        <v>37.1</v>
      </c>
      <c r="AZ17" s="2">
        <v>18.5</v>
      </c>
      <c r="BA17" s="2">
        <v>30</v>
      </c>
      <c r="BB17" s="2">
        <v>88</v>
      </c>
      <c r="BC17" s="2">
        <v>3</v>
      </c>
      <c r="BD17" s="2">
        <v>0.5</v>
      </c>
      <c r="BE17" s="2">
        <v>1.1000000000000001</v>
      </c>
      <c r="BF17" s="2">
        <v>1.4</v>
      </c>
      <c r="BG17" s="2">
        <v>1.7</v>
      </c>
      <c r="BH17" s="2">
        <f>15+2.8</f>
        <v>17.8</v>
      </c>
      <c r="BI17" s="2">
        <v>8</v>
      </c>
      <c r="BJ17" s="2">
        <v>42</v>
      </c>
      <c r="BK17" s="2">
        <v>69</v>
      </c>
      <c r="BL17" s="2">
        <v>101</v>
      </c>
      <c r="BM17" s="2">
        <v>181</v>
      </c>
      <c r="BN17" s="2"/>
      <c r="BO17" s="2"/>
      <c r="BP17" s="2"/>
      <c r="BQ17" s="2"/>
      <c r="BR17" s="2"/>
      <c r="BS17" s="2"/>
      <c r="BT17" s="2">
        <v>6</v>
      </c>
      <c r="BU17" s="2">
        <v>10</v>
      </c>
      <c r="BV17" s="2">
        <v>43</v>
      </c>
      <c r="BW17" s="2">
        <v>81</v>
      </c>
      <c r="BX17" s="2">
        <v>168</v>
      </c>
      <c r="BY17" s="2">
        <v>15.7</v>
      </c>
      <c r="BZ17" s="2">
        <v>7.1</v>
      </c>
      <c r="CA17" s="2">
        <v>3</v>
      </c>
      <c r="CB17" s="2">
        <v>3.3540424693710401E-10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21d</v>
      </c>
      <c r="J18" s="47">
        <f t="shared" ca="1" si="35"/>
        <v>13</v>
      </c>
      <c r="K18" s="19">
        <f t="shared" ca="1" si="36"/>
        <v>-31.5</v>
      </c>
      <c r="L18" s="116" t="str">
        <f t="shared" ca="1" si="1"/>
        <v>EW_sand_Ruled_53</v>
      </c>
      <c r="M18" s="105" t="str">
        <f t="shared" ca="1" si="2"/>
        <v>API sand</v>
      </c>
      <c r="N18" s="47">
        <f t="shared" ca="1" si="3"/>
        <v>10</v>
      </c>
      <c r="O18" s="63">
        <f t="shared" ca="1" si="4"/>
        <v>0</v>
      </c>
      <c r="P18" s="63">
        <f t="shared" ca="1" si="5"/>
        <v>0</v>
      </c>
      <c r="Q18" s="47">
        <f t="shared" ca="1" si="6"/>
        <v>26</v>
      </c>
      <c r="R18" s="47">
        <f t="shared" ca="1" si="7"/>
        <v>21</v>
      </c>
      <c r="S18" s="47">
        <f t="shared" ca="1" si="8"/>
        <v>0.6</v>
      </c>
      <c r="T18" s="47">
        <f t="shared" ca="1" si="9"/>
        <v>0</v>
      </c>
      <c r="U18" s="75">
        <f t="shared" ca="1" si="10"/>
        <v>0</v>
      </c>
      <c r="V18" s="75">
        <f t="shared" ca="1" si="11"/>
        <v>0</v>
      </c>
      <c r="W18" s="47">
        <f t="shared" ca="1" si="12"/>
        <v>0</v>
      </c>
      <c r="X18" s="47">
        <f t="shared" ca="1" si="13"/>
        <v>20000</v>
      </c>
      <c r="Y18" s="47">
        <f t="shared" ca="1" si="14"/>
        <v>0</v>
      </c>
      <c r="Z18" s="47">
        <f t="shared" ca="1" si="15"/>
        <v>69.799999999999983</v>
      </c>
      <c r="AA18" s="47">
        <f t="shared" ca="1" si="16"/>
        <v>1</v>
      </c>
      <c r="AB18" s="47">
        <f t="shared" ca="1" si="17"/>
        <v>3280</v>
      </c>
      <c r="AC18" s="63">
        <f t="shared" ca="1" si="18"/>
        <v>159000</v>
      </c>
      <c r="AD18" s="63">
        <f t="shared" ca="1" si="19"/>
        <v>974.02597402597416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>
        <f t="shared" ca="1" si="25"/>
        <v>13.600000000000003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53</v>
      </c>
      <c r="AS18" s="33">
        <f t="shared" ca="1" si="34"/>
        <v>0.4</v>
      </c>
      <c r="AW18" s="2">
        <v>6.1</v>
      </c>
      <c r="AX18" s="2" t="s">
        <v>259</v>
      </c>
      <c r="AY18" s="130">
        <v>25.5</v>
      </c>
      <c r="AZ18" s="2">
        <v>20</v>
      </c>
      <c r="BA18" s="2"/>
      <c r="BB18" s="2">
        <v>14</v>
      </c>
      <c r="BC18" s="2"/>
      <c r="BD18" s="2">
        <v>2.8</v>
      </c>
      <c r="BE18" s="2">
        <v>5.0999999999999996</v>
      </c>
      <c r="BF18" s="2">
        <v>5.8</v>
      </c>
      <c r="BG18" s="2">
        <v>6.6</v>
      </c>
      <c r="BH18" s="2">
        <f>15+9.3</f>
        <v>24.3</v>
      </c>
      <c r="BI18" s="2"/>
      <c r="BJ18" s="2"/>
      <c r="BK18" s="2"/>
      <c r="BL18" s="2"/>
      <c r="BM18" s="2"/>
      <c r="BN18" s="2">
        <v>61</v>
      </c>
      <c r="BO18" s="2">
        <v>32</v>
      </c>
      <c r="BP18" s="2">
        <v>37</v>
      </c>
      <c r="BQ18" s="2">
        <v>40</v>
      </c>
      <c r="BR18" s="2">
        <v>43</v>
      </c>
      <c r="BS18" s="2">
        <v>49</v>
      </c>
      <c r="BT18" s="2">
        <v>6</v>
      </c>
      <c r="BU18" s="2">
        <v>48</v>
      </c>
      <c r="BV18" s="2">
        <v>67</v>
      </c>
      <c r="BW18" s="2">
        <v>85</v>
      </c>
      <c r="BX18" s="2">
        <v>129</v>
      </c>
      <c r="BY18" s="2">
        <v>36.700000000000003</v>
      </c>
      <c r="BZ18" s="2">
        <v>3.7</v>
      </c>
      <c r="CA18" s="2">
        <v>1.1000000000000001</v>
      </c>
      <c r="CB18" s="2">
        <v>9.6711027766801098E-7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23d</v>
      </c>
      <c r="J19" s="47">
        <f t="shared" ca="1" si="35"/>
        <v>14</v>
      </c>
      <c r="K19" s="19">
        <f t="shared" ca="1" si="36"/>
        <v>-46.9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8.8999999999999986</v>
      </c>
      <c r="O19" s="63">
        <f t="shared" ca="1" si="4"/>
        <v>301</v>
      </c>
      <c r="P19" s="63">
        <f t="shared" ca="1" si="5"/>
        <v>7.4018126888217521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2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0.25</v>
      </c>
      <c r="X19" s="47">
        <f t="shared" ca="1" si="13"/>
        <v>37100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448000</v>
      </c>
      <c r="AD19" s="63">
        <f t="shared" ca="1" si="19"/>
        <v>12296.07250755287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7</v>
      </c>
      <c r="AX19" s="2" t="s">
        <v>259</v>
      </c>
      <c r="AY19" s="130">
        <v>25.5</v>
      </c>
      <c r="AZ19" s="2">
        <v>20</v>
      </c>
      <c r="BA19" s="2"/>
      <c r="BB19" s="2">
        <v>14</v>
      </c>
      <c r="BC19" s="2"/>
      <c r="BD19" s="2">
        <v>10.8</v>
      </c>
      <c r="BE19" s="2">
        <v>13.1</v>
      </c>
      <c r="BF19" s="2">
        <v>13.8</v>
      </c>
      <c r="BG19" s="2">
        <v>14.6</v>
      </c>
      <c r="BH19" s="2">
        <f>15+17.3</f>
        <v>32.299999999999997</v>
      </c>
      <c r="BI19" s="2"/>
      <c r="BJ19" s="2"/>
      <c r="BK19" s="2"/>
      <c r="BL19" s="2"/>
      <c r="BM19" s="2"/>
      <c r="BN19" s="2">
        <v>61</v>
      </c>
      <c r="BO19" s="2">
        <v>32</v>
      </c>
      <c r="BP19" s="2">
        <v>37</v>
      </c>
      <c r="BQ19" s="2">
        <v>40</v>
      </c>
      <c r="BR19" s="2">
        <v>43</v>
      </c>
      <c r="BS19" s="2">
        <v>49</v>
      </c>
      <c r="BT19" s="2">
        <v>25</v>
      </c>
      <c r="BU19" s="2">
        <v>68</v>
      </c>
      <c r="BV19" s="2">
        <v>86</v>
      </c>
      <c r="BW19" s="2">
        <v>104</v>
      </c>
      <c r="BX19" s="2">
        <v>148</v>
      </c>
      <c r="BY19" s="2">
        <v>36.700000000000003</v>
      </c>
      <c r="BZ19" s="2">
        <v>3.7</v>
      </c>
      <c r="CA19" s="2">
        <v>1.1000000000000001</v>
      </c>
      <c r="CB19" s="2">
        <v>9.6711027766801098E-7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7</v>
      </c>
      <c r="AX20" s="2" t="s">
        <v>261</v>
      </c>
      <c r="AY20" s="130">
        <v>24</v>
      </c>
      <c r="AZ20" s="2">
        <v>19.899999999999999</v>
      </c>
      <c r="BA20" s="2"/>
      <c r="BB20" s="2">
        <v>6</v>
      </c>
      <c r="BC20" s="2"/>
      <c r="BD20" s="2">
        <v>19.899999999999999</v>
      </c>
      <c r="BE20" s="2">
        <v>22.8</v>
      </c>
      <c r="BF20" s="2">
        <v>23.4</v>
      </c>
      <c r="BG20" s="2">
        <v>24.2</v>
      </c>
      <c r="BH20" s="2">
        <f>10+28.1</f>
        <v>38.1</v>
      </c>
      <c r="BI20" s="2"/>
      <c r="BJ20" s="2"/>
      <c r="BK20" s="2"/>
      <c r="BL20" s="2"/>
      <c r="BM20" s="2"/>
      <c r="BN20" s="2">
        <v>82</v>
      </c>
      <c r="BO20" s="2">
        <v>35</v>
      </c>
      <c r="BP20" s="2">
        <v>41</v>
      </c>
      <c r="BQ20" s="2">
        <v>44</v>
      </c>
      <c r="BR20" s="2">
        <v>47</v>
      </c>
      <c r="BS20" s="2">
        <v>53</v>
      </c>
      <c r="BT20" s="2">
        <v>15</v>
      </c>
      <c r="BU20" s="2">
        <v>75</v>
      </c>
      <c r="BV20" s="2">
        <v>99</v>
      </c>
      <c r="BW20" s="2">
        <v>124</v>
      </c>
      <c r="BX20" s="2">
        <v>184</v>
      </c>
      <c r="BY20" s="2">
        <v>89.2</v>
      </c>
      <c r="BZ20" s="2">
        <v>5.5</v>
      </c>
      <c r="CA20" s="2">
        <v>1.4</v>
      </c>
      <c r="CB20" s="2">
        <v>3.5639746062462598E-5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9.6</v>
      </c>
      <c r="AX21" s="2" t="s">
        <v>261</v>
      </c>
      <c r="AY21" s="130">
        <v>24</v>
      </c>
      <c r="AZ21" s="2">
        <v>19.899999999999999</v>
      </c>
      <c r="BA21" s="2"/>
      <c r="BB21" s="2">
        <v>6</v>
      </c>
      <c r="BC21" s="2"/>
      <c r="BD21" s="2">
        <v>17.2</v>
      </c>
      <c r="BE21" s="2">
        <v>20.2</v>
      </c>
      <c r="BF21" s="2">
        <v>20.8</v>
      </c>
      <c r="BG21" s="2">
        <v>21.6</v>
      </c>
      <c r="BH21" s="2">
        <f>10+25.4</f>
        <v>35.4</v>
      </c>
      <c r="BI21" s="2"/>
      <c r="BJ21" s="2"/>
      <c r="BK21" s="2"/>
      <c r="BL21" s="2"/>
      <c r="BM21" s="2"/>
      <c r="BN21" s="2">
        <v>82</v>
      </c>
      <c r="BO21" s="2">
        <v>35</v>
      </c>
      <c r="BP21" s="2">
        <v>41</v>
      </c>
      <c r="BQ21" s="2">
        <v>44</v>
      </c>
      <c r="BR21" s="2">
        <v>47</v>
      </c>
      <c r="BS21" s="2">
        <v>53</v>
      </c>
      <c r="BT21" s="2">
        <v>23</v>
      </c>
      <c r="BU21" s="2">
        <v>82</v>
      </c>
      <c r="BV21" s="2">
        <v>107</v>
      </c>
      <c r="BW21" s="2">
        <v>131</v>
      </c>
      <c r="BX21" s="2">
        <v>191</v>
      </c>
      <c r="BY21" s="2">
        <v>89.2</v>
      </c>
      <c r="BZ21" s="2">
        <v>5.5</v>
      </c>
      <c r="CA21" s="2">
        <v>1.4</v>
      </c>
      <c r="CB21" s="2">
        <v>3.5639746062462598E-5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9.6</v>
      </c>
      <c r="AX22" s="2" t="s">
        <v>287</v>
      </c>
      <c r="AY22" s="130">
        <v>36</v>
      </c>
      <c r="AZ22" s="2">
        <v>18.399999999999999</v>
      </c>
      <c r="BA22" s="2">
        <v>23</v>
      </c>
      <c r="BB22" s="2">
        <v>53</v>
      </c>
      <c r="BC22" s="2">
        <v>4</v>
      </c>
      <c r="BD22" s="2">
        <v>2.7</v>
      </c>
      <c r="BE22" s="2">
        <v>3</v>
      </c>
      <c r="BF22" s="2">
        <v>3.2</v>
      </c>
      <c r="BG22" s="2">
        <v>3.4</v>
      </c>
      <c r="BH22" s="2">
        <v>4</v>
      </c>
      <c r="BI22" s="2">
        <v>61</v>
      </c>
      <c r="BJ22" s="2">
        <v>132</v>
      </c>
      <c r="BK22" s="2">
        <v>165</v>
      </c>
      <c r="BL22" s="2">
        <v>198</v>
      </c>
      <c r="BM22" s="2">
        <v>276</v>
      </c>
      <c r="BN22" s="2"/>
      <c r="BO22" s="2"/>
      <c r="BP22" s="2"/>
      <c r="BQ22" s="2"/>
      <c r="BR22" s="2"/>
      <c r="BS22" s="2"/>
      <c r="BT22" s="2">
        <v>32</v>
      </c>
      <c r="BU22" s="2">
        <v>96</v>
      </c>
      <c r="BV22" s="2">
        <v>141</v>
      </c>
      <c r="BW22" s="2">
        <v>188</v>
      </c>
      <c r="BX22" s="2">
        <v>284</v>
      </c>
      <c r="BY22" s="2">
        <v>22.8</v>
      </c>
      <c r="BZ22" s="2">
        <v>5.3</v>
      </c>
      <c r="CA22" s="2">
        <v>3</v>
      </c>
      <c r="CB22" s="2">
        <v>6.4881114485570102E-10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11.9</v>
      </c>
      <c r="AX23" s="2" t="s">
        <v>287</v>
      </c>
      <c r="AY23" s="130">
        <v>36</v>
      </c>
      <c r="AZ23" s="2">
        <v>18.399999999999999</v>
      </c>
      <c r="BA23" s="2">
        <v>23</v>
      </c>
      <c r="BB23" s="2">
        <v>53</v>
      </c>
      <c r="BC23" s="2">
        <v>4</v>
      </c>
      <c r="BD23" s="2">
        <v>2.2999999999999998</v>
      </c>
      <c r="BE23" s="2">
        <v>2.7</v>
      </c>
      <c r="BF23" s="2">
        <v>2.8</v>
      </c>
      <c r="BG23" s="2">
        <v>3</v>
      </c>
      <c r="BH23" s="2">
        <v>3.7</v>
      </c>
      <c r="BI23" s="2">
        <v>40</v>
      </c>
      <c r="BJ23" s="2">
        <v>111</v>
      </c>
      <c r="BK23" s="2">
        <v>144</v>
      </c>
      <c r="BL23" s="2">
        <v>177</v>
      </c>
      <c r="BM23" s="2">
        <v>255</v>
      </c>
      <c r="BN23" s="2"/>
      <c r="BO23" s="2"/>
      <c r="BP23" s="2"/>
      <c r="BQ23" s="2"/>
      <c r="BR23" s="2"/>
      <c r="BS23" s="2"/>
      <c r="BT23" s="2">
        <v>11</v>
      </c>
      <c r="BU23" s="2">
        <v>75</v>
      </c>
      <c r="BV23" s="2">
        <v>121</v>
      </c>
      <c r="BW23" s="2">
        <v>167</v>
      </c>
      <c r="BX23" s="2">
        <v>264</v>
      </c>
      <c r="BY23" s="2">
        <v>22.8</v>
      </c>
      <c r="BZ23" s="2">
        <v>5.3</v>
      </c>
      <c r="CA23" s="2">
        <v>3</v>
      </c>
      <c r="CB23" s="2">
        <v>6.4881114485570102E-10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11.9</v>
      </c>
      <c r="AX24" s="2" t="s">
        <v>278</v>
      </c>
      <c r="AY24" s="130">
        <v>25.2</v>
      </c>
      <c r="AZ24" s="2">
        <v>20</v>
      </c>
      <c r="BA24" s="2"/>
      <c r="BB24" s="2">
        <v>22</v>
      </c>
      <c r="BC24" s="2"/>
      <c r="BD24" s="2">
        <v>0.4</v>
      </c>
      <c r="BE24" s="2">
        <v>5.6</v>
      </c>
      <c r="BF24" s="2">
        <v>7.1</v>
      </c>
      <c r="BG24" s="2">
        <v>8.6</v>
      </c>
      <c r="BH24" s="2">
        <f>10+17</f>
        <v>27</v>
      </c>
      <c r="BI24" s="2"/>
      <c r="BJ24" s="2"/>
      <c r="BK24" s="2"/>
      <c r="BL24" s="2"/>
      <c r="BM24" s="2"/>
      <c r="BN24" s="2">
        <v>67</v>
      </c>
      <c r="BO24" s="2">
        <v>26</v>
      </c>
      <c r="BP24" s="2">
        <v>28</v>
      </c>
      <c r="BQ24" s="2">
        <v>30</v>
      </c>
      <c r="BR24" s="2">
        <v>33</v>
      </c>
      <c r="BS24" s="2">
        <v>37</v>
      </c>
      <c r="BT24" s="2">
        <v>11</v>
      </c>
      <c r="BU24" s="2">
        <v>69</v>
      </c>
      <c r="BV24" s="2">
        <v>95</v>
      </c>
      <c r="BW24" s="2">
        <v>121</v>
      </c>
      <c r="BX24" s="2">
        <v>188</v>
      </c>
      <c r="BY24" s="2">
        <v>19</v>
      </c>
      <c r="BZ24" s="2">
        <v>5.2</v>
      </c>
      <c r="CA24" s="2">
        <v>1.3</v>
      </c>
      <c r="CB24" s="2">
        <v>1.54802114609889E-9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18</v>
      </c>
      <c r="AX25" s="2" t="s">
        <v>278</v>
      </c>
      <c r="AY25" s="130">
        <v>25.2</v>
      </c>
      <c r="AZ25" s="2">
        <v>20</v>
      </c>
      <c r="BA25" s="2"/>
      <c r="BB25" s="2">
        <v>22</v>
      </c>
      <c r="BC25" s="2"/>
      <c r="BD25" s="2">
        <v>18.100000000000001</v>
      </c>
      <c r="BE25" s="2">
        <v>23.3</v>
      </c>
      <c r="BF25" s="2">
        <v>24.7</v>
      </c>
      <c r="BG25" s="2">
        <v>26.3</v>
      </c>
      <c r="BH25" s="2">
        <f>10+34.7</f>
        <v>44.7</v>
      </c>
      <c r="BI25" s="2"/>
      <c r="BJ25" s="2"/>
      <c r="BK25" s="2"/>
      <c r="BL25" s="2"/>
      <c r="BM25" s="2"/>
      <c r="BN25" s="2">
        <v>67</v>
      </c>
      <c r="BO25" s="2">
        <v>26</v>
      </c>
      <c r="BP25" s="2">
        <v>28</v>
      </c>
      <c r="BQ25" s="2">
        <v>30</v>
      </c>
      <c r="BR25" s="2">
        <v>33</v>
      </c>
      <c r="BS25" s="2">
        <v>37</v>
      </c>
      <c r="BT25" s="2">
        <v>46</v>
      </c>
      <c r="BU25" s="2">
        <v>103</v>
      </c>
      <c r="BV25" s="2">
        <v>129</v>
      </c>
      <c r="BW25" s="2">
        <v>156</v>
      </c>
      <c r="BX25" s="2">
        <v>222</v>
      </c>
      <c r="BY25" s="2">
        <v>19</v>
      </c>
      <c r="BZ25" s="2">
        <v>5.2</v>
      </c>
      <c r="CA25" s="2">
        <v>1.3</v>
      </c>
      <c r="CB25" s="2">
        <v>1.54802114609889E-9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18</v>
      </c>
      <c r="AX26" s="2" t="s">
        <v>278</v>
      </c>
      <c r="AY26" s="130">
        <v>25.2</v>
      </c>
      <c r="AZ26" s="2">
        <v>20</v>
      </c>
      <c r="BA26" s="2"/>
      <c r="BB26" s="2">
        <v>22</v>
      </c>
      <c r="BC26" s="2"/>
      <c r="BD26" s="2">
        <v>52.8</v>
      </c>
      <c r="BE26" s="2">
        <v>56.9</v>
      </c>
      <c r="BF26" s="2">
        <v>61.9</v>
      </c>
      <c r="BG26" s="2">
        <v>66.400000000000006</v>
      </c>
      <c r="BH26" s="2">
        <v>83.2</v>
      </c>
      <c r="BI26" s="2"/>
      <c r="BJ26" s="2"/>
      <c r="BK26" s="2"/>
      <c r="BL26" s="2"/>
      <c r="BM26" s="2"/>
      <c r="BN26" s="2">
        <v>93</v>
      </c>
      <c r="BO26" s="2">
        <v>26</v>
      </c>
      <c r="BP26" s="2">
        <v>30</v>
      </c>
      <c r="BQ26" s="2">
        <v>33</v>
      </c>
      <c r="BR26" s="2">
        <v>35</v>
      </c>
      <c r="BS26" s="2">
        <v>40</v>
      </c>
      <c r="BT26" s="2">
        <v>82</v>
      </c>
      <c r="BU26" s="2">
        <v>151</v>
      </c>
      <c r="BV26" s="2">
        <v>191</v>
      </c>
      <c r="BW26" s="2">
        <v>232</v>
      </c>
      <c r="BX26" s="2">
        <v>333</v>
      </c>
      <c r="BY26" s="2">
        <v>70</v>
      </c>
      <c r="BZ26" s="2">
        <v>8.6</v>
      </c>
      <c r="CA26" s="2">
        <v>1.8</v>
      </c>
      <c r="CB26" s="2">
        <v>1.17035498612043E-8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25</v>
      </c>
      <c r="AX27" s="2" t="s">
        <v>278</v>
      </c>
      <c r="AY27" s="130">
        <v>25.2</v>
      </c>
      <c r="AZ27" s="2">
        <v>20</v>
      </c>
      <c r="BA27" s="2"/>
      <c r="BB27" s="2">
        <v>22</v>
      </c>
      <c r="BC27" s="2"/>
      <c r="BD27" s="2">
        <v>0.9</v>
      </c>
      <c r="BE27" s="2">
        <v>5</v>
      </c>
      <c r="BF27" s="2">
        <v>10</v>
      </c>
      <c r="BG27" s="2">
        <v>14.5</v>
      </c>
      <c r="BH27" s="2">
        <v>31.2</v>
      </c>
      <c r="BI27" s="2"/>
      <c r="BJ27" s="2"/>
      <c r="BK27" s="2"/>
      <c r="BL27" s="2"/>
      <c r="BM27" s="2"/>
      <c r="BN27" s="2">
        <v>93</v>
      </c>
      <c r="BO27" s="2">
        <v>26</v>
      </c>
      <c r="BP27" s="2">
        <v>30</v>
      </c>
      <c r="BQ27" s="2">
        <v>33</v>
      </c>
      <c r="BR27" s="2">
        <v>35</v>
      </c>
      <c r="BS27" s="2">
        <v>40</v>
      </c>
      <c r="BT27" s="2">
        <v>24</v>
      </c>
      <c r="BU27" s="2">
        <v>93</v>
      </c>
      <c r="BV27" s="2">
        <v>134</v>
      </c>
      <c r="BW27" s="2">
        <v>174</v>
      </c>
      <c r="BX27" s="2">
        <v>275</v>
      </c>
      <c r="BY27" s="2">
        <v>70</v>
      </c>
      <c r="BZ27" s="2">
        <v>8.6</v>
      </c>
      <c r="CA27" s="2">
        <v>1.8</v>
      </c>
      <c r="CB27" s="2">
        <v>1.17035498612043E-8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25</v>
      </c>
      <c r="AX28" s="2" t="s">
        <v>278</v>
      </c>
      <c r="AY28" s="130">
        <v>25.2</v>
      </c>
      <c r="AZ28" s="2">
        <v>20</v>
      </c>
      <c r="BA28" s="2"/>
      <c r="BB28" s="2">
        <v>22</v>
      </c>
      <c r="BC28" s="2"/>
      <c r="BD28" s="2">
        <v>11.6</v>
      </c>
      <c r="BE28" s="2">
        <v>19.2</v>
      </c>
      <c r="BF28" s="2">
        <v>20.6</v>
      </c>
      <c r="BG28" s="2">
        <v>23</v>
      </c>
      <c r="BH28" s="2">
        <v>36.5</v>
      </c>
      <c r="BI28" s="2"/>
      <c r="BJ28" s="2"/>
      <c r="BK28" s="2"/>
      <c r="BL28" s="2"/>
      <c r="BM28" s="2"/>
      <c r="BN28" s="2">
        <v>71</v>
      </c>
      <c r="BO28" s="2">
        <v>26</v>
      </c>
      <c r="BP28" s="2">
        <v>28</v>
      </c>
      <c r="BQ28" s="2">
        <v>30</v>
      </c>
      <c r="BR28" s="2">
        <v>33</v>
      </c>
      <c r="BS28" s="2">
        <v>37</v>
      </c>
      <c r="BT28" s="2">
        <v>25</v>
      </c>
      <c r="BU28" s="2">
        <v>116</v>
      </c>
      <c r="BV28" s="2">
        <v>155</v>
      </c>
      <c r="BW28" s="2">
        <v>194</v>
      </c>
      <c r="BX28" s="2">
        <v>291</v>
      </c>
      <c r="BY28" s="2">
        <v>19</v>
      </c>
      <c r="BZ28" s="2">
        <v>3.4</v>
      </c>
      <c r="CA28" s="2">
        <v>1</v>
      </c>
      <c r="CB28" s="2">
        <v>5.7396744991056497E-10</v>
      </c>
      <c r="CC28" s="2"/>
    </row>
    <row r="29" spans="1:81" x14ac:dyDescent="0.25">
      <c r="A29" s="66"/>
      <c r="B29" s="66"/>
      <c r="C29" s="67"/>
      <c r="D29" s="35"/>
      <c r="AW29" s="2">
        <v>31.5</v>
      </c>
      <c r="AX29" s="2" t="s">
        <v>278</v>
      </c>
      <c r="AY29" s="130">
        <v>25.2</v>
      </c>
      <c r="AZ29" s="2">
        <v>20</v>
      </c>
      <c r="BA29" s="2"/>
      <c r="BB29" s="2">
        <v>22</v>
      </c>
      <c r="BC29" s="2"/>
      <c r="BD29" s="2">
        <v>15.2</v>
      </c>
      <c r="BE29" s="2">
        <v>22.8</v>
      </c>
      <c r="BF29" s="2">
        <v>24.2</v>
      </c>
      <c r="BG29" s="2">
        <v>26.6</v>
      </c>
      <c r="BH29" s="2">
        <v>40.1</v>
      </c>
      <c r="BI29" s="2"/>
      <c r="BJ29" s="2"/>
      <c r="BK29" s="2"/>
      <c r="BL29" s="2"/>
      <c r="BM29" s="2"/>
      <c r="BN29" s="2">
        <v>71</v>
      </c>
      <c r="BO29" s="2">
        <v>26</v>
      </c>
      <c r="BP29" s="2">
        <v>28</v>
      </c>
      <c r="BQ29" s="2">
        <v>30</v>
      </c>
      <c r="BR29" s="2">
        <v>33</v>
      </c>
      <c r="BS29" s="2">
        <v>37</v>
      </c>
      <c r="BT29" s="2">
        <v>46</v>
      </c>
      <c r="BU29" s="2">
        <v>138</v>
      </c>
      <c r="BV29" s="2">
        <v>176</v>
      </c>
      <c r="BW29" s="2">
        <v>215</v>
      </c>
      <c r="BX29" s="2">
        <v>313</v>
      </c>
      <c r="BY29" s="2">
        <v>19</v>
      </c>
      <c r="BZ29" s="2">
        <v>3.4</v>
      </c>
      <c r="CA29" s="2">
        <v>1</v>
      </c>
      <c r="CB29" s="2">
        <v>5.7396744991056497E-10</v>
      </c>
      <c r="CC29" s="2"/>
    </row>
    <row r="30" spans="1:81" x14ac:dyDescent="0.25">
      <c r="A30" s="66"/>
      <c r="B30" s="66"/>
      <c r="C30" s="67"/>
      <c r="D30" s="35"/>
      <c r="AW30" s="2">
        <v>31.5</v>
      </c>
      <c r="AX30" s="2" t="s">
        <v>217</v>
      </c>
      <c r="AY30" s="130">
        <v>23.6</v>
      </c>
      <c r="AZ30" s="2">
        <v>20</v>
      </c>
      <c r="BA30" s="2"/>
      <c r="BB30" s="2">
        <v>18</v>
      </c>
      <c r="BC30" s="2"/>
      <c r="BD30" s="2">
        <v>11.2</v>
      </c>
      <c r="BE30" s="2">
        <v>13.4</v>
      </c>
      <c r="BF30" s="2">
        <v>13.7</v>
      </c>
      <c r="BG30" s="2">
        <v>14.1</v>
      </c>
      <c r="BH30" s="2">
        <v>17.600000000000001</v>
      </c>
      <c r="BI30" s="2"/>
      <c r="BJ30" s="2"/>
      <c r="BK30" s="2"/>
      <c r="BL30" s="2"/>
      <c r="BM30" s="2"/>
      <c r="BN30" s="2">
        <v>53</v>
      </c>
      <c r="BO30" s="2">
        <v>26</v>
      </c>
      <c r="BP30" s="2">
        <v>26</v>
      </c>
      <c r="BQ30" s="2">
        <v>29</v>
      </c>
      <c r="BR30" s="2">
        <v>31</v>
      </c>
      <c r="BS30" s="2">
        <v>35</v>
      </c>
      <c r="BT30" s="2">
        <v>32</v>
      </c>
      <c r="BU30" s="2">
        <v>120</v>
      </c>
      <c r="BV30" s="2">
        <v>159</v>
      </c>
      <c r="BW30" s="2">
        <v>198</v>
      </c>
      <c r="BX30" s="2">
        <v>295</v>
      </c>
      <c r="BY30" s="2">
        <v>20</v>
      </c>
      <c r="BZ30" s="2">
        <v>1.5</v>
      </c>
      <c r="CA30" s="2">
        <v>0.6</v>
      </c>
      <c r="CB30" s="2">
        <v>1.0818543706847899E-9</v>
      </c>
      <c r="CC30" s="2"/>
    </row>
    <row r="31" spans="1:81" x14ac:dyDescent="0.25">
      <c r="A31" s="66"/>
      <c r="B31" s="66"/>
      <c r="C31" s="67"/>
      <c r="D31" s="35"/>
      <c r="AW31" s="2">
        <v>46.9</v>
      </c>
      <c r="AX31" s="2" t="s">
        <v>217</v>
      </c>
      <c r="AY31" s="130">
        <v>23.6</v>
      </c>
      <c r="AZ31" s="2">
        <v>20</v>
      </c>
      <c r="BA31" s="2"/>
      <c r="BB31" s="2">
        <v>18</v>
      </c>
      <c r="BC31" s="2"/>
      <c r="BD31" s="2">
        <v>10.7</v>
      </c>
      <c r="BE31" s="2">
        <v>12.9</v>
      </c>
      <c r="BF31" s="2">
        <v>13.2</v>
      </c>
      <c r="BG31" s="2">
        <v>13.6</v>
      </c>
      <c r="BH31" s="2">
        <v>17.100000000000001</v>
      </c>
      <c r="BI31" s="2"/>
      <c r="BJ31" s="2"/>
      <c r="BK31" s="2"/>
      <c r="BL31" s="2"/>
      <c r="BM31" s="2"/>
      <c r="BN31" s="2">
        <v>53</v>
      </c>
      <c r="BO31" s="2">
        <v>26</v>
      </c>
      <c r="BP31" s="2">
        <v>26</v>
      </c>
      <c r="BQ31" s="2">
        <v>29</v>
      </c>
      <c r="BR31" s="2">
        <v>31</v>
      </c>
      <c r="BS31" s="2">
        <v>35</v>
      </c>
      <c r="BT31" s="2">
        <v>46</v>
      </c>
      <c r="BU31" s="2">
        <v>134</v>
      </c>
      <c r="BV31" s="2">
        <v>174</v>
      </c>
      <c r="BW31" s="2">
        <v>213</v>
      </c>
      <c r="BX31" s="2">
        <v>310</v>
      </c>
      <c r="BY31" s="2">
        <v>20</v>
      </c>
      <c r="BZ31" s="2">
        <v>1.5</v>
      </c>
      <c r="CA31" s="2">
        <v>0.6</v>
      </c>
      <c r="CB31" s="2">
        <v>1.0818543706847899E-9</v>
      </c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46.9</v>
      </c>
      <c r="AX32" s="2" t="s">
        <v>273</v>
      </c>
      <c r="AY32" s="130">
        <v>32</v>
      </c>
      <c r="AZ32" s="2">
        <v>18.899999999999999</v>
      </c>
      <c r="BA32" s="2">
        <v>47</v>
      </c>
      <c r="BB32" s="2">
        <v>85</v>
      </c>
      <c r="BC32" s="2">
        <v>3</v>
      </c>
      <c r="BD32" s="2">
        <v>7.1</v>
      </c>
      <c r="BE32" s="2">
        <v>7.8</v>
      </c>
      <c r="BF32" s="2">
        <v>7.9</v>
      </c>
      <c r="BG32" s="2">
        <v>8</v>
      </c>
      <c r="BH32" s="2">
        <f>20+8.7</f>
        <v>28.7</v>
      </c>
      <c r="BI32" s="2">
        <v>209</v>
      </c>
      <c r="BJ32" s="2">
        <v>301</v>
      </c>
      <c r="BK32" s="2">
        <v>345</v>
      </c>
      <c r="BL32" s="2">
        <v>390</v>
      </c>
      <c r="BM32" s="2">
        <v>484</v>
      </c>
      <c r="BN32" s="2"/>
      <c r="BO32" s="2"/>
      <c r="BP32" s="2"/>
      <c r="BQ32" s="2"/>
      <c r="BR32" s="2"/>
      <c r="BS32" s="2"/>
      <c r="BT32" s="2">
        <v>176</v>
      </c>
      <c r="BU32" s="2">
        <v>359</v>
      </c>
      <c r="BV32" s="2">
        <v>448</v>
      </c>
      <c r="BW32" s="2">
        <v>537</v>
      </c>
      <c r="BX32" s="2">
        <v>721</v>
      </c>
      <c r="BY32" s="2">
        <v>37.1</v>
      </c>
      <c r="BZ32" s="2">
        <v>5.0999999999999996</v>
      </c>
      <c r="CA32" s="2">
        <v>2</v>
      </c>
      <c r="CB32" s="2">
        <v>4.0464964418992999E-10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80</v>
      </c>
      <c r="AX33" s="2" t="s">
        <v>273</v>
      </c>
      <c r="AY33" s="130">
        <v>32</v>
      </c>
      <c r="AZ33" s="2">
        <v>18.899999999999999</v>
      </c>
      <c r="BA33" s="2">
        <v>47</v>
      </c>
      <c r="BB33" s="2">
        <v>85</v>
      </c>
      <c r="BC33" s="2">
        <v>3</v>
      </c>
      <c r="BD33" s="2">
        <v>12.3</v>
      </c>
      <c r="BE33" s="2">
        <v>13</v>
      </c>
      <c r="BF33" s="2">
        <f>2+13.1</f>
        <v>15.1</v>
      </c>
      <c r="BG33" s="2">
        <f>3+13.2</f>
        <v>16.2</v>
      </c>
      <c r="BH33" s="2">
        <f>20+14</f>
        <v>34</v>
      </c>
      <c r="BI33" s="2">
        <v>454</v>
      </c>
      <c r="BJ33" s="2">
        <v>546</v>
      </c>
      <c r="BK33" s="2">
        <v>590</v>
      </c>
      <c r="BL33" s="2">
        <v>635</v>
      </c>
      <c r="BM33" s="2">
        <v>729</v>
      </c>
      <c r="BN33" s="2"/>
      <c r="BO33" s="2"/>
      <c r="BP33" s="2"/>
      <c r="BQ33" s="2"/>
      <c r="BR33" s="2"/>
      <c r="BS33" s="2"/>
      <c r="BT33" s="2">
        <v>583</v>
      </c>
      <c r="BU33" s="2">
        <v>766</v>
      </c>
      <c r="BV33" s="2">
        <v>855</v>
      </c>
      <c r="BW33" s="2">
        <v>944</v>
      </c>
      <c r="BX33" s="2">
        <v>1127</v>
      </c>
      <c r="BY33" s="2">
        <v>37.1</v>
      </c>
      <c r="BZ33" s="2">
        <v>5.0999999999999996</v>
      </c>
      <c r="CA33" s="2">
        <v>2</v>
      </c>
      <c r="CB33" s="2">
        <v>4.0464964418992999E-10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427" priority="12">
      <formula>$L32="API sand"</formula>
    </cfRule>
  </conditionalFormatting>
  <conditionalFormatting sqref="R32:S36 AB32:AB35 AJ32:AL36 Z32:Z36 N32:N36">
    <cfRule type="expression" dxfId="2426" priority="11">
      <formula>$M32="API sand"</formula>
    </cfRule>
  </conditionalFormatting>
  <conditionalFormatting sqref="R32:T36 Z32:AB35 AK32:AL36 N32:N36">
    <cfRule type="expression" dxfId="2425" priority="10">
      <formula>$M32="API clay"</formula>
    </cfRule>
  </conditionalFormatting>
  <conditionalFormatting sqref="U32:W36 AM32:AP36 N32:P36">
    <cfRule type="expression" dxfId="2424" priority="7">
      <formula>$L32="Stiff clay w/o free water"</formula>
    </cfRule>
    <cfRule type="expression" dxfId="2423" priority="9">
      <formula>$L32="API clay"</formula>
    </cfRule>
  </conditionalFormatting>
  <conditionalFormatting sqref="U32:Y36 AM32:AP36 N32:P36">
    <cfRule type="expression" dxfId="2422" priority="8">
      <formula>$L32="Kirsch soft clay"</formula>
    </cfRule>
  </conditionalFormatting>
  <conditionalFormatting sqref="U32:Y36 AM32:AP36 N32:P36">
    <cfRule type="expression" dxfId="2421" priority="6">
      <formula>$L32="Kirsch stiff clay"</formula>
    </cfRule>
  </conditionalFormatting>
  <conditionalFormatting sqref="AM32:AP36 Q32:Q36 X32:Y36 N32:N36">
    <cfRule type="expression" dxfId="2420" priority="5">
      <formula>$L32="Kirsch sand"</formula>
    </cfRule>
  </conditionalFormatting>
  <conditionalFormatting sqref="AC32:AD36 AI32:AI36 AM32:AP36 N32:N36">
    <cfRule type="expression" dxfId="2419" priority="4">
      <formula>$L32="Modified Weak rock"</formula>
    </cfRule>
  </conditionalFormatting>
  <conditionalFormatting sqref="AM32:AP36 N32:P36 U32:V36">
    <cfRule type="expression" dxfId="2418" priority="3">
      <formula>$L32="Reese stiff clay"</formula>
    </cfRule>
  </conditionalFormatting>
  <conditionalFormatting sqref="AB36">
    <cfRule type="expression" dxfId="2417" priority="2">
      <formula>$M36="API sand"</formula>
    </cfRule>
  </conditionalFormatting>
  <conditionalFormatting sqref="Z36:AB36">
    <cfRule type="expression" dxfId="2416" priority="1">
      <formula>$M36="API clay"</formula>
    </cfRule>
  </conditionalFormatting>
  <conditionalFormatting sqref="AE37:AH37">
    <cfRule type="expression" dxfId="2415" priority="13">
      <formula>#REF!="Modified Weak rock"</formula>
    </cfRule>
  </conditionalFormatting>
  <dataValidations count="4">
    <dataValidation type="textLength" showInputMessage="1" showErrorMessage="1" sqref="M27:M31" xr:uid="{DF04133D-6A13-425F-96E4-C07432DF7C61}">
      <formula1>0</formula1>
      <formula2>100</formula2>
    </dataValidation>
    <dataValidation showInputMessage="1" showErrorMessage="1" sqref="L6:M26" xr:uid="{C9A5F35D-ED8F-4F61-95E4-952CD97ACB9A}"/>
    <dataValidation type="list" showInputMessage="1" showErrorMessage="1" sqref="L32:L255" xr:uid="{2DA84CB0-28EE-413F-8F0D-89D51BC685A8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AAE4B370-F5C1-4A72-8205-9FBCB653A57E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8DFF4-9FC9-4273-B730-C4AAA8DD3D0B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Ak_Pisa_WTG38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EW_sand_Ruled_80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34</v>
      </c>
      <c r="R6" s="47">
        <f t="shared" ref="R6:R26" ca="1" si="7">IF(I6="","",IF(Q6&lt;&gt;0,Q6-5,NA()))</f>
        <v>29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3500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92.999999999999972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8640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24000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36.000000000000007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80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0.4</v>
      </c>
      <c r="BG6" s="2">
        <v>0.8</v>
      </c>
      <c r="BH6" s="2">
        <v>1.5</v>
      </c>
      <c r="BI6" s="2"/>
      <c r="BJ6" s="2"/>
      <c r="BK6" s="2"/>
      <c r="BL6" s="2"/>
      <c r="BM6" s="2"/>
      <c r="BN6" s="2">
        <v>80</v>
      </c>
      <c r="BO6" s="2">
        <v>23</v>
      </c>
      <c r="BP6" s="2">
        <v>34</v>
      </c>
      <c r="BQ6" s="2">
        <v>38</v>
      </c>
      <c r="BR6" s="2">
        <v>41</v>
      </c>
      <c r="BS6" s="2">
        <v>50</v>
      </c>
      <c r="BT6" s="2">
        <v>0</v>
      </c>
      <c r="BU6" s="2">
        <v>2</v>
      </c>
      <c r="BV6" s="2">
        <v>5</v>
      </c>
      <c r="BW6" s="2">
        <v>8</v>
      </c>
      <c r="BX6" s="2">
        <v>15</v>
      </c>
      <c r="BY6" s="2">
        <v>3.5</v>
      </c>
      <c r="BZ6" s="2">
        <v>1</v>
      </c>
      <c r="CA6" s="2">
        <v>0.5</v>
      </c>
      <c r="CB6" s="2">
        <v>4.5676258656715703E-5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-0.5</v>
      </c>
      <c r="L7" s="116" t="str">
        <f t="shared" ca="1" si="1"/>
        <v>EW_sand_Ruled_83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40</v>
      </c>
      <c r="R7" s="47">
        <f t="shared" ca="1" si="7"/>
        <v>35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23700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29000</v>
      </c>
      <c r="AD7" s="63">
        <f t="shared" ca="1" si="19"/>
        <v>9000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83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0.3</v>
      </c>
      <c r="BE7" s="2">
        <v>1</v>
      </c>
      <c r="BF7" s="2">
        <v>1.4</v>
      </c>
      <c r="BG7" s="2">
        <v>1.7</v>
      </c>
      <c r="BH7" s="2">
        <v>2.5</v>
      </c>
      <c r="BI7" s="2"/>
      <c r="BJ7" s="2"/>
      <c r="BK7" s="2"/>
      <c r="BL7" s="2"/>
      <c r="BM7" s="2"/>
      <c r="BN7" s="2">
        <v>80</v>
      </c>
      <c r="BO7" s="2">
        <v>23</v>
      </c>
      <c r="BP7" s="2">
        <v>34</v>
      </c>
      <c r="BQ7" s="2">
        <v>38</v>
      </c>
      <c r="BR7" s="2">
        <v>41</v>
      </c>
      <c r="BS7" s="2">
        <v>50</v>
      </c>
      <c r="BT7" s="2">
        <v>7</v>
      </c>
      <c r="BU7" s="2">
        <v>14</v>
      </c>
      <c r="BV7" s="2">
        <v>17</v>
      </c>
      <c r="BW7" s="2">
        <v>20</v>
      </c>
      <c r="BX7" s="2">
        <v>26</v>
      </c>
      <c r="BY7" s="2">
        <v>3.5</v>
      </c>
      <c r="BZ7" s="2">
        <v>1</v>
      </c>
      <c r="CA7" s="2">
        <v>0.5</v>
      </c>
      <c r="CB7" s="2">
        <v>4.5676258656715703E-5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09a</v>
      </c>
      <c r="J8" s="47">
        <f t="shared" ca="1" si="35"/>
        <v>3</v>
      </c>
      <c r="K8" s="19">
        <f t="shared" ca="1" si="36"/>
        <v>-1.5</v>
      </c>
      <c r="L8" s="116" t="str">
        <f t="shared" ca="1" si="1"/>
        <v>EW_sand_Ruled_86</v>
      </c>
      <c r="M8" s="105" t="str">
        <f t="shared" ca="1" si="2"/>
        <v>API sand</v>
      </c>
      <c r="N8" s="47">
        <f t="shared" ca="1" si="3"/>
        <v>9.3999999999999986</v>
      </c>
      <c r="O8" s="63">
        <f t="shared" ca="1" si="4"/>
        <v>0</v>
      </c>
      <c r="P8" s="63">
        <f t="shared" ca="1" si="5"/>
        <v>0</v>
      </c>
      <c r="Q8" s="47">
        <f t="shared" ca="1" si="6"/>
        <v>42</v>
      </c>
      <c r="R8" s="47">
        <f t="shared" ca="1" si="7"/>
        <v>37</v>
      </c>
      <c r="S8" s="47">
        <f t="shared" ca="1" si="8"/>
        <v>2.4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61300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56000</v>
      </c>
      <c r="AD8" s="63">
        <f t="shared" ca="1" si="19"/>
        <v>4000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86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4.4000000000000004</v>
      </c>
      <c r="BE8" s="2">
        <v>5.0999999999999996</v>
      </c>
      <c r="BF8" s="2">
        <v>5.4</v>
      </c>
      <c r="BG8" s="2">
        <v>5.7</v>
      </c>
      <c r="BH8" s="2">
        <v>6.2</v>
      </c>
      <c r="BI8" s="2"/>
      <c r="BJ8" s="2"/>
      <c r="BK8" s="2"/>
      <c r="BL8" s="2"/>
      <c r="BM8" s="2"/>
      <c r="BN8" s="2">
        <v>83</v>
      </c>
      <c r="BO8" s="2">
        <v>34</v>
      </c>
      <c r="BP8" s="2">
        <v>40</v>
      </c>
      <c r="BQ8" s="2">
        <v>43</v>
      </c>
      <c r="BR8" s="2">
        <v>46</v>
      </c>
      <c r="BS8" s="2">
        <v>52</v>
      </c>
      <c r="BT8" s="2">
        <v>2</v>
      </c>
      <c r="BU8" s="2">
        <v>21</v>
      </c>
      <c r="BV8" s="2">
        <v>29</v>
      </c>
      <c r="BW8" s="2">
        <v>38</v>
      </c>
      <c r="BX8" s="2">
        <v>57</v>
      </c>
      <c r="BY8" s="2">
        <v>23.7</v>
      </c>
      <c r="BZ8" s="2">
        <v>1</v>
      </c>
      <c r="CA8" s="2">
        <v>0.5</v>
      </c>
      <c r="CB8" s="2">
        <v>1.02320961434908E-4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10c</v>
      </c>
      <c r="J9" s="47">
        <f t="shared" ca="1" si="35"/>
        <v>4</v>
      </c>
      <c r="K9" s="19">
        <f t="shared" ca="1" si="36"/>
        <v>-4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8.3999999999999986</v>
      </c>
      <c r="O9" s="63">
        <f t="shared" ca="1" si="4"/>
        <v>206</v>
      </c>
      <c r="P9" s="63">
        <f t="shared" ca="1" si="5"/>
        <v>-84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30400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227000</v>
      </c>
      <c r="AD9" s="63">
        <f t="shared" ca="1" si="19"/>
        <v>-88000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1.5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6.1</v>
      </c>
      <c r="BE9" s="2">
        <v>6.8</v>
      </c>
      <c r="BF9" s="2">
        <v>7.1</v>
      </c>
      <c r="BG9" s="2">
        <v>7.3</v>
      </c>
      <c r="BH9" s="2">
        <v>7.9</v>
      </c>
      <c r="BI9" s="2"/>
      <c r="BJ9" s="2"/>
      <c r="BK9" s="2"/>
      <c r="BL9" s="2"/>
      <c r="BM9" s="2"/>
      <c r="BN9" s="2">
        <v>83</v>
      </c>
      <c r="BO9" s="2">
        <v>34</v>
      </c>
      <c r="BP9" s="2">
        <v>40</v>
      </c>
      <c r="BQ9" s="2">
        <v>43</v>
      </c>
      <c r="BR9" s="2">
        <v>46</v>
      </c>
      <c r="BS9" s="2">
        <v>52</v>
      </c>
      <c r="BT9" s="2">
        <v>10</v>
      </c>
      <c r="BU9" s="2">
        <v>30</v>
      </c>
      <c r="BV9" s="2">
        <v>38</v>
      </c>
      <c r="BW9" s="2">
        <v>46</v>
      </c>
      <c r="BX9" s="2">
        <v>66</v>
      </c>
      <c r="BY9" s="2">
        <v>23.7</v>
      </c>
      <c r="BZ9" s="2">
        <v>1</v>
      </c>
      <c r="CA9" s="2">
        <v>0.5</v>
      </c>
      <c r="CB9" s="2">
        <v>1.02320961434908E-4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10c</v>
      </c>
      <c r="J10" s="47">
        <f t="shared" ca="1" si="35"/>
        <v>5</v>
      </c>
      <c r="K10" s="19">
        <f t="shared" ca="1" si="36"/>
        <v>-5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8.3999999999999986</v>
      </c>
      <c r="O10" s="63">
        <f t="shared" ca="1" si="4"/>
        <v>240</v>
      </c>
      <c r="P10" s="63">
        <f t="shared" ca="1" si="5"/>
        <v>-17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0.5</v>
      </c>
      <c r="X10" s="47">
        <f t="shared" ca="1" si="13"/>
        <v>41400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280000</v>
      </c>
      <c r="AD10" s="63">
        <f t="shared" ca="1" si="19"/>
        <v>-25000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1.5</v>
      </c>
      <c r="AX10" s="2" t="s">
        <v>295</v>
      </c>
      <c r="AY10" s="130">
        <v>25.8</v>
      </c>
      <c r="AZ10" s="2">
        <v>19.399999999999999</v>
      </c>
      <c r="BA10" s="2"/>
      <c r="BB10" s="2">
        <v>2</v>
      </c>
      <c r="BC10" s="2"/>
      <c r="BD10" s="2">
        <v>14.3</v>
      </c>
      <c r="BE10" s="2">
        <v>17.399999999999999</v>
      </c>
      <c r="BF10" s="2">
        <v>18.100000000000001</v>
      </c>
      <c r="BG10" s="2">
        <v>18.7</v>
      </c>
      <c r="BH10" s="2">
        <v>21.5</v>
      </c>
      <c r="BI10" s="2"/>
      <c r="BJ10" s="2"/>
      <c r="BK10" s="2"/>
      <c r="BL10" s="2"/>
      <c r="BM10" s="2"/>
      <c r="BN10" s="2">
        <v>86</v>
      </c>
      <c r="BO10" s="2">
        <v>35</v>
      </c>
      <c r="BP10" s="2">
        <v>42</v>
      </c>
      <c r="BQ10" s="2">
        <v>45</v>
      </c>
      <c r="BR10" s="2">
        <v>49</v>
      </c>
      <c r="BS10" s="2">
        <v>54</v>
      </c>
      <c r="BT10" s="2">
        <v>6</v>
      </c>
      <c r="BU10" s="2">
        <v>41</v>
      </c>
      <c r="BV10" s="2">
        <v>56</v>
      </c>
      <c r="BW10" s="2">
        <v>70</v>
      </c>
      <c r="BX10" s="2">
        <v>106</v>
      </c>
      <c r="BY10" s="2">
        <v>61.3</v>
      </c>
      <c r="BZ10" s="2">
        <v>14.6</v>
      </c>
      <c r="CA10" s="2">
        <v>2.4</v>
      </c>
      <c r="CB10" s="2">
        <v>1.04542382427735E-4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10c</v>
      </c>
      <c r="J11" s="47">
        <f t="shared" ca="1" si="35"/>
        <v>6</v>
      </c>
      <c r="K11" s="19">
        <f t="shared" ca="1" si="36"/>
        <v>-6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8.3999999999999986</v>
      </c>
      <c r="O11" s="63">
        <f t="shared" ca="1" si="4"/>
        <v>240</v>
      </c>
      <c r="P11" s="63">
        <f t="shared" ca="1" si="5"/>
        <v>-212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0.5</v>
      </c>
      <c r="X11" s="47">
        <f t="shared" ca="1" si="13"/>
        <v>22700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243000</v>
      </c>
      <c r="AD11" s="63">
        <f t="shared" ca="1" si="19"/>
        <v>-188000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4</v>
      </c>
      <c r="AX11" s="2" t="s">
        <v>295</v>
      </c>
      <c r="AY11" s="130">
        <v>25.8</v>
      </c>
      <c r="AZ11" s="2">
        <v>19.399999999999999</v>
      </c>
      <c r="BA11" s="2"/>
      <c r="BB11" s="2">
        <v>2</v>
      </c>
      <c r="BC11" s="2"/>
      <c r="BD11" s="2">
        <v>8.5</v>
      </c>
      <c r="BE11" s="2">
        <v>11.6</v>
      </c>
      <c r="BF11" s="2">
        <v>12.3</v>
      </c>
      <c r="BG11" s="2">
        <v>12.9</v>
      </c>
      <c r="BH11" s="2">
        <v>15.7</v>
      </c>
      <c r="BI11" s="2"/>
      <c r="BJ11" s="2"/>
      <c r="BK11" s="2"/>
      <c r="BL11" s="2"/>
      <c r="BM11" s="2"/>
      <c r="BN11" s="2">
        <v>86</v>
      </c>
      <c r="BO11" s="2">
        <v>35</v>
      </c>
      <c r="BP11" s="2">
        <v>42</v>
      </c>
      <c r="BQ11" s="2">
        <v>45</v>
      </c>
      <c r="BR11" s="2">
        <v>49</v>
      </c>
      <c r="BS11" s="2">
        <v>54</v>
      </c>
      <c r="BT11" s="2">
        <v>16</v>
      </c>
      <c r="BU11" s="2">
        <v>51</v>
      </c>
      <c r="BV11" s="2">
        <v>66</v>
      </c>
      <c r="BW11" s="2">
        <v>80</v>
      </c>
      <c r="BX11" s="2">
        <v>116</v>
      </c>
      <c r="BY11" s="2">
        <v>61.3</v>
      </c>
      <c r="BZ11" s="2">
        <v>14.6</v>
      </c>
      <c r="CA11" s="2">
        <v>2.4</v>
      </c>
      <c r="CB11" s="2">
        <v>1.04542382427735E-4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10b</v>
      </c>
      <c r="J12" s="47">
        <f t="shared" ca="1" si="35"/>
        <v>7</v>
      </c>
      <c r="K12" s="19">
        <f t="shared" ca="1" si="36"/>
        <v>-7</v>
      </c>
      <c r="L12" s="116" t="str">
        <f t="shared" ca="1" si="1"/>
        <v>EW_sand_Ruled_73</v>
      </c>
      <c r="M12" s="105" t="str">
        <f t="shared" ca="1" si="2"/>
        <v>API sand</v>
      </c>
      <c r="N12" s="47">
        <f t="shared" ca="1" si="3"/>
        <v>9.8999999999999986</v>
      </c>
      <c r="O12" s="63">
        <f t="shared" ca="1" si="4"/>
        <v>0</v>
      </c>
      <c r="P12" s="63">
        <f t="shared" ca="1" si="5"/>
        <v>0</v>
      </c>
      <c r="Q12" s="47">
        <f t="shared" ca="1" si="6"/>
        <v>39</v>
      </c>
      <c r="R12" s="47">
        <f t="shared" ca="1" si="7"/>
        <v>34</v>
      </c>
      <c r="S12" s="47">
        <f t="shared" ca="1" si="8"/>
        <v>1.1000000000000001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72300</v>
      </c>
      <c r="Y12" s="47">
        <f t="shared" ca="1" si="14"/>
        <v>0</v>
      </c>
      <c r="Z12" s="47">
        <f t="shared" ca="1" si="15"/>
        <v>111.19999999999996</v>
      </c>
      <c r="AA12" s="47">
        <f t="shared" ca="1" si="16"/>
        <v>1</v>
      </c>
      <c r="AB12" s="47">
        <f t="shared" ca="1" si="17"/>
        <v>11520</v>
      </c>
      <c r="AC12" s="63">
        <f t="shared" ca="1" si="18"/>
        <v>91000</v>
      </c>
      <c r="AD12" s="63">
        <f t="shared" ca="1" si="19"/>
        <v>4691.3580246913589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48.000000000000007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73</v>
      </c>
      <c r="AS12" s="33">
        <f t="shared" ca="1" si="34"/>
        <v>0.4</v>
      </c>
      <c r="AW12" s="2">
        <v>4</v>
      </c>
      <c r="AX12" s="2" t="s">
        <v>287</v>
      </c>
      <c r="AY12" s="130">
        <v>36</v>
      </c>
      <c r="AZ12" s="2">
        <v>18.399999999999999</v>
      </c>
      <c r="BA12" s="2">
        <v>23</v>
      </c>
      <c r="BB12" s="2">
        <v>53</v>
      </c>
      <c r="BC12" s="2">
        <v>4</v>
      </c>
      <c r="BD12" s="2">
        <v>1.6</v>
      </c>
      <c r="BE12" s="2">
        <v>2.2000000000000002</v>
      </c>
      <c r="BF12" s="2">
        <v>4.5999999999999996</v>
      </c>
      <c r="BG12" s="2">
        <v>7.2</v>
      </c>
      <c r="BH12" s="2">
        <v>14.8</v>
      </c>
      <c r="BI12" s="2">
        <v>101</v>
      </c>
      <c r="BJ12" s="2">
        <v>206</v>
      </c>
      <c r="BK12" s="2">
        <v>253</v>
      </c>
      <c r="BL12" s="2">
        <v>304</v>
      </c>
      <c r="BM12" s="2">
        <v>422</v>
      </c>
      <c r="BN12" s="2"/>
      <c r="BO12" s="2"/>
      <c r="BP12" s="2"/>
      <c r="BQ12" s="2"/>
      <c r="BR12" s="2"/>
      <c r="BS12" s="2"/>
      <c r="BT12" s="2">
        <v>93</v>
      </c>
      <c r="BU12" s="2">
        <v>162</v>
      </c>
      <c r="BV12" s="2">
        <v>227</v>
      </c>
      <c r="BW12" s="2">
        <v>297</v>
      </c>
      <c r="BX12" s="2">
        <v>443</v>
      </c>
      <c r="BY12" s="2">
        <v>30.4</v>
      </c>
      <c r="BZ12" s="2">
        <v>18.100000000000001</v>
      </c>
      <c r="CA12" s="2">
        <v>3</v>
      </c>
      <c r="CB12" s="2">
        <v>7.3049513153706003E-8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19b</v>
      </c>
      <c r="J13" s="47">
        <f t="shared" ca="1" si="35"/>
        <v>8</v>
      </c>
      <c r="K13" s="19">
        <f t="shared" ca="1" si="36"/>
        <v>-15.1</v>
      </c>
      <c r="L13" s="116" t="str">
        <f t="shared" ca="1" si="1"/>
        <v>EW_sand_Ruled_65</v>
      </c>
      <c r="M13" s="105" t="str">
        <f t="shared" ca="1" si="2"/>
        <v>API sand</v>
      </c>
      <c r="N13" s="47">
        <f t="shared" ca="1" si="3"/>
        <v>8.5</v>
      </c>
      <c r="O13" s="63">
        <f t="shared" ca="1" si="4"/>
        <v>0</v>
      </c>
      <c r="P13" s="63">
        <f t="shared" ca="1" si="5"/>
        <v>0</v>
      </c>
      <c r="Q13" s="47">
        <f t="shared" ca="1" si="6"/>
        <v>27</v>
      </c>
      <c r="R13" s="47">
        <f t="shared" ca="1" si="7"/>
        <v>22</v>
      </c>
      <c r="S13" s="47">
        <f t="shared" ca="1" si="8"/>
        <v>1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17700</v>
      </c>
      <c r="Y13" s="47">
        <f t="shared" ca="1" si="14"/>
        <v>0</v>
      </c>
      <c r="Z13" s="47">
        <f t="shared" ca="1" si="15"/>
        <v>72.59999999999998</v>
      </c>
      <c r="AA13" s="47">
        <f t="shared" ca="1" si="16"/>
        <v>1</v>
      </c>
      <c r="AB13" s="47">
        <f t="shared" ca="1" si="17"/>
        <v>3660</v>
      </c>
      <c r="AC13" s="63">
        <f t="shared" ca="1" si="18"/>
        <v>126000</v>
      </c>
      <c r="AD13" s="63">
        <f t="shared" ca="1" si="19"/>
        <v>-15925.92592592592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15.200000000000003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65</v>
      </c>
      <c r="AS13" s="33">
        <f t="shared" ca="1" si="34"/>
        <v>0.2</v>
      </c>
      <c r="AW13" s="2">
        <v>5</v>
      </c>
      <c r="AX13" s="2" t="s">
        <v>287</v>
      </c>
      <c r="AY13" s="130">
        <v>36</v>
      </c>
      <c r="AZ13" s="2">
        <v>18.399999999999999</v>
      </c>
      <c r="BA13" s="2">
        <v>23</v>
      </c>
      <c r="BB13" s="2">
        <v>53</v>
      </c>
      <c r="BC13" s="2">
        <v>4</v>
      </c>
      <c r="BD13" s="2">
        <v>0.1</v>
      </c>
      <c r="BE13" s="2">
        <v>0.7</v>
      </c>
      <c r="BF13" s="2">
        <v>3.1</v>
      </c>
      <c r="BG13" s="2">
        <v>5.6</v>
      </c>
      <c r="BH13" s="2">
        <f>13.3</f>
        <v>13.3</v>
      </c>
      <c r="BI13" s="2">
        <v>17</v>
      </c>
      <c r="BJ13" s="2">
        <v>122</v>
      </c>
      <c r="BK13" s="2">
        <v>169</v>
      </c>
      <c r="BL13" s="2">
        <v>220</v>
      </c>
      <c r="BM13" s="2">
        <v>337</v>
      </c>
      <c r="BN13" s="2"/>
      <c r="BO13" s="2"/>
      <c r="BP13" s="2"/>
      <c r="BQ13" s="2"/>
      <c r="BR13" s="2"/>
      <c r="BS13" s="2"/>
      <c r="BT13" s="2">
        <v>5</v>
      </c>
      <c r="BU13" s="2">
        <v>73</v>
      </c>
      <c r="BV13" s="2">
        <v>139</v>
      </c>
      <c r="BW13" s="2">
        <v>208</v>
      </c>
      <c r="BX13" s="2">
        <v>354</v>
      </c>
      <c r="BY13" s="2">
        <v>30.4</v>
      </c>
      <c r="BZ13" s="2">
        <v>18.100000000000001</v>
      </c>
      <c r="CA13" s="2">
        <v>3</v>
      </c>
      <c r="CB13" s="2">
        <v>7.3049513153706003E-8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20a</v>
      </c>
      <c r="J14" s="47">
        <f t="shared" ca="1" si="35"/>
        <v>9</v>
      </c>
      <c r="K14" s="19">
        <f t="shared" ca="1" si="36"/>
        <v>-17.8</v>
      </c>
      <c r="L14" s="116" t="str">
        <f t="shared" ca="1" si="1"/>
        <v>EW_sand_Ruled_74</v>
      </c>
      <c r="M14" s="105" t="str">
        <f t="shared" ca="1" si="2"/>
        <v>API sand</v>
      </c>
      <c r="N14" s="47">
        <f t="shared" ca="1" si="3"/>
        <v>10</v>
      </c>
      <c r="O14" s="63">
        <f t="shared" ca="1" si="4"/>
        <v>0</v>
      </c>
      <c r="P14" s="63">
        <f t="shared" ca="1" si="5"/>
        <v>0</v>
      </c>
      <c r="Q14" s="47">
        <f t="shared" ca="1" si="6"/>
        <v>28</v>
      </c>
      <c r="R14" s="47">
        <f t="shared" ca="1" si="7"/>
        <v>23</v>
      </c>
      <c r="S14" s="47">
        <f t="shared" ca="1" si="8"/>
        <v>1.2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35000</v>
      </c>
      <c r="Y14" s="47">
        <f t="shared" ca="1" si="14"/>
        <v>0</v>
      </c>
      <c r="Z14" s="47">
        <f t="shared" ca="1" si="15"/>
        <v>75.399999999999977</v>
      </c>
      <c r="AA14" s="47">
        <f t="shared" ca="1" si="16"/>
        <v>1</v>
      </c>
      <c r="AB14" s="47">
        <f t="shared" ca="1" si="17"/>
        <v>4040</v>
      </c>
      <c r="AC14" s="63">
        <f t="shared" ca="1" si="18"/>
        <v>131000</v>
      </c>
      <c r="AD14" s="63">
        <f t="shared" ca="1" si="19"/>
        <v>3732.3943661971834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16.800000000000004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74</v>
      </c>
      <c r="AS14" s="33">
        <f t="shared" ca="1" si="34"/>
        <v>0.2</v>
      </c>
      <c r="AW14" s="2">
        <v>5</v>
      </c>
      <c r="AX14" s="2" t="s">
        <v>287</v>
      </c>
      <c r="AY14" s="130">
        <v>36</v>
      </c>
      <c r="AZ14" s="2">
        <v>18.399999999999999</v>
      </c>
      <c r="BA14" s="2">
        <v>23</v>
      </c>
      <c r="BB14" s="2">
        <v>53</v>
      </c>
      <c r="BC14" s="2">
        <v>4</v>
      </c>
      <c r="BD14" s="2">
        <v>0.5</v>
      </c>
      <c r="BE14" s="2">
        <v>2.1</v>
      </c>
      <c r="BF14" s="2">
        <v>5.4</v>
      </c>
      <c r="BG14" s="2">
        <v>8.6999999999999993</v>
      </c>
      <c r="BH14" s="2">
        <f>18.8</f>
        <v>18.8</v>
      </c>
      <c r="BI14" s="2">
        <v>125</v>
      </c>
      <c r="BJ14" s="2">
        <v>240</v>
      </c>
      <c r="BK14" s="2">
        <v>293</v>
      </c>
      <c r="BL14" s="2">
        <v>347</v>
      </c>
      <c r="BM14" s="2">
        <v>463</v>
      </c>
      <c r="BN14" s="2"/>
      <c r="BO14" s="2"/>
      <c r="BP14" s="2"/>
      <c r="BQ14" s="2"/>
      <c r="BR14" s="2"/>
      <c r="BS14" s="2"/>
      <c r="BT14" s="2">
        <v>30</v>
      </c>
      <c r="BU14" s="2">
        <v>191</v>
      </c>
      <c r="BV14" s="2">
        <v>280</v>
      </c>
      <c r="BW14" s="2">
        <v>369</v>
      </c>
      <c r="BX14" s="2">
        <v>546</v>
      </c>
      <c r="BY14" s="2">
        <v>41.4</v>
      </c>
      <c r="BZ14" s="2">
        <v>20.100000000000001</v>
      </c>
      <c r="CA14" s="2">
        <v>3</v>
      </c>
      <c r="CB14" s="2">
        <v>6.3771500246161297E-8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21a</v>
      </c>
      <c r="J15" s="47">
        <f t="shared" ca="1" si="35"/>
        <v>10</v>
      </c>
      <c r="K15" s="19">
        <f t="shared" ca="1" si="36"/>
        <v>-32</v>
      </c>
      <c r="L15" s="116" t="str">
        <f t="shared" ca="1" si="1"/>
        <v>EW_sand_Ruled_72</v>
      </c>
      <c r="M15" s="105" t="str">
        <f t="shared" ca="1" si="2"/>
        <v>API sand</v>
      </c>
      <c r="N15" s="47">
        <f t="shared" ca="1" si="3"/>
        <v>9.8000000000000007</v>
      </c>
      <c r="O15" s="63">
        <f t="shared" ca="1" si="4"/>
        <v>0</v>
      </c>
      <c r="P15" s="63">
        <f t="shared" ca="1" si="5"/>
        <v>0</v>
      </c>
      <c r="Q15" s="47">
        <f t="shared" ca="1" si="6"/>
        <v>28</v>
      </c>
      <c r="R15" s="47">
        <f t="shared" ca="1" si="7"/>
        <v>23</v>
      </c>
      <c r="S15" s="47">
        <f t="shared" ca="1" si="8"/>
        <v>1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44400</v>
      </c>
      <c r="Y15" s="47">
        <f t="shared" ca="1" si="14"/>
        <v>0</v>
      </c>
      <c r="Z15" s="47">
        <f t="shared" ca="1" si="15"/>
        <v>75.399999999999977</v>
      </c>
      <c r="AA15" s="47">
        <f t="shared" ca="1" si="16"/>
        <v>1</v>
      </c>
      <c r="AB15" s="47">
        <f t="shared" ca="1" si="17"/>
        <v>4040</v>
      </c>
      <c r="AC15" s="63">
        <f t="shared" ca="1" si="18"/>
        <v>183000</v>
      </c>
      <c r="AD15" s="63">
        <f t="shared" ca="1" si="19"/>
        <v>2330.0970873786414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16.800000000000004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72</v>
      </c>
      <c r="AS15" s="33">
        <f t="shared" ca="1" si="34"/>
        <v>0.2</v>
      </c>
      <c r="AW15" s="2">
        <v>6</v>
      </c>
      <c r="AX15" s="2" t="s">
        <v>287</v>
      </c>
      <c r="AY15" s="130">
        <v>36</v>
      </c>
      <c r="AZ15" s="2">
        <v>18.399999999999999</v>
      </c>
      <c r="BA15" s="2">
        <v>23</v>
      </c>
      <c r="BB15" s="2">
        <v>53</v>
      </c>
      <c r="BC15" s="2">
        <v>4</v>
      </c>
      <c r="BD15" s="2">
        <v>0.2</v>
      </c>
      <c r="BE15" s="2">
        <v>1.8</v>
      </c>
      <c r="BF15" s="2">
        <v>5.0999999999999996</v>
      </c>
      <c r="BG15" s="2">
        <v>8.4</v>
      </c>
      <c r="BH15" s="2">
        <f>18.5</f>
        <v>18.5</v>
      </c>
      <c r="BI15" s="2">
        <v>108</v>
      </c>
      <c r="BJ15" s="2">
        <v>223</v>
      </c>
      <c r="BK15" s="2">
        <v>276</v>
      </c>
      <c r="BL15" s="2">
        <v>330</v>
      </c>
      <c r="BM15" s="2">
        <v>447</v>
      </c>
      <c r="BN15" s="2"/>
      <c r="BO15" s="2"/>
      <c r="BP15" s="2"/>
      <c r="BQ15" s="2"/>
      <c r="BR15" s="2"/>
      <c r="BS15" s="2"/>
      <c r="BT15" s="2">
        <v>6</v>
      </c>
      <c r="BU15" s="2">
        <v>166</v>
      </c>
      <c r="BV15" s="2">
        <v>255</v>
      </c>
      <c r="BW15" s="2">
        <v>344</v>
      </c>
      <c r="BX15" s="2">
        <v>522</v>
      </c>
      <c r="BY15" s="2">
        <v>41.4</v>
      </c>
      <c r="BZ15" s="2">
        <v>20.100000000000001</v>
      </c>
      <c r="CA15" s="2">
        <v>3</v>
      </c>
      <c r="CB15" s="2">
        <v>6.3771500246161297E-8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23d</v>
      </c>
      <c r="J16" s="47">
        <f t="shared" ca="1" si="35"/>
        <v>11</v>
      </c>
      <c r="K16" s="19">
        <f t="shared" ca="1" si="36"/>
        <v>-42.3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8.8999999999999986</v>
      </c>
      <c r="O16" s="63">
        <f t="shared" ca="1" si="4"/>
        <v>340</v>
      </c>
      <c r="P16" s="63">
        <f t="shared" ca="1" si="5"/>
        <v>5.888594164456233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2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40000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497000</v>
      </c>
      <c r="AD16" s="63">
        <f t="shared" ca="1" si="19"/>
        <v>10689.655172413792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6</v>
      </c>
      <c r="AX16" s="2" t="s">
        <v>287</v>
      </c>
      <c r="AY16" s="130">
        <v>36</v>
      </c>
      <c r="AZ16" s="2">
        <v>18.399999999999999</v>
      </c>
      <c r="BA16" s="2">
        <v>23</v>
      </c>
      <c r="BB16" s="2">
        <v>53</v>
      </c>
      <c r="BC16" s="2">
        <v>4</v>
      </c>
      <c r="BD16" s="2">
        <v>4</v>
      </c>
      <c r="BE16" s="2">
        <v>4</v>
      </c>
      <c r="BF16" s="2">
        <v>5.3</v>
      </c>
      <c r="BG16" s="2">
        <v>7.5</v>
      </c>
      <c r="BH16" s="2">
        <f>10+14.1</f>
        <v>24.1</v>
      </c>
      <c r="BI16" s="2">
        <v>221</v>
      </c>
      <c r="BJ16" s="2">
        <v>240</v>
      </c>
      <c r="BK16" s="2">
        <v>287</v>
      </c>
      <c r="BL16" s="2">
        <v>331</v>
      </c>
      <c r="BM16" s="2">
        <v>433</v>
      </c>
      <c r="BN16" s="2"/>
      <c r="BO16" s="2"/>
      <c r="BP16" s="2"/>
      <c r="BQ16" s="2"/>
      <c r="BR16" s="2"/>
      <c r="BS16" s="2"/>
      <c r="BT16" s="2">
        <v>194</v>
      </c>
      <c r="BU16" s="2">
        <v>228</v>
      </c>
      <c r="BV16" s="2">
        <v>243</v>
      </c>
      <c r="BW16" s="2">
        <v>299</v>
      </c>
      <c r="BX16" s="2">
        <v>417</v>
      </c>
      <c r="BY16" s="2">
        <v>22.7</v>
      </c>
      <c r="BZ16" s="2">
        <v>9.3000000000000007</v>
      </c>
      <c r="CA16" s="2">
        <v>3</v>
      </c>
      <c r="CB16" s="2">
        <v>1.3019150524157899E-9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7</v>
      </c>
      <c r="AX17" s="2" t="s">
        <v>287</v>
      </c>
      <c r="AY17" s="130">
        <v>36</v>
      </c>
      <c r="AZ17" s="2">
        <v>18.399999999999999</v>
      </c>
      <c r="BA17" s="2">
        <v>23</v>
      </c>
      <c r="BB17" s="2">
        <v>53</v>
      </c>
      <c r="BC17" s="2">
        <v>4</v>
      </c>
      <c r="BD17" s="2">
        <v>0.2</v>
      </c>
      <c r="BE17" s="2">
        <v>0.5</v>
      </c>
      <c r="BF17" s="2">
        <v>1.5</v>
      </c>
      <c r="BG17" s="2">
        <v>3.7</v>
      </c>
      <c r="BH17" s="2">
        <f>10+10.3</f>
        <v>20.3</v>
      </c>
      <c r="BI17" s="2">
        <v>9</v>
      </c>
      <c r="BJ17" s="2">
        <v>28</v>
      </c>
      <c r="BK17" s="2">
        <v>75</v>
      </c>
      <c r="BL17" s="2">
        <v>120</v>
      </c>
      <c r="BM17" s="2">
        <v>221</v>
      </c>
      <c r="BN17" s="2"/>
      <c r="BO17" s="2"/>
      <c r="BP17" s="2"/>
      <c r="BQ17" s="2"/>
      <c r="BR17" s="2"/>
      <c r="BS17" s="2"/>
      <c r="BT17" s="2">
        <v>7</v>
      </c>
      <c r="BU17" s="2">
        <v>40</v>
      </c>
      <c r="BV17" s="2">
        <v>55</v>
      </c>
      <c r="BW17" s="2">
        <v>111</v>
      </c>
      <c r="BX17" s="2">
        <v>229</v>
      </c>
      <c r="BY17" s="2">
        <v>22.7</v>
      </c>
      <c r="BZ17" s="2">
        <v>9.3000000000000007</v>
      </c>
      <c r="CA17" s="2">
        <v>3</v>
      </c>
      <c r="CB17" s="2">
        <v>1.3019150524157899E-9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7</v>
      </c>
      <c r="AX18" s="2" t="s">
        <v>261</v>
      </c>
      <c r="AY18" s="130">
        <v>24</v>
      </c>
      <c r="AZ18" s="2">
        <v>19.899999999999999</v>
      </c>
      <c r="BA18" s="2"/>
      <c r="BB18" s="2">
        <v>6</v>
      </c>
      <c r="BC18" s="2"/>
      <c r="BD18" s="2">
        <v>10.7</v>
      </c>
      <c r="BE18" s="2">
        <v>15.2</v>
      </c>
      <c r="BF18" s="2">
        <v>15.7</v>
      </c>
      <c r="BG18" s="2">
        <v>16.399999999999999</v>
      </c>
      <c r="BH18" s="2">
        <v>23.7</v>
      </c>
      <c r="BI18" s="2"/>
      <c r="BJ18" s="2"/>
      <c r="BK18" s="2"/>
      <c r="BL18" s="2"/>
      <c r="BM18" s="2"/>
      <c r="BN18" s="2">
        <v>73</v>
      </c>
      <c r="BO18" s="2">
        <v>34</v>
      </c>
      <c r="BP18" s="2">
        <v>39</v>
      </c>
      <c r="BQ18" s="2">
        <v>42</v>
      </c>
      <c r="BR18" s="2">
        <v>46</v>
      </c>
      <c r="BS18" s="2">
        <v>51</v>
      </c>
      <c r="BT18" s="2">
        <v>7</v>
      </c>
      <c r="BU18" s="2">
        <v>65</v>
      </c>
      <c r="BV18" s="2">
        <v>91</v>
      </c>
      <c r="BW18" s="2">
        <v>117</v>
      </c>
      <c r="BX18" s="2">
        <v>181</v>
      </c>
      <c r="BY18" s="2">
        <v>72.3</v>
      </c>
      <c r="BZ18" s="2">
        <v>3.6</v>
      </c>
      <c r="CA18" s="2">
        <v>1.1000000000000001</v>
      </c>
      <c r="CB18" s="2">
        <v>2.49074958814702E-6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15.1</v>
      </c>
      <c r="AX19" s="2" t="s">
        <v>261</v>
      </c>
      <c r="AY19" s="130">
        <v>24</v>
      </c>
      <c r="AZ19" s="2">
        <v>19.899999999999999</v>
      </c>
      <c r="BA19" s="2"/>
      <c r="BB19" s="2">
        <v>6</v>
      </c>
      <c r="BC19" s="2"/>
      <c r="BD19" s="2">
        <v>16.2</v>
      </c>
      <c r="BE19" s="2">
        <v>20.6</v>
      </c>
      <c r="BF19" s="2">
        <v>21.1</v>
      </c>
      <c r="BG19" s="2">
        <v>21.8</v>
      </c>
      <c r="BH19" s="2">
        <v>29.1</v>
      </c>
      <c r="BI19" s="2"/>
      <c r="BJ19" s="2"/>
      <c r="BK19" s="2"/>
      <c r="BL19" s="2"/>
      <c r="BM19" s="2"/>
      <c r="BN19" s="2">
        <v>73</v>
      </c>
      <c r="BO19" s="2">
        <v>34</v>
      </c>
      <c r="BP19" s="2">
        <v>39</v>
      </c>
      <c r="BQ19" s="2">
        <v>42</v>
      </c>
      <c r="BR19" s="2">
        <v>46</v>
      </c>
      <c r="BS19" s="2">
        <v>51</v>
      </c>
      <c r="BT19" s="2">
        <v>45</v>
      </c>
      <c r="BU19" s="2">
        <v>103</v>
      </c>
      <c r="BV19" s="2">
        <v>129</v>
      </c>
      <c r="BW19" s="2">
        <v>155</v>
      </c>
      <c r="BX19" s="2">
        <v>219</v>
      </c>
      <c r="BY19" s="2">
        <v>72.3</v>
      </c>
      <c r="BZ19" s="2">
        <v>3.6</v>
      </c>
      <c r="CA19" s="2">
        <v>1.1000000000000001</v>
      </c>
      <c r="CB19" s="2">
        <v>2.49074958814702E-6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15.1</v>
      </c>
      <c r="AX20" s="2" t="s">
        <v>291</v>
      </c>
      <c r="AY20" s="130">
        <v>35.4</v>
      </c>
      <c r="AZ20" s="2">
        <v>18.5</v>
      </c>
      <c r="BA20" s="2"/>
      <c r="BB20" s="2">
        <v>54</v>
      </c>
      <c r="BC20" s="2"/>
      <c r="BD20" s="2">
        <v>14.5</v>
      </c>
      <c r="BE20" s="2">
        <v>15.7</v>
      </c>
      <c r="BF20" s="2">
        <v>16.3</v>
      </c>
      <c r="BG20" s="2">
        <v>20.5</v>
      </c>
      <c r="BH20" s="2">
        <v>32.9</v>
      </c>
      <c r="BI20" s="2"/>
      <c r="BJ20" s="2"/>
      <c r="BK20" s="2"/>
      <c r="BL20" s="2"/>
      <c r="BM20" s="2"/>
      <c r="BN20" s="2">
        <v>65</v>
      </c>
      <c r="BO20" s="2">
        <v>26</v>
      </c>
      <c r="BP20" s="2">
        <v>27</v>
      </c>
      <c r="BQ20" s="2">
        <v>29</v>
      </c>
      <c r="BR20" s="2">
        <v>31</v>
      </c>
      <c r="BS20" s="2">
        <v>36</v>
      </c>
      <c r="BT20" s="2">
        <v>60</v>
      </c>
      <c r="BU20" s="2">
        <v>101</v>
      </c>
      <c r="BV20" s="2">
        <v>126</v>
      </c>
      <c r="BW20" s="2">
        <v>153</v>
      </c>
      <c r="BX20" s="2">
        <v>220</v>
      </c>
      <c r="BY20" s="2">
        <v>17.7</v>
      </c>
      <c r="BZ20" s="2">
        <v>3.4</v>
      </c>
      <c r="CA20" s="2">
        <v>1</v>
      </c>
      <c r="CB20" s="2">
        <v>7.7329086200724502E-9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17.8</v>
      </c>
      <c r="AX21" s="2" t="s">
        <v>291</v>
      </c>
      <c r="AY21" s="130">
        <v>35.4</v>
      </c>
      <c r="AZ21" s="2">
        <v>18.5</v>
      </c>
      <c r="BA21" s="2"/>
      <c r="BB21" s="2">
        <v>54</v>
      </c>
      <c r="BC21" s="2"/>
      <c r="BD21" s="2">
        <v>0.6</v>
      </c>
      <c r="BE21" s="2">
        <v>1.8</v>
      </c>
      <c r="BF21" s="2">
        <v>2.4</v>
      </c>
      <c r="BG21" s="2">
        <v>6.6</v>
      </c>
      <c r="BH21" s="2">
        <v>19</v>
      </c>
      <c r="BI21" s="2"/>
      <c r="BJ21" s="2"/>
      <c r="BK21" s="2"/>
      <c r="BL21" s="2"/>
      <c r="BM21" s="2"/>
      <c r="BN21" s="2">
        <v>65</v>
      </c>
      <c r="BO21" s="2">
        <v>26</v>
      </c>
      <c r="BP21" s="2">
        <v>27</v>
      </c>
      <c r="BQ21" s="2">
        <v>29</v>
      </c>
      <c r="BR21" s="2">
        <v>31</v>
      </c>
      <c r="BS21" s="2">
        <v>36</v>
      </c>
      <c r="BT21" s="2">
        <v>17</v>
      </c>
      <c r="BU21" s="2">
        <v>58</v>
      </c>
      <c r="BV21" s="2">
        <v>83</v>
      </c>
      <c r="BW21" s="2">
        <v>110</v>
      </c>
      <c r="BX21" s="2">
        <v>177</v>
      </c>
      <c r="BY21" s="2">
        <v>17.7</v>
      </c>
      <c r="BZ21" s="2">
        <v>3.4</v>
      </c>
      <c r="CA21" s="2">
        <v>1</v>
      </c>
      <c r="CB21" s="2">
        <v>7.7329086200724502E-9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17.8</v>
      </c>
      <c r="AX22" s="2" t="s">
        <v>278</v>
      </c>
      <c r="AY22" s="130">
        <v>25.2</v>
      </c>
      <c r="AZ22" s="2">
        <v>20</v>
      </c>
      <c r="BA22" s="2"/>
      <c r="BB22" s="2">
        <v>22</v>
      </c>
      <c r="BC22" s="2"/>
      <c r="BD22" s="2">
        <v>0.6</v>
      </c>
      <c r="BE22" s="2">
        <v>16.100000000000001</v>
      </c>
      <c r="BF22" s="2">
        <v>16.5</v>
      </c>
      <c r="BG22" s="2">
        <v>44.6</v>
      </c>
      <c r="BH22" s="2">
        <v>132</v>
      </c>
      <c r="BI22" s="2"/>
      <c r="BJ22" s="2"/>
      <c r="BK22" s="2"/>
      <c r="BL22" s="2"/>
      <c r="BM22" s="2"/>
      <c r="BN22" s="2">
        <v>74</v>
      </c>
      <c r="BO22" s="2">
        <v>26</v>
      </c>
      <c r="BP22" s="2">
        <v>28</v>
      </c>
      <c r="BQ22" s="2">
        <v>31</v>
      </c>
      <c r="BR22" s="2">
        <v>33</v>
      </c>
      <c r="BS22" s="2">
        <v>37</v>
      </c>
      <c r="BT22" s="2">
        <v>17</v>
      </c>
      <c r="BU22" s="2">
        <v>94</v>
      </c>
      <c r="BV22" s="2">
        <v>131</v>
      </c>
      <c r="BW22" s="2">
        <v>168</v>
      </c>
      <c r="BX22" s="2">
        <v>260</v>
      </c>
      <c r="BY22" s="2">
        <v>35</v>
      </c>
      <c r="BZ22" s="2">
        <v>4.2</v>
      </c>
      <c r="CA22" s="2">
        <v>1.2</v>
      </c>
      <c r="CB22" s="2">
        <v>4.6711144971593903E-12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32</v>
      </c>
      <c r="AX23" s="2" t="s">
        <v>278</v>
      </c>
      <c r="AY23" s="130">
        <v>25.2</v>
      </c>
      <c r="AZ23" s="2">
        <v>20</v>
      </c>
      <c r="BA23" s="2"/>
      <c r="BB23" s="2">
        <v>22</v>
      </c>
      <c r="BC23" s="2"/>
      <c r="BD23" s="2">
        <v>14.4</v>
      </c>
      <c r="BE23" s="2">
        <v>29.8</v>
      </c>
      <c r="BF23" s="2">
        <v>30.2</v>
      </c>
      <c r="BG23" s="2">
        <v>58.4</v>
      </c>
      <c r="BH23" s="2">
        <v>145.69999999999999</v>
      </c>
      <c r="BI23" s="2"/>
      <c r="BJ23" s="2"/>
      <c r="BK23" s="2"/>
      <c r="BL23" s="2"/>
      <c r="BM23" s="2"/>
      <c r="BN23" s="2">
        <v>74</v>
      </c>
      <c r="BO23" s="2">
        <v>26</v>
      </c>
      <c r="BP23" s="2">
        <v>28</v>
      </c>
      <c r="BQ23" s="2">
        <v>31</v>
      </c>
      <c r="BR23" s="2">
        <v>33</v>
      </c>
      <c r="BS23" s="2">
        <v>37</v>
      </c>
      <c r="BT23" s="2">
        <v>70</v>
      </c>
      <c r="BU23" s="2">
        <v>147</v>
      </c>
      <c r="BV23" s="2">
        <v>184</v>
      </c>
      <c r="BW23" s="2">
        <v>221</v>
      </c>
      <c r="BX23" s="2">
        <v>313</v>
      </c>
      <c r="BY23" s="2">
        <v>35</v>
      </c>
      <c r="BZ23" s="2">
        <v>4.2</v>
      </c>
      <c r="CA23" s="2">
        <v>1.2</v>
      </c>
      <c r="CB23" s="2">
        <v>4.6711144971593903E-12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32</v>
      </c>
      <c r="AX24" s="2" t="s">
        <v>271</v>
      </c>
      <c r="AY24" s="130">
        <v>24.7</v>
      </c>
      <c r="AZ24" s="2">
        <v>19.8</v>
      </c>
      <c r="BA24" s="2"/>
      <c r="BB24" s="2">
        <v>11</v>
      </c>
      <c r="BC24" s="2"/>
      <c r="BD24" s="2">
        <v>1.2</v>
      </c>
      <c r="BE24" s="2">
        <v>17.5</v>
      </c>
      <c r="BF24" s="2">
        <v>27.3</v>
      </c>
      <c r="BG24" s="2">
        <v>59.1</v>
      </c>
      <c r="BH24" s="2">
        <v>157.80000000000001</v>
      </c>
      <c r="BI24" s="2"/>
      <c r="BJ24" s="2"/>
      <c r="BK24" s="2"/>
      <c r="BL24" s="2"/>
      <c r="BM24" s="2"/>
      <c r="BN24" s="2">
        <v>72</v>
      </c>
      <c r="BO24" s="2">
        <v>26</v>
      </c>
      <c r="BP24" s="2">
        <v>28</v>
      </c>
      <c r="BQ24" s="2">
        <v>31</v>
      </c>
      <c r="BR24" s="2">
        <v>33</v>
      </c>
      <c r="BS24" s="2">
        <v>37</v>
      </c>
      <c r="BT24" s="2">
        <v>32</v>
      </c>
      <c r="BU24" s="2">
        <v>137</v>
      </c>
      <c r="BV24" s="2">
        <v>183</v>
      </c>
      <c r="BW24" s="2">
        <v>229</v>
      </c>
      <c r="BX24" s="2">
        <v>343</v>
      </c>
      <c r="BY24" s="2">
        <v>44.4</v>
      </c>
      <c r="BZ24" s="2">
        <v>3.2</v>
      </c>
      <c r="CA24" s="2">
        <v>1</v>
      </c>
      <c r="CB24" s="2">
        <v>4.31802691770468E-12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42.3</v>
      </c>
      <c r="AX25" s="2" t="s">
        <v>271</v>
      </c>
      <c r="AY25" s="130">
        <v>24.7</v>
      </c>
      <c r="AZ25" s="2">
        <v>19.8</v>
      </c>
      <c r="BA25" s="2"/>
      <c r="BB25" s="2">
        <v>11</v>
      </c>
      <c r="BC25" s="2"/>
      <c r="BD25" s="2">
        <v>5</v>
      </c>
      <c r="BE25" s="2">
        <v>21.4</v>
      </c>
      <c r="BF25" s="2">
        <v>31.1</v>
      </c>
      <c r="BG25" s="2">
        <v>62.9</v>
      </c>
      <c r="BH25" s="2">
        <v>161.6</v>
      </c>
      <c r="BI25" s="2"/>
      <c r="BJ25" s="2"/>
      <c r="BK25" s="2"/>
      <c r="BL25" s="2"/>
      <c r="BM25" s="2"/>
      <c r="BN25" s="2">
        <v>72</v>
      </c>
      <c r="BO25" s="2">
        <v>26</v>
      </c>
      <c r="BP25" s="2">
        <v>28</v>
      </c>
      <c r="BQ25" s="2">
        <v>31</v>
      </c>
      <c r="BR25" s="2">
        <v>33</v>
      </c>
      <c r="BS25" s="2">
        <v>37</v>
      </c>
      <c r="BT25" s="2">
        <v>56</v>
      </c>
      <c r="BU25" s="2">
        <v>162</v>
      </c>
      <c r="BV25" s="2">
        <v>207</v>
      </c>
      <c r="BW25" s="2">
        <v>253</v>
      </c>
      <c r="BX25" s="2">
        <v>367</v>
      </c>
      <c r="BY25" s="2">
        <v>44.4</v>
      </c>
      <c r="BZ25" s="2">
        <v>3.2</v>
      </c>
      <c r="CA25" s="2">
        <v>1</v>
      </c>
      <c r="CB25" s="2">
        <v>4.31802691770468E-12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42.3</v>
      </c>
      <c r="AX26" s="2" t="s">
        <v>273</v>
      </c>
      <c r="AY26" s="130">
        <v>32</v>
      </c>
      <c r="AZ26" s="2">
        <v>18.899999999999999</v>
      </c>
      <c r="BA26" s="2">
        <v>47</v>
      </c>
      <c r="BB26" s="2">
        <v>85</v>
      </c>
      <c r="BC26" s="2">
        <v>3</v>
      </c>
      <c r="BD26" s="2">
        <v>1.5</v>
      </c>
      <c r="BE26" s="2">
        <v>7</v>
      </c>
      <c r="BF26" s="2">
        <v>8.5</v>
      </c>
      <c r="BG26" s="2">
        <v>22.1</v>
      </c>
      <c r="BH26" s="2">
        <v>63.9</v>
      </c>
      <c r="BI26" s="2">
        <v>254</v>
      </c>
      <c r="BJ26" s="2">
        <v>340</v>
      </c>
      <c r="BK26" s="2">
        <v>383</v>
      </c>
      <c r="BL26" s="2">
        <v>427</v>
      </c>
      <c r="BM26" s="2">
        <v>513</v>
      </c>
      <c r="BN26" s="2"/>
      <c r="BO26" s="2"/>
      <c r="BP26" s="2"/>
      <c r="BQ26" s="2"/>
      <c r="BR26" s="2"/>
      <c r="BS26" s="2"/>
      <c r="BT26" s="2">
        <v>237</v>
      </c>
      <c r="BU26" s="2">
        <v>410</v>
      </c>
      <c r="BV26" s="2">
        <v>497</v>
      </c>
      <c r="BW26" s="2">
        <v>584</v>
      </c>
      <c r="BX26" s="2">
        <v>756</v>
      </c>
      <c r="BY26" s="2">
        <v>40</v>
      </c>
      <c r="BZ26" s="2">
        <v>5.2</v>
      </c>
      <c r="CA26" s="2">
        <v>2</v>
      </c>
      <c r="CB26" s="2">
        <v>4.1436883734993598E-12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80</v>
      </c>
      <c r="AX27" s="2" t="s">
        <v>273</v>
      </c>
      <c r="AY27" s="130">
        <v>32</v>
      </c>
      <c r="AZ27" s="2">
        <v>18.899999999999999</v>
      </c>
      <c r="BA27" s="2">
        <v>47</v>
      </c>
      <c r="BB27" s="2">
        <v>85</v>
      </c>
      <c r="BC27" s="2">
        <v>3</v>
      </c>
      <c r="BD27" s="2">
        <v>6.7</v>
      </c>
      <c r="BE27" s="2">
        <v>11</v>
      </c>
      <c r="BF27" s="2">
        <v>13.6</v>
      </c>
      <c r="BG27" s="2">
        <v>27.2</v>
      </c>
      <c r="BH27" s="2">
        <v>69.099999999999994</v>
      </c>
      <c r="BI27" s="2">
        <v>477</v>
      </c>
      <c r="BJ27" s="2">
        <v>562</v>
      </c>
      <c r="BK27" s="2">
        <v>606</v>
      </c>
      <c r="BL27" s="2">
        <v>650</v>
      </c>
      <c r="BM27" s="2">
        <v>736</v>
      </c>
      <c r="BN27" s="2"/>
      <c r="BO27" s="2"/>
      <c r="BP27" s="2"/>
      <c r="BQ27" s="2"/>
      <c r="BR27" s="2"/>
      <c r="BS27" s="2"/>
      <c r="BT27" s="2">
        <v>641</v>
      </c>
      <c r="BU27" s="2">
        <v>813</v>
      </c>
      <c r="BV27" s="2">
        <v>900</v>
      </c>
      <c r="BW27" s="2">
        <v>987</v>
      </c>
      <c r="BX27" s="2">
        <v>1159</v>
      </c>
      <c r="BY27" s="2">
        <v>40</v>
      </c>
      <c r="BZ27" s="2">
        <v>5.2</v>
      </c>
      <c r="CA27" s="2">
        <v>2</v>
      </c>
      <c r="CB27" s="2">
        <v>4.1436883734993598E-12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414" priority="12">
      <formula>$L32="API sand"</formula>
    </cfRule>
  </conditionalFormatting>
  <conditionalFormatting sqref="R32:S36 AB32:AB35 AJ32:AL36 Z32:Z36 N32:N36">
    <cfRule type="expression" dxfId="2413" priority="11">
      <formula>$M32="API sand"</formula>
    </cfRule>
  </conditionalFormatting>
  <conditionalFormatting sqref="R32:T36 Z32:AB35 AK32:AL36 N32:N36">
    <cfRule type="expression" dxfId="2412" priority="10">
      <formula>$M32="API clay"</formula>
    </cfRule>
  </conditionalFormatting>
  <conditionalFormatting sqref="U32:W36 AM32:AP36 N32:P36">
    <cfRule type="expression" dxfId="2411" priority="7">
      <formula>$L32="Stiff clay w/o free water"</formula>
    </cfRule>
    <cfRule type="expression" dxfId="2410" priority="9">
      <formula>$L32="API clay"</formula>
    </cfRule>
  </conditionalFormatting>
  <conditionalFormatting sqref="U32:Y36 AM32:AP36 N32:P36">
    <cfRule type="expression" dxfId="2409" priority="8">
      <formula>$L32="Kirsch soft clay"</formula>
    </cfRule>
  </conditionalFormatting>
  <conditionalFormatting sqref="U32:Y36 AM32:AP36 N32:P36">
    <cfRule type="expression" dxfId="2408" priority="6">
      <formula>$L32="Kirsch stiff clay"</formula>
    </cfRule>
  </conditionalFormatting>
  <conditionalFormatting sqref="AM32:AP36 Q32:Q36 X32:Y36 N32:N36">
    <cfRule type="expression" dxfId="2407" priority="5">
      <formula>$L32="Kirsch sand"</formula>
    </cfRule>
  </conditionalFormatting>
  <conditionalFormatting sqref="AC32:AD36 AI32:AI36 AM32:AP36 N32:N36">
    <cfRule type="expression" dxfId="2406" priority="4">
      <formula>$L32="Modified Weak rock"</formula>
    </cfRule>
  </conditionalFormatting>
  <conditionalFormatting sqref="AM32:AP36 N32:P36 U32:V36">
    <cfRule type="expression" dxfId="2405" priority="3">
      <formula>$L32="Reese stiff clay"</formula>
    </cfRule>
  </conditionalFormatting>
  <conditionalFormatting sqref="AB36">
    <cfRule type="expression" dxfId="2404" priority="2">
      <formula>$M36="API sand"</formula>
    </cfRule>
  </conditionalFormatting>
  <conditionalFormatting sqref="Z36:AB36">
    <cfRule type="expression" dxfId="2403" priority="1">
      <formula>$M36="API clay"</formula>
    </cfRule>
  </conditionalFormatting>
  <conditionalFormatting sqref="AE37:AH37">
    <cfRule type="expression" dxfId="2402" priority="13">
      <formula>#REF!="Modified Weak rock"</formula>
    </cfRule>
  </conditionalFormatting>
  <dataValidations count="4">
    <dataValidation type="list" showInputMessage="1" showErrorMessage="1" sqref="M32:M36" xr:uid="{809E2B05-8923-425C-883D-7E693345AD4F}">
      <formula1>"',API sand,API clay"</formula1>
    </dataValidation>
    <dataValidation type="list" showInputMessage="1" showErrorMessage="1" sqref="L32:L255" xr:uid="{2D187608-5147-4E2D-8079-BE8671BB4CB3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741F988D-A10D-4638-8671-AE02779E3CD3}"/>
    <dataValidation type="textLength" showInputMessage="1" showErrorMessage="1" sqref="M27:M31" xr:uid="{C8E7E4CE-A7C9-43BB-8B5E-121045B95ECF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CE765-77A6-458D-80D0-EB97B78E9B40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Ak_Pisa_WTG39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13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EW_sand_Ruled_86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36</v>
      </c>
      <c r="R6" s="47">
        <f t="shared" ref="R6:R26" ca="1" si="7">IF(I6="","",IF(Q6&lt;&gt;0,Q6-5,NA()))</f>
        <v>31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7300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99.799999999999969</v>
      </c>
      <c r="AA6" s="47">
        <f t="shared" ref="AA6:AA26" ca="1" si="16">IF(I6="","",1)</f>
        <v>1</v>
      </c>
      <c r="AB6" s="47">
        <f t="shared" ref="AB6:AB26" ca="1" si="17">IF(I6="","",VLOOKUP(R6,$AE$39:$AG$59,3))</f>
        <v>10080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32000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42.000000000000007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86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0.2</v>
      </c>
      <c r="BF6" s="2">
        <v>0.8</v>
      </c>
      <c r="BG6" s="2">
        <v>1.5</v>
      </c>
      <c r="BH6" s="2">
        <v>3.3</v>
      </c>
      <c r="BI6" s="2"/>
      <c r="BJ6" s="2"/>
      <c r="BK6" s="2"/>
      <c r="BL6" s="2"/>
      <c r="BM6" s="2"/>
      <c r="BN6" s="2">
        <v>86</v>
      </c>
      <c r="BO6" s="2">
        <v>29</v>
      </c>
      <c r="BP6" s="2">
        <v>36</v>
      </c>
      <c r="BQ6" s="2">
        <v>40</v>
      </c>
      <c r="BR6" s="2">
        <v>43</v>
      </c>
      <c r="BS6" s="2">
        <v>49</v>
      </c>
      <c r="BT6" s="2">
        <v>0</v>
      </c>
      <c r="BU6" s="2">
        <v>1</v>
      </c>
      <c r="BV6" s="2">
        <v>5</v>
      </c>
      <c r="BW6" s="2">
        <v>10</v>
      </c>
      <c r="BX6" s="2">
        <v>20</v>
      </c>
      <c r="BY6" s="2">
        <v>7.3</v>
      </c>
      <c r="BZ6" s="2">
        <v>1</v>
      </c>
      <c r="CA6" s="2">
        <v>0.5</v>
      </c>
      <c r="CB6" s="2">
        <v>4.5163524500749901E-5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-0.75</v>
      </c>
      <c r="L7" s="116" t="str">
        <f t="shared" ca="1" si="1"/>
        <v>EW_sand_Ruled_100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42</v>
      </c>
      <c r="R7" s="47">
        <f t="shared" ca="1" si="7"/>
        <v>37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42600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35000</v>
      </c>
      <c r="AD7" s="63">
        <f t="shared" ca="1" si="19"/>
        <v>14666.666666666666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100</v>
      </c>
      <c r="AS7" s="33">
        <f t="shared" ca="1" si="34"/>
        <v>0.4</v>
      </c>
      <c r="AW7" s="2">
        <v>0.75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2.2000000000000002</v>
      </c>
      <c r="BE7" s="2">
        <v>3.8</v>
      </c>
      <c r="BF7" s="2">
        <v>4.4000000000000004</v>
      </c>
      <c r="BG7" s="2">
        <v>5</v>
      </c>
      <c r="BH7" s="2">
        <v>6.8</v>
      </c>
      <c r="BI7" s="2"/>
      <c r="BJ7" s="2"/>
      <c r="BK7" s="2"/>
      <c r="BL7" s="2"/>
      <c r="BM7" s="2"/>
      <c r="BN7" s="2">
        <v>86</v>
      </c>
      <c r="BO7" s="2">
        <v>29</v>
      </c>
      <c r="BP7" s="2">
        <v>36</v>
      </c>
      <c r="BQ7" s="2">
        <v>40</v>
      </c>
      <c r="BR7" s="2">
        <v>43</v>
      </c>
      <c r="BS7" s="2">
        <v>49</v>
      </c>
      <c r="BT7" s="2">
        <v>14</v>
      </c>
      <c r="BU7" s="2">
        <v>24</v>
      </c>
      <c r="BV7" s="2">
        <v>29</v>
      </c>
      <c r="BW7" s="2">
        <v>33</v>
      </c>
      <c r="BX7" s="2">
        <v>43</v>
      </c>
      <c r="BY7" s="2">
        <v>7.3</v>
      </c>
      <c r="BZ7" s="2">
        <v>1</v>
      </c>
      <c r="CA7" s="2">
        <v>0.5</v>
      </c>
      <c r="CB7" s="2">
        <v>4.5163524500749901E-5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-1.5</v>
      </c>
      <c r="L8" s="116" t="str">
        <f t="shared" ca="1" si="1"/>
        <v>EW_sand_Ruled_100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42</v>
      </c>
      <c r="R8" s="47">
        <f t="shared" ca="1" si="7"/>
        <v>37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51800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53000</v>
      </c>
      <c r="AD8" s="63">
        <f t="shared" ca="1" si="19"/>
        <v>7000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100</v>
      </c>
      <c r="AS8" s="33">
        <f t="shared" ca="1" si="34"/>
        <v>0.4</v>
      </c>
      <c r="AW8" s="2">
        <v>0.75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8.1</v>
      </c>
      <c r="BE8" s="2">
        <v>8.8000000000000007</v>
      </c>
      <c r="BF8" s="2">
        <v>9.1</v>
      </c>
      <c r="BG8" s="2">
        <v>9.3000000000000007</v>
      </c>
      <c r="BH8" s="2">
        <v>9.9</v>
      </c>
      <c r="BI8" s="2"/>
      <c r="BJ8" s="2"/>
      <c r="BK8" s="2"/>
      <c r="BL8" s="2"/>
      <c r="BM8" s="2"/>
      <c r="BN8" s="2">
        <v>100</v>
      </c>
      <c r="BO8" s="2">
        <v>36</v>
      </c>
      <c r="BP8" s="2">
        <v>42</v>
      </c>
      <c r="BQ8" s="2">
        <v>45</v>
      </c>
      <c r="BR8" s="2">
        <v>49</v>
      </c>
      <c r="BS8" s="2">
        <v>54</v>
      </c>
      <c r="BT8" s="2">
        <v>2</v>
      </c>
      <c r="BU8" s="2">
        <v>25</v>
      </c>
      <c r="BV8" s="2">
        <v>35</v>
      </c>
      <c r="BW8" s="2">
        <v>45</v>
      </c>
      <c r="BX8" s="2">
        <v>69</v>
      </c>
      <c r="BY8" s="2">
        <v>42.6</v>
      </c>
      <c r="BZ8" s="2">
        <v>1</v>
      </c>
      <c r="CA8" s="2">
        <v>0.5</v>
      </c>
      <c r="CB8" s="2">
        <v>1.5351192498517201E-4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02a</v>
      </c>
      <c r="J9" s="47">
        <f t="shared" ca="1" si="35"/>
        <v>4</v>
      </c>
      <c r="K9" s="19">
        <f t="shared" ca="1" si="36"/>
        <v>-3.5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10.199999999999999</v>
      </c>
      <c r="O9" s="63">
        <f t="shared" ca="1" si="4"/>
        <v>104</v>
      </c>
      <c r="P9" s="63">
        <f t="shared" ca="1" si="5"/>
        <v>28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21100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117000</v>
      </c>
      <c r="AD9" s="63">
        <f t="shared" ca="1" si="19"/>
        <v>30000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1.5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11.7</v>
      </c>
      <c r="BE9" s="2">
        <v>12.4</v>
      </c>
      <c r="BF9" s="2">
        <v>12.7</v>
      </c>
      <c r="BG9" s="2">
        <v>12.9</v>
      </c>
      <c r="BH9" s="2">
        <v>13.5</v>
      </c>
      <c r="BI9" s="2"/>
      <c r="BJ9" s="2"/>
      <c r="BK9" s="2"/>
      <c r="BL9" s="2"/>
      <c r="BM9" s="2"/>
      <c r="BN9" s="2">
        <v>100</v>
      </c>
      <c r="BO9" s="2">
        <v>36</v>
      </c>
      <c r="BP9" s="2">
        <v>42</v>
      </c>
      <c r="BQ9" s="2">
        <v>45</v>
      </c>
      <c r="BR9" s="2">
        <v>49</v>
      </c>
      <c r="BS9" s="2">
        <v>54</v>
      </c>
      <c r="BT9" s="2">
        <v>12</v>
      </c>
      <c r="BU9" s="2">
        <v>36</v>
      </c>
      <c r="BV9" s="2">
        <v>46</v>
      </c>
      <c r="BW9" s="2">
        <v>56</v>
      </c>
      <c r="BX9" s="2">
        <v>79</v>
      </c>
      <c r="BY9" s="2">
        <v>42.6</v>
      </c>
      <c r="BZ9" s="2">
        <v>1</v>
      </c>
      <c r="CA9" s="2">
        <v>0.5</v>
      </c>
      <c r="CB9" s="2">
        <v>1.5351192498517201E-4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09a</v>
      </c>
      <c r="J10" s="47">
        <f t="shared" ca="1" si="35"/>
        <v>5</v>
      </c>
      <c r="K10" s="19">
        <f t="shared" ca="1" si="36"/>
        <v>-4</v>
      </c>
      <c r="L10" s="116" t="str">
        <f t="shared" ca="1" si="1"/>
        <v>EW_sand_Ruled_86</v>
      </c>
      <c r="M10" s="105" t="str">
        <f t="shared" ca="1" si="2"/>
        <v>API sand</v>
      </c>
      <c r="N10" s="47">
        <f t="shared" ca="1" si="3"/>
        <v>9.3999999999999986</v>
      </c>
      <c r="O10" s="63">
        <f t="shared" ca="1" si="4"/>
        <v>0</v>
      </c>
      <c r="P10" s="63">
        <f t="shared" ca="1" si="5"/>
        <v>0</v>
      </c>
      <c r="Q10" s="47">
        <f t="shared" ca="1" si="6"/>
        <v>42</v>
      </c>
      <c r="R10" s="47">
        <f t="shared" ca="1" si="7"/>
        <v>37</v>
      </c>
      <c r="S10" s="47">
        <f t="shared" ca="1" si="8"/>
        <v>1.7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93900</v>
      </c>
      <c r="Y10" s="47">
        <f t="shared" ca="1" si="14"/>
        <v>0</v>
      </c>
      <c r="Z10" s="47">
        <f t="shared" ca="1" si="15"/>
        <v>114.99999999999996</v>
      </c>
      <c r="AA10" s="47">
        <f t="shared" ca="1" si="16"/>
        <v>1</v>
      </c>
      <c r="AB10" s="47">
        <f t="shared" ca="1" si="17"/>
        <v>12000</v>
      </c>
      <c r="AC10" s="63">
        <f t="shared" ca="1" si="18"/>
        <v>65000</v>
      </c>
      <c r="AD10" s="63">
        <f t="shared" ca="1" si="19"/>
        <v>11500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50.000000000000007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86</v>
      </c>
      <c r="AS10" s="33">
        <f t="shared" ca="1" si="34"/>
        <v>0.4</v>
      </c>
      <c r="AW10" s="2">
        <v>1.5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14</v>
      </c>
      <c r="BE10" s="2">
        <v>15.6</v>
      </c>
      <c r="BF10" s="2">
        <v>16</v>
      </c>
      <c r="BG10" s="2">
        <v>16.399999999999999</v>
      </c>
      <c r="BH10" s="2">
        <v>17.8</v>
      </c>
      <c r="BI10" s="2"/>
      <c r="BJ10" s="2"/>
      <c r="BK10" s="2"/>
      <c r="BL10" s="2"/>
      <c r="BM10" s="2"/>
      <c r="BN10" s="2">
        <v>100</v>
      </c>
      <c r="BO10" s="2">
        <v>36</v>
      </c>
      <c r="BP10" s="2">
        <v>42</v>
      </c>
      <c r="BQ10" s="2">
        <v>45</v>
      </c>
      <c r="BR10" s="2">
        <v>49</v>
      </c>
      <c r="BS10" s="2">
        <v>54</v>
      </c>
      <c r="BT10" s="2">
        <v>4</v>
      </c>
      <c r="BU10" s="2">
        <v>39</v>
      </c>
      <c r="BV10" s="2">
        <v>53</v>
      </c>
      <c r="BW10" s="2">
        <v>68</v>
      </c>
      <c r="BX10" s="2">
        <v>103</v>
      </c>
      <c r="BY10" s="2">
        <v>51.8</v>
      </c>
      <c r="BZ10" s="2">
        <v>1</v>
      </c>
      <c r="CA10" s="2">
        <v>0.5</v>
      </c>
      <c r="CB10" s="2">
        <v>5.12059509113053E-5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10a</v>
      </c>
      <c r="J11" s="47">
        <f t="shared" ca="1" si="35"/>
        <v>6</v>
      </c>
      <c r="K11" s="19">
        <f t="shared" ca="1" si="36"/>
        <v>-8</v>
      </c>
      <c r="L11" s="116" t="str">
        <f t="shared" ca="1" si="1"/>
        <v>EW_sand_Ruled_88</v>
      </c>
      <c r="M11" s="105" t="str">
        <f t="shared" ca="1" si="2"/>
        <v>API sand</v>
      </c>
      <c r="N11" s="47">
        <f t="shared" ca="1" si="3"/>
        <v>10</v>
      </c>
      <c r="O11" s="63">
        <f t="shared" ca="1" si="4"/>
        <v>0</v>
      </c>
      <c r="P11" s="63">
        <f t="shared" ca="1" si="5"/>
        <v>0</v>
      </c>
      <c r="Q11" s="47">
        <f t="shared" ca="1" si="6"/>
        <v>41</v>
      </c>
      <c r="R11" s="47">
        <f t="shared" ca="1" si="7"/>
        <v>36</v>
      </c>
      <c r="S11" s="47">
        <f t="shared" ca="1" si="8"/>
        <v>1.3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104600</v>
      </c>
      <c r="Y11" s="47">
        <f t="shared" ca="1" si="14"/>
        <v>0</v>
      </c>
      <c r="Z11" s="47">
        <f t="shared" ca="1" si="15"/>
        <v>114.99999999999996</v>
      </c>
      <c r="AA11" s="47">
        <f t="shared" ca="1" si="16"/>
        <v>1</v>
      </c>
      <c r="AB11" s="47">
        <f t="shared" ca="1" si="17"/>
        <v>12000</v>
      </c>
      <c r="AC11" s="63">
        <f t="shared" ca="1" si="18"/>
        <v>106000</v>
      </c>
      <c r="AD11" s="63">
        <f t="shared" ca="1" si="19"/>
        <v>4222.2222222222226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50.000000000000007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88</v>
      </c>
      <c r="AS11" s="33">
        <f t="shared" ca="1" si="34"/>
        <v>0.4</v>
      </c>
      <c r="AW11" s="2">
        <v>3.5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13.6</v>
      </c>
      <c r="BE11" s="2">
        <v>15.2</v>
      </c>
      <c r="BF11" s="2">
        <v>15.6</v>
      </c>
      <c r="BG11" s="2">
        <v>16</v>
      </c>
      <c r="BH11" s="2">
        <v>17.399999999999999</v>
      </c>
      <c r="BI11" s="2"/>
      <c r="BJ11" s="2"/>
      <c r="BK11" s="2"/>
      <c r="BL11" s="2"/>
      <c r="BM11" s="2"/>
      <c r="BN11" s="2">
        <v>100</v>
      </c>
      <c r="BO11" s="2">
        <v>36</v>
      </c>
      <c r="BP11" s="2">
        <v>42</v>
      </c>
      <c r="BQ11" s="2">
        <v>45</v>
      </c>
      <c r="BR11" s="2">
        <v>49</v>
      </c>
      <c r="BS11" s="2">
        <v>54</v>
      </c>
      <c r="BT11" s="2">
        <v>18</v>
      </c>
      <c r="BU11" s="2">
        <v>53</v>
      </c>
      <c r="BV11" s="2">
        <v>67</v>
      </c>
      <c r="BW11" s="2">
        <v>81</v>
      </c>
      <c r="BX11" s="2">
        <v>116</v>
      </c>
      <c r="BY11" s="2">
        <v>51.8</v>
      </c>
      <c r="BZ11" s="2">
        <v>1</v>
      </c>
      <c r="CA11" s="2">
        <v>0.5</v>
      </c>
      <c r="CB11" s="2">
        <v>5.12059509113053E-5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10b</v>
      </c>
      <c r="J12" s="47">
        <f t="shared" ca="1" si="35"/>
        <v>7</v>
      </c>
      <c r="K12" s="19">
        <f t="shared" ca="1" si="36"/>
        <v>-12.5</v>
      </c>
      <c r="L12" s="116" t="str">
        <f t="shared" ca="1" si="1"/>
        <v>EW_sand_Ruled_86</v>
      </c>
      <c r="M12" s="105" t="str">
        <f t="shared" ca="1" si="2"/>
        <v>API sand</v>
      </c>
      <c r="N12" s="47">
        <f t="shared" ca="1" si="3"/>
        <v>9.8999999999999986</v>
      </c>
      <c r="O12" s="63">
        <f t="shared" ca="1" si="4"/>
        <v>0</v>
      </c>
      <c r="P12" s="63">
        <f t="shared" ca="1" si="5"/>
        <v>0</v>
      </c>
      <c r="Q12" s="47">
        <f t="shared" ca="1" si="6"/>
        <v>41</v>
      </c>
      <c r="R12" s="47">
        <f t="shared" ca="1" si="7"/>
        <v>36</v>
      </c>
      <c r="S12" s="47">
        <f t="shared" ca="1" si="8"/>
        <v>1.2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116800</v>
      </c>
      <c r="Y12" s="47">
        <f t="shared" ca="1" si="14"/>
        <v>0</v>
      </c>
      <c r="Z12" s="47">
        <f t="shared" ca="1" si="15"/>
        <v>114.99999999999996</v>
      </c>
      <c r="AA12" s="47">
        <f t="shared" ca="1" si="16"/>
        <v>1</v>
      </c>
      <c r="AB12" s="47">
        <f t="shared" ca="1" si="17"/>
        <v>12000</v>
      </c>
      <c r="AC12" s="63">
        <f t="shared" ca="1" si="18"/>
        <v>128000</v>
      </c>
      <c r="AD12" s="63">
        <f t="shared" ca="1" si="19"/>
        <v>5000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50.000000000000007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86</v>
      </c>
      <c r="AS12" s="33">
        <f t="shared" ca="1" si="34"/>
        <v>0.4</v>
      </c>
      <c r="AW12" s="2">
        <v>3.5</v>
      </c>
      <c r="AX12" s="2" t="s">
        <v>255</v>
      </c>
      <c r="AY12" s="130">
        <v>23.1</v>
      </c>
      <c r="AZ12" s="2">
        <v>20.2</v>
      </c>
      <c r="BA12" s="2">
        <v>18</v>
      </c>
      <c r="BB12" s="2">
        <v>28</v>
      </c>
      <c r="BC12" s="2">
        <v>5</v>
      </c>
      <c r="BD12" s="2">
        <v>1.8</v>
      </c>
      <c r="BE12" s="2">
        <v>2.2999999999999998</v>
      </c>
      <c r="BF12" s="2">
        <v>2.5</v>
      </c>
      <c r="BG12" s="2">
        <v>2.7</v>
      </c>
      <c r="BH12" s="2">
        <v>3.1</v>
      </c>
      <c r="BI12" s="2">
        <v>35</v>
      </c>
      <c r="BJ12" s="2">
        <v>104</v>
      </c>
      <c r="BK12" s="2">
        <v>136</v>
      </c>
      <c r="BL12" s="2">
        <v>168</v>
      </c>
      <c r="BM12" s="2">
        <v>235</v>
      </c>
      <c r="BN12" s="2"/>
      <c r="BO12" s="2"/>
      <c r="BP12" s="2"/>
      <c r="BQ12" s="2"/>
      <c r="BR12" s="2"/>
      <c r="BS12" s="2"/>
      <c r="BT12" s="2">
        <v>3</v>
      </c>
      <c r="BU12" s="2">
        <v>72</v>
      </c>
      <c r="BV12" s="2">
        <v>117</v>
      </c>
      <c r="BW12" s="2">
        <v>161</v>
      </c>
      <c r="BX12" s="2">
        <v>249</v>
      </c>
      <c r="BY12" s="2">
        <v>21.1</v>
      </c>
      <c r="BZ12" s="2">
        <v>14.4</v>
      </c>
      <c r="CA12" s="2">
        <v>3</v>
      </c>
      <c r="CB12" s="2">
        <v>9.8433773499924507E-9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10b</v>
      </c>
      <c r="J13" s="47">
        <f t="shared" ca="1" si="35"/>
        <v>8</v>
      </c>
      <c r="K13" s="19">
        <f t="shared" ca="1" si="36"/>
        <v>-13.5</v>
      </c>
      <c r="L13" s="116" t="str">
        <f t="shared" ca="1" si="1"/>
        <v>EW_sand_Ruled_75</v>
      </c>
      <c r="M13" s="105" t="str">
        <f t="shared" ca="1" si="2"/>
        <v>API sand</v>
      </c>
      <c r="N13" s="47">
        <f t="shared" ca="1" si="3"/>
        <v>9.8999999999999986</v>
      </c>
      <c r="O13" s="63">
        <f t="shared" ca="1" si="4"/>
        <v>0</v>
      </c>
      <c r="P13" s="63">
        <f t="shared" ca="1" si="5"/>
        <v>0</v>
      </c>
      <c r="Q13" s="47">
        <f t="shared" ca="1" si="6"/>
        <v>39</v>
      </c>
      <c r="R13" s="47">
        <f t="shared" ca="1" si="7"/>
        <v>34</v>
      </c>
      <c r="S13" s="47">
        <f t="shared" ca="1" si="8"/>
        <v>1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83200</v>
      </c>
      <c r="Y13" s="47">
        <f t="shared" ca="1" si="14"/>
        <v>0</v>
      </c>
      <c r="Z13" s="47">
        <f t="shared" ca="1" si="15"/>
        <v>111.19999999999996</v>
      </c>
      <c r="AA13" s="47">
        <f t="shared" ca="1" si="16"/>
        <v>1</v>
      </c>
      <c r="AB13" s="47">
        <f t="shared" ca="1" si="17"/>
        <v>11520</v>
      </c>
      <c r="AC13" s="63">
        <f t="shared" ca="1" si="18"/>
        <v>133000</v>
      </c>
      <c r="AD13" s="63">
        <f t="shared" ca="1" si="19"/>
        <v>-16000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48.000000000000007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75</v>
      </c>
      <c r="AS13" s="33">
        <f t="shared" ca="1" si="34"/>
        <v>0.4</v>
      </c>
      <c r="AW13" s="2">
        <v>4</v>
      </c>
      <c r="AX13" s="2" t="s">
        <v>255</v>
      </c>
      <c r="AY13" s="130">
        <v>23.1</v>
      </c>
      <c r="AZ13" s="2">
        <v>20.2</v>
      </c>
      <c r="BA13" s="2">
        <v>18</v>
      </c>
      <c r="BB13" s="2">
        <v>28</v>
      </c>
      <c r="BC13" s="2">
        <v>5</v>
      </c>
      <c r="BD13" s="2">
        <v>2</v>
      </c>
      <c r="BE13" s="2">
        <v>2.5</v>
      </c>
      <c r="BF13" s="2">
        <v>2.8</v>
      </c>
      <c r="BG13" s="2">
        <v>3</v>
      </c>
      <c r="BH13" s="2">
        <v>3.3</v>
      </c>
      <c r="BI13" s="2">
        <v>49</v>
      </c>
      <c r="BJ13" s="2">
        <v>118</v>
      </c>
      <c r="BK13" s="2">
        <v>150</v>
      </c>
      <c r="BL13" s="2">
        <v>182</v>
      </c>
      <c r="BM13" s="2">
        <v>249</v>
      </c>
      <c r="BN13" s="2"/>
      <c r="BO13" s="2"/>
      <c r="BP13" s="2"/>
      <c r="BQ13" s="2"/>
      <c r="BR13" s="2"/>
      <c r="BS13" s="2"/>
      <c r="BT13" s="2">
        <v>18</v>
      </c>
      <c r="BU13" s="2">
        <v>87</v>
      </c>
      <c r="BV13" s="2">
        <v>132</v>
      </c>
      <c r="BW13" s="2">
        <v>176</v>
      </c>
      <c r="BX13" s="2">
        <v>264</v>
      </c>
      <c r="BY13" s="2">
        <v>21.1</v>
      </c>
      <c r="BZ13" s="2">
        <v>14.4</v>
      </c>
      <c r="CA13" s="2">
        <v>3</v>
      </c>
      <c r="CB13" s="2">
        <v>9.8433773499924507E-9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10b</v>
      </c>
      <c r="J14" s="47">
        <f t="shared" ca="1" si="35"/>
        <v>9</v>
      </c>
      <c r="K14" s="19">
        <f t="shared" ca="1" si="36"/>
        <v>-14.5</v>
      </c>
      <c r="L14" s="116" t="str">
        <f t="shared" ca="1" si="1"/>
        <v>EW_sand_Ruled_88</v>
      </c>
      <c r="M14" s="105" t="str">
        <f t="shared" ca="1" si="2"/>
        <v>API sand</v>
      </c>
      <c r="N14" s="47">
        <f t="shared" ca="1" si="3"/>
        <v>9.8999999999999986</v>
      </c>
      <c r="O14" s="63">
        <f t="shared" ca="1" si="4"/>
        <v>0</v>
      </c>
      <c r="P14" s="63">
        <f t="shared" ca="1" si="5"/>
        <v>0</v>
      </c>
      <c r="Q14" s="47">
        <f t="shared" ca="1" si="6"/>
        <v>41</v>
      </c>
      <c r="R14" s="47">
        <f t="shared" ca="1" si="7"/>
        <v>36</v>
      </c>
      <c r="S14" s="47">
        <f t="shared" ca="1" si="8"/>
        <v>1.1000000000000001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131800</v>
      </c>
      <c r="Y14" s="47">
        <f t="shared" ca="1" si="14"/>
        <v>0</v>
      </c>
      <c r="Z14" s="47">
        <f t="shared" ca="1" si="15"/>
        <v>114.99999999999996</v>
      </c>
      <c r="AA14" s="47">
        <f t="shared" ca="1" si="16"/>
        <v>1</v>
      </c>
      <c r="AB14" s="47">
        <f t="shared" ca="1" si="17"/>
        <v>12000</v>
      </c>
      <c r="AC14" s="63">
        <f t="shared" ca="1" si="18"/>
        <v>134000</v>
      </c>
      <c r="AD14" s="63">
        <f t="shared" ca="1" si="19"/>
        <v>9655.1724137931014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50.000000000000007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88</v>
      </c>
      <c r="AS14" s="33">
        <f t="shared" ca="1" si="34"/>
        <v>0.4</v>
      </c>
      <c r="AW14" s="2">
        <v>4</v>
      </c>
      <c r="AX14" s="2" t="s">
        <v>295</v>
      </c>
      <c r="AY14" s="130">
        <v>25.8</v>
      </c>
      <c r="AZ14" s="2">
        <v>19.399999999999999</v>
      </c>
      <c r="BA14" s="2"/>
      <c r="BB14" s="2">
        <v>2</v>
      </c>
      <c r="BC14" s="2"/>
      <c r="BD14" s="2">
        <v>1.7</v>
      </c>
      <c r="BE14" s="2">
        <v>7.7</v>
      </c>
      <c r="BF14" s="2">
        <v>8.6</v>
      </c>
      <c r="BG14" s="2">
        <v>9.4</v>
      </c>
      <c r="BH14" s="2">
        <v>14.5</v>
      </c>
      <c r="BI14" s="2"/>
      <c r="BJ14" s="2"/>
      <c r="BK14" s="2"/>
      <c r="BL14" s="2"/>
      <c r="BM14" s="2"/>
      <c r="BN14" s="2">
        <v>86</v>
      </c>
      <c r="BO14" s="2">
        <v>34</v>
      </c>
      <c r="BP14" s="2">
        <v>42</v>
      </c>
      <c r="BQ14" s="2">
        <v>45</v>
      </c>
      <c r="BR14" s="2">
        <v>48</v>
      </c>
      <c r="BS14" s="2">
        <v>54</v>
      </c>
      <c r="BT14" s="2">
        <v>4</v>
      </c>
      <c r="BU14" s="2">
        <v>44</v>
      </c>
      <c r="BV14" s="2">
        <v>65</v>
      </c>
      <c r="BW14" s="2">
        <v>86</v>
      </c>
      <c r="BX14" s="2">
        <v>137</v>
      </c>
      <c r="BY14" s="2">
        <v>93.9</v>
      </c>
      <c r="BZ14" s="2">
        <v>7.4</v>
      </c>
      <c r="CA14" s="2">
        <v>1.7</v>
      </c>
      <c r="CB14" s="2">
        <v>3.5536123807057901E-5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19b</v>
      </c>
      <c r="J15" s="47">
        <f t="shared" ca="1" si="35"/>
        <v>10</v>
      </c>
      <c r="K15" s="19">
        <f t="shared" ca="1" si="36"/>
        <v>-20.3</v>
      </c>
      <c r="L15" s="116" t="str">
        <f t="shared" ca="1" si="1"/>
        <v>EW_sand_Ruled_55</v>
      </c>
      <c r="M15" s="105" t="str">
        <f t="shared" ca="1" si="2"/>
        <v>API sand</v>
      </c>
      <c r="N15" s="47">
        <f t="shared" ca="1" si="3"/>
        <v>8.5</v>
      </c>
      <c r="O15" s="63">
        <f t="shared" ca="1" si="4"/>
        <v>0</v>
      </c>
      <c r="P15" s="63">
        <f t="shared" ca="1" si="5"/>
        <v>0</v>
      </c>
      <c r="Q15" s="47">
        <f t="shared" ca="1" si="6"/>
        <v>26.5</v>
      </c>
      <c r="R15" s="47">
        <f t="shared" ca="1" si="7"/>
        <v>21.5</v>
      </c>
      <c r="S15" s="47">
        <f t="shared" ca="1" si="8"/>
        <v>0.6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24400</v>
      </c>
      <c r="Y15" s="47">
        <f t="shared" ca="1" si="14"/>
        <v>0</v>
      </c>
      <c r="Z15" s="47">
        <f t="shared" ca="1" si="15"/>
        <v>69.799999999999983</v>
      </c>
      <c r="AA15" s="47">
        <f t="shared" ca="1" si="16"/>
        <v>1</v>
      </c>
      <c r="AB15" s="47">
        <f t="shared" ca="1" si="17"/>
        <v>3280</v>
      </c>
      <c r="AC15" s="63">
        <f t="shared" ca="1" si="18"/>
        <v>104000</v>
      </c>
      <c r="AD15" s="63">
        <f t="shared" ca="1" si="19"/>
        <v>2337.6623376623379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13.600000000000003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55</v>
      </c>
      <c r="AS15" s="33">
        <f t="shared" ca="1" si="34"/>
        <v>0.2</v>
      </c>
      <c r="AW15" s="2">
        <v>8</v>
      </c>
      <c r="AX15" s="2" t="s">
        <v>295</v>
      </c>
      <c r="AY15" s="130">
        <v>25.8</v>
      </c>
      <c r="AZ15" s="2">
        <v>19.399999999999999</v>
      </c>
      <c r="BA15" s="2"/>
      <c r="BB15" s="2">
        <v>2</v>
      </c>
      <c r="BC15" s="2"/>
      <c r="BD15" s="2">
        <v>24.9</v>
      </c>
      <c r="BE15" s="2">
        <v>30.9</v>
      </c>
      <c r="BF15" s="2">
        <v>31.8</v>
      </c>
      <c r="BG15" s="2">
        <v>32.6</v>
      </c>
      <c r="BH15" s="2">
        <v>37.700000000000003</v>
      </c>
      <c r="BI15" s="2"/>
      <c r="BJ15" s="2"/>
      <c r="BK15" s="2"/>
      <c r="BL15" s="2"/>
      <c r="BM15" s="2"/>
      <c r="BN15" s="2">
        <v>86</v>
      </c>
      <c r="BO15" s="2">
        <v>34</v>
      </c>
      <c r="BP15" s="2">
        <v>42</v>
      </c>
      <c r="BQ15" s="2">
        <v>45</v>
      </c>
      <c r="BR15" s="2">
        <v>48</v>
      </c>
      <c r="BS15" s="2">
        <v>54</v>
      </c>
      <c r="BT15" s="2">
        <v>50</v>
      </c>
      <c r="BU15" s="2">
        <v>90</v>
      </c>
      <c r="BV15" s="2">
        <v>111</v>
      </c>
      <c r="BW15" s="2">
        <v>132</v>
      </c>
      <c r="BX15" s="2">
        <v>184</v>
      </c>
      <c r="BY15" s="2">
        <v>93.9</v>
      </c>
      <c r="BZ15" s="2">
        <v>7.4</v>
      </c>
      <c r="CA15" s="2">
        <v>1.7</v>
      </c>
      <c r="CB15" s="2">
        <v>3.5536123807057901E-5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21a</v>
      </c>
      <c r="J16" s="47">
        <f t="shared" ca="1" si="35"/>
        <v>11</v>
      </c>
      <c r="K16" s="19">
        <f t="shared" ca="1" si="36"/>
        <v>-28</v>
      </c>
      <c r="L16" s="116" t="str">
        <f t="shared" ca="1" si="1"/>
        <v>EW_sand_Ruled_65</v>
      </c>
      <c r="M16" s="105" t="str">
        <f t="shared" ca="1" si="2"/>
        <v>API sand</v>
      </c>
      <c r="N16" s="47">
        <f t="shared" ca="1" si="3"/>
        <v>9.8000000000000007</v>
      </c>
      <c r="O16" s="63">
        <f t="shared" ca="1" si="4"/>
        <v>0</v>
      </c>
      <c r="P16" s="63">
        <f t="shared" ca="1" si="5"/>
        <v>0</v>
      </c>
      <c r="Q16" s="47">
        <f t="shared" ca="1" si="6"/>
        <v>28</v>
      </c>
      <c r="R16" s="47">
        <f t="shared" ca="1" si="7"/>
        <v>23</v>
      </c>
      <c r="S16" s="47">
        <f t="shared" ca="1" si="8"/>
        <v>1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47900</v>
      </c>
      <c r="Y16" s="47">
        <f t="shared" ca="1" si="14"/>
        <v>0</v>
      </c>
      <c r="Z16" s="47">
        <f t="shared" ca="1" si="15"/>
        <v>75.399999999999977</v>
      </c>
      <c r="AA16" s="47">
        <f t="shared" ca="1" si="16"/>
        <v>1</v>
      </c>
      <c r="AB16" s="47">
        <f t="shared" ca="1" si="17"/>
        <v>4040</v>
      </c>
      <c r="AC16" s="63">
        <f t="shared" ca="1" si="18"/>
        <v>167000</v>
      </c>
      <c r="AD16" s="63">
        <f t="shared" ca="1" si="19"/>
        <v>666.66666666666663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16.800000000000004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65</v>
      </c>
      <c r="AS16" s="33">
        <f t="shared" ca="1" si="34"/>
        <v>0.2</v>
      </c>
      <c r="AW16" s="2">
        <v>8</v>
      </c>
      <c r="AX16" s="2" t="s">
        <v>259</v>
      </c>
      <c r="AY16" s="130">
        <v>25.5</v>
      </c>
      <c r="AZ16" s="2">
        <v>20</v>
      </c>
      <c r="BA16" s="2"/>
      <c r="BB16" s="2">
        <v>14</v>
      </c>
      <c r="BC16" s="2"/>
      <c r="BD16" s="2">
        <f>-5+23.7</f>
        <v>18.7</v>
      </c>
      <c r="BE16" s="2">
        <v>25.3</v>
      </c>
      <c r="BF16" s="2">
        <v>25.5</v>
      </c>
      <c r="BG16" s="2">
        <v>26.1</v>
      </c>
      <c r="BH16" s="2">
        <f>5+30.3</f>
        <v>35.299999999999997</v>
      </c>
      <c r="BI16" s="2"/>
      <c r="BJ16" s="2"/>
      <c r="BK16" s="2"/>
      <c r="BL16" s="2"/>
      <c r="BM16" s="2"/>
      <c r="BN16" s="2">
        <v>88</v>
      </c>
      <c r="BO16" s="2">
        <v>35</v>
      </c>
      <c r="BP16" s="2">
        <v>41</v>
      </c>
      <c r="BQ16" s="2">
        <v>44</v>
      </c>
      <c r="BR16" s="2">
        <v>48</v>
      </c>
      <c r="BS16" s="2">
        <v>54</v>
      </c>
      <c r="BT16" s="2">
        <v>12</v>
      </c>
      <c r="BU16" s="2">
        <v>79</v>
      </c>
      <c r="BV16" s="2">
        <v>106</v>
      </c>
      <c r="BW16" s="2">
        <v>134</v>
      </c>
      <c r="BX16" s="2">
        <v>201</v>
      </c>
      <c r="BY16" s="2">
        <v>104.6</v>
      </c>
      <c r="BZ16" s="2">
        <v>5.2</v>
      </c>
      <c r="CA16" s="2">
        <v>1.3</v>
      </c>
      <c r="CB16" s="2">
        <v>1.06476351858416E-5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21a</v>
      </c>
      <c r="J17" s="47">
        <f t="shared" ca="1" si="35"/>
        <v>12</v>
      </c>
      <c r="K17" s="19">
        <f t="shared" ca="1" si="36"/>
        <v>-34</v>
      </c>
      <c r="L17" s="116" t="str">
        <f t="shared" ca="1" si="1"/>
        <v>EW_sand_Ruled_73</v>
      </c>
      <c r="M17" s="105" t="str">
        <f t="shared" ca="1" si="2"/>
        <v>API sand</v>
      </c>
      <c r="N17" s="47">
        <f t="shared" ca="1" si="3"/>
        <v>9.8000000000000007</v>
      </c>
      <c r="O17" s="63">
        <f t="shared" ca="1" si="4"/>
        <v>0</v>
      </c>
      <c r="P17" s="63">
        <f t="shared" ca="1" si="5"/>
        <v>0</v>
      </c>
      <c r="Q17" s="47">
        <f t="shared" ca="1" si="6"/>
        <v>28</v>
      </c>
      <c r="R17" s="47">
        <f t="shared" ca="1" si="7"/>
        <v>23</v>
      </c>
      <c r="S17" s="47">
        <f t="shared" ca="1" si="8"/>
        <v>1.1000000000000001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46800</v>
      </c>
      <c r="Y17" s="47">
        <f t="shared" ca="1" si="14"/>
        <v>0</v>
      </c>
      <c r="Z17" s="47">
        <f t="shared" ca="1" si="15"/>
        <v>75.399999999999977</v>
      </c>
      <c r="AA17" s="47">
        <f t="shared" ca="1" si="16"/>
        <v>1</v>
      </c>
      <c r="AB17" s="47">
        <f t="shared" ca="1" si="17"/>
        <v>4040</v>
      </c>
      <c r="AC17" s="63">
        <f t="shared" ca="1" si="18"/>
        <v>187000</v>
      </c>
      <c r="AD17" s="63">
        <f t="shared" ca="1" si="19"/>
        <v>496.89440993788816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16.800000000000004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73</v>
      </c>
      <c r="AS17" s="33">
        <f t="shared" ca="1" si="34"/>
        <v>0.2</v>
      </c>
      <c r="AW17" s="2">
        <v>12.5</v>
      </c>
      <c r="AX17" s="2" t="s">
        <v>259</v>
      </c>
      <c r="AY17" s="130">
        <v>25.5</v>
      </c>
      <c r="AZ17" s="2">
        <v>20</v>
      </c>
      <c r="BA17" s="2"/>
      <c r="BB17" s="2">
        <v>14</v>
      </c>
      <c r="BC17" s="2"/>
      <c r="BD17" s="2">
        <f>-5+24.5</f>
        <v>19.5</v>
      </c>
      <c r="BE17" s="2">
        <v>26.1</v>
      </c>
      <c r="BF17" s="2">
        <v>26.3</v>
      </c>
      <c r="BG17" s="2">
        <v>26.9</v>
      </c>
      <c r="BH17" s="2">
        <f>5+31.1</f>
        <v>36.1</v>
      </c>
      <c r="BI17" s="2"/>
      <c r="BJ17" s="2"/>
      <c r="BK17" s="2"/>
      <c r="BL17" s="2"/>
      <c r="BM17" s="2"/>
      <c r="BN17" s="2">
        <v>88</v>
      </c>
      <c r="BO17" s="2">
        <v>35</v>
      </c>
      <c r="BP17" s="2">
        <v>41</v>
      </c>
      <c r="BQ17" s="2">
        <v>44</v>
      </c>
      <c r="BR17" s="2">
        <v>48</v>
      </c>
      <c r="BS17" s="2">
        <v>54</v>
      </c>
      <c r="BT17" s="2">
        <v>31</v>
      </c>
      <c r="BU17" s="2">
        <v>98</v>
      </c>
      <c r="BV17" s="2">
        <v>125</v>
      </c>
      <c r="BW17" s="2">
        <v>152</v>
      </c>
      <c r="BX17" s="2">
        <v>220</v>
      </c>
      <c r="BY17" s="2">
        <v>104.6</v>
      </c>
      <c r="BZ17" s="2">
        <v>5.2</v>
      </c>
      <c r="CA17" s="2">
        <v>1.3</v>
      </c>
      <c r="CB17" s="2">
        <v>1.06476351858416E-5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23d</v>
      </c>
      <c r="J18" s="47">
        <f t="shared" ca="1" si="35"/>
        <v>13</v>
      </c>
      <c r="K18" s="19">
        <f t="shared" ca="1" si="36"/>
        <v>-50.1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8.8999999999999986</v>
      </c>
      <c r="O18" s="63">
        <f t="shared" ca="1" si="4"/>
        <v>392</v>
      </c>
      <c r="P18" s="63">
        <f t="shared" ca="1" si="5"/>
        <v>5.7859531772575252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1.9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0.25</v>
      </c>
      <c r="X18" s="47">
        <f t="shared" ca="1" si="13"/>
        <v>42100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588000</v>
      </c>
      <c r="AD18" s="63">
        <f t="shared" ca="1" si="19"/>
        <v>10635.451505016723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12.5</v>
      </c>
      <c r="AX18" s="2" t="s">
        <v>261</v>
      </c>
      <c r="AY18" s="130">
        <v>24</v>
      </c>
      <c r="AZ18" s="2">
        <v>19.899999999999999</v>
      </c>
      <c r="BA18" s="2"/>
      <c r="BB18" s="2">
        <v>6</v>
      </c>
      <c r="BC18" s="2"/>
      <c r="BD18" s="2">
        <v>25.7</v>
      </c>
      <c r="BE18" s="2">
        <v>26.7</v>
      </c>
      <c r="BF18" s="2">
        <v>27</v>
      </c>
      <c r="BG18" s="2">
        <v>27.7</v>
      </c>
      <c r="BH18" s="2">
        <v>29.5</v>
      </c>
      <c r="BI18" s="2"/>
      <c r="BJ18" s="2"/>
      <c r="BK18" s="2"/>
      <c r="BL18" s="2"/>
      <c r="BM18" s="2"/>
      <c r="BN18" s="2">
        <v>86</v>
      </c>
      <c r="BO18" s="2">
        <v>35</v>
      </c>
      <c r="BP18" s="2">
        <v>41</v>
      </c>
      <c r="BQ18" s="2">
        <v>44</v>
      </c>
      <c r="BR18" s="2">
        <v>47</v>
      </c>
      <c r="BS18" s="2">
        <v>53</v>
      </c>
      <c r="BT18" s="2">
        <v>21</v>
      </c>
      <c r="BU18" s="2">
        <v>97</v>
      </c>
      <c r="BV18" s="2">
        <v>128</v>
      </c>
      <c r="BW18" s="2">
        <v>158</v>
      </c>
      <c r="BX18" s="2">
        <v>234</v>
      </c>
      <c r="BY18" s="2">
        <v>116.8</v>
      </c>
      <c r="BZ18" s="2">
        <v>4.2</v>
      </c>
      <c r="CA18" s="2">
        <v>1.2</v>
      </c>
      <c r="CB18" s="2">
        <v>1.8454530679415399E-5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13.5</v>
      </c>
      <c r="AX19" s="2" t="s">
        <v>261</v>
      </c>
      <c r="AY19" s="130">
        <v>24</v>
      </c>
      <c r="AZ19" s="2">
        <v>19.899999999999999</v>
      </c>
      <c r="BA19" s="2"/>
      <c r="BB19" s="2">
        <v>6</v>
      </c>
      <c r="BC19" s="2"/>
      <c r="BD19" s="2">
        <v>29.2</v>
      </c>
      <c r="BE19" s="2">
        <v>30.1</v>
      </c>
      <c r="BF19" s="2">
        <v>30.5</v>
      </c>
      <c r="BG19" s="2">
        <v>31.2</v>
      </c>
      <c r="BH19" s="2">
        <v>33</v>
      </c>
      <c r="BI19" s="2"/>
      <c r="BJ19" s="2"/>
      <c r="BK19" s="2"/>
      <c r="BL19" s="2"/>
      <c r="BM19" s="2"/>
      <c r="BN19" s="2">
        <v>86</v>
      </c>
      <c r="BO19" s="2">
        <v>35</v>
      </c>
      <c r="BP19" s="2">
        <v>41</v>
      </c>
      <c r="BQ19" s="2">
        <v>44</v>
      </c>
      <c r="BR19" s="2">
        <v>47</v>
      </c>
      <c r="BS19" s="2">
        <v>53</v>
      </c>
      <c r="BT19" s="2">
        <v>27</v>
      </c>
      <c r="BU19" s="2">
        <v>103</v>
      </c>
      <c r="BV19" s="2">
        <v>133</v>
      </c>
      <c r="BW19" s="2">
        <v>164</v>
      </c>
      <c r="BX19" s="2">
        <v>240</v>
      </c>
      <c r="BY19" s="2">
        <v>116.8</v>
      </c>
      <c r="BZ19" s="2">
        <v>4.2</v>
      </c>
      <c r="CA19" s="2">
        <v>1.2</v>
      </c>
      <c r="CB19" s="2">
        <v>1.8454530679415399E-5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13.5</v>
      </c>
      <c r="AX20" s="2" t="s">
        <v>261</v>
      </c>
      <c r="AY20" s="130">
        <v>24</v>
      </c>
      <c r="AZ20" s="2">
        <v>19.899999999999999</v>
      </c>
      <c r="BA20" s="2"/>
      <c r="BB20" s="2">
        <v>6</v>
      </c>
      <c r="BC20" s="2"/>
      <c r="BD20" s="2">
        <v>21.3</v>
      </c>
      <c r="BE20" s="2">
        <v>23.5</v>
      </c>
      <c r="BF20" s="2">
        <v>24.4</v>
      </c>
      <c r="BG20" s="2">
        <v>25.6</v>
      </c>
      <c r="BH20" s="2">
        <v>28.8</v>
      </c>
      <c r="BI20" s="2"/>
      <c r="BJ20" s="2"/>
      <c r="BK20" s="2"/>
      <c r="BL20" s="2"/>
      <c r="BM20" s="2"/>
      <c r="BN20" s="2">
        <v>75</v>
      </c>
      <c r="BO20" s="2">
        <v>33</v>
      </c>
      <c r="BP20" s="2">
        <v>39</v>
      </c>
      <c r="BQ20" s="2">
        <v>42</v>
      </c>
      <c r="BR20" s="2">
        <v>46</v>
      </c>
      <c r="BS20" s="2">
        <v>52</v>
      </c>
      <c r="BT20" s="2">
        <v>31</v>
      </c>
      <c r="BU20" s="2">
        <v>104</v>
      </c>
      <c r="BV20" s="2">
        <v>133</v>
      </c>
      <c r="BW20" s="2">
        <v>163</v>
      </c>
      <c r="BX20" s="2">
        <v>235</v>
      </c>
      <c r="BY20" s="2">
        <v>83.2</v>
      </c>
      <c r="BZ20" s="2">
        <v>3.1</v>
      </c>
      <c r="CA20" s="2">
        <v>1</v>
      </c>
      <c r="CB20" s="2">
        <v>3.5691908134597899E-6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14.5</v>
      </c>
      <c r="AX21" s="2" t="s">
        <v>261</v>
      </c>
      <c r="AY21" s="130">
        <v>24</v>
      </c>
      <c r="AZ21" s="2">
        <v>19.899999999999999</v>
      </c>
      <c r="BA21" s="2"/>
      <c r="BB21" s="2">
        <v>6</v>
      </c>
      <c r="BC21" s="2"/>
      <c r="BD21" s="2">
        <v>13.3</v>
      </c>
      <c r="BE21" s="2">
        <v>15.6</v>
      </c>
      <c r="BF21" s="2">
        <v>16.5</v>
      </c>
      <c r="BG21" s="2">
        <v>17.7</v>
      </c>
      <c r="BH21" s="2">
        <v>20.8</v>
      </c>
      <c r="BI21" s="2"/>
      <c r="BJ21" s="2"/>
      <c r="BK21" s="2"/>
      <c r="BL21" s="2"/>
      <c r="BM21" s="2"/>
      <c r="BN21" s="2">
        <v>75</v>
      </c>
      <c r="BO21" s="2">
        <v>33</v>
      </c>
      <c r="BP21" s="2">
        <v>39</v>
      </c>
      <c r="BQ21" s="2">
        <v>42</v>
      </c>
      <c r="BR21" s="2">
        <v>46</v>
      </c>
      <c r="BS21" s="2">
        <v>52</v>
      </c>
      <c r="BT21" s="2">
        <v>15</v>
      </c>
      <c r="BU21" s="2">
        <v>87</v>
      </c>
      <c r="BV21" s="2">
        <v>117</v>
      </c>
      <c r="BW21" s="2">
        <v>146</v>
      </c>
      <c r="BX21" s="2">
        <v>219</v>
      </c>
      <c r="BY21" s="2">
        <v>83.2</v>
      </c>
      <c r="BZ21" s="2">
        <v>3.1</v>
      </c>
      <c r="CA21" s="2">
        <v>1</v>
      </c>
      <c r="CB21" s="2">
        <v>3.5691908134597899E-6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14.5</v>
      </c>
      <c r="AX22" s="2" t="s">
        <v>261</v>
      </c>
      <c r="AY22" s="130">
        <v>24</v>
      </c>
      <c r="AZ22" s="2">
        <v>19.899999999999999</v>
      </c>
      <c r="BA22" s="2"/>
      <c r="BB22" s="2">
        <v>6</v>
      </c>
      <c r="BC22" s="2"/>
      <c r="BD22" s="2">
        <v>10</v>
      </c>
      <c r="BE22" s="2">
        <v>23.7</v>
      </c>
      <c r="BF22" s="2">
        <v>26.1</v>
      </c>
      <c r="BG22" s="2">
        <v>31.4</v>
      </c>
      <c r="BH22" s="2">
        <v>60.5</v>
      </c>
      <c r="BI22" s="2"/>
      <c r="BJ22" s="2"/>
      <c r="BK22" s="2"/>
      <c r="BL22" s="2"/>
      <c r="BM22" s="2"/>
      <c r="BN22" s="2">
        <v>88</v>
      </c>
      <c r="BO22" s="2">
        <v>34</v>
      </c>
      <c r="BP22" s="2">
        <v>41</v>
      </c>
      <c r="BQ22" s="2">
        <v>44</v>
      </c>
      <c r="BR22" s="2">
        <v>47</v>
      </c>
      <c r="BS22" s="2">
        <v>54</v>
      </c>
      <c r="BT22" s="2">
        <v>15</v>
      </c>
      <c r="BU22" s="2">
        <v>100</v>
      </c>
      <c r="BV22" s="2">
        <v>134</v>
      </c>
      <c r="BW22" s="2">
        <v>168</v>
      </c>
      <c r="BX22" s="2">
        <v>256</v>
      </c>
      <c r="BY22" s="2">
        <v>131.80000000000001</v>
      </c>
      <c r="BZ22" s="2">
        <v>3.6</v>
      </c>
      <c r="CA22" s="2">
        <v>1.1000000000000001</v>
      </c>
      <c r="CB22" s="2">
        <v>1.33704266785885E-5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20.3</v>
      </c>
      <c r="AX23" s="2" t="s">
        <v>261</v>
      </c>
      <c r="AY23" s="130">
        <v>24</v>
      </c>
      <c r="AZ23" s="2">
        <v>19.899999999999999</v>
      </c>
      <c r="BA23" s="2"/>
      <c r="BB23" s="2">
        <v>6</v>
      </c>
      <c r="BC23" s="2"/>
      <c r="BD23" s="2">
        <v>42.6</v>
      </c>
      <c r="BE23" s="2">
        <v>53.8</v>
      </c>
      <c r="BF23" s="2">
        <v>60.4</v>
      </c>
      <c r="BG23" s="2">
        <v>65</v>
      </c>
      <c r="BH23" s="2">
        <v>89.4</v>
      </c>
      <c r="BI23" s="2"/>
      <c r="BJ23" s="2"/>
      <c r="BK23" s="2"/>
      <c r="BL23" s="2"/>
      <c r="BM23" s="2"/>
      <c r="BN23" s="2">
        <v>82</v>
      </c>
      <c r="BO23" s="2">
        <v>34</v>
      </c>
      <c r="BP23" s="2">
        <v>40</v>
      </c>
      <c r="BQ23" s="2">
        <v>43</v>
      </c>
      <c r="BR23" s="2">
        <v>46</v>
      </c>
      <c r="BS23" s="2">
        <v>53</v>
      </c>
      <c r="BT23" s="2">
        <v>73</v>
      </c>
      <c r="BU23" s="2">
        <v>151</v>
      </c>
      <c r="BV23" s="2">
        <v>190</v>
      </c>
      <c r="BW23" s="2">
        <v>228</v>
      </c>
      <c r="BX23" s="2">
        <v>325</v>
      </c>
      <c r="BY23" s="2">
        <f>+BY22</f>
        <v>131.80000000000001</v>
      </c>
      <c r="BZ23" s="2">
        <v>2.9</v>
      </c>
      <c r="CA23" s="2">
        <v>1</v>
      </c>
      <c r="CB23" s="2">
        <v>5.1258721261053203E-6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20.3</v>
      </c>
      <c r="AX24" s="2" t="s">
        <v>291</v>
      </c>
      <c r="AY24" s="130">
        <v>35.4</v>
      </c>
      <c r="AZ24" s="2">
        <v>18.5</v>
      </c>
      <c r="BA24" s="2"/>
      <c r="BB24" s="2">
        <v>54</v>
      </c>
      <c r="BC24" s="2"/>
      <c r="BD24" s="2">
        <v>2.8</v>
      </c>
      <c r="BE24" s="2">
        <v>5.3</v>
      </c>
      <c r="BF24" s="2">
        <v>5.7</v>
      </c>
      <c r="BG24" s="2">
        <v>6.2</v>
      </c>
      <c r="BH24" s="2">
        <v>10.8</v>
      </c>
      <c r="BI24" s="2"/>
      <c r="BJ24" s="2"/>
      <c r="BK24" s="2"/>
      <c r="BL24" s="2"/>
      <c r="BM24" s="2"/>
      <c r="BN24" s="2">
        <v>55</v>
      </c>
      <c r="BO24" s="2">
        <v>26</v>
      </c>
      <c r="BP24" s="2">
        <v>26.5</v>
      </c>
      <c r="BQ24" s="2">
        <v>27</v>
      </c>
      <c r="BR24" s="2">
        <v>30</v>
      </c>
      <c r="BS24" s="2">
        <v>33</v>
      </c>
      <c r="BT24" s="2">
        <v>20</v>
      </c>
      <c r="BU24" s="2">
        <v>77</v>
      </c>
      <c r="BV24" s="2">
        <v>104</v>
      </c>
      <c r="BW24" s="2">
        <v>131</v>
      </c>
      <c r="BX24" s="2">
        <v>197</v>
      </c>
      <c r="BY24" s="2">
        <v>24.4</v>
      </c>
      <c r="BZ24" s="2">
        <v>1.5</v>
      </c>
      <c r="CA24" s="2">
        <v>0.6</v>
      </c>
      <c r="CB24" s="2">
        <v>3.0619430557311902E-10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28</v>
      </c>
      <c r="AX25" s="2" t="s">
        <v>291</v>
      </c>
      <c r="AY25" s="130">
        <v>35.4</v>
      </c>
      <c r="AZ25" s="2">
        <v>18.5</v>
      </c>
      <c r="BA25" s="2"/>
      <c r="BB25" s="2">
        <v>54</v>
      </c>
      <c r="BC25" s="2"/>
      <c r="BD25" s="2">
        <v>4.5</v>
      </c>
      <c r="BE25" s="2">
        <v>7</v>
      </c>
      <c r="BF25" s="2">
        <v>7.3</v>
      </c>
      <c r="BG25" s="2">
        <v>7.8</v>
      </c>
      <c r="BH25" s="2">
        <v>12.4</v>
      </c>
      <c r="BI25" s="2"/>
      <c r="BJ25" s="2"/>
      <c r="BK25" s="2"/>
      <c r="BL25" s="2"/>
      <c r="BM25" s="2"/>
      <c r="BN25" s="2">
        <v>55</v>
      </c>
      <c r="BO25" s="2">
        <v>26</v>
      </c>
      <c r="BP25" s="2">
        <v>26.5</v>
      </c>
      <c r="BQ25" s="2">
        <v>27</v>
      </c>
      <c r="BR25" s="2">
        <v>30</v>
      </c>
      <c r="BS25" s="2">
        <v>33</v>
      </c>
      <c r="BT25" s="2">
        <v>37</v>
      </c>
      <c r="BU25" s="2">
        <v>95</v>
      </c>
      <c r="BV25" s="2">
        <v>122</v>
      </c>
      <c r="BW25" s="2">
        <v>148</v>
      </c>
      <c r="BX25" s="2">
        <v>215</v>
      </c>
      <c r="BY25" s="2">
        <v>24.4</v>
      </c>
      <c r="BZ25" s="2">
        <v>1.5</v>
      </c>
      <c r="CA25" s="2">
        <v>0.6</v>
      </c>
      <c r="CB25" s="2">
        <v>3.0619430557311902E-10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28</v>
      </c>
      <c r="AX26" s="2" t="s">
        <v>271</v>
      </c>
      <c r="AY26" s="130">
        <v>24.7</v>
      </c>
      <c r="AZ26" s="2">
        <v>19.8</v>
      </c>
      <c r="BA26" s="2"/>
      <c r="BB26" s="2">
        <v>11</v>
      </c>
      <c r="BC26" s="2"/>
      <c r="BD26" s="2">
        <v>8.8000000000000007</v>
      </c>
      <c r="BE26" s="2">
        <v>22.8</v>
      </c>
      <c r="BF26" s="2">
        <v>24.9</v>
      </c>
      <c r="BG26" s="2">
        <v>27.3</v>
      </c>
      <c r="BH26" s="2">
        <v>43.5</v>
      </c>
      <c r="BI26" s="2"/>
      <c r="BJ26" s="2"/>
      <c r="BK26" s="2"/>
      <c r="BL26" s="2"/>
      <c r="BM26" s="2"/>
      <c r="BN26" s="2">
        <v>65</v>
      </c>
      <c r="BO26" s="2">
        <v>26</v>
      </c>
      <c r="BP26" s="2">
        <v>28</v>
      </c>
      <c r="BQ26" s="2">
        <v>30</v>
      </c>
      <c r="BR26" s="2">
        <v>33</v>
      </c>
      <c r="BS26" s="2">
        <v>37</v>
      </c>
      <c r="BT26" s="2">
        <v>29</v>
      </c>
      <c r="BU26" s="2">
        <v>127</v>
      </c>
      <c r="BV26" s="2">
        <v>167</v>
      </c>
      <c r="BW26" s="2">
        <v>206</v>
      </c>
      <c r="BX26" s="2">
        <v>308</v>
      </c>
      <c r="BY26" s="2">
        <v>47.9</v>
      </c>
      <c r="BZ26" s="2">
        <v>3.2</v>
      </c>
      <c r="CA26" s="2">
        <v>1</v>
      </c>
      <c r="CB26" s="2">
        <v>2.0890162709979E-10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34</v>
      </c>
      <c r="AX27" s="2" t="s">
        <v>271</v>
      </c>
      <c r="AY27" s="130">
        <v>24.7</v>
      </c>
      <c r="AZ27" s="2">
        <v>19.8</v>
      </c>
      <c r="BA27" s="2"/>
      <c r="BB27" s="2">
        <v>11</v>
      </c>
      <c r="BC27" s="2"/>
      <c r="BD27" s="2">
        <v>3.3</v>
      </c>
      <c r="BE27" s="2">
        <v>17.3</v>
      </c>
      <c r="BF27" s="2">
        <v>19.399999999999999</v>
      </c>
      <c r="BG27" s="2">
        <v>21.8</v>
      </c>
      <c r="BH27" s="2">
        <v>38</v>
      </c>
      <c r="BI27" s="2"/>
      <c r="BJ27" s="2"/>
      <c r="BK27" s="2"/>
      <c r="BL27" s="2"/>
      <c r="BM27" s="2"/>
      <c r="BN27" s="2">
        <v>65</v>
      </c>
      <c r="BO27" s="2">
        <v>26</v>
      </c>
      <c r="BP27" s="2">
        <v>28</v>
      </c>
      <c r="BQ27" s="2">
        <v>30</v>
      </c>
      <c r="BR27" s="2">
        <v>33</v>
      </c>
      <c r="BS27" s="2">
        <v>37</v>
      </c>
      <c r="BT27" s="2">
        <v>34</v>
      </c>
      <c r="BU27" s="2">
        <v>132</v>
      </c>
      <c r="BV27" s="2">
        <v>171</v>
      </c>
      <c r="BW27" s="2">
        <v>211</v>
      </c>
      <c r="BX27" s="2">
        <v>312</v>
      </c>
      <c r="BY27" s="2">
        <v>47.9</v>
      </c>
      <c r="BZ27" s="2">
        <v>3.2</v>
      </c>
      <c r="CA27" s="2">
        <v>1</v>
      </c>
      <c r="CB27" s="2">
        <v>2.0890162709979E-10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34</v>
      </c>
      <c r="AX28" s="2" t="s">
        <v>271</v>
      </c>
      <c r="AY28" s="130">
        <v>24.7</v>
      </c>
      <c r="AZ28" s="2">
        <v>19.8</v>
      </c>
      <c r="BA28" s="2"/>
      <c r="BB28" s="2">
        <v>11</v>
      </c>
      <c r="BC28" s="2"/>
      <c r="BD28" s="2">
        <v>24.5</v>
      </c>
      <c r="BE28" s="2">
        <v>28.7</v>
      </c>
      <c r="BF28" s="2">
        <v>29.5</v>
      </c>
      <c r="BG28" s="2">
        <v>30.4</v>
      </c>
      <c r="BH28" s="2">
        <v>34.6</v>
      </c>
      <c r="BI28" s="2"/>
      <c r="BJ28" s="2"/>
      <c r="BK28" s="2"/>
      <c r="BL28" s="2"/>
      <c r="BM28" s="2"/>
      <c r="BN28" s="2">
        <v>73</v>
      </c>
      <c r="BO28" s="2">
        <v>26</v>
      </c>
      <c r="BP28" s="2">
        <v>28</v>
      </c>
      <c r="BQ28" s="2">
        <v>31</v>
      </c>
      <c r="BR28" s="2">
        <v>33</v>
      </c>
      <c r="BS28" s="2">
        <v>37</v>
      </c>
      <c r="BT28" s="2">
        <v>42</v>
      </c>
      <c r="BU28" s="2">
        <v>143</v>
      </c>
      <c r="BV28" s="2">
        <v>187</v>
      </c>
      <c r="BW28" s="2">
        <v>232</v>
      </c>
      <c r="BX28" s="2">
        <v>343</v>
      </c>
      <c r="BY28" s="2">
        <v>46.8</v>
      </c>
      <c r="BZ28" s="2">
        <v>3.6</v>
      </c>
      <c r="CA28" s="2">
        <v>1.1000000000000001</v>
      </c>
      <c r="CB28" s="2">
        <v>1.5030462446305601E-10</v>
      </c>
      <c r="CC28" s="2"/>
    </row>
    <row r="29" spans="1:81" x14ac:dyDescent="0.25">
      <c r="A29" s="66"/>
      <c r="B29" s="66"/>
      <c r="C29" s="67"/>
      <c r="D29" s="35"/>
      <c r="AW29" s="2">
        <v>50.1</v>
      </c>
      <c r="AX29" s="2" t="s">
        <v>271</v>
      </c>
      <c r="AY29" s="130">
        <v>24.7</v>
      </c>
      <c r="AZ29" s="2">
        <v>19.8</v>
      </c>
      <c r="BA29" s="2"/>
      <c r="BB29" s="2">
        <v>11</v>
      </c>
      <c r="BC29" s="2"/>
      <c r="BD29" s="2">
        <v>25.4</v>
      </c>
      <c r="BE29" s="2">
        <v>29.7</v>
      </c>
      <c r="BF29" s="2">
        <v>30.5</v>
      </c>
      <c r="BG29" s="2">
        <v>31.3</v>
      </c>
      <c r="BH29" s="2">
        <v>35.5</v>
      </c>
      <c r="BI29" s="2"/>
      <c r="BJ29" s="2"/>
      <c r="BK29" s="2"/>
      <c r="BL29" s="2"/>
      <c r="BM29" s="2"/>
      <c r="BN29" s="2">
        <v>73</v>
      </c>
      <c r="BO29" s="2">
        <v>26</v>
      </c>
      <c r="BP29" s="2">
        <v>28</v>
      </c>
      <c r="BQ29" s="2">
        <v>31</v>
      </c>
      <c r="BR29" s="2">
        <v>33</v>
      </c>
      <c r="BS29" s="2">
        <v>37</v>
      </c>
      <c r="BT29" s="2">
        <v>50</v>
      </c>
      <c r="BU29" s="2">
        <v>150</v>
      </c>
      <c r="BV29" s="2">
        <v>195</v>
      </c>
      <c r="BW29" s="2">
        <v>240</v>
      </c>
      <c r="BX29" s="2">
        <v>351</v>
      </c>
      <c r="BY29" s="2">
        <v>46.8</v>
      </c>
      <c r="BZ29" s="2">
        <v>3.6</v>
      </c>
      <c r="CA29" s="2">
        <v>1.1000000000000001</v>
      </c>
      <c r="CB29" s="2">
        <v>1.5030462446305601E-10</v>
      </c>
      <c r="CC29" s="2"/>
    </row>
    <row r="30" spans="1:81" x14ac:dyDescent="0.25">
      <c r="A30" s="66"/>
      <c r="B30" s="66"/>
      <c r="C30" s="67"/>
      <c r="D30" s="35"/>
      <c r="AW30" s="2">
        <v>50.1</v>
      </c>
      <c r="AX30" s="2" t="s">
        <v>273</v>
      </c>
      <c r="AY30" s="130">
        <v>32</v>
      </c>
      <c r="AZ30" s="2">
        <v>18.899999999999999</v>
      </c>
      <c r="BA30" s="2">
        <v>47</v>
      </c>
      <c r="BB30" s="2">
        <v>85</v>
      </c>
      <c r="BC30" s="2">
        <v>3</v>
      </c>
      <c r="BD30" s="2">
        <v>1.8</v>
      </c>
      <c r="BE30" s="2">
        <v>9.6</v>
      </c>
      <c r="BF30" s="2">
        <v>9.6999999999999993</v>
      </c>
      <c r="BG30" s="2">
        <v>23.9</v>
      </c>
      <c r="BH30" s="2">
        <v>67.8</v>
      </c>
      <c r="BI30" s="2">
        <v>306</v>
      </c>
      <c r="BJ30" s="2">
        <v>392</v>
      </c>
      <c r="BK30" s="2">
        <v>435</v>
      </c>
      <c r="BL30" s="2">
        <v>479</v>
      </c>
      <c r="BM30" s="2">
        <v>565</v>
      </c>
      <c r="BN30" s="2"/>
      <c r="BO30" s="2"/>
      <c r="BP30" s="2"/>
      <c r="BQ30" s="2"/>
      <c r="BR30" s="2"/>
      <c r="BS30" s="2"/>
      <c r="BT30" s="2">
        <v>329</v>
      </c>
      <c r="BU30" s="2">
        <v>501</v>
      </c>
      <c r="BV30" s="2">
        <v>588</v>
      </c>
      <c r="BW30" s="2">
        <v>675</v>
      </c>
      <c r="BX30" s="2">
        <v>847</v>
      </c>
      <c r="BY30" s="2">
        <v>42.1</v>
      </c>
      <c r="BZ30" s="2">
        <v>5.0999999999999996</v>
      </c>
      <c r="CA30" s="2">
        <v>1.9</v>
      </c>
      <c r="CB30" s="2">
        <v>4.02455188535516E-12</v>
      </c>
      <c r="CC30" s="2">
        <v>1.8</v>
      </c>
    </row>
    <row r="31" spans="1:81" x14ac:dyDescent="0.25">
      <c r="A31" s="66"/>
      <c r="B31" s="66"/>
      <c r="C31" s="67"/>
      <c r="D31" s="35"/>
      <c r="AW31" s="2">
        <v>80</v>
      </c>
      <c r="AX31" s="2" t="s">
        <v>273</v>
      </c>
      <c r="AY31" s="130">
        <v>32</v>
      </c>
      <c r="AZ31" s="2">
        <v>18.899999999999999</v>
      </c>
      <c r="BA31" s="2">
        <v>47</v>
      </c>
      <c r="BB31" s="2">
        <v>85</v>
      </c>
      <c r="BC31" s="2">
        <v>3</v>
      </c>
      <c r="BD31" s="2">
        <v>5.8</v>
      </c>
      <c r="BE31" s="2">
        <v>13.6</v>
      </c>
      <c r="BF31" s="2">
        <v>13.7</v>
      </c>
      <c r="BG31" s="2">
        <v>27.9</v>
      </c>
      <c r="BH31" s="2">
        <v>71.8</v>
      </c>
      <c r="BI31" s="2">
        <v>479</v>
      </c>
      <c r="BJ31" s="2">
        <v>565</v>
      </c>
      <c r="BK31" s="2">
        <v>608</v>
      </c>
      <c r="BL31" s="2">
        <v>652</v>
      </c>
      <c r="BM31" s="2">
        <v>738</v>
      </c>
      <c r="BN31" s="2"/>
      <c r="BO31" s="2"/>
      <c r="BP31" s="2"/>
      <c r="BQ31" s="2"/>
      <c r="BR31" s="2"/>
      <c r="BS31" s="2"/>
      <c r="BT31" s="2">
        <v>647</v>
      </c>
      <c r="BU31" s="2">
        <v>819</v>
      </c>
      <c r="BV31" s="2">
        <v>906</v>
      </c>
      <c r="BW31" s="2">
        <v>993</v>
      </c>
      <c r="BX31" s="2">
        <v>1165</v>
      </c>
      <c r="BY31" s="2">
        <v>42.1</v>
      </c>
      <c r="BZ31" s="2">
        <v>5.0999999999999996</v>
      </c>
      <c r="CA31" s="2">
        <v>1.9</v>
      </c>
      <c r="CB31" s="2">
        <v>4.02455188535516E-12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401" priority="12">
      <formula>$L32="API sand"</formula>
    </cfRule>
  </conditionalFormatting>
  <conditionalFormatting sqref="R32:S36 AB32:AB35 AJ32:AL36 Z32:Z36 N32:N36">
    <cfRule type="expression" dxfId="2400" priority="11">
      <formula>$M32="API sand"</formula>
    </cfRule>
  </conditionalFormatting>
  <conditionalFormatting sqref="R32:T36 Z32:AB35 AK32:AL36 N32:N36">
    <cfRule type="expression" dxfId="2399" priority="10">
      <formula>$M32="API clay"</formula>
    </cfRule>
  </conditionalFormatting>
  <conditionalFormatting sqref="U32:W36 AM32:AP36 N32:P36">
    <cfRule type="expression" dxfId="2398" priority="7">
      <formula>$L32="Stiff clay w/o free water"</formula>
    </cfRule>
    <cfRule type="expression" dxfId="2397" priority="9">
      <formula>$L32="API clay"</formula>
    </cfRule>
  </conditionalFormatting>
  <conditionalFormatting sqref="U32:Y36 AM32:AP36 N32:P36">
    <cfRule type="expression" dxfId="2396" priority="8">
      <formula>$L32="Kirsch soft clay"</formula>
    </cfRule>
  </conditionalFormatting>
  <conditionalFormatting sqref="U32:Y36 AM32:AP36 N32:P36">
    <cfRule type="expression" dxfId="2395" priority="6">
      <formula>$L32="Kirsch stiff clay"</formula>
    </cfRule>
  </conditionalFormatting>
  <conditionalFormatting sqref="AM32:AP36 Q32:Q36 X32:Y36 N32:N36">
    <cfRule type="expression" dxfId="2394" priority="5">
      <formula>$L32="Kirsch sand"</formula>
    </cfRule>
  </conditionalFormatting>
  <conditionalFormatting sqref="AC32:AD36 AI32:AI36 AM32:AP36 N32:N36">
    <cfRule type="expression" dxfId="2393" priority="4">
      <formula>$L32="Modified Weak rock"</formula>
    </cfRule>
  </conditionalFormatting>
  <conditionalFormatting sqref="AM32:AP36 N32:P36 U32:V36">
    <cfRule type="expression" dxfId="2392" priority="3">
      <formula>$L32="Reese stiff clay"</formula>
    </cfRule>
  </conditionalFormatting>
  <conditionalFormatting sqref="AB36">
    <cfRule type="expression" dxfId="2391" priority="2">
      <formula>$M36="API sand"</formula>
    </cfRule>
  </conditionalFormatting>
  <conditionalFormatting sqref="Z36:AB36">
    <cfRule type="expression" dxfId="2390" priority="1">
      <formula>$M36="API clay"</formula>
    </cfRule>
  </conditionalFormatting>
  <conditionalFormatting sqref="AE37:AH37">
    <cfRule type="expression" dxfId="2389" priority="13">
      <formula>#REF!="Modified Weak rock"</formula>
    </cfRule>
  </conditionalFormatting>
  <dataValidations count="4">
    <dataValidation type="textLength" showInputMessage="1" showErrorMessage="1" sqref="M27:M31" xr:uid="{AAD899C8-6285-4BAC-AB51-77C4DC55FA77}">
      <formula1>0</formula1>
      <formula2>100</formula2>
    </dataValidation>
    <dataValidation showInputMessage="1" showErrorMessage="1" sqref="L6:M26" xr:uid="{F9A0609B-4BCE-408C-985D-4CFB77BEA411}"/>
    <dataValidation type="list" showInputMessage="1" showErrorMessage="1" sqref="L32:L255" xr:uid="{2D2C8AA5-1903-49DC-93D8-3CA76221719E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A9C665A0-CE18-405A-BD6B-30F51FBA72DF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BDCD2-26FE-476E-8EBF-EB5B8BDCDC94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Ak_Pisa_WTG40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EW_sand_Ruled_91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38</v>
      </c>
      <c r="R6" s="47">
        <f t="shared" ref="R6:R26" ca="1" si="7">IF(I6="","",IF(Q6&lt;&gt;0,Q6-5,NA()))</f>
        <v>33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13300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107.39999999999996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11040</v>
      </c>
      <c r="AC6" s="63">
        <f t="shared" ref="AC6:AC26" ca="1" si="18">IF(I6="","",IF(OFFSET($BV$6,(ROW()-6)*2,0)=0,0,OFFSET($BV$6,(ROW()-6)*2,0)*1000))</f>
        <v>11000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21000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46.000000000000007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91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1</v>
      </c>
      <c r="BF6" s="2">
        <v>1.8</v>
      </c>
      <c r="BG6" s="2">
        <v>2.5</v>
      </c>
      <c r="BH6" s="2">
        <v>4.4000000000000004</v>
      </c>
      <c r="BI6" s="2"/>
      <c r="BJ6" s="2"/>
      <c r="BK6" s="2"/>
      <c r="BL6" s="2"/>
      <c r="BM6" s="2"/>
      <c r="BN6" s="2">
        <v>91</v>
      </c>
      <c r="BO6" s="2">
        <v>28</v>
      </c>
      <c r="BP6" s="2">
        <v>38</v>
      </c>
      <c r="BQ6" s="2">
        <v>42</v>
      </c>
      <c r="BR6" s="2">
        <v>45</v>
      </c>
      <c r="BS6" s="2">
        <v>53</v>
      </c>
      <c r="BT6" s="2">
        <v>0</v>
      </c>
      <c r="BU6" s="2">
        <v>6</v>
      </c>
      <c r="BV6" s="2">
        <v>11</v>
      </c>
      <c r="BW6" s="2">
        <v>17</v>
      </c>
      <c r="BX6" s="2">
        <v>29</v>
      </c>
      <c r="BY6" s="2">
        <v>13.3</v>
      </c>
      <c r="BZ6" s="2">
        <v>1</v>
      </c>
      <c r="CA6" s="2">
        <v>0.5</v>
      </c>
      <c r="CB6" s="2">
        <v>4.0920032365344001E-5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02a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-1</v>
      </c>
      <c r="L7" s="116" t="str">
        <f t="shared" ca="1" si="1"/>
        <v>Cowden Clay</v>
      </c>
      <c r="M7" s="105" t="str">
        <f t="shared" ca="1" si="2"/>
        <v>API clay</v>
      </c>
      <c r="N7" s="47">
        <f t="shared" ca="1" si="3"/>
        <v>10.199999999999999</v>
      </c>
      <c r="O7" s="63">
        <f t="shared" ca="1" si="4"/>
        <v>75</v>
      </c>
      <c r="P7" s="63">
        <f t="shared" ca="1" si="5"/>
        <v>-66</v>
      </c>
      <c r="Q7" s="47">
        <f t="shared" ca="1" si="6"/>
        <v>0</v>
      </c>
      <c r="R7" s="47" t="e">
        <f t="shared" ca="1" si="7"/>
        <v>#N/A</v>
      </c>
      <c r="S7" s="47">
        <f t="shared" ca="1" si="8"/>
        <v>3</v>
      </c>
      <c r="T7" s="47">
        <f t="shared" ca="1" si="9"/>
        <v>0</v>
      </c>
      <c r="U7" s="75">
        <f t="shared" ca="1" si="10"/>
        <v>1.7999999999999999E-2</v>
      </c>
      <c r="V7" s="75">
        <f t="shared" ca="1" si="11"/>
        <v>0</v>
      </c>
      <c r="W7" s="47">
        <f t="shared" ca="1" si="12"/>
        <v>0.5</v>
      </c>
      <c r="X7" s="47">
        <f t="shared" ca="1" si="13"/>
        <v>13000</v>
      </c>
      <c r="Y7" s="47">
        <f t="shared" ca="1" si="14"/>
        <v>0</v>
      </c>
      <c r="Z7" s="47" t="e">
        <f t="shared" ca="1" si="15"/>
        <v>#N/A</v>
      </c>
      <c r="AA7" s="47">
        <f t="shared" ca="1" si="16"/>
        <v>1</v>
      </c>
      <c r="AB7" s="47" t="e">
        <f t="shared" ca="1" si="17"/>
        <v>#N/A</v>
      </c>
      <c r="AC7" s="63">
        <f t="shared" ca="1" si="18"/>
        <v>69000</v>
      </c>
      <c r="AD7" s="63">
        <f t="shared" ca="1" si="19"/>
        <v>-60000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 t="e">
        <f t="shared" ca="1" si="25"/>
        <v>#N/A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0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2.2999999999999998</v>
      </c>
      <c r="BE7" s="2">
        <v>4.3</v>
      </c>
      <c r="BF7" s="2">
        <v>5.0999999999999996</v>
      </c>
      <c r="BG7" s="2">
        <v>5.8</v>
      </c>
      <c r="BH7" s="2">
        <v>7.7</v>
      </c>
      <c r="BI7" s="2"/>
      <c r="BJ7" s="2"/>
      <c r="BK7" s="2"/>
      <c r="BL7" s="2"/>
      <c r="BM7" s="2"/>
      <c r="BN7" s="2">
        <v>91</v>
      </c>
      <c r="BO7" s="2">
        <v>28</v>
      </c>
      <c r="BP7" s="2">
        <v>38</v>
      </c>
      <c r="BQ7" s="2">
        <v>42</v>
      </c>
      <c r="BR7" s="2">
        <v>45</v>
      </c>
      <c r="BS7" s="2">
        <v>53</v>
      </c>
      <c r="BT7" s="2">
        <v>14</v>
      </c>
      <c r="BU7" s="2">
        <v>26</v>
      </c>
      <c r="BV7" s="2">
        <v>32</v>
      </c>
      <c r="BW7" s="2">
        <v>37</v>
      </c>
      <c r="BX7" s="2">
        <v>50</v>
      </c>
      <c r="BY7" s="2">
        <v>13.3</v>
      </c>
      <c r="BZ7" s="2">
        <v>1</v>
      </c>
      <c r="CA7" s="2">
        <v>0.5</v>
      </c>
      <c r="CB7" s="2">
        <v>4.0920032365344001E-5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02b</v>
      </c>
      <c r="J8" s="47">
        <f t="shared" ca="1" si="35"/>
        <v>3</v>
      </c>
      <c r="K8" s="19">
        <f t="shared" ca="1" si="36"/>
        <v>-1.5</v>
      </c>
      <c r="L8" s="116" t="str">
        <f t="shared" ca="1" si="1"/>
        <v>EW_sand_Ruled_68</v>
      </c>
      <c r="M8" s="105" t="str">
        <f t="shared" ca="1" si="2"/>
        <v>API sand</v>
      </c>
      <c r="N8" s="47">
        <f t="shared" ca="1" si="3"/>
        <v>9.3999999999999986</v>
      </c>
      <c r="O8" s="63">
        <f t="shared" ca="1" si="4"/>
        <v>0</v>
      </c>
      <c r="P8" s="63">
        <f t="shared" ca="1" si="5"/>
        <v>0</v>
      </c>
      <c r="Q8" s="47">
        <f t="shared" ca="1" si="6"/>
        <v>39</v>
      </c>
      <c r="R8" s="47">
        <f t="shared" ca="1" si="7"/>
        <v>34</v>
      </c>
      <c r="S8" s="47">
        <f t="shared" ca="1" si="8"/>
        <v>2.2000000000000002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27600</v>
      </c>
      <c r="Y8" s="47">
        <f t="shared" ca="1" si="14"/>
        <v>0</v>
      </c>
      <c r="Z8" s="47">
        <f t="shared" ca="1" si="15"/>
        <v>111.19999999999996</v>
      </c>
      <c r="AA8" s="47">
        <f t="shared" ca="1" si="16"/>
        <v>1</v>
      </c>
      <c r="AB8" s="47">
        <f t="shared" ca="1" si="17"/>
        <v>11520</v>
      </c>
      <c r="AC8" s="63">
        <f t="shared" ca="1" si="18"/>
        <v>46000</v>
      </c>
      <c r="AD8" s="63">
        <f t="shared" ca="1" si="19"/>
        <v>-10000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48.000000000000007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68</v>
      </c>
      <c r="AS8" s="33">
        <f t="shared" ca="1" si="34"/>
        <v>0.4</v>
      </c>
      <c r="AW8" s="2">
        <v>1</v>
      </c>
      <c r="AX8" s="2" t="s">
        <v>255</v>
      </c>
      <c r="AY8" s="130">
        <v>23.1</v>
      </c>
      <c r="AZ8" s="2">
        <v>20.2</v>
      </c>
      <c r="BA8" s="2">
        <v>18</v>
      </c>
      <c r="BB8" s="2">
        <v>28</v>
      </c>
      <c r="BC8" s="2">
        <v>5</v>
      </c>
      <c r="BD8" s="2">
        <v>1.3</v>
      </c>
      <c r="BE8" s="2">
        <v>1.5</v>
      </c>
      <c r="BF8" s="2">
        <v>1.7</v>
      </c>
      <c r="BG8" s="2">
        <v>2.1</v>
      </c>
      <c r="BH8" s="2">
        <v>2.9</v>
      </c>
      <c r="BI8" s="2">
        <v>39</v>
      </c>
      <c r="BJ8" s="2">
        <v>75</v>
      </c>
      <c r="BK8" s="2">
        <v>91</v>
      </c>
      <c r="BL8" s="2">
        <v>118</v>
      </c>
      <c r="BM8" s="2">
        <v>175</v>
      </c>
      <c r="BN8" s="2"/>
      <c r="BO8" s="2"/>
      <c r="BP8" s="2"/>
      <c r="BQ8" s="2"/>
      <c r="BR8" s="2"/>
      <c r="BS8" s="2"/>
      <c r="BT8" s="2">
        <v>31</v>
      </c>
      <c r="BU8" s="2">
        <v>50</v>
      </c>
      <c r="BV8" s="2">
        <v>69</v>
      </c>
      <c r="BW8" s="2">
        <v>97</v>
      </c>
      <c r="BX8" s="2">
        <v>154</v>
      </c>
      <c r="BY8" s="2">
        <v>13</v>
      </c>
      <c r="BZ8" s="2">
        <v>29.2</v>
      </c>
      <c r="CA8" s="2">
        <v>3</v>
      </c>
      <c r="CB8" s="2">
        <v>8.0156494944389404E-8</v>
      </c>
      <c r="CC8" s="2">
        <v>1.8</v>
      </c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02c</v>
      </c>
      <c r="J9" s="47">
        <f t="shared" ca="1" si="35"/>
        <v>4</v>
      </c>
      <c r="K9" s="19">
        <f t="shared" ca="1" si="36"/>
        <v>-2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8.5</v>
      </c>
      <c r="O9" s="63">
        <f t="shared" ca="1" si="4"/>
        <v>224</v>
      </c>
      <c r="P9" s="63">
        <f t="shared" ca="1" si="5"/>
        <v>2.4285714285714284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43200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252000</v>
      </c>
      <c r="AD9" s="63">
        <f t="shared" ca="1" si="19"/>
        <v>3571.4285714285716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1.5</v>
      </c>
      <c r="AX9" s="2" t="s">
        <v>255</v>
      </c>
      <c r="AY9" s="130">
        <v>23.1</v>
      </c>
      <c r="AZ9" s="2">
        <v>20.2</v>
      </c>
      <c r="BA9" s="2">
        <v>18</v>
      </c>
      <c r="BB9" s="2">
        <v>28</v>
      </c>
      <c r="BC9" s="2">
        <v>5</v>
      </c>
      <c r="BD9" s="2">
        <v>0.8</v>
      </c>
      <c r="BE9" s="2">
        <v>1</v>
      </c>
      <c r="BF9" s="2">
        <v>1.1000000000000001</v>
      </c>
      <c r="BG9" s="2">
        <v>1.5</v>
      </c>
      <c r="BH9" s="2">
        <v>2.2999999999999998</v>
      </c>
      <c r="BI9" s="2">
        <v>7</v>
      </c>
      <c r="BJ9" s="2">
        <v>42</v>
      </c>
      <c r="BK9" s="2">
        <v>59</v>
      </c>
      <c r="BL9" s="2">
        <v>86</v>
      </c>
      <c r="BM9" s="2">
        <v>143</v>
      </c>
      <c r="BN9" s="2"/>
      <c r="BO9" s="2"/>
      <c r="BP9" s="2"/>
      <c r="BQ9" s="2"/>
      <c r="BR9" s="2"/>
      <c r="BS9" s="2"/>
      <c r="BT9" s="2">
        <v>1</v>
      </c>
      <c r="BU9" s="2">
        <v>20</v>
      </c>
      <c r="BV9" s="2">
        <v>39</v>
      </c>
      <c r="BW9" s="2">
        <v>67</v>
      </c>
      <c r="BX9" s="2">
        <v>124</v>
      </c>
      <c r="BY9" s="2">
        <v>13</v>
      </c>
      <c r="BZ9" s="2">
        <v>29.2</v>
      </c>
      <c r="CA9" s="2">
        <v>3</v>
      </c>
      <c r="CB9" s="2">
        <v>8.0156494944389404E-8</v>
      </c>
      <c r="CC9" s="2">
        <v>1.8</v>
      </c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10a</v>
      </c>
      <c r="J10" s="47">
        <f t="shared" ca="1" si="35"/>
        <v>5</v>
      </c>
      <c r="K10" s="19">
        <f t="shared" ca="1" si="36"/>
        <v>-9</v>
      </c>
      <c r="L10" s="116" t="str">
        <f t="shared" ca="1" si="1"/>
        <v>EW_sand_Ruled_59</v>
      </c>
      <c r="M10" s="105" t="str">
        <f t="shared" ca="1" si="2"/>
        <v>API sand</v>
      </c>
      <c r="N10" s="47">
        <f t="shared" ca="1" si="3"/>
        <v>10</v>
      </c>
      <c r="O10" s="63">
        <f t="shared" ca="1" si="4"/>
        <v>0</v>
      </c>
      <c r="P10" s="63">
        <f t="shared" ca="1" si="5"/>
        <v>0</v>
      </c>
      <c r="Q10" s="47">
        <f t="shared" ca="1" si="6"/>
        <v>36</v>
      </c>
      <c r="R10" s="47">
        <f t="shared" ca="1" si="7"/>
        <v>31</v>
      </c>
      <c r="S10" s="47">
        <f t="shared" ca="1" si="8"/>
        <v>0.8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40400</v>
      </c>
      <c r="Y10" s="47">
        <f t="shared" ca="1" si="14"/>
        <v>0</v>
      </c>
      <c r="Z10" s="47">
        <f t="shared" ca="1" si="15"/>
        <v>99.799999999999969</v>
      </c>
      <c r="AA10" s="47">
        <f t="shared" ca="1" si="16"/>
        <v>1</v>
      </c>
      <c r="AB10" s="47">
        <f t="shared" ca="1" si="17"/>
        <v>10080</v>
      </c>
      <c r="AC10" s="63">
        <f t="shared" ca="1" si="18"/>
        <v>79000</v>
      </c>
      <c r="AD10" s="63">
        <f t="shared" ca="1" si="19"/>
        <v>6571.4285714285716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42.000000000000007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59</v>
      </c>
      <c r="AS10" s="33">
        <f t="shared" ca="1" si="34"/>
        <v>0.4</v>
      </c>
      <c r="AW10" s="2">
        <v>1.5</v>
      </c>
      <c r="AX10" s="2" t="s">
        <v>257</v>
      </c>
      <c r="AY10" s="130">
        <v>29.7</v>
      </c>
      <c r="AZ10" s="2">
        <v>19.399999999999999</v>
      </c>
      <c r="BA10" s="2"/>
      <c r="BB10" s="2">
        <v>24</v>
      </c>
      <c r="BC10" s="2"/>
      <c r="BD10" s="2">
        <v>9</v>
      </c>
      <c r="BE10" s="2">
        <v>9.8000000000000007</v>
      </c>
      <c r="BF10" s="2">
        <v>10.199999999999999</v>
      </c>
      <c r="BG10" s="2">
        <v>10.7</v>
      </c>
      <c r="BH10" s="2">
        <v>11.8</v>
      </c>
      <c r="BI10" s="2"/>
      <c r="BJ10" s="2"/>
      <c r="BK10" s="2"/>
      <c r="BL10" s="2"/>
      <c r="BM10" s="2"/>
      <c r="BN10" s="2">
        <v>68</v>
      </c>
      <c r="BO10" s="2">
        <v>33</v>
      </c>
      <c r="BP10" s="2">
        <v>39</v>
      </c>
      <c r="BQ10" s="2">
        <v>42</v>
      </c>
      <c r="BR10" s="2">
        <v>45</v>
      </c>
      <c r="BS10" s="2">
        <v>52</v>
      </c>
      <c r="BT10" s="2">
        <v>10</v>
      </c>
      <c r="BU10" s="2">
        <v>36</v>
      </c>
      <c r="BV10" s="2">
        <v>46</v>
      </c>
      <c r="BW10" s="2">
        <v>57</v>
      </c>
      <c r="BX10" s="2">
        <v>82</v>
      </c>
      <c r="BY10" s="2">
        <v>27.6</v>
      </c>
      <c r="BZ10" s="2">
        <v>11.5</v>
      </c>
      <c r="CA10" s="2">
        <v>2.2000000000000002</v>
      </c>
      <c r="CB10" s="2">
        <v>7.89643670578664E-5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10b</v>
      </c>
      <c r="J11" s="47">
        <f t="shared" ca="1" si="35"/>
        <v>6</v>
      </c>
      <c r="K11" s="19">
        <f t="shared" ca="1" si="36"/>
        <v>-16</v>
      </c>
      <c r="L11" s="116" t="str">
        <f t="shared" ca="1" si="1"/>
        <v>EW_sand_Ruled_61</v>
      </c>
      <c r="M11" s="105" t="str">
        <f t="shared" ca="1" si="2"/>
        <v>API sand</v>
      </c>
      <c r="N11" s="47">
        <f t="shared" ca="1" si="3"/>
        <v>9.8999999999999986</v>
      </c>
      <c r="O11" s="63">
        <f t="shared" ca="1" si="4"/>
        <v>0</v>
      </c>
      <c r="P11" s="63">
        <f t="shared" ca="1" si="5"/>
        <v>0</v>
      </c>
      <c r="Q11" s="47">
        <f t="shared" ca="1" si="6"/>
        <v>37</v>
      </c>
      <c r="R11" s="47">
        <f t="shared" ca="1" si="7"/>
        <v>32</v>
      </c>
      <c r="S11" s="47">
        <f t="shared" ca="1" si="8"/>
        <v>0.7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49700</v>
      </c>
      <c r="Y11" s="47">
        <f t="shared" ca="1" si="14"/>
        <v>0</v>
      </c>
      <c r="Z11" s="47">
        <f t="shared" ca="1" si="15"/>
        <v>103.59999999999997</v>
      </c>
      <c r="AA11" s="47">
        <f t="shared" ca="1" si="16"/>
        <v>1</v>
      </c>
      <c r="AB11" s="47">
        <f t="shared" ca="1" si="17"/>
        <v>10560</v>
      </c>
      <c r="AC11" s="63">
        <f t="shared" ca="1" si="18"/>
        <v>131000</v>
      </c>
      <c r="AD11" s="63">
        <f t="shared" ca="1" si="19"/>
        <v>-4500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44.000000000000007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61</v>
      </c>
      <c r="AS11" s="33">
        <f t="shared" ca="1" si="34"/>
        <v>0.4</v>
      </c>
      <c r="AW11" s="2">
        <v>2</v>
      </c>
      <c r="AX11" s="2" t="s">
        <v>257</v>
      </c>
      <c r="AY11" s="130">
        <v>29.7</v>
      </c>
      <c r="AZ11" s="2">
        <v>19.399999999999999</v>
      </c>
      <c r="BA11" s="2"/>
      <c r="BB11" s="2">
        <v>24</v>
      </c>
      <c r="BC11" s="2"/>
      <c r="BD11" s="2">
        <v>3.9</v>
      </c>
      <c r="BE11" s="2">
        <v>4.7</v>
      </c>
      <c r="BF11" s="2">
        <v>5.0999999999999996</v>
      </c>
      <c r="BG11" s="2">
        <v>5.6</v>
      </c>
      <c r="BH11" s="2">
        <v>6.7</v>
      </c>
      <c r="BI11" s="2"/>
      <c r="BJ11" s="2"/>
      <c r="BK11" s="2"/>
      <c r="BL11" s="2"/>
      <c r="BM11" s="2"/>
      <c r="BN11" s="2">
        <v>68</v>
      </c>
      <c r="BO11" s="2">
        <v>33</v>
      </c>
      <c r="BP11" s="2">
        <v>39</v>
      </c>
      <c r="BQ11" s="2">
        <v>42</v>
      </c>
      <c r="BR11" s="2">
        <v>45</v>
      </c>
      <c r="BS11" s="2">
        <v>52</v>
      </c>
      <c r="BT11" s="2">
        <v>5</v>
      </c>
      <c r="BU11" s="2">
        <v>30</v>
      </c>
      <c r="BV11" s="2">
        <v>41</v>
      </c>
      <c r="BW11" s="2">
        <v>51</v>
      </c>
      <c r="BX11" s="2">
        <v>77</v>
      </c>
      <c r="BY11" s="2">
        <v>27.6</v>
      </c>
      <c r="BZ11" s="2">
        <v>11.5</v>
      </c>
      <c r="CA11" s="2">
        <v>2.2000000000000002</v>
      </c>
      <c r="CB11" s="2">
        <v>7.89643670578664E-5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10c</v>
      </c>
      <c r="J12" s="47">
        <f t="shared" ca="1" si="35"/>
        <v>7</v>
      </c>
      <c r="K12" s="19">
        <f t="shared" ca="1" si="36"/>
        <v>-20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8.3999999999999986</v>
      </c>
      <c r="O12" s="63">
        <f t="shared" ca="1" si="4"/>
        <v>217</v>
      </c>
      <c r="P12" s="63">
        <f t="shared" ca="1" si="5"/>
        <v>-21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2.7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0.5</v>
      </c>
      <c r="X12" s="47">
        <f t="shared" ca="1" si="13"/>
        <v>36500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263000</v>
      </c>
      <c r="AD12" s="63">
        <f t="shared" ca="1" si="19"/>
        <v>-22000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2</v>
      </c>
      <c r="AX12" s="2" t="s">
        <v>298</v>
      </c>
      <c r="AY12" s="130">
        <v>37.1</v>
      </c>
      <c r="AZ12" s="2">
        <v>18.5</v>
      </c>
      <c r="BA12" s="2">
        <v>30</v>
      </c>
      <c r="BB12" s="2">
        <v>88</v>
      </c>
      <c r="BC12" s="2">
        <v>3</v>
      </c>
      <c r="BD12" s="2">
        <v>3.2</v>
      </c>
      <c r="BE12" s="2">
        <v>4.8</v>
      </c>
      <c r="BF12" s="2">
        <v>5</v>
      </c>
      <c r="BG12" s="2">
        <v>5.3</v>
      </c>
      <c r="BH12" s="2">
        <v>8</v>
      </c>
      <c r="BI12" s="2">
        <v>93</v>
      </c>
      <c r="BJ12" s="2">
        <v>224</v>
      </c>
      <c r="BK12" s="2">
        <v>274</v>
      </c>
      <c r="BL12" s="2">
        <v>326</v>
      </c>
      <c r="BM12" s="2">
        <v>499</v>
      </c>
      <c r="BN12" s="2"/>
      <c r="BO12" s="2"/>
      <c r="BP12" s="2"/>
      <c r="BQ12" s="2"/>
      <c r="BR12" s="2"/>
      <c r="BS12" s="2"/>
      <c r="BT12" s="2">
        <v>2</v>
      </c>
      <c r="BU12" s="2">
        <v>170</v>
      </c>
      <c r="BV12" s="2">
        <v>252</v>
      </c>
      <c r="BW12" s="2">
        <v>335</v>
      </c>
      <c r="BX12" s="2">
        <v>562</v>
      </c>
      <c r="BY12" s="2">
        <v>43.2</v>
      </c>
      <c r="BZ12" s="2">
        <v>23.3</v>
      </c>
      <c r="CA12" s="2">
        <v>3</v>
      </c>
      <c r="CB12" s="2">
        <v>3.82883813350895E-7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11b</v>
      </c>
      <c r="J13" s="47">
        <f t="shared" ca="1" si="35"/>
        <v>8</v>
      </c>
      <c r="K13" s="19">
        <f t="shared" ca="1" si="36"/>
        <v>-22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9.5</v>
      </c>
      <c r="O13" s="63">
        <f t="shared" ca="1" si="4"/>
        <v>294</v>
      </c>
      <c r="P13" s="63">
        <f t="shared" ca="1" si="5"/>
        <v>15.2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56900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374000</v>
      </c>
      <c r="AD13" s="63">
        <f t="shared" ca="1" si="19"/>
        <v>23200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9</v>
      </c>
      <c r="AX13" s="2" t="s">
        <v>298</v>
      </c>
      <c r="AY13" s="130">
        <v>37.1</v>
      </c>
      <c r="AZ13" s="2">
        <v>18.5</v>
      </c>
      <c r="BA13" s="2">
        <v>30</v>
      </c>
      <c r="BB13" s="2">
        <v>88</v>
      </c>
      <c r="BC13" s="2">
        <v>3</v>
      </c>
      <c r="BD13" s="2">
        <v>3.7</v>
      </c>
      <c r="BE13" s="2">
        <v>5.2</v>
      </c>
      <c r="BF13" s="2">
        <v>5.4</v>
      </c>
      <c r="BG13" s="2">
        <v>5.7</v>
      </c>
      <c r="BH13" s="2">
        <v>8.4</v>
      </c>
      <c r="BI13" s="2">
        <v>110</v>
      </c>
      <c r="BJ13" s="2">
        <v>241</v>
      </c>
      <c r="BK13" s="2">
        <v>291</v>
      </c>
      <c r="BL13" s="2">
        <v>343</v>
      </c>
      <c r="BM13" s="2">
        <v>516</v>
      </c>
      <c r="BN13" s="2"/>
      <c r="BO13" s="2"/>
      <c r="BP13" s="2"/>
      <c r="BQ13" s="2"/>
      <c r="BR13" s="2"/>
      <c r="BS13" s="2"/>
      <c r="BT13" s="2">
        <v>27</v>
      </c>
      <c r="BU13" s="2">
        <v>195</v>
      </c>
      <c r="BV13" s="2">
        <v>277</v>
      </c>
      <c r="BW13" s="2">
        <v>360</v>
      </c>
      <c r="BX13" s="2">
        <v>587</v>
      </c>
      <c r="BY13" s="2">
        <v>43.2</v>
      </c>
      <c r="BZ13" s="2">
        <v>23.3</v>
      </c>
      <c r="CA13" s="2">
        <v>3</v>
      </c>
      <c r="CB13" s="2">
        <v>3.82883813350895E-7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11b</v>
      </c>
      <c r="J14" s="47">
        <f t="shared" ca="1" si="35"/>
        <v>9</v>
      </c>
      <c r="K14" s="19">
        <f t="shared" ca="1" si="36"/>
        <v>-27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9.5</v>
      </c>
      <c r="O14" s="63">
        <f t="shared" ca="1" si="4"/>
        <v>407</v>
      </c>
      <c r="P14" s="63">
        <f t="shared" ca="1" si="5"/>
        <v>-70.400000000000006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1.9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37200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539000</v>
      </c>
      <c r="AD14" s="63">
        <f t="shared" ca="1" si="19"/>
        <v>-85200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9</v>
      </c>
      <c r="AX14" s="2" t="s">
        <v>259</v>
      </c>
      <c r="AY14" s="130">
        <v>25.5</v>
      </c>
      <c r="AZ14" s="2">
        <v>20</v>
      </c>
      <c r="BA14" s="2"/>
      <c r="BB14" s="2">
        <v>14</v>
      </c>
      <c r="BC14" s="2"/>
      <c r="BD14" s="2">
        <v>3.2</v>
      </c>
      <c r="BE14" s="2">
        <v>5.7</v>
      </c>
      <c r="BF14" s="2">
        <v>6</v>
      </c>
      <c r="BG14" s="2">
        <v>6.3</v>
      </c>
      <c r="BH14" s="2">
        <v>8.8000000000000007</v>
      </c>
      <c r="BI14" s="2"/>
      <c r="BJ14" s="2"/>
      <c r="BK14" s="2"/>
      <c r="BL14" s="2"/>
      <c r="BM14" s="2"/>
      <c r="BN14" s="2">
        <v>59</v>
      </c>
      <c r="BO14" s="2">
        <v>31</v>
      </c>
      <c r="BP14" s="2">
        <v>36</v>
      </c>
      <c r="BQ14" s="2">
        <v>39</v>
      </c>
      <c r="BR14" s="2">
        <v>42</v>
      </c>
      <c r="BS14" s="2">
        <v>48</v>
      </c>
      <c r="BT14" s="2">
        <v>9</v>
      </c>
      <c r="BU14" s="2">
        <v>56</v>
      </c>
      <c r="BV14" s="2">
        <v>79</v>
      </c>
      <c r="BW14" s="2">
        <v>103</v>
      </c>
      <c r="BX14" s="2">
        <v>162</v>
      </c>
      <c r="BY14" s="2">
        <v>40.4</v>
      </c>
      <c r="BZ14" s="2">
        <v>2.1</v>
      </c>
      <c r="CA14" s="2">
        <v>0.8</v>
      </c>
      <c r="CB14" s="2">
        <v>1.3080350802279501E-7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23d</v>
      </c>
      <c r="J15" s="47">
        <f t="shared" ca="1" si="35"/>
        <v>10</v>
      </c>
      <c r="K15" s="19">
        <f t="shared" ca="1" si="36"/>
        <v>-32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8.8999999999999986</v>
      </c>
      <c r="O15" s="63">
        <f t="shared" ca="1" si="4"/>
        <v>215</v>
      </c>
      <c r="P15" s="63">
        <f t="shared" ca="1" si="5"/>
        <v>26.206896551724139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0.5</v>
      </c>
      <c r="X15" s="47">
        <f t="shared" ca="1" si="13"/>
        <v>50100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266000</v>
      </c>
      <c r="AD15" s="63">
        <f t="shared" ca="1" si="19"/>
        <v>45172.413793103442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16</v>
      </c>
      <c r="AX15" s="2" t="s">
        <v>259</v>
      </c>
      <c r="AY15" s="130">
        <v>25.5</v>
      </c>
      <c r="AZ15" s="2">
        <v>20</v>
      </c>
      <c r="BA15" s="2"/>
      <c r="BB15" s="2">
        <v>14</v>
      </c>
      <c r="BC15" s="2"/>
      <c r="BD15" s="2">
        <v>13.1</v>
      </c>
      <c r="BE15" s="2">
        <v>15.6</v>
      </c>
      <c r="BF15" s="2">
        <v>15.9</v>
      </c>
      <c r="BG15" s="2">
        <v>16.2</v>
      </c>
      <c r="BH15" s="2">
        <v>18.7</v>
      </c>
      <c r="BI15" s="2"/>
      <c r="BJ15" s="2"/>
      <c r="BK15" s="2"/>
      <c r="BL15" s="2"/>
      <c r="BM15" s="2"/>
      <c r="BN15" s="2">
        <v>59</v>
      </c>
      <c r="BO15" s="2">
        <v>31</v>
      </c>
      <c r="BP15" s="2">
        <v>36</v>
      </c>
      <c r="BQ15" s="2">
        <v>39</v>
      </c>
      <c r="BR15" s="2">
        <v>42</v>
      </c>
      <c r="BS15" s="2">
        <v>48</v>
      </c>
      <c r="BT15" s="2">
        <v>54</v>
      </c>
      <c r="BU15" s="2">
        <v>101</v>
      </c>
      <c r="BV15" s="2">
        <v>125</v>
      </c>
      <c r="BW15" s="2">
        <v>149</v>
      </c>
      <c r="BX15" s="2">
        <v>208</v>
      </c>
      <c r="BY15" s="2">
        <v>40.4</v>
      </c>
      <c r="BZ15" s="2">
        <v>2.1</v>
      </c>
      <c r="CA15" s="2">
        <v>0.8</v>
      </c>
      <c r="CB15" s="2">
        <v>1.3080350802279501E-7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23i</v>
      </c>
      <c r="J16" s="47">
        <f t="shared" ca="1" si="35"/>
        <v>11</v>
      </c>
      <c r="K16" s="19">
        <f t="shared" ca="1" si="36"/>
        <v>-61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8.3000000000000007</v>
      </c>
      <c r="O16" s="63">
        <f t="shared" ca="1" si="4"/>
        <v>497</v>
      </c>
      <c r="P16" s="63">
        <f t="shared" ca="1" si="5"/>
        <v>6.5263157894736841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2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48400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744000</v>
      </c>
      <c r="AD16" s="63">
        <f t="shared" ca="1" si="19"/>
        <v>11736.842105263158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16</v>
      </c>
      <c r="AX16" s="2" t="s">
        <v>261</v>
      </c>
      <c r="AY16" s="130">
        <v>24</v>
      </c>
      <c r="AZ16" s="2">
        <v>19.899999999999999</v>
      </c>
      <c r="BA16" s="2"/>
      <c r="BB16" s="2">
        <v>6</v>
      </c>
      <c r="BC16" s="2"/>
      <c r="BD16" s="2">
        <v>16.399999999999999</v>
      </c>
      <c r="BE16" s="2">
        <v>19.899999999999999</v>
      </c>
      <c r="BF16" s="2">
        <v>20.399999999999999</v>
      </c>
      <c r="BG16" s="2">
        <v>20.9</v>
      </c>
      <c r="BH16" s="2">
        <v>24.1</v>
      </c>
      <c r="BI16" s="2"/>
      <c r="BJ16" s="2"/>
      <c r="BK16" s="2"/>
      <c r="BL16" s="2"/>
      <c r="BM16" s="2"/>
      <c r="BN16" s="2">
        <v>61</v>
      </c>
      <c r="BO16" s="2">
        <v>31</v>
      </c>
      <c r="BP16" s="2">
        <v>37</v>
      </c>
      <c r="BQ16" s="2">
        <v>40</v>
      </c>
      <c r="BR16" s="2">
        <v>43</v>
      </c>
      <c r="BS16" s="2">
        <v>49</v>
      </c>
      <c r="BT16" s="2">
        <v>38</v>
      </c>
      <c r="BU16" s="2">
        <v>103</v>
      </c>
      <c r="BV16" s="2">
        <v>131</v>
      </c>
      <c r="BW16" s="2">
        <v>160</v>
      </c>
      <c r="BX16" s="2">
        <v>231</v>
      </c>
      <c r="BY16" s="2">
        <v>49.7</v>
      </c>
      <c r="BZ16" s="2">
        <v>1.8</v>
      </c>
      <c r="CA16" s="2">
        <v>0.7</v>
      </c>
      <c r="CB16" s="2">
        <v>1.28341700413114E-7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20</v>
      </c>
      <c r="AX17" s="2" t="s">
        <v>261</v>
      </c>
      <c r="AY17" s="130">
        <v>24</v>
      </c>
      <c r="AZ17" s="2">
        <v>19.899999999999999</v>
      </c>
      <c r="BA17" s="2"/>
      <c r="BB17" s="2">
        <v>6</v>
      </c>
      <c r="BC17" s="2"/>
      <c r="BD17" s="2">
        <v>3.8</v>
      </c>
      <c r="BE17" s="2">
        <v>7.3</v>
      </c>
      <c r="BF17" s="2">
        <v>7.8</v>
      </c>
      <c r="BG17" s="2">
        <v>8.3000000000000007</v>
      </c>
      <c r="BH17" s="2">
        <v>11.5</v>
      </c>
      <c r="BI17" s="2"/>
      <c r="BJ17" s="2"/>
      <c r="BK17" s="2"/>
      <c r="BL17" s="2"/>
      <c r="BM17" s="2"/>
      <c r="BN17" s="2">
        <v>61</v>
      </c>
      <c r="BO17" s="2">
        <v>31</v>
      </c>
      <c r="BP17" s="2">
        <v>37</v>
      </c>
      <c r="BQ17" s="2">
        <v>40</v>
      </c>
      <c r="BR17" s="2">
        <v>43</v>
      </c>
      <c r="BS17" s="2">
        <v>49</v>
      </c>
      <c r="BT17" s="2">
        <v>19</v>
      </c>
      <c r="BU17" s="2">
        <v>84</v>
      </c>
      <c r="BV17" s="2">
        <v>113</v>
      </c>
      <c r="BW17" s="2">
        <v>141</v>
      </c>
      <c r="BX17" s="2">
        <v>213</v>
      </c>
      <c r="BY17" s="2">
        <v>49.7</v>
      </c>
      <c r="BZ17" s="2">
        <v>1.8</v>
      </c>
      <c r="CA17" s="2">
        <v>0.7</v>
      </c>
      <c r="CB17" s="2">
        <v>1.28341700413114E-7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20</v>
      </c>
      <c r="AX18" s="2" t="s">
        <v>287</v>
      </c>
      <c r="AY18" s="130">
        <v>36</v>
      </c>
      <c r="AZ18" s="2">
        <v>18.399999999999999</v>
      </c>
      <c r="BA18" s="2">
        <v>23</v>
      </c>
      <c r="BB18" s="2">
        <v>53</v>
      </c>
      <c r="BC18" s="2">
        <v>4</v>
      </c>
      <c r="BD18" s="2">
        <v>4.8</v>
      </c>
      <c r="BE18" s="2">
        <v>5.0999999999999996</v>
      </c>
      <c r="BF18" s="2">
        <v>5.2</v>
      </c>
      <c r="BG18" s="2">
        <v>5.4</v>
      </c>
      <c r="BH18" s="2">
        <v>5.7</v>
      </c>
      <c r="BI18" s="2">
        <v>106</v>
      </c>
      <c r="BJ18" s="2">
        <v>217</v>
      </c>
      <c r="BK18" s="2">
        <v>268</v>
      </c>
      <c r="BL18" s="2">
        <v>321</v>
      </c>
      <c r="BM18" s="2">
        <v>432</v>
      </c>
      <c r="BN18" s="2"/>
      <c r="BO18" s="2"/>
      <c r="BP18" s="2"/>
      <c r="BQ18" s="2"/>
      <c r="BR18" s="2"/>
      <c r="BS18" s="2"/>
      <c r="BT18" s="2">
        <v>66</v>
      </c>
      <c r="BU18" s="2">
        <v>180</v>
      </c>
      <c r="BV18" s="2">
        <v>263</v>
      </c>
      <c r="BW18" s="2">
        <v>347</v>
      </c>
      <c r="BX18" s="2">
        <v>514</v>
      </c>
      <c r="BY18" s="2">
        <v>36.5</v>
      </c>
      <c r="BZ18" s="2">
        <v>4.5999999999999996</v>
      </c>
      <c r="CA18" s="2">
        <v>2.7</v>
      </c>
      <c r="CB18" s="2">
        <v>2.8252630741214199E-10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22</v>
      </c>
      <c r="AX19" s="2" t="s">
        <v>287</v>
      </c>
      <c r="AY19" s="130">
        <v>36</v>
      </c>
      <c r="AZ19" s="2">
        <v>18.399999999999999</v>
      </c>
      <c r="BA19" s="2">
        <v>23</v>
      </c>
      <c r="BB19" s="2">
        <v>53</v>
      </c>
      <c r="BC19" s="2">
        <v>4</v>
      </c>
      <c r="BD19" s="2">
        <v>4.0999999999999996</v>
      </c>
      <c r="BE19" s="2">
        <v>4.4000000000000004</v>
      </c>
      <c r="BF19" s="2">
        <v>4.5</v>
      </c>
      <c r="BG19" s="2">
        <v>4.5999999999999996</v>
      </c>
      <c r="BH19" s="2">
        <v>5</v>
      </c>
      <c r="BI19" s="2">
        <v>64</v>
      </c>
      <c r="BJ19" s="2">
        <v>175</v>
      </c>
      <c r="BK19" s="2">
        <v>226</v>
      </c>
      <c r="BL19" s="2">
        <v>278</v>
      </c>
      <c r="BM19" s="2">
        <v>390</v>
      </c>
      <c r="BN19" s="2"/>
      <c r="BO19" s="2"/>
      <c r="BP19" s="2"/>
      <c r="BQ19" s="2"/>
      <c r="BR19" s="2"/>
      <c r="BS19" s="2"/>
      <c r="BT19" s="2">
        <v>21</v>
      </c>
      <c r="BU19" s="2">
        <v>135</v>
      </c>
      <c r="BV19" s="2">
        <v>219</v>
      </c>
      <c r="BW19" s="2">
        <v>303</v>
      </c>
      <c r="BX19" s="2">
        <v>470</v>
      </c>
      <c r="BY19" s="2">
        <v>36.5</v>
      </c>
      <c r="BZ19" s="2">
        <v>4.5999999999999996</v>
      </c>
      <c r="CA19" s="2">
        <v>2.7</v>
      </c>
      <c r="CB19" s="2">
        <v>2.8252630741214199E-10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22</v>
      </c>
      <c r="AX20" s="2" t="s">
        <v>299</v>
      </c>
      <c r="AY20" s="130">
        <v>29</v>
      </c>
      <c r="AZ20" s="2">
        <v>19.5</v>
      </c>
      <c r="BA20" s="2">
        <v>13</v>
      </c>
      <c r="BB20" s="2">
        <v>64</v>
      </c>
      <c r="BC20" s="2">
        <v>4</v>
      </c>
      <c r="BD20" s="2">
        <v>4.2</v>
      </c>
      <c r="BE20" s="2">
        <v>6.4</v>
      </c>
      <c r="BF20" s="2">
        <v>6.7</v>
      </c>
      <c r="BG20" s="2">
        <v>7.5</v>
      </c>
      <c r="BH20" s="2">
        <v>13.4</v>
      </c>
      <c r="BI20" s="2">
        <v>138</v>
      </c>
      <c r="BJ20" s="2">
        <v>294</v>
      </c>
      <c r="BK20" s="2">
        <v>347</v>
      </c>
      <c r="BL20" s="2">
        <v>412</v>
      </c>
      <c r="BM20" s="2">
        <v>754</v>
      </c>
      <c r="BN20" s="2"/>
      <c r="BO20" s="2"/>
      <c r="BP20" s="2"/>
      <c r="BQ20" s="2"/>
      <c r="BR20" s="2"/>
      <c r="BS20" s="2"/>
      <c r="BT20" s="2">
        <v>68</v>
      </c>
      <c r="BU20" s="2">
        <v>287</v>
      </c>
      <c r="BV20" s="2">
        <v>374</v>
      </c>
      <c r="BW20" s="2">
        <v>476</v>
      </c>
      <c r="BX20" s="2">
        <v>957</v>
      </c>
      <c r="BY20" s="2">
        <v>56.9</v>
      </c>
      <c r="BZ20" s="2">
        <v>6.2</v>
      </c>
      <c r="CA20" s="2">
        <v>3</v>
      </c>
      <c r="CB20" s="2">
        <v>2.1167092873135701E-10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27</v>
      </c>
      <c r="AX21" s="2" t="s">
        <v>299</v>
      </c>
      <c r="AY21" s="130">
        <v>29</v>
      </c>
      <c r="AZ21" s="2">
        <v>19.5</v>
      </c>
      <c r="BA21" s="2">
        <v>13</v>
      </c>
      <c r="BB21" s="2">
        <v>64</v>
      </c>
      <c r="BC21" s="2">
        <v>4</v>
      </c>
      <c r="BD21" s="2">
        <v>5.6</v>
      </c>
      <c r="BE21" s="2">
        <v>7.8</v>
      </c>
      <c r="BF21" s="2">
        <v>8.1</v>
      </c>
      <c r="BG21" s="2">
        <v>8.9</v>
      </c>
      <c r="BH21" s="2">
        <v>14.9</v>
      </c>
      <c r="BI21" s="2">
        <v>213</v>
      </c>
      <c r="BJ21" s="2">
        <v>370</v>
      </c>
      <c r="BK21" s="2">
        <v>422</v>
      </c>
      <c r="BL21" s="2">
        <v>488</v>
      </c>
      <c r="BM21" s="2">
        <v>829</v>
      </c>
      <c r="BN21" s="2"/>
      <c r="BO21" s="2"/>
      <c r="BP21" s="2"/>
      <c r="BQ21" s="2"/>
      <c r="BR21" s="2"/>
      <c r="BS21" s="2"/>
      <c r="BT21" s="2">
        <v>184</v>
      </c>
      <c r="BU21" s="2">
        <v>404</v>
      </c>
      <c r="BV21" s="2">
        <v>490</v>
      </c>
      <c r="BW21" s="2">
        <v>592</v>
      </c>
      <c r="BX21" s="2">
        <v>1073</v>
      </c>
      <c r="BY21" s="2">
        <v>56.9</v>
      </c>
      <c r="BZ21" s="2">
        <v>6.2</v>
      </c>
      <c r="CA21" s="2">
        <v>3</v>
      </c>
      <c r="CB21" s="2">
        <v>2.1167092873135701E-10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27</v>
      </c>
      <c r="AX22" s="2" t="s">
        <v>299</v>
      </c>
      <c r="AY22" s="130">
        <v>29</v>
      </c>
      <c r="AZ22" s="2">
        <v>19.5</v>
      </c>
      <c r="BA22" s="2">
        <v>13</v>
      </c>
      <c r="BB22" s="2">
        <v>64</v>
      </c>
      <c r="BC22" s="2">
        <v>4</v>
      </c>
      <c r="BD22" s="2">
        <v>7.4</v>
      </c>
      <c r="BE22" s="2">
        <v>8.6</v>
      </c>
      <c r="BF22" s="2">
        <v>9</v>
      </c>
      <c r="BG22" s="2">
        <v>9.4</v>
      </c>
      <c r="BH22" s="2">
        <v>12.4</v>
      </c>
      <c r="BI22" s="2">
        <v>396</v>
      </c>
      <c r="BJ22" s="2">
        <v>407</v>
      </c>
      <c r="BK22" s="2">
        <v>468</v>
      </c>
      <c r="BL22" s="2">
        <v>532</v>
      </c>
      <c r="BM22" s="2">
        <v>734</v>
      </c>
      <c r="BN22" s="2"/>
      <c r="BO22" s="2"/>
      <c r="BP22" s="2"/>
      <c r="BQ22" s="2"/>
      <c r="BR22" s="2"/>
      <c r="BS22" s="2"/>
      <c r="BT22" s="2">
        <v>458</v>
      </c>
      <c r="BU22" s="2">
        <v>526</v>
      </c>
      <c r="BV22" s="2">
        <v>539</v>
      </c>
      <c r="BW22" s="2">
        <v>645</v>
      </c>
      <c r="BX22" s="2">
        <v>931</v>
      </c>
      <c r="BY22" s="2">
        <v>37.200000000000003</v>
      </c>
      <c r="BZ22" s="2">
        <v>3.3</v>
      </c>
      <c r="CA22" s="2">
        <v>1.9</v>
      </c>
      <c r="CB22" s="2">
        <v>7.06560973294856E-11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32</v>
      </c>
      <c r="AX23" s="2" t="s">
        <v>299</v>
      </c>
      <c r="AY23" s="130">
        <v>29</v>
      </c>
      <c r="AZ23" s="2">
        <v>19.5</v>
      </c>
      <c r="BA23" s="2">
        <v>13</v>
      </c>
      <c r="BB23" s="2">
        <v>64</v>
      </c>
      <c r="BC23" s="2">
        <v>4</v>
      </c>
      <c r="BD23" s="2">
        <v>1.2</v>
      </c>
      <c r="BE23" s="2">
        <v>2.4</v>
      </c>
      <c r="BF23" s="2">
        <v>2.7</v>
      </c>
      <c r="BG23" s="2">
        <v>3.1</v>
      </c>
      <c r="BH23" s="2">
        <v>6.2</v>
      </c>
      <c r="BI23" s="2">
        <v>44</v>
      </c>
      <c r="BJ23" s="2">
        <v>55</v>
      </c>
      <c r="BK23" s="2">
        <v>117</v>
      </c>
      <c r="BL23" s="2">
        <v>180</v>
      </c>
      <c r="BM23" s="2">
        <v>382</v>
      </c>
      <c r="BN23" s="2"/>
      <c r="BO23" s="2"/>
      <c r="BP23" s="2"/>
      <c r="BQ23" s="2"/>
      <c r="BR23" s="2"/>
      <c r="BS23" s="2"/>
      <c r="BT23" s="2">
        <v>32</v>
      </c>
      <c r="BU23" s="2">
        <v>100</v>
      </c>
      <c r="BV23" s="2">
        <v>113</v>
      </c>
      <c r="BW23" s="2">
        <v>218</v>
      </c>
      <c r="BX23" s="2">
        <v>504</v>
      </c>
      <c r="BY23" s="2">
        <v>37.200000000000003</v>
      </c>
      <c r="BZ23" s="2">
        <v>3.3</v>
      </c>
      <c r="CA23" s="2">
        <v>1.9</v>
      </c>
      <c r="CB23" s="2">
        <v>7.06560973294856E-11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32</v>
      </c>
      <c r="AX24" s="2" t="s">
        <v>273</v>
      </c>
      <c r="AY24" s="130">
        <v>32</v>
      </c>
      <c r="AZ24" s="2">
        <v>18.899999999999999</v>
      </c>
      <c r="BA24" s="2">
        <v>47</v>
      </c>
      <c r="BB24" s="2">
        <v>85</v>
      </c>
      <c r="BC24" s="2">
        <v>3</v>
      </c>
      <c r="BD24" s="2">
        <v>1.2</v>
      </c>
      <c r="BE24" s="2">
        <v>3</v>
      </c>
      <c r="BF24" s="2">
        <v>5.8</v>
      </c>
      <c r="BG24" s="2">
        <v>22</v>
      </c>
      <c r="BH24" s="2">
        <v>72.2</v>
      </c>
      <c r="BI24" s="2">
        <v>128</v>
      </c>
      <c r="BJ24" s="2">
        <v>215</v>
      </c>
      <c r="BK24" s="2">
        <v>258</v>
      </c>
      <c r="BL24" s="2">
        <v>303</v>
      </c>
      <c r="BM24" s="2">
        <v>390</v>
      </c>
      <c r="BN24" s="2"/>
      <c r="BO24" s="2"/>
      <c r="BP24" s="2"/>
      <c r="BQ24" s="2"/>
      <c r="BR24" s="2"/>
      <c r="BS24" s="2"/>
      <c r="BT24" s="2">
        <v>32</v>
      </c>
      <c r="BU24" s="2">
        <v>177</v>
      </c>
      <c r="BV24" s="2">
        <v>266</v>
      </c>
      <c r="BW24" s="2">
        <v>357</v>
      </c>
      <c r="BX24" s="2">
        <v>539</v>
      </c>
      <c r="BY24" s="2">
        <v>50.1</v>
      </c>
      <c r="BZ24" s="2">
        <v>8.8000000000000007</v>
      </c>
      <c r="CA24" s="2">
        <v>3</v>
      </c>
      <c r="CB24" s="2">
        <v>1.03272148661683E-11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61</v>
      </c>
      <c r="AX25" s="2" t="s">
        <v>273</v>
      </c>
      <c r="AY25" s="130">
        <v>32</v>
      </c>
      <c r="AZ25" s="2">
        <v>18.899999999999999</v>
      </c>
      <c r="BA25" s="2">
        <v>47</v>
      </c>
      <c r="BB25" s="2">
        <v>85</v>
      </c>
      <c r="BC25" s="2">
        <v>3</v>
      </c>
      <c r="BD25" s="2">
        <v>16.899999999999999</v>
      </c>
      <c r="BE25" s="2">
        <v>18</v>
      </c>
      <c r="BF25" s="2">
        <v>21.5</v>
      </c>
      <c r="BG25" s="2">
        <v>37.700000000000003</v>
      </c>
      <c r="BH25" s="2">
        <v>87.9</v>
      </c>
      <c r="BI25" s="2">
        <v>888</v>
      </c>
      <c r="BJ25" s="2">
        <v>975</v>
      </c>
      <c r="BK25" s="2">
        <v>1019</v>
      </c>
      <c r="BL25" s="2">
        <v>1063</v>
      </c>
      <c r="BM25" s="2">
        <v>1150</v>
      </c>
      <c r="BN25" s="2"/>
      <c r="BO25" s="2"/>
      <c r="BP25" s="2"/>
      <c r="BQ25" s="2"/>
      <c r="BR25" s="2"/>
      <c r="BS25" s="2"/>
      <c r="BT25" s="2">
        <v>1341</v>
      </c>
      <c r="BU25" s="2">
        <v>1486</v>
      </c>
      <c r="BV25" s="2">
        <v>1576</v>
      </c>
      <c r="BW25" s="2">
        <v>1666</v>
      </c>
      <c r="BX25" s="2">
        <v>1848</v>
      </c>
      <c r="BY25" s="2">
        <v>50.1</v>
      </c>
      <c r="BZ25" s="2">
        <v>8.8000000000000007</v>
      </c>
      <c r="CA25" s="2">
        <v>3</v>
      </c>
      <c r="CB25" s="2">
        <v>1.03272148661683E-11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61</v>
      </c>
      <c r="AX26" s="2" t="s">
        <v>218</v>
      </c>
      <c r="AY26" s="130">
        <v>37</v>
      </c>
      <c r="AZ26" s="2">
        <v>18.3</v>
      </c>
      <c r="BA26" s="2">
        <v>59</v>
      </c>
      <c r="BB26" s="2">
        <v>77</v>
      </c>
      <c r="BC26" s="2">
        <v>3</v>
      </c>
      <c r="BD26" s="2">
        <v>2.2000000000000002</v>
      </c>
      <c r="BE26" s="2">
        <v>10.8</v>
      </c>
      <c r="BF26" s="2">
        <v>12</v>
      </c>
      <c r="BG26" s="2">
        <v>27.9</v>
      </c>
      <c r="BH26" s="2">
        <v>77.2</v>
      </c>
      <c r="BI26" s="2">
        <v>411</v>
      </c>
      <c r="BJ26" s="2">
        <v>497</v>
      </c>
      <c r="BK26" s="2">
        <v>540</v>
      </c>
      <c r="BL26" s="2">
        <v>585</v>
      </c>
      <c r="BM26" s="2">
        <v>670</v>
      </c>
      <c r="BN26" s="2"/>
      <c r="BO26" s="2"/>
      <c r="BP26" s="2"/>
      <c r="BQ26" s="2"/>
      <c r="BR26" s="2"/>
      <c r="BS26" s="2"/>
      <c r="BT26" s="2">
        <v>486</v>
      </c>
      <c r="BU26" s="2">
        <v>658</v>
      </c>
      <c r="BV26" s="2">
        <v>744</v>
      </c>
      <c r="BW26" s="2">
        <v>831</v>
      </c>
      <c r="BX26" s="2">
        <v>1003</v>
      </c>
      <c r="BY26" s="2">
        <v>48.4</v>
      </c>
      <c r="BZ26" s="2">
        <v>5.7</v>
      </c>
      <c r="CA26" s="2">
        <v>2</v>
      </c>
      <c r="CB26" s="2">
        <v>4.1140203504490299E-12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80</v>
      </c>
      <c r="AX27" s="2" t="s">
        <v>218</v>
      </c>
      <c r="AY27" s="130">
        <v>37</v>
      </c>
      <c r="AZ27" s="2">
        <v>18.3</v>
      </c>
      <c r="BA27" s="2">
        <v>59</v>
      </c>
      <c r="BB27" s="2">
        <v>77</v>
      </c>
      <c r="BC27" s="2">
        <v>3</v>
      </c>
      <c r="BD27" s="2">
        <v>5</v>
      </c>
      <c r="BE27" s="2">
        <v>13.6</v>
      </c>
      <c r="BF27" s="2">
        <v>14.8</v>
      </c>
      <c r="BG27" s="2">
        <v>30.7</v>
      </c>
      <c r="BH27" s="2">
        <v>80</v>
      </c>
      <c r="BI27" s="2">
        <v>535</v>
      </c>
      <c r="BJ27" s="2">
        <v>621</v>
      </c>
      <c r="BK27" s="2">
        <v>664</v>
      </c>
      <c r="BL27" s="2">
        <v>708</v>
      </c>
      <c r="BM27" s="2">
        <v>794</v>
      </c>
      <c r="BN27" s="2"/>
      <c r="BO27" s="2"/>
      <c r="BP27" s="2"/>
      <c r="BQ27" s="2"/>
      <c r="BR27" s="2"/>
      <c r="BS27" s="2"/>
      <c r="BT27" s="2">
        <v>709</v>
      </c>
      <c r="BU27" s="2">
        <v>881</v>
      </c>
      <c r="BV27" s="2">
        <v>967</v>
      </c>
      <c r="BW27" s="2">
        <v>1054</v>
      </c>
      <c r="BX27" s="2">
        <v>1226</v>
      </c>
      <c r="BY27" s="2">
        <v>48.4</v>
      </c>
      <c r="BZ27" s="2">
        <v>5.7</v>
      </c>
      <c r="CA27" s="2">
        <v>2</v>
      </c>
      <c r="CB27" s="2">
        <v>4.1140203504490299E-12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388" priority="12">
      <formula>$L32="API sand"</formula>
    </cfRule>
  </conditionalFormatting>
  <conditionalFormatting sqref="R32:S36 AB32:AB35 AJ32:AL36 Z32:Z36 N32:N36">
    <cfRule type="expression" dxfId="2387" priority="11">
      <formula>$M32="API sand"</formula>
    </cfRule>
  </conditionalFormatting>
  <conditionalFormatting sqref="R32:T36 Z32:AB35 AK32:AL36 N32:N36">
    <cfRule type="expression" dxfId="2386" priority="10">
      <formula>$M32="API clay"</formula>
    </cfRule>
  </conditionalFormatting>
  <conditionalFormatting sqref="U32:W36 AM32:AP36 N32:P36">
    <cfRule type="expression" dxfId="2385" priority="7">
      <formula>$L32="Stiff clay w/o free water"</formula>
    </cfRule>
    <cfRule type="expression" dxfId="2384" priority="9">
      <formula>$L32="API clay"</formula>
    </cfRule>
  </conditionalFormatting>
  <conditionalFormatting sqref="U32:Y36 AM32:AP36 N32:P36">
    <cfRule type="expression" dxfId="2383" priority="8">
      <formula>$L32="Kirsch soft clay"</formula>
    </cfRule>
  </conditionalFormatting>
  <conditionalFormatting sqref="U32:Y36 AM32:AP36 N32:P36">
    <cfRule type="expression" dxfId="2382" priority="6">
      <formula>$L32="Kirsch stiff clay"</formula>
    </cfRule>
  </conditionalFormatting>
  <conditionalFormatting sqref="AM32:AP36 Q32:Q36 X32:Y36 N32:N36">
    <cfRule type="expression" dxfId="2381" priority="5">
      <formula>$L32="Kirsch sand"</formula>
    </cfRule>
  </conditionalFormatting>
  <conditionalFormatting sqref="AC32:AD36 AI32:AI36 AM32:AP36 N32:N36">
    <cfRule type="expression" dxfId="2380" priority="4">
      <formula>$L32="Modified Weak rock"</formula>
    </cfRule>
  </conditionalFormatting>
  <conditionalFormatting sqref="AM32:AP36 N32:P36 U32:V36">
    <cfRule type="expression" dxfId="2379" priority="3">
      <formula>$L32="Reese stiff clay"</formula>
    </cfRule>
  </conditionalFormatting>
  <conditionalFormatting sqref="AB36">
    <cfRule type="expression" dxfId="2378" priority="2">
      <formula>$M36="API sand"</formula>
    </cfRule>
  </conditionalFormatting>
  <conditionalFormatting sqref="Z36:AB36">
    <cfRule type="expression" dxfId="2377" priority="1">
      <formula>$M36="API clay"</formula>
    </cfRule>
  </conditionalFormatting>
  <conditionalFormatting sqref="AE37:AH37">
    <cfRule type="expression" dxfId="2376" priority="13">
      <formula>#REF!="Modified Weak rock"</formula>
    </cfRule>
  </conditionalFormatting>
  <dataValidations count="4">
    <dataValidation type="list" showInputMessage="1" showErrorMessage="1" sqref="M32:M36" xr:uid="{AEDF8E4E-5FFD-4E26-9822-5D93A070646C}">
      <formula1>"',API sand,API clay"</formula1>
    </dataValidation>
    <dataValidation type="list" showInputMessage="1" showErrorMessage="1" sqref="L32:L255" xr:uid="{6065F9C2-CAA8-4006-AB59-F925947ABF63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E9711454-A702-4419-8F7E-542766F691CA}"/>
    <dataValidation type="textLength" showInputMessage="1" showErrorMessage="1" sqref="M27:M31" xr:uid="{D6BCE74D-A6EA-4BE9-8169-76AFEC78ABB9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CD08B-C98C-4E6E-AB3A-E2BD337FFBCB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Ak_Pisa_WTG41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EW_sand_Ruled_97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39</v>
      </c>
      <c r="R6" s="47">
        <f t="shared" ref="R6:R26" ca="1" si="7">IF(I6="","",IF(Q6&lt;&gt;0,Q6-5,NA()))</f>
        <v>34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18000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111.19999999999996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11520</v>
      </c>
      <c r="AC6" s="63">
        <f t="shared" ref="AC6:AC26" ca="1" si="18">IF(I6="","",IF(OFFSET($BV$6,(ROW()-6)*2,0)=0,0,OFFSET($BV$6,(ROW()-6)*2,0)*1000))</f>
        <v>12000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97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1.2</v>
      </c>
      <c r="BF6" s="2">
        <v>2.2999999999999998</v>
      </c>
      <c r="BG6" s="2">
        <v>3.3</v>
      </c>
      <c r="BH6" s="2">
        <v>6</v>
      </c>
      <c r="BI6" s="2"/>
      <c r="BJ6" s="2"/>
      <c r="BK6" s="2"/>
      <c r="BL6" s="2"/>
      <c r="BM6" s="2"/>
      <c r="BN6" s="2">
        <v>97</v>
      </c>
      <c r="BO6" s="2">
        <v>28</v>
      </c>
      <c r="BP6" s="2">
        <v>39</v>
      </c>
      <c r="BQ6" s="2">
        <v>43</v>
      </c>
      <c r="BR6" s="2">
        <v>47</v>
      </c>
      <c r="BS6" s="2">
        <v>55</v>
      </c>
      <c r="BT6" s="2">
        <v>0</v>
      </c>
      <c r="BU6" s="2">
        <v>6</v>
      </c>
      <c r="BV6" s="2">
        <v>12</v>
      </c>
      <c r="BW6" s="2">
        <v>18</v>
      </c>
      <c r="BX6" s="2">
        <v>31</v>
      </c>
      <c r="BY6" s="2">
        <v>18</v>
      </c>
      <c r="BZ6" s="2">
        <v>1</v>
      </c>
      <c r="CA6" s="2">
        <v>0.5</v>
      </c>
      <c r="CB6" s="2">
        <v>2.15743340240918E-4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-1</v>
      </c>
      <c r="L7" s="116" t="str">
        <f t="shared" ca="1" si="1"/>
        <v>EW_sand_Ruled_93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41</v>
      </c>
      <c r="R7" s="47">
        <f t="shared" ca="1" si="7"/>
        <v>36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41300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43000</v>
      </c>
      <c r="AD7" s="63">
        <f t="shared" ca="1" si="19"/>
        <v>4545.454545454545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93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2.4</v>
      </c>
      <c r="BE7" s="2">
        <v>5.5</v>
      </c>
      <c r="BF7" s="2">
        <v>6.7</v>
      </c>
      <c r="BG7" s="2">
        <v>7.7</v>
      </c>
      <c r="BH7" s="2">
        <v>10.4</v>
      </c>
      <c r="BI7" s="2"/>
      <c r="BJ7" s="2"/>
      <c r="BK7" s="2"/>
      <c r="BL7" s="2"/>
      <c r="BM7" s="2"/>
      <c r="BN7" s="2">
        <v>97</v>
      </c>
      <c r="BO7" s="2">
        <v>28</v>
      </c>
      <c r="BP7" s="2">
        <v>39</v>
      </c>
      <c r="BQ7" s="2">
        <v>43</v>
      </c>
      <c r="BR7" s="2">
        <v>47</v>
      </c>
      <c r="BS7" s="2">
        <v>55</v>
      </c>
      <c r="BT7" s="2">
        <v>15</v>
      </c>
      <c r="BU7" s="2">
        <v>28</v>
      </c>
      <c r="BV7" s="2">
        <v>34</v>
      </c>
      <c r="BW7" s="2">
        <v>40</v>
      </c>
      <c r="BX7" s="2">
        <v>53</v>
      </c>
      <c r="BY7" s="2">
        <v>18</v>
      </c>
      <c r="BZ7" s="2">
        <v>1</v>
      </c>
      <c r="CA7" s="2">
        <v>0.5</v>
      </c>
      <c r="CB7" s="2">
        <v>2.15743340240918E-4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11b</v>
      </c>
      <c r="J8" s="47">
        <f t="shared" ca="1" si="35"/>
        <v>3</v>
      </c>
      <c r="K8" s="19">
        <f t="shared" ca="1" si="36"/>
        <v>-2.1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9.5</v>
      </c>
      <c r="O8" s="63">
        <f t="shared" ca="1" si="4"/>
        <v>265</v>
      </c>
      <c r="P8" s="63">
        <f t="shared" ca="1" si="5"/>
        <v>-2.0289855072463765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0.25</v>
      </c>
      <c r="X8" s="47">
        <f t="shared" ca="1" si="13"/>
        <v>45000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317000</v>
      </c>
      <c r="AD8" s="63">
        <f t="shared" ca="1" si="19"/>
        <v>-1594.2028985507245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10.1</v>
      </c>
      <c r="BE8" s="2">
        <v>11.2</v>
      </c>
      <c r="BF8" s="2">
        <v>11.6</v>
      </c>
      <c r="BG8" s="2">
        <v>12.1</v>
      </c>
      <c r="BH8" s="2">
        <v>13.5</v>
      </c>
      <c r="BI8" s="2"/>
      <c r="BJ8" s="2"/>
      <c r="BK8" s="2"/>
      <c r="BL8" s="2"/>
      <c r="BM8" s="2"/>
      <c r="BN8" s="2">
        <v>93</v>
      </c>
      <c r="BO8" s="2">
        <v>35</v>
      </c>
      <c r="BP8" s="2">
        <v>41</v>
      </c>
      <c r="BQ8" s="2">
        <v>44</v>
      </c>
      <c r="BR8" s="2">
        <v>47</v>
      </c>
      <c r="BS8" s="2">
        <v>54</v>
      </c>
      <c r="BT8" s="2">
        <v>6</v>
      </c>
      <c r="BU8" s="2">
        <v>32</v>
      </c>
      <c r="BV8" s="2">
        <v>43</v>
      </c>
      <c r="BW8" s="2">
        <v>54</v>
      </c>
      <c r="BX8" s="2">
        <v>80</v>
      </c>
      <c r="BY8" s="2">
        <v>41.3</v>
      </c>
      <c r="BZ8" s="2">
        <v>1</v>
      </c>
      <c r="CA8" s="2">
        <v>0.5</v>
      </c>
      <c r="CB8" s="2">
        <v>8.2014817680132904E-5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19b</v>
      </c>
      <c r="J9" s="47">
        <f t="shared" ca="1" si="35"/>
        <v>4</v>
      </c>
      <c r="K9" s="19">
        <f t="shared" ca="1" si="36"/>
        <v>-9</v>
      </c>
      <c r="L9" s="116" t="str">
        <f t="shared" ca="1" si="1"/>
        <v>EW_sand_Ruled_71</v>
      </c>
      <c r="M9" s="105" t="str">
        <f t="shared" ca="1" si="2"/>
        <v>API sand</v>
      </c>
      <c r="N9" s="47">
        <f t="shared" ca="1" si="3"/>
        <v>8.5</v>
      </c>
      <c r="O9" s="63">
        <f t="shared" ca="1" si="4"/>
        <v>0</v>
      </c>
      <c r="P9" s="63">
        <f t="shared" ca="1" si="5"/>
        <v>0</v>
      </c>
      <c r="Q9" s="47">
        <f t="shared" ca="1" si="6"/>
        <v>28</v>
      </c>
      <c r="R9" s="47">
        <f t="shared" ca="1" si="7"/>
        <v>23</v>
      </c>
      <c r="S9" s="47">
        <f t="shared" ca="1" si="8"/>
        <v>1.6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20400</v>
      </c>
      <c r="Y9" s="47">
        <f t="shared" ca="1" si="14"/>
        <v>0</v>
      </c>
      <c r="Z9" s="47">
        <f t="shared" ca="1" si="15"/>
        <v>75.399999999999977</v>
      </c>
      <c r="AA9" s="47">
        <f t="shared" ca="1" si="16"/>
        <v>1</v>
      </c>
      <c r="AB9" s="47">
        <f t="shared" ca="1" si="17"/>
        <v>4040</v>
      </c>
      <c r="AC9" s="63">
        <f t="shared" ca="1" si="18"/>
        <v>80000</v>
      </c>
      <c r="AD9" s="63">
        <f t="shared" ca="1" si="19"/>
        <v>13076.923076923078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16.800000000000004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71</v>
      </c>
      <c r="AS9" s="33">
        <f t="shared" ca="1" si="34"/>
        <v>0.2</v>
      </c>
      <c r="AW9" s="2">
        <v>2.1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8.1</v>
      </c>
      <c r="BE9" s="2">
        <v>9.1999999999999993</v>
      </c>
      <c r="BF9" s="2">
        <v>9.6</v>
      </c>
      <c r="BG9" s="2">
        <v>10.1</v>
      </c>
      <c r="BH9" s="2">
        <v>11.5</v>
      </c>
      <c r="BI9" s="2"/>
      <c r="BJ9" s="2"/>
      <c r="BK9" s="2"/>
      <c r="BL9" s="2"/>
      <c r="BM9" s="2"/>
      <c r="BN9" s="2">
        <v>93</v>
      </c>
      <c r="BO9" s="2">
        <v>35</v>
      </c>
      <c r="BP9" s="2">
        <v>41</v>
      </c>
      <c r="BQ9" s="2">
        <v>44</v>
      </c>
      <c r="BR9" s="2">
        <v>47</v>
      </c>
      <c r="BS9" s="2">
        <v>54</v>
      </c>
      <c r="BT9" s="2">
        <v>10</v>
      </c>
      <c r="BU9" s="2">
        <v>37</v>
      </c>
      <c r="BV9" s="2">
        <v>48</v>
      </c>
      <c r="BW9" s="2">
        <v>59</v>
      </c>
      <c r="BX9" s="2">
        <v>85</v>
      </c>
      <c r="BY9" s="2">
        <v>41.3</v>
      </c>
      <c r="BZ9" s="2">
        <v>1</v>
      </c>
      <c r="CA9" s="2">
        <v>0.5</v>
      </c>
      <c r="CB9" s="2">
        <v>8.2014817680132904E-5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20a</v>
      </c>
      <c r="J10" s="47">
        <f t="shared" ca="1" si="35"/>
        <v>5</v>
      </c>
      <c r="K10" s="19">
        <f t="shared" ca="1" si="36"/>
        <v>-11.6</v>
      </c>
      <c r="L10" s="116" t="str">
        <f t="shared" ca="1" si="1"/>
        <v>EW_sand_Ruled_81</v>
      </c>
      <c r="M10" s="105" t="str">
        <f t="shared" ca="1" si="2"/>
        <v>API sand</v>
      </c>
      <c r="N10" s="47">
        <f t="shared" ca="1" si="3"/>
        <v>10</v>
      </c>
      <c r="O10" s="63">
        <f t="shared" ca="1" si="4"/>
        <v>0</v>
      </c>
      <c r="P10" s="63">
        <f t="shared" ca="1" si="5"/>
        <v>0</v>
      </c>
      <c r="Q10" s="47">
        <f t="shared" ca="1" si="6"/>
        <v>29</v>
      </c>
      <c r="R10" s="47">
        <f t="shared" ca="1" si="7"/>
        <v>24</v>
      </c>
      <c r="S10" s="47">
        <f t="shared" ca="1" si="8"/>
        <v>1.9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43900</v>
      </c>
      <c r="Y10" s="47">
        <f t="shared" ca="1" si="14"/>
        <v>0</v>
      </c>
      <c r="Z10" s="47">
        <f t="shared" ca="1" si="15"/>
        <v>78.199999999999974</v>
      </c>
      <c r="AA10" s="47">
        <f t="shared" ca="1" si="16"/>
        <v>1</v>
      </c>
      <c r="AB10" s="47">
        <f t="shared" ca="1" si="17"/>
        <v>4420</v>
      </c>
      <c r="AC10" s="63">
        <f t="shared" ca="1" si="18"/>
        <v>117000</v>
      </c>
      <c r="AD10" s="63">
        <f t="shared" ca="1" si="19"/>
        <v>4411.7647058823522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18.400000000000006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81</v>
      </c>
      <c r="AS10" s="33">
        <f t="shared" ca="1" si="34"/>
        <v>0.2</v>
      </c>
      <c r="AW10" s="2">
        <v>2.1</v>
      </c>
      <c r="AX10" s="2" t="s">
        <v>299</v>
      </c>
      <c r="AY10" s="130">
        <v>29</v>
      </c>
      <c r="AZ10" s="2">
        <v>19.5</v>
      </c>
      <c r="BA10" s="2">
        <v>13</v>
      </c>
      <c r="BB10" s="2">
        <v>64</v>
      </c>
      <c r="BC10" s="2">
        <v>4</v>
      </c>
      <c r="BD10" s="2">
        <v>4.0999999999999996</v>
      </c>
      <c r="BE10" s="2">
        <v>5.6</v>
      </c>
      <c r="BF10" s="2">
        <v>5.8</v>
      </c>
      <c r="BG10" s="2">
        <v>5.9</v>
      </c>
      <c r="BH10" s="2">
        <v>7.3</v>
      </c>
      <c r="BI10" s="2">
        <v>131</v>
      </c>
      <c r="BJ10" s="2">
        <v>265</v>
      </c>
      <c r="BK10" s="2">
        <v>317</v>
      </c>
      <c r="BL10" s="2">
        <v>371</v>
      </c>
      <c r="BM10" s="2">
        <v>500</v>
      </c>
      <c r="BN10" s="2"/>
      <c r="BO10" s="2"/>
      <c r="BP10" s="2"/>
      <c r="BQ10" s="2"/>
      <c r="BR10" s="2"/>
      <c r="BS10" s="2"/>
      <c r="BT10" s="2">
        <v>37</v>
      </c>
      <c r="BU10" s="2">
        <v>229</v>
      </c>
      <c r="BV10" s="2">
        <v>317</v>
      </c>
      <c r="BW10" s="2">
        <v>404</v>
      </c>
      <c r="BX10" s="2">
        <v>593</v>
      </c>
      <c r="BY10" s="2">
        <v>45</v>
      </c>
      <c r="BZ10" s="2">
        <v>23.3</v>
      </c>
      <c r="CA10" s="2">
        <v>3</v>
      </c>
      <c r="CB10" s="2">
        <v>6.4263692196160198E-7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20a</v>
      </c>
      <c r="J11" s="47">
        <f t="shared" ca="1" si="35"/>
        <v>6</v>
      </c>
      <c r="K11" s="19">
        <f t="shared" ca="1" si="36"/>
        <v>-15</v>
      </c>
      <c r="L11" s="116" t="str">
        <f t="shared" ca="1" si="1"/>
        <v>EW_sand_Ruled_69</v>
      </c>
      <c r="M11" s="105" t="str">
        <f t="shared" ca="1" si="2"/>
        <v>API sand</v>
      </c>
      <c r="N11" s="47">
        <f t="shared" ca="1" si="3"/>
        <v>10</v>
      </c>
      <c r="O11" s="63">
        <f t="shared" ca="1" si="4"/>
        <v>0</v>
      </c>
      <c r="P11" s="63">
        <f t="shared" ca="1" si="5"/>
        <v>0</v>
      </c>
      <c r="Q11" s="47">
        <f t="shared" ca="1" si="6"/>
        <v>28</v>
      </c>
      <c r="R11" s="47">
        <f t="shared" ca="1" si="7"/>
        <v>23</v>
      </c>
      <c r="S11" s="47">
        <f t="shared" ca="1" si="8"/>
        <v>1.3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26900</v>
      </c>
      <c r="Y11" s="47">
        <f t="shared" ca="1" si="14"/>
        <v>0</v>
      </c>
      <c r="Z11" s="47">
        <f t="shared" ca="1" si="15"/>
        <v>75.399999999999977</v>
      </c>
      <c r="AA11" s="47">
        <f t="shared" ca="1" si="16"/>
        <v>1</v>
      </c>
      <c r="AB11" s="47">
        <f t="shared" ca="1" si="17"/>
        <v>4040</v>
      </c>
      <c r="AC11" s="63">
        <f t="shared" ca="1" si="18"/>
        <v>118000</v>
      </c>
      <c r="AD11" s="63">
        <f t="shared" ca="1" si="19"/>
        <v>2800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16.800000000000004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69</v>
      </c>
      <c r="AS11" s="33">
        <f t="shared" ca="1" si="34"/>
        <v>0.2</v>
      </c>
      <c r="AW11" s="2">
        <v>9</v>
      </c>
      <c r="AX11" s="2" t="s">
        <v>299</v>
      </c>
      <c r="AY11" s="130">
        <v>29</v>
      </c>
      <c r="AZ11" s="2">
        <v>19.5</v>
      </c>
      <c r="BA11" s="2">
        <v>13</v>
      </c>
      <c r="BB11" s="2">
        <v>64</v>
      </c>
      <c r="BC11" s="2">
        <v>4</v>
      </c>
      <c r="BD11" s="2">
        <v>4</v>
      </c>
      <c r="BE11" s="2">
        <v>5.4</v>
      </c>
      <c r="BF11" s="2">
        <v>5.6</v>
      </c>
      <c r="BG11" s="2">
        <v>5.8</v>
      </c>
      <c r="BH11" s="2">
        <v>7.1</v>
      </c>
      <c r="BI11" s="2">
        <v>117</v>
      </c>
      <c r="BJ11" s="2">
        <v>251</v>
      </c>
      <c r="BK11" s="2">
        <v>303</v>
      </c>
      <c r="BL11" s="2">
        <v>356</v>
      </c>
      <c r="BM11" s="2">
        <v>486</v>
      </c>
      <c r="BN11" s="2"/>
      <c r="BO11" s="2"/>
      <c r="BP11" s="2"/>
      <c r="BQ11" s="2"/>
      <c r="BR11" s="2"/>
      <c r="BS11" s="2"/>
      <c r="BT11" s="2">
        <v>26</v>
      </c>
      <c r="BU11" s="2">
        <v>219</v>
      </c>
      <c r="BV11" s="2">
        <v>306</v>
      </c>
      <c r="BW11" s="2">
        <v>393</v>
      </c>
      <c r="BX11" s="2">
        <v>582</v>
      </c>
      <c r="BY11" s="2">
        <v>45</v>
      </c>
      <c r="BZ11" s="2">
        <v>23.3</v>
      </c>
      <c r="CA11" s="2">
        <v>3</v>
      </c>
      <c r="CB11" s="2">
        <v>6.4263692196160198E-7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20a</v>
      </c>
      <c r="J12" s="47">
        <f t="shared" ca="1" si="35"/>
        <v>7</v>
      </c>
      <c r="K12" s="19">
        <f t="shared" ca="1" si="36"/>
        <v>-20</v>
      </c>
      <c r="L12" s="116" t="str">
        <f t="shared" ca="1" si="1"/>
        <v>EW_sand_Ruled_70</v>
      </c>
      <c r="M12" s="105" t="str">
        <f t="shared" ca="1" si="2"/>
        <v>API sand</v>
      </c>
      <c r="N12" s="47">
        <f t="shared" ca="1" si="3"/>
        <v>10</v>
      </c>
      <c r="O12" s="63">
        <f t="shared" ca="1" si="4"/>
        <v>0</v>
      </c>
      <c r="P12" s="63">
        <f t="shared" ca="1" si="5"/>
        <v>0</v>
      </c>
      <c r="Q12" s="47">
        <f t="shared" ca="1" si="6"/>
        <v>28</v>
      </c>
      <c r="R12" s="47">
        <f t="shared" ca="1" si="7"/>
        <v>23</v>
      </c>
      <c r="S12" s="47">
        <f t="shared" ca="1" si="8"/>
        <v>1.2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35000</v>
      </c>
      <c r="Y12" s="47">
        <f t="shared" ca="1" si="14"/>
        <v>0</v>
      </c>
      <c r="Z12" s="47">
        <f t="shared" ca="1" si="15"/>
        <v>75.399999999999977</v>
      </c>
      <c r="AA12" s="47">
        <f t="shared" ca="1" si="16"/>
        <v>1</v>
      </c>
      <c r="AB12" s="47">
        <f t="shared" ca="1" si="17"/>
        <v>4040</v>
      </c>
      <c r="AC12" s="63">
        <f t="shared" ca="1" si="18"/>
        <v>131000</v>
      </c>
      <c r="AD12" s="63">
        <f t="shared" ca="1" si="19"/>
        <v>4615.3846153846152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16.800000000000004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70</v>
      </c>
      <c r="AS12" s="33">
        <f t="shared" ca="1" si="34"/>
        <v>0.2</v>
      </c>
      <c r="AW12" s="2">
        <v>9</v>
      </c>
      <c r="AX12" s="2" t="s">
        <v>291</v>
      </c>
      <c r="AY12" s="130">
        <v>35.4</v>
      </c>
      <c r="AZ12" s="2">
        <v>18.5</v>
      </c>
      <c r="BA12" s="2"/>
      <c r="BB12" s="2">
        <v>54</v>
      </c>
      <c r="BC12" s="2"/>
      <c r="BD12" s="2">
        <v>0.6</v>
      </c>
      <c r="BE12" s="2">
        <v>5.9</v>
      </c>
      <c r="BF12" s="2">
        <v>7</v>
      </c>
      <c r="BG12" s="2">
        <v>8.1999999999999993</v>
      </c>
      <c r="BH12" s="2">
        <v>13.2</v>
      </c>
      <c r="BI12" s="2"/>
      <c r="BJ12" s="2"/>
      <c r="BK12" s="2"/>
      <c r="BL12" s="2"/>
      <c r="BM12" s="2"/>
      <c r="BN12" s="2">
        <v>71</v>
      </c>
      <c r="BO12" s="2">
        <v>26</v>
      </c>
      <c r="BP12" s="2">
        <v>28</v>
      </c>
      <c r="BQ12" s="2">
        <v>30</v>
      </c>
      <c r="BR12" s="2">
        <v>33</v>
      </c>
      <c r="BS12" s="2">
        <v>37</v>
      </c>
      <c r="BT12" s="2">
        <v>9</v>
      </c>
      <c r="BU12" s="2">
        <v>57</v>
      </c>
      <c r="BV12" s="2">
        <v>80</v>
      </c>
      <c r="BW12" s="2">
        <v>102</v>
      </c>
      <c r="BX12" s="2">
        <v>157</v>
      </c>
      <c r="BY12" s="2">
        <v>20.399999999999999</v>
      </c>
      <c r="BZ12" s="2">
        <v>6.8</v>
      </c>
      <c r="CA12" s="2">
        <v>1.6</v>
      </c>
      <c r="CB12" s="2">
        <v>1.28080216553423E-9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21c</v>
      </c>
      <c r="J13" s="47">
        <f t="shared" ca="1" si="35"/>
        <v>8</v>
      </c>
      <c r="K13" s="19">
        <f t="shared" ca="1" si="36"/>
        <v>-26.5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9.3000000000000007</v>
      </c>
      <c r="O13" s="63">
        <f t="shared" ca="1" si="4"/>
        <v>382</v>
      </c>
      <c r="P13" s="63">
        <f t="shared" ca="1" si="5"/>
        <v>8.615384615384615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32700.000000000004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500000</v>
      </c>
      <c r="AD13" s="63">
        <f t="shared" ca="1" si="19"/>
        <v>14923.076923076924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11.6</v>
      </c>
      <c r="AX13" s="2" t="s">
        <v>291</v>
      </c>
      <c r="AY13" s="130">
        <v>35.4</v>
      </c>
      <c r="AZ13" s="2">
        <v>18.5</v>
      </c>
      <c r="BA13" s="2"/>
      <c r="BB13" s="2">
        <v>54</v>
      </c>
      <c r="BC13" s="2"/>
      <c r="BD13" s="2">
        <v>16.100000000000001</v>
      </c>
      <c r="BE13" s="2">
        <v>21.3</v>
      </c>
      <c r="BF13" s="2">
        <v>22.5</v>
      </c>
      <c r="BG13" s="2">
        <v>23.6</v>
      </c>
      <c r="BH13" s="2">
        <v>28.7</v>
      </c>
      <c r="BI13" s="2"/>
      <c r="BJ13" s="2"/>
      <c r="BK13" s="2"/>
      <c r="BL13" s="2"/>
      <c r="BM13" s="2"/>
      <c r="BN13" s="2">
        <v>71</v>
      </c>
      <c r="BO13" s="2">
        <v>26</v>
      </c>
      <c r="BP13" s="2">
        <v>28</v>
      </c>
      <c r="BQ13" s="2">
        <v>30</v>
      </c>
      <c r="BR13" s="2">
        <v>33</v>
      </c>
      <c r="BS13" s="2">
        <v>37</v>
      </c>
      <c r="BT13" s="2">
        <v>43</v>
      </c>
      <c r="BU13" s="2">
        <v>92</v>
      </c>
      <c r="BV13" s="2">
        <v>114</v>
      </c>
      <c r="BW13" s="2">
        <v>136</v>
      </c>
      <c r="BX13" s="2">
        <v>191</v>
      </c>
      <c r="BY13" s="2">
        <v>20.399999999999999</v>
      </c>
      <c r="BZ13" s="2">
        <v>6.8</v>
      </c>
      <c r="CA13" s="2">
        <v>1.6</v>
      </c>
      <c r="CB13" s="2">
        <v>1.28080216553423E-9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21e</v>
      </c>
      <c r="J14" s="47">
        <f t="shared" ca="1" si="35"/>
        <v>9</v>
      </c>
      <c r="K14" s="19">
        <f t="shared" ca="1" si="36"/>
        <v>-33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8.8999999999999986</v>
      </c>
      <c r="O14" s="63">
        <f t="shared" ca="1" si="4"/>
        <v>566</v>
      </c>
      <c r="P14" s="63">
        <f t="shared" ca="1" si="5"/>
        <v>-85.357142857142946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36400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756000</v>
      </c>
      <c r="AD14" s="63">
        <f t="shared" ca="1" si="19"/>
        <v>-115000.00000000012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11.6</v>
      </c>
      <c r="AX14" s="2" t="s">
        <v>278</v>
      </c>
      <c r="AY14" s="130">
        <v>25.2</v>
      </c>
      <c r="AZ14" s="2">
        <v>20</v>
      </c>
      <c r="BA14" s="2"/>
      <c r="BB14" s="2">
        <v>22</v>
      </c>
      <c r="BC14" s="2"/>
      <c r="BD14" s="2">
        <v>15</v>
      </c>
      <c r="BE14" s="2">
        <v>21.8</v>
      </c>
      <c r="BF14" s="2">
        <v>23.3</v>
      </c>
      <c r="BG14" s="2">
        <v>24.7</v>
      </c>
      <c r="BH14" s="2">
        <v>31.4</v>
      </c>
      <c r="BI14" s="2"/>
      <c r="BJ14" s="2"/>
      <c r="BK14" s="2"/>
      <c r="BL14" s="2"/>
      <c r="BM14" s="2"/>
      <c r="BN14" s="2">
        <v>81</v>
      </c>
      <c r="BO14" s="2">
        <v>26</v>
      </c>
      <c r="BP14" s="2">
        <v>29</v>
      </c>
      <c r="BQ14" s="2">
        <v>32</v>
      </c>
      <c r="BR14" s="2">
        <v>34</v>
      </c>
      <c r="BS14" s="2">
        <v>39</v>
      </c>
      <c r="BT14" s="2">
        <v>15</v>
      </c>
      <c r="BU14" s="2">
        <v>87</v>
      </c>
      <c r="BV14" s="2">
        <v>117</v>
      </c>
      <c r="BW14" s="2">
        <v>146</v>
      </c>
      <c r="BX14" s="2">
        <v>218</v>
      </c>
      <c r="BY14" s="2">
        <v>43.9</v>
      </c>
      <c r="BZ14" s="2">
        <v>9.4</v>
      </c>
      <c r="CA14" s="2">
        <v>1.9</v>
      </c>
      <c r="CB14" s="2">
        <v>1.1806287544928E-9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23d</v>
      </c>
      <c r="J15" s="47">
        <f t="shared" ca="1" si="35"/>
        <v>10</v>
      </c>
      <c r="K15" s="19">
        <f t="shared" ca="1" si="36"/>
        <v>-35.799999999999997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8.8999999999999986</v>
      </c>
      <c r="O15" s="63">
        <f t="shared" ca="1" si="4"/>
        <v>289</v>
      </c>
      <c r="P15" s="63">
        <f t="shared" ca="1" si="5"/>
        <v>26.190476190476172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2.2999999999999998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30600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420000</v>
      </c>
      <c r="AD15" s="63">
        <f t="shared" ca="1" si="19"/>
        <v>38333.333333333307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15</v>
      </c>
      <c r="AX15" s="2" t="s">
        <v>278</v>
      </c>
      <c r="AY15" s="130">
        <v>25.2</v>
      </c>
      <c r="AZ15" s="2">
        <v>20</v>
      </c>
      <c r="BA15" s="2"/>
      <c r="BB15" s="2">
        <v>22</v>
      </c>
      <c r="BC15" s="2"/>
      <c r="BD15" s="2">
        <v>20.2</v>
      </c>
      <c r="BE15" s="2">
        <v>27</v>
      </c>
      <c r="BF15" s="2">
        <v>28.4</v>
      </c>
      <c r="BG15" s="2">
        <v>29.8</v>
      </c>
      <c r="BH15" s="2">
        <v>36.5</v>
      </c>
      <c r="BI15" s="2"/>
      <c r="BJ15" s="2"/>
      <c r="BK15" s="2"/>
      <c r="BL15" s="2"/>
      <c r="BM15" s="2"/>
      <c r="BN15" s="2">
        <v>81</v>
      </c>
      <c r="BO15" s="2">
        <v>26</v>
      </c>
      <c r="BP15" s="2">
        <v>29</v>
      </c>
      <c r="BQ15" s="2">
        <v>32</v>
      </c>
      <c r="BR15" s="2">
        <v>34</v>
      </c>
      <c r="BS15" s="2">
        <v>39</v>
      </c>
      <c r="BT15" s="2">
        <v>30</v>
      </c>
      <c r="BU15" s="2">
        <v>103</v>
      </c>
      <c r="BV15" s="2">
        <v>132</v>
      </c>
      <c r="BW15" s="2">
        <v>161</v>
      </c>
      <c r="BX15" s="2">
        <v>233</v>
      </c>
      <c r="BY15" s="2">
        <v>43.9</v>
      </c>
      <c r="BZ15" s="2">
        <v>9.4</v>
      </c>
      <c r="CA15" s="2">
        <v>1.9</v>
      </c>
      <c r="CB15" s="2">
        <v>1.1806287544928E-9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23d</v>
      </c>
      <c r="J16" s="47">
        <f t="shared" ca="1" si="35"/>
        <v>11</v>
      </c>
      <c r="K16" s="19">
        <f t="shared" ca="1" si="36"/>
        <v>-40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8.8999999999999986</v>
      </c>
      <c r="O16" s="63">
        <f t="shared" ca="1" si="4"/>
        <v>371</v>
      </c>
      <c r="P16" s="63">
        <f t="shared" ca="1" si="5"/>
        <v>3.9393939393939394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2.4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38500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541000</v>
      </c>
      <c r="AD16" s="63">
        <f t="shared" ca="1" si="19"/>
        <v>6545.454545454546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15</v>
      </c>
      <c r="AX16" s="2" t="s">
        <v>278</v>
      </c>
      <c r="AY16" s="130">
        <v>25.2</v>
      </c>
      <c r="AZ16" s="2">
        <v>20</v>
      </c>
      <c r="BA16" s="2"/>
      <c r="BB16" s="2">
        <v>22</v>
      </c>
      <c r="BC16" s="2"/>
      <c r="BD16" s="2">
        <v>11.6</v>
      </c>
      <c r="BE16" s="2">
        <v>16.100000000000001</v>
      </c>
      <c r="BF16" s="2">
        <v>16.899999999999999</v>
      </c>
      <c r="BG16" s="2">
        <v>17.8</v>
      </c>
      <c r="BH16" s="2">
        <v>23.8</v>
      </c>
      <c r="BI16" s="2"/>
      <c r="BJ16" s="2"/>
      <c r="BK16" s="2"/>
      <c r="BL16" s="2"/>
      <c r="BM16" s="2"/>
      <c r="BN16" s="2">
        <v>69</v>
      </c>
      <c r="BO16" s="2">
        <v>26</v>
      </c>
      <c r="BP16" s="2">
        <v>28</v>
      </c>
      <c r="BQ16" s="2">
        <v>30</v>
      </c>
      <c r="BR16" s="2">
        <v>33</v>
      </c>
      <c r="BS16" s="2">
        <v>37</v>
      </c>
      <c r="BT16" s="2">
        <v>16</v>
      </c>
      <c r="BU16" s="2">
        <v>89</v>
      </c>
      <c r="BV16" s="2">
        <v>118</v>
      </c>
      <c r="BW16" s="2">
        <v>148</v>
      </c>
      <c r="BX16" s="2">
        <v>221</v>
      </c>
      <c r="BY16" s="2">
        <v>26.9</v>
      </c>
      <c r="BZ16" s="2">
        <v>4.8</v>
      </c>
      <c r="CA16" s="2">
        <v>1.3</v>
      </c>
      <c r="CB16" s="2">
        <v>6.5092284714604805E-10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23i</v>
      </c>
      <c r="J17" s="47">
        <f t="shared" ca="1" si="35"/>
        <v>12</v>
      </c>
      <c r="K17" s="19">
        <f t="shared" ca="1" si="36"/>
        <v>-73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8.3000000000000007</v>
      </c>
      <c r="O17" s="63">
        <f t="shared" ca="1" si="4"/>
        <v>582</v>
      </c>
      <c r="P17" s="63">
        <f t="shared" ca="1" si="5"/>
        <v>5.1428571428571432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1.9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51700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898000</v>
      </c>
      <c r="AD17" s="63">
        <f t="shared" ca="1" si="19"/>
        <v>9428.5714285714294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20</v>
      </c>
      <c r="AX17" s="2" t="s">
        <v>278</v>
      </c>
      <c r="AY17" s="130">
        <v>25.2</v>
      </c>
      <c r="AZ17" s="2">
        <v>20</v>
      </c>
      <c r="BA17" s="2"/>
      <c r="BB17" s="2">
        <v>22</v>
      </c>
      <c r="BC17" s="2"/>
      <c r="BD17" s="2">
        <v>12.6</v>
      </c>
      <c r="BE17" s="2">
        <v>17.100000000000001</v>
      </c>
      <c r="BF17" s="2">
        <v>17.899999999999999</v>
      </c>
      <c r="BG17" s="2">
        <v>18.8</v>
      </c>
      <c r="BH17" s="2">
        <v>24.8</v>
      </c>
      <c r="BI17" s="2"/>
      <c r="BJ17" s="2"/>
      <c r="BK17" s="2"/>
      <c r="BL17" s="2"/>
      <c r="BM17" s="2"/>
      <c r="BN17" s="2">
        <v>69</v>
      </c>
      <c r="BO17" s="2">
        <v>26</v>
      </c>
      <c r="BP17" s="2">
        <v>28</v>
      </c>
      <c r="BQ17" s="2">
        <v>30</v>
      </c>
      <c r="BR17" s="2">
        <v>33</v>
      </c>
      <c r="BS17" s="2">
        <v>37</v>
      </c>
      <c r="BT17" s="2">
        <v>30</v>
      </c>
      <c r="BU17" s="2">
        <v>103</v>
      </c>
      <c r="BV17" s="2">
        <v>132</v>
      </c>
      <c r="BW17" s="2">
        <v>162</v>
      </c>
      <c r="BX17" s="2">
        <v>235</v>
      </c>
      <c r="BY17" s="2">
        <v>26.9</v>
      </c>
      <c r="BZ17" s="2">
        <v>4.8</v>
      </c>
      <c r="CA17" s="2">
        <v>1.3</v>
      </c>
      <c r="CB17" s="2">
        <v>6.5092284714604805E-10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20</v>
      </c>
      <c r="AX18" s="2" t="s">
        <v>278</v>
      </c>
      <c r="AY18" s="130">
        <v>25.2</v>
      </c>
      <c r="AZ18" s="2">
        <v>20</v>
      </c>
      <c r="BA18" s="2"/>
      <c r="BB18" s="2">
        <v>22</v>
      </c>
      <c r="BC18" s="2"/>
      <c r="BD18" s="2">
        <v>5.5</v>
      </c>
      <c r="BE18" s="2">
        <v>15</v>
      </c>
      <c r="BF18" s="2">
        <v>16.3</v>
      </c>
      <c r="BG18" s="2">
        <v>17.7</v>
      </c>
      <c r="BH18" s="2">
        <v>28</v>
      </c>
      <c r="BI18" s="2"/>
      <c r="BJ18" s="2"/>
      <c r="BK18" s="2"/>
      <c r="BL18" s="2"/>
      <c r="BM18" s="2"/>
      <c r="BN18" s="2">
        <v>70</v>
      </c>
      <c r="BO18" s="2">
        <v>26</v>
      </c>
      <c r="BP18" s="2">
        <v>28</v>
      </c>
      <c r="BQ18" s="2">
        <v>30</v>
      </c>
      <c r="BR18" s="2">
        <v>33</v>
      </c>
      <c r="BS18" s="2">
        <v>37</v>
      </c>
      <c r="BT18" s="2">
        <v>20</v>
      </c>
      <c r="BU18" s="2">
        <v>97</v>
      </c>
      <c r="BV18" s="2">
        <v>131</v>
      </c>
      <c r="BW18" s="2">
        <v>165</v>
      </c>
      <c r="BX18" s="2">
        <v>252</v>
      </c>
      <c r="BY18" s="2">
        <v>35</v>
      </c>
      <c r="BZ18" s="2">
        <v>4</v>
      </c>
      <c r="CA18" s="2">
        <v>1.2</v>
      </c>
      <c r="CB18" s="2">
        <v>5.4943943078726301E-10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26.5</v>
      </c>
      <c r="AX19" s="2" t="s">
        <v>278</v>
      </c>
      <c r="AY19" s="130">
        <v>25.2</v>
      </c>
      <c r="AZ19" s="2">
        <v>20</v>
      </c>
      <c r="BA19" s="2"/>
      <c r="BB19" s="2">
        <v>22</v>
      </c>
      <c r="BC19" s="2"/>
      <c r="BD19" s="2">
        <v>14.1</v>
      </c>
      <c r="BE19" s="2">
        <v>23.6</v>
      </c>
      <c r="BF19" s="2">
        <v>24.9</v>
      </c>
      <c r="BG19" s="2">
        <v>26.3</v>
      </c>
      <c r="BH19" s="2">
        <v>36.6</v>
      </c>
      <c r="BI19" s="2"/>
      <c r="BJ19" s="2"/>
      <c r="BK19" s="2"/>
      <c r="BL19" s="2"/>
      <c r="BM19" s="2"/>
      <c r="BN19" s="2">
        <v>70</v>
      </c>
      <c r="BO19" s="2">
        <v>26</v>
      </c>
      <c r="BP19" s="2">
        <v>28</v>
      </c>
      <c r="BQ19" s="2">
        <v>30</v>
      </c>
      <c r="BR19" s="2">
        <v>33</v>
      </c>
      <c r="BS19" s="2">
        <v>37</v>
      </c>
      <c r="BT19" s="2">
        <v>50</v>
      </c>
      <c r="BU19" s="2">
        <v>127</v>
      </c>
      <c r="BV19" s="2">
        <v>161</v>
      </c>
      <c r="BW19" s="2">
        <v>195</v>
      </c>
      <c r="BX19" s="2">
        <v>282</v>
      </c>
      <c r="BY19" s="2">
        <v>35</v>
      </c>
      <c r="BZ19" s="2">
        <v>4</v>
      </c>
      <c r="CA19" s="2">
        <v>1.2</v>
      </c>
      <c r="CB19" s="2">
        <v>5.4943943078726301E-10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26.5</v>
      </c>
      <c r="AX20" s="2" t="s">
        <v>216</v>
      </c>
      <c r="AY20" s="130">
        <v>31.7</v>
      </c>
      <c r="AZ20" s="2">
        <v>19.3</v>
      </c>
      <c r="BA20" s="2">
        <v>20</v>
      </c>
      <c r="BB20" s="2">
        <v>45</v>
      </c>
      <c r="BC20" s="2">
        <v>4</v>
      </c>
      <c r="BD20" s="2">
        <v>6</v>
      </c>
      <c r="BE20" s="2">
        <v>8.1</v>
      </c>
      <c r="BF20" s="2">
        <v>8.4</v>
      </c>
      <c r="BG20" s="2">
        <v>8.8000000000000007</v>
      </c>
      <c r="BH20" s="2">
        <v>11.6</v>
      </c>
      <c r="BI20" s="2">
        <v>224</v>
      </c>
      <c r="BJ20" s="2">
        <v>382</v>
      </c>
      <c r="BK20" s="2">
        <v>437</v>
      </c>
      <c r="BL20" s="2">
        <v>494</v>
      </c>
      <c r="BM20" s="2">
        <v>680</v>
      </c>
      <c r="BN20" s="2"/>
      <c r="BO20" s="2"/>
      <c r="BP20" s="2"/>
      <c r="BQ20" s="2"/>
      <c r="BR20" s="2"/>
      <c r="BS20" s="2"/>
      <c r="BT20" s="2">
        <v>175</v>
      </c>
      <c r="BU20" s="2">
        <v>407</v>
      </c>
      <c r="BV20" s="2">
        <v>500</v>
      </c>
      <c r="BW20" s="2">
        <v>594</v>
      </c>
      <c r="BX20" s="2">
        <v>865</v>
      </c>
      <c r="BY20" s="2">
        <v>32.700000000000003</v>
      </c>
      <c r="BZ20" s="2">
        <v>8.5</v>
      </c>
      <c r="CA20" s="2">
        <v>3</v>
      </c>
      <c r="CB20" s="2">
        <v>4.2767197517703298E-10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33</v>
      </c>
      <c r="AX21" s="2" t="s">
        <v>216</v>
      </c>
      <c r="AY21" s="130">
        <v>31.7</v>
      </c>
      <c r="AZ21" s="2">
        <v>19.3</v>
      </c>
      <c r="BA21" s="2">
        <v>20</v>
      </c>
      <c r="BB21" s="2">
        <v>45</v>
      </c>
      <c r="BC21" s="2">
        <v>4</v>
      </c>
      <c r="BD21" s="2">
        <v>7.1</v>
      </c>
      <c r="BE21" s="2">
        <v>9.1999999999999993</v>
      </c>
      <c r="BF21" s="2">
        <v>9.5</v>
      </c>
      <c r="BG21" s="2">
        <v>9.9</v>
      </c>
      <c r="BH21" s="2">
        <v>12.7</v>
      </c>
      <c r="BI21" s="2">
        <v>280</v>
      </c>
      <c r="BJ21" s="2">
        <v>438</v>
      </c>
      <c r="BK21" s="2">
        <v>494</v>
      </c>
      <c r="BL21" s="2">
        <v>551</v>
      </c>
      <c r="BM21" s="2">
        <v>737</v>
      </c>
      <c r="BN21" s="2"/>
      <c r="BO21" s="2"/>
      <c r="BP21" s="2"/>
      <c r="BQ21" s="2"/>
      <c r="BR21" s="2"/>
      <c r="BS21" s="2"/>
      <c r="BT21" s="2">
        <v>272</v>
      </c>
      <c r="BU21" s="2">
        <v>504</v>
      </c>
      <c r="BV21" s="2">
        <v>597</v>
      </c>
      <c r="BW21" s="2">
        <v>691</v>
      </c>
      <c r="BX21" s="2">
        <v>962</v>
      </c>
      <c r="BY21" s="2">
        <v>32.700000000000003</v>
      </c>
      <c r="BZ21" s="2">
        <v>8.5</v>
      </c>
      <c r="CA21" s="2">
        <v>3</v>
      </c>
      <c r="CB21" s="2">
        <v>4.2767197517703298E-10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33</v>
      </c>
      <c r="AX22" s="2" t="s">
        <v>311</v>
      </c>
      <c r="AY22" s="130">
        <v>32.5</v>
      </c>
      <c r="AZ22" s="2">
        <v>18.899999999999999</v>
      </c>
      <c r="BA22" s="2"/>
      <c r="BB22" s="2">
        <v>30</v>
      </c>
      <c r="BC22" s="2">
        <v>5</v>
      </c>
      <c r="BD22" s="2">
        <v>9.5</v>
      </c>
      <c r="BE22" s="2">
        <v>11.4</v>
      </c>
      <c r="BF22" s="2">
        <v>11.9</v>
      </c>
      <c r="BG22" s="2">
        <v>12.5</v>
      </c>
      <c r="BH22" s="2">
        <v>15.5</v>
      </c>
      <c r="BI22" s="2">
        <v>413</v>
      </c>
      <c r="BJ22" s="2">
        <v>566</v>
      </c>
      <c r="BK22" s="2">
        <v>623</v>
      </c>
      <c r="BL22" s="2">
        <v>685</v>
      </c>
      <c r="BM22" s="2">
        <v>882</v>
      </c>
      <c r="BN22" s="2"/>
      <c r="BO22" s="2"/>
      <c r="BP22" s="2"/>
      <c r="BQ22" s="2"/>
      <c r="BR22" s="2"/>
      <c r="BS22" s="2"/>
      <c r="BT22" s="2">
        <v>438</v>
      </c>
      <c r="BU22" s="2">
        <v>663</v>
      </c>
      <c r="BV22" s="2">
        <v>756</v>
      </c>
      <c r="BW22" s="2">
        <v>855</v>
      </c>
      <c r="BX22" s="2">
        <v>1138</v>
      </c>
      <c r="BY22" s="2">
        <v>36.4</v>
      </c>
      <c r="BZ22" s="2">
        <v>8.1999999999999993</v>
      </c>
      <c r="CA22" s="2">
        <v>3</v>
      </c>
      <c r="CB22" s="2">
        <v>3.5367688202255702E-10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35.799999999999997</v>
      </c>
      <c r="AX23" s="2" t="s">
        <v>311</v>
      </c>
      <c r="AY23" s="130">
        <v>32.5</v>
      </c>
      <c r="AZ23" s="2">
        <v>18.899999999999999</v>
      </c>
      <c r="BA23" s="2"/>
      <c r="BB23" s="2">
        <v>30</v>
      </c>
      <c r="BC23" s="2">
        <v>5</v>
      </c>
      <c r="BD23" s="2">
        <v>5.2</v>
      </c>
      <c r="BE23" s="2">
        <v>7.2</v>
      </c>
      <c r="BF23" s="2">
        <v>7.6</v>
      </c>
      <c r="BG23" s="2">
        <v>8.1999999999999993</v>
      </c>
      <c r="BH23" s="2">
        <v>11.2</v>
      </c>
      <c r="BI23" s="2">
        <v>174</v>
      </c>
      <c r="BJ23" s="2">
        <v>327</v>
      </c>
      <c r="BK23" s="2">
        <v>383</v>
      </c>
      <c r="BL23" s="2">
        <v>446</v>
      </c>
      <c r="BM23" s="2">
        <v>643</v>
      </c>
      <c r="BN23" s="2"/>
      <c r="BO23" s="2"/>
      <c r="BP23" s="2"/>
      <c r="BQ23" s="2"/>
      <c r="BR23" s="2"/>
      <c r="BS23" s="2"/>
      <c r="BT23" s="2">
        <v>116</v>
      </c>
      <c r="BU23" s="2">
        <v>341</v>
      </c>
      <c r="BV23" s="2">
        <v>434</v>
      </c>
      <c r="BW23" s="2">
        <v>533</v>
      </c>
      <c r="BX23" s="2">
        <v>816</v>
      </c>
      <c r="BY23" s="2">
        <v>36.4</v>
      </c>
      <c r="BZ23" s="2">
        <v>8.1999999999999993</v>
      </c>
      <c r="CA23" s="2">
        <v>3</v>
      </c>
      <c r="CB23" s="2">
        <v>3.5367688202255702E-10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35.799999999999997</v>
      </c>
      <c r="AX24" s="2" t="s">
        <v>273</v>
      </c>
      <c r="AY24" s="130">
        <v>32</v>
      </c>
      <c r="AZ24" s="2">
        <v>18.899999999999999</v>
      </c>
      <c r="BA24" s="2">
        <v>47</v>
      </c>
      <c r="BB24" s="2">
        <v>85</v>
      </c>
      <c r="BC24" s="2">
        <v>3</v>
      </c>
      <c r="BD24" s="2">
        <v>6.9</v>
      </c>
      <c r="BE24" s="2">
        <v>7.3</v>
      </c>
      <c r="BF24" s="2">
        <v>7.4</v>
      </c>
      <c r="BG24" s="2">
        <v>7.5</v>
      </c>
      <c r="BH24" s="2">
        <v>7.9</v>
      </c>
      <c r="BI24" s="2">
        <v>200</v>
      </c>
      <c r="BJ24" s="2">
        <v>289</v>
      </c>
      <c r="BK24" s="2">
        <v>333</v>
      </c>
      <c r="BL24" s="2">
        <v>377</v>
      </c>
      <c r="BM24" s="2">
        <v>466</v>
      </c>
      <c r="BN24" s="2"/>
      <c r="BO24" s="2"/>
      <c r="BP24" s="2"/>
      <c r="BQ24" s="2"/>
      <c r="BR24" s="2"/>
      <c r="BS24" s="2"/>
      <c r="BT24" s="2">
        <v>155</v>
      </c>
      <c r="BU24" s="2">
        <v>332</v>
      </c>
      <c r="BV24" s="2">
        <v>420</v>
      </c>
      <c r="BW24" s="2">
        <v>508</v>
      </c>
      <c r="BX24" s="2">
        <v>684</v>
      </c>
      <c r="BY24" s="2">
        <v>30.6</v>
      </c>
      <c r="BZ24" s="2">
        <v>6.3</v>
      </c>
      <c r="CA24" s="2">
        <v>2.2999999999999998</v>
      </c>
      <c r="CB24" s="2">
        <v>8.0491835713702004E-10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40</v>
      </c>
      <c r="AX25" s="2" t="s">
        <v>273</v>
      </c>
      <c r="AY25" s="130">
        <v>32</v>
      </c>
      <c r="AZ25" s="2">
        <v>18.899999999999999</v>
      </c>
      <c r="BA25" s="2">
        <v>47</v>
      </c>
      <c r="BB25" s="2">
        <v>85</v>
      </c>
      <c r="BC25" s="2">
        <v>3</v>
      </c>
      <c r="BD25" s="2">
        <v>9.1</v>
      </c>
      <c r="BE25" s="2">
        <v>9.5</v>
      </c>
      <c r="BF25" s="2">
        <v>9.6</v>
      </c>
      <c r="BG25" s="2">
        <v>9.8000000000000007</v>
      </c>
      <c r="BH25" s="2">
        <v>10.199999999999999</v>
      </c>
      <c r="BI25" s="2">
        <v>310</v>
      </c>
      <c r="BJ25" s="2">
        <v>399</v>
      </c>
      <c r="BK25" s="2">
        <v>443</v>
      </c>
      <c r="BL25" s="2">
        <v>487</v>
      </c>
      <c r="BM25" s="2">
        <v>576</v>
      </c>
      <c r="BN25" s="2"/>
      <c r="BO25" s="2"/>
      <c r="BP25" s="2"/>
      <c r="BQ25" s="2"/>
      <c r="BR25" s="2"/>
      <c r="BS25" s="2"/>
      <c r="BT25" s="2">
        <v>317</v>
      </c>
      <c r="BU25" s="2">
        <v>493</v>
      </c>
      <c r="BV25" s="2">
        <v>581</v>
      </c>
      <c r="BW25" s="2">
        <v>669</v>
      </c>
      <c r="BX25" s="2">
        <v>846</v>
      </c>
      <c r="BY25" s="2">
        <v>30.6</v>
      </c>
      <c r="BZ25" s="2">
        <v>6.3</v>
      </c>
      <c r="CA25" s="2">
        <v>2.2999999999999998</v>
      </c>
      <c r="CB25" s="2">
        <v>8.0491835713702004E-10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40</v>
      </c>
      <c r="AX26" s="2" t="s">
        <v>273</v>
      </c>
      <c r="AY26" s="130">
        <v>32</v>
      </c>
      <c r="AZ26" s="2">
        <v>18.899999999999999</v>
      </c>
      <c r="BA26" s="2">
        <v>47</v>
      </c>
      <c r="BB26" s="2">
        <v>85</v>
      </c>
      <c r="BC26" s="2">
        <v>3</v>
      </c>
      <c r="BD26" s="2">
        <v>8.5</v>
      </c>
      <c r="BE26" s="2">
        <v>9</v>
      </c>
      <c r="BF26" s="2">
        <v>9.1</v>
      </c>
      <c r="BG26" s="2">
        <v>9.1999999999999993</v>
      </c>
      <c r="BH26" s="2">
        <f>30+9.8</f>
        <v>39.799999999999997</v>
      </c>
      <c r="BI26" s="2">
        <v>282</v>
      </c>
      <c r="BJ26" s="2">
        <v>371</v>
      </c>
      <c r="BK26" s="2">
        <v>414</v>
      </c>
      <c r="BL26" s="2">
        <v>458</v>
      </c>
      <c r="BM26" s="2">
        <v>548</v>
      </c>
      <c r="BN26" s="2"/>
      <c r="BO26" s="2"/>
      <c r="BP26" s="2"/>
      <c r="BQ26" s="2"/>
      <c r="BR26" s="2"/>
      <c r="BS26" s="2"/>
      <c r="BT26" s="2">
        <v>279</v>
      </c>
      <c r="BU26" s="2">
        <v>454</v>
      </c>
      <c r="BV26" s="2">
        <v>541</v>
      </c>
      <c r="BW26" s="2">
        <v>628</v>
      </c>
      <c r="BX26" s="2">
        <v>805</v>
      </c>
      <c r="BY26" s="2">
        <v>38.5</v>
      </c>
      <c r="BZ26" s="2">
        <v>6.8</v>
      </c>
      <c r="CA26" s="2">
        <v>2.4</v>
      </c>
      <c r="CB26" s="2">
        <v>1.0495618154267E-9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73</v>
      </c>
      <c r="AX27" s="2" t="s">
        <v>273</v>
      </c>
      <c r="AY27" s="130">
        <v>32</v>
      </c>
      <c r="AZ27" s="2">
        <v>18.899999999999999</v>
      </c>
      <c r="BA27" s="2">
        <v>47</v>
      </c>
      <c r="BB27" s="2">
        <v>85</v>
      </c>
      <c r="BC27" s="2">
        <v>3</v>
      </c>
      <c r="BD27" s="2">
        <v>11.3</v>
      </c>
      <c r="BE27" s="2">
        <v>11.8</v>
      </c>
      <c r="BF27" s="2">
        <v>11.9</v>
      </c>
      <c r="BG27" s="2">
        <v>12</v>
      </c>
      <c r="BH27" s="2">
        <f>30+12.6</f>
        <v>42.6</v>
      </c>
      <c r="BI27" s="2">
        <v>413</v>
      </c>
      <c r="BJ27" s="2">
        <v>501</v>
      </c>
      <c r="BK27" s="2">
        <v>545</v>
      </c>
      <c r="BL27" s="2">
        <v>589</v>
      </c>
      <c r="BM27" s="2">
        <v>679</v>
      </c>
      <c r="BN27" s="2"/>
      <c r="BO27" s="2"/>
      <c r="BP27" s="2"/>
      <c r="BQ27" s="2"/>
      <c r="BR27" s="2"/>
      <c r="BS27" s="2"/>
      <c r="BT27" s="2">
        <v>495</v>
      </c>
      <c r="BU27" s="2">
        <v>670</v>
      </c>
      <c r="BV27" s="2">
        <v>757</v>
      </c>
      <c r="BW27" s="2">
        <v>844</v>
      </c>
      <c r="BX27" s="2">
        <v>1021</v>
      </c>
      <c r="BY27" s="2">
        <v>38.5</v>
      </c>
      <c r="BZ27" s="2">
        <v>6.8</v>
      </c>
      <c r="CA27" s="2">
        <v>2.4</v>
      </c>
      <c r="CB27" s="2">
        <v>1.0495618154267E-9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73</v>
      </c>
      <c r="AX28" s="2" t="s">
        <v>218</v>
      </c>
      <c r="AY28" s="130">
        <v>37</v>
      </c>
      <c r="AZ28" s="2">
        <v>18.3</v>
      </c>
      <c r="BA28" s="2">
        <v>59</v>
      </c>
      <c r="BB28" s="2">
        <v>77</v>
      </c>
      <c r="BC28" s="2">
        <v>3</v>
      </c>
      <c r="BD28" s="2">
        <v>2.7</v>
      </c>
      <c r="BE28" s="2">
        <v>11.4</v>
      </c>
      <c r="BF28" s="2">
        <v>13.9</v>
      </c>
      <c r="BG28" s="2">
        <v>29.8</v>
      </c>
      <c r="BH28" s="2">
        <v>79</v>
      </c>
      <c r="BI28" s="2">
        <v>496</v>
      </c>
      <c r="BJ28" s="2">
        <v>582</v>
      </c>
      <c r="BK28" s="2">
        <v>625</v>
      </c>
      <c r="BL28" s="2">
        <v>669</v>
      </c>
      <c r="BM28" s="2">
        <v>755</v>
      </c>
      <c r="BN28" s="2"/>
      <c r="BO28" s="2"/>
      <c r="BP28" s="2"/>
      <c r="BQ28" s="2"/>
      <c r="BR28" s="2"/>
      <c r="BS28" s="2"/>
      <c r="BT28" s="2">
        <v>639</v>
      </c>
      <c r="BU28" s="2">
        <v>811</v>
      </c>
      <c r="BV28" s="2">
        <v>898</v>
      </c>
      <c r="BW28" s="2">
        <v>984</v>
      </c>
      <c r="BX28" s="2">
        <v>1156</v>
      </c>
      <c r="BY28" s="2">
        <v>51.7</v>
      </c>
      <c r="BZ28" s="2">
        <v>5.5</v>
      </c>
      <c r="CA28" s="2">
        <v>1.9</v>
      </c>
      <c r="CB28" s="2">
        <v>4.1500785298328399E-12</v>
      </c>
      <c r="CC28" s="2">
        <v>1.8</v>
      </c>
    </row>
    <row r="29" spans="1:81" x14ac:dyDescent="0.25">
      <c r="A29" s="66"/>
      <c r="B29" s="66"/>
      <c r="C29" s="67"/>
      <c r="D29" s="35"/>
      <c r="AW29" s="2">
        <v>80</v>
      </c>
      <c r="AX29" s="2" t="s">
        <v>218</v>
      </c>
      <c r="AY29" s="130">
        <v>37</v>
      </c>
      <c r="AZ29" s="2">
        <v>18.3</v>
      </c>
      <c r="BA29" s="2">
        <v>59</v>
      </c>
      <c r="BB29" s="2">
        <v>77</v>
      </c>
      <c r="BC29" s="2">
        <v>3</v>
      </c>
      <c r="BD29" s="2">
        <v>3.5</v>
      </c>
      <c r="BE29" s="2">
        <v>12.2</v>
      </c>
      <c r="BF29" s="2">
        <v>14.7</v>
      </c>
      <c r="BG29" s="2">
        <v>30.6</v>
      </c>
      <c r="BH29" s="2">
        <v>79.8</v>
      </c>
      <c r="BI29" s="2">
        <v>532</v>
      </c>
      <c r="BJ29" s="2">
        <v>618</v>
      </c>
      <c r="BK29" s="2">
        <v>661</v>
      </c>
      <c r="BL29" s="2">
        <v>705</v>
      </c>
      <c r="BM29" s="2">
        <v>791</v>
      </c>
      <c r="BN29" s="2"/>
      <c r="BO29" s="2"/>
      <c r="BP29" s="2"/>
      <c r="BQ29" s="2"/>
      <c r="BR29" s="2"/>
      <c r="BS29" s="2"/>
      <c r="BT29" s="2">
        <v>706</v>
      </c>
      <c r="BU29" s="2">
        <v>878</v>
      </c>
      <c r="BV29" s="2">
        <v>964</v>
      </c>
      <c r="BW29" s="2">
        <v>1051</v>
      </c>
      <c r="BX29" s="2">
        <v>1223</v>
      </c>
      <c r="BY29" s="2">
        <v>51.7</v>
      </c>
      <c r="BZ29" s="2">
        <v>5.5</v>
      </c>
      <c r="CA29" s="2">
        <v>1.9</v>
      </c>
      <c r="CB29" s="2">
        <v>4.1500785298328399E-12</v>
      </c>
      <c r="CC29" s="2">
        <v>1.8</v>
      </c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375" priority="12">
      <formula>$L32="API sand"</formula>
    </cfRule>
  </conditionalFormatting>
  <conditionalFormatting sqref="R32:S36 AB32:AB35 AJ32:AL36 Z32:Z36 N32:N36">
    <cfRule type="expression" dxfId="2374" priority="11">
      <formula>$M32="API sand"</formula>
    </cfRule>
  </conditionalFormatting>
  <conditionalFormatting sqref="R32:T36 Z32:AB35 AK32:AL36 N32:N36">
    <cfRule type="expression" dxfId="2373" priority="10">
      <formula>$M32="API clay"</formula>
    </cfRule>
  </conditionalFormatting>
  <conditionalFormatting sqref="U32:W36 AM32:AP36 N32:P36">
    <cfRule type="expression" dxfId="2372" priority="7">
      <formula>$L32="Stiff clay w/o free water"</formula>
    </cfRule>
    <cfRule type="expression" dxfId="2371" priority="9">
      <formula>$L32="API clay"</formula>
    </cfRule>
  </conditionalFormatting>
  <conditionalFormatting sqref="U32:Y36 AM32:AP36 N32:P36">
    <cfRule type="expression" dxfId="2370" priority="8">
      <formula>$L32="Kirsch soft clay"</formula>
    </cfRule>
  </conditionalFormatting>
  <conditionalFormatting sqref="U32:Y36 AM32:AP36 N32:P36">
    <cfRule type="expression" dxfId="2369" priority="6">
      <formula>$L32="Kirsch stiff clay"</formula>
    </cfRule>
  </conditionalFormatting>
  <conditionalFormatting sqref="AM32:AP36 Q32:Q36 X32:Y36 N32:N36">
    <cfRule type="expression" dxfId="2368" priority="5">
      <formula>$L32="Kirsch sand"</formula>
    </cfRule>
  </conditionalFormatting>
  <conditionalFormatting sqref="AC32:AD36 AI32:AI36 AM32:AP36 N32:N36">
    <cfRule type="expression" dxfId="2367" priority="4">
      <formula>$L32="Modified Weak rock"</formula>
    </cfRule>
  </conditionalFormatting>
  <conditionalFormatting sqref="AM32:AP36 N32:P36 U32:V36">
    <cfRule type="expression" dxfId="2366" priority="3">
      <formula>$L32="Reese stiff clay"</formula>
    </cfRule>
  </conditionalFormatting>
  <conditionalFormatting sqref="AB36">
    <cfRule type="expression" dxfId="2365" priority="2">
      <formula>$M36="API sand"</formula>
    </cfRule>
  </conditionalFormatting>
  <conditionalFormatting sqref="Z36:AB36">
    <cfRule type="expression" dxfId="2364" priority="1">
      <formula>$M36="API clay"</formula>
    </cfRule>
  </conditionalFormatting>
  <conditionalFormatting sqref="AE37:AH37">
    <cfRule type="expression" dxfId="2363" priority="13">
      <formula>#REF!="Modified Weak rock"</formula>
    </cfRule>
  </conditionalFormatting>
  <dataValidations count="4">
    <dataValidation type="textLength" showInputMessage="1" showErrorMessage="1" sqref="M27:M31" xr:uid="{C6186961-3F1E-4D03-BB88-F2B6FCE4420C}">
      <formula1>0</formula1>
      <formula2>100</formula2>
    </dataValidation>
    <dataValidation showInputMessage="1" showErrorMessage="1" sqref="L6:M26" xr:uid="{83707583-25CB-4B63-8A3F-B94213D3B6D2}"/>
    <dataValidation type="list" showInputMessage="1" showErrorMessage="1" sqref="L32:L255" xr:uid="{A143C92F-8A64-4D2B-A51B-D9E233461E8C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4EDCB5B6-5BCF-4D51-A461-8A2248B3D612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ABBD4-19C6-4362-803D-4DE22927DFDC}">
  <sheetPr>
    <tabColor rgb="FF7030A0"/>
  </sheetPr>
  <dimension ref="A1:CC255"/>
  <sheetViews>
    <sheetView topLeftCell="J1"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Ak_Pisa_WTG42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EW_sand_Ruled_86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38</v>
      </c>
      <c r="R6" s="47">
        <f t="shared" ref="R6:R26" ca="1" si="7">IF(I6="","",IF(Q6&lt;&gt;0,Q6-5,NA()))</f>
        <v>33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11200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107.39999999999996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11040</v>
      </c>
      <c r="AC6" s="63">
        <f t="shared" ref="AC6:AC26" ca="1" si="18">IF(I6="","",IF(OFFSET($BV$6,(ROW()-6)*2,0)=0,0,OFFSET($BV$6,(ROW()-6)*2,0)*1000))</f>
        <v>10000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20000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46.000000000000007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86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0.9</v>
      </c>
      <c r="BF6" s="2">
        <v>1.4</v>
      </c>
      <c r="BG6" s="2">
        <v>1.8</v>
      </c>
      <c r="BH6" s="2">
        <v>2.8</v>
      </c>
      <c r="BI6" s="2"/>
      <c r="BJ6" s="2"/>
      <c r="BK6" s="2"/>
      <c r="BL6" s="2"/>
      <c r="BM6" s="2"/>
      <c r="BN6" s="2">
        <v>86</v>
      </c>
      <c r="BO6" s="2">
        <v>32</v>
      </c>
      <c r="BP6" s="2">
        <v>38</v>
      </c>
      <c r="BQ6" s="2">
        <v>41</v>
      </c>
      <c r="BR6" s="2">
        <v>44</v>
      </c>
      <c r="BS6" s="2">
        <v>49</v>
      </c>
      <c r="BT6" s="2">
        <v>0</v>
      </c>
      <c r="BU6" s="2">
        <v>5</v>
      </c>
      <c r="BV6" s="2">
        <v>10</v>
      </c>
      <c r="BW6" s="2">
        <v>16</v>
      </c>
      <c r="BX6" s="2">
        <v>28</v>
      </c>
      <c r="BY6" s="2">
        <v>11.2</v>
      </c>
      <c r="BZ6" s="2">
        <v>1</v>
      </c>
      <c r="CA6" s="2">
        <v>0.5</v>
      </c>
      <c r="CB6" s="2">
        <v>1.8170905570348499E-5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-1</v>
      </c>
      <c r="L7" s="116" t="str">
        <f t="shared" ca="1" si="1"/>
        <v>EW_sand_Ruled_20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32</v>
      </c>
      <c r="R7" s="47">
        <f t="shared" ca="1" si="7"/>
        <v>27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5800</v>
      </c>
      <c r="Y7" s="47">
        <f t="shared" ca="1" si="14"/>
        <v>0</v>
      </c>
      <c r="Z7" s="47">
        <f t="shared" ca="1" si="15"/>
        <v>86.999999999999972</v>
      </c>
      <c r="AA7" s="47">
        <f t="shared" ca="1" si="16"/>
        <v>1</v>
      </c>
      <c r="AB7" s="47">
        <f t="shared" ca="1" si="17"/>
        <v>6720</v>
      </c>
      <c r="AC7" s="63">
        <f t="shared" ca="1" si="18"/>
        <v>25000</v>
      </c>
      <c r="AD7" s="63">
        <f t="shared" ca="1" si="19"/>
        <v>4000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28.000000000000007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20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2.4</v>
      </c>
      <c r="BE7" s="2">
        <v>3.5</v>
      </c>
      <c r="BF7" s="2">
        <v>3.9</v>
      </c>
      <c r="BG7" s="2">
        <v>4.3</v>
      </c>
      <c r="BH7" s="2">
        <v>5.4</v>
      </c>
      <c r="BI7" s="2"/>
      <c r="BJ7" s="2"/>
      <c r="BK7" s="2"/>
      <c r="BL7" s="2"/>
      <c r="BM7" s="2"/>
      <c r="BN7" s="2">
        <v>86</v>
      </c>
      <c r="BO7" s="2">
        <v>32</v>
      </c>
      <c r="BP7" s="2">
        <v>38</v>
      </c>
      <c r="BQ7" s="2">
        <v>41</v>
      </c>
      <c r="BR7" s="2">
        <v>44</v>
      </c>
      <c r="BS7" s="2">
        <v>49</v>
      </c>
      <c r="BT7" s="2">
        <v>11</v>
      </c>
      <c r="BU7" s="2">
        <v>24</v>
      </c>
      <c r="BV7" s="2">
        <v>30</v>
      </c>
      <c r="BW7" s="2">
        <v>35</v>
      </c>
      <c r="BX7" s="2">
        <v>48</v>
      </c>
      <c r="BY7" s="2">
        <v>11.2</v>
      </c>
      <c r="BZ7" s="2">
        <v>1</v>
      </c>
      <c r="CA7" s="2">
        <v>0.5</v>
      </c>
      <c r="CB7" s="2">
        <v>1.8170905570348499E-5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10a</v>
      </c>
      <c r="J8" s="47">
        <f t="shared" ca="1" si="35"/>
        <v>3</v>
      </c>
      <c r="K8" s="19">
        <f t="shared" ca="1" si="36"/>
        <v>-2</v>
      </c>
      <c r="L8" s="116" t="str">
        <f t="shared" ca="1" si="1"/>
        <v>EW_sand_Ruled_80</v>
      </c>
      <c r="M8" s="105" t="str">
        <f t="shared" ca="1" si="2"/>
        <v>API sand</v>
      </c>
      <c r="N8" s="47">
        <f t="shared" ca="1" si="3"/>
        <v>10</v>
      </c>
      <c r="O8" s="63">
        <f t="shared" ca="1" si="4"/>
        <v>0</v>
      </c>
      <c r="P8" s="63">
        <f t="shared" ca="1" si="5"/>
        <v>0</v>
      </c>
      <c r="Q8" s="47">
        <f t="shared" ca="1" si="6"/>
        <v>41</v>
      </c>
      <c r="R8" s="47">
        <f t="shared" ca="1" si="7"/>
        <v>36</v>
      </c>
      <c r="S8" s="47">
        <f t="shared" ca="1" si="8"/>
        <v>2.2000000000000002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57000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56000</v>
      </c>
      <c r="AD8" s="63">
        <f t="shared" ca="1" si="19"/>
        <v>7500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80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0.7</v>
      </c>
      <c r="BE8" s="2">
        <v>1.3</v>
      </c>
      <c r="BF8" s="2">
        <v>1.5</v>
      </c>
      <c r="BG8" s="2">
        <v>2.6</v>
      </c>
      <c r="BH8" s="2">
        <f>12+5.4</f>
        <v>17.399999999999999</v>
      </c>
      <c r="BI8" s="2"/>
      <c r="BJ8" s="2"/>
      <c r="BK8" s="2"/>
      <c r="BL8" s="2"/>
      <c r="BM8" s="2"/>
      <c r="BN8" s="2">
        <v>20</v>
      </c>
      <c r="BO8" s="2">
        <v>27</v>
      </c>
      <c r="BP8" s="2">
        <v>32</v>
      </c>
      <c r="BQ8" s="2">
        <v>35</v>
      </c>
      <c r="BR8" s="2">
        <v>38</v>
      </c>
      <c r="BS8" s="2">
        <v>45</v>
      </c>
      <c r="BT8" s="2">
        <v>2</v>
      </c>
      <c r="BU8" s="2">
        <v>18</v>
      </c>
      <c r="BV8" s="2">
        <v>25</v>
      </c>
      <c r="BW8" s="2">
        <v>33</v>
      </c>
      <c r="BX8" s="2">
        <v>51</v>
      </c>
      <c r="BY8" s="2">
        <v>5.8</v>
      </c>
      <c r="BZ8" s="2">
        <v>1</v>
      </c>
      <c r="CA8" s="2">
        <v>0.5</v>
      </c>
      <c r="CB8" s="2">
        <v>6.3541065682218602E-9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10b</v>
      </c>
      <c r="J9" s="47">
        <f t="shared" ca="1" si="35"/>
        <v>4</v>
      </c>
      <c r="K9" s="19">
        <f t="shared" ca="1" si="36"/>
        <v>-4</v>
      </c>
      <c r="L9" s="116" t="str">
        <f t="shared" ca="1" si="1"/>
        <v>EW_sand_Ruled_75</v>
      </c>
      <c r="M9" s="105" t="str">
        <f t="shared" ca="1" si="2"/>
        <v>API sand</v>
      </c>
      <c r="N9" s="47">
        <f t="shared" ca="1" si="3"/>
        <v>9.8999999999999986</v>
      </c>
      <c r="O9" s="63">
        <f t="shared" ca="1" si="4"/>
        <v>0</v>
      </c>
      <c r="P9" s="63">
        <f t="shared" ca="1" si="5"/>
        <v>0</v>
      </c>
      <c r="Q9" s="47">
        <f t="shared" ca="1" si="6"/>
        <v>40</v>
      </c>
      <c r="R9" s="47">
        <f t="shared" ca="1" si="7"/>
        <v>35</v>
      </c>
      <c r="S9" s="47">
        <f t="shared" ca="1" si="8"/>
        <v>1.5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64700</v>
      </c>
      <c r="Y9" s="47">
        <f t="shared" ca="1" si="14"/>
        <v>0</v>
      </c>
      <c r="Z9" s="47">
        <f t="shared" ca="1" si="15"/>
        <v>114.99999999999996</v>
      </c>
      <c r="AA9" s="47">
        <f t="shared" ca="1" si="16"/>
        <v>1</v>
      </c>
      <c r="AB9" s="47">
        <f t="shared" ca="1" si="17"/>
        <v>12000</v>
      </c>
      <c r="AC9" s="63">
        <f t="shared" ca="1" si="18"/>
        <v>80000</v>
      </c>
      <c r="AD9" s="63">
        <f t="shared" ca="1" si="19"/>
        <v>1000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50.000000000000007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75</v>
      </c>
      <c r="AS9" s="33">
        <f t="shared" ca="1" si="34"/>
        <v>0.4</v>
      </c>
      <c r="AW9" s="2">
        <v>2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0.5</v>
      </c>
      <c r="BE9" s="2">
        <v>1.1000000000000001</v>
      </c>
      <c r="BF9" s="2">
        <v>1.3</v>
      </c>
      <c r="BG9" s="2">
        <v>2.4</v>
      </c>
      <c r="BH9" s="2">
        <f>12+5.2</f>
        <v>17.2</v>
      </c>
      <c r="BI9" s="2"/>
      <c r="BJ9" s="2"/>
      <c r="BK9" s="2"/>
      <c r="BL9" s="2"/>
      <c r="BM9" s="2"/>
      <c r="BN9" s="2">
        <v>20</v>
      </c>
      <c r="BO9" s="2">
        <v>27</v>
      </c>
      <c r="BP9" s="2">
        <v>32</v>
      </c>
      <c r="BQ9" s="2">
        <v>35</v>
      </c>
      <c r="BR9" s="2">
        <v>38</v>
      </c>
      <c r="BS9" s="2">
        <v>45</v>
      </c>
      <c r="BT9" s="2">
        <v>6</v>
      </c>
      <c r="BU9" s="2">
        <v>22</v>
      </c>
      <c r="BV9" s="2">
        <v>29</v>
      </c>
      <c r="BW9" s="2">
        <v>37</v>
      </c>
      <c r="BX9" s="2">
        <v>55</v>
      </c>
      <c r="BY9" s="2">
        <v>5.8</v>
      </c>
      <c r="BZ9" s="2">
        <v>1</v>
      </c>
      <c r="CA9" s="2">
        <v>0.5</v>
      </c>
      <c r="CB9" s="2">
        <v>6.3541065682218602E-9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10c</v>
      </c>
      <c r="J10" s="47">
        <f t="shared" ca="1" si="35"/>
        <v>5</v>
      </c>
      <c r="K10" s="19">
        <f t="shared" ca="1" si="36"/>
        <v>-7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8.3999999999999986</v>
      </c>
      <c r="O10" s="63">
        <f t="shared" ca="1" si="4"/>
        <v>366</v>
      </c>
      <c r="P10" s="63">
        <f t="shared" ca="1" si="5"/>
        <v>-22.647058823529409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0.25</v>
      </c>
      <c r="X10" s="47">
        <f t="shared" ca="1" si="13"/>
        <v>54500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432000</v>
      </c>
      <c r="AD10" s="63">
        <f t="shared" ca="1" si="19"/>
        <v>-27647.058823529409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2</v>
      </c>
      <c r="AX10" s="2" t="s">
        <v>259</v>
      </c>
      <c r="AY10" s="130">
        <v>25.5</v>
      </c>
      <c r="AZ10" s="2">
        <v>20</v>
      </c>
      <c r="BA10" s="2"/>
      <c r="BB10" s="2">
        <v>14</v>
      </c>
      <c r="BC10" s="2"/>
      <c r="BD10" s="2">
        <v>10.5</v>
      </c>
      <c r="BE10" s="2">
        <v>13</v>
      </c>
      <c r="BF10" s="2">
        <v>13.6</v>
      </c>
      <c r="BG10" s="2">
        <v>14.5</v>
      </c>
      <c r="BH10" s="2">
        <v>17.899999999999999</v>
      </c>
      <c r="BI10" s="2"/>
      <c r="BJ10" s="2"/>
      <c r="BK10" s="2"/>
      <c r="BL10" s="2"/>
      <c r="BM10" s="2"/>
      <c r="BN10" s="2">
        <v>80</v>
      </c>
      <c r="BO10" s="2">
        <v>35</v>
      </c>
      <c r="BP10" s="2">
        <v>41</v>
      </c>
      <c r="BQ10" s="2">
        <v>44</v>
      </c>
      <c r="BR10" s="2">
        <v>48</v>
      </c>
      <c r="BS10" s="2">
        <v>54</v>
      </c>
      <c r="BT10" s="2">
        <v>4</v>
      </c>
      <c r="BU10" s="2">
        <v>41</v>
      </c>
      <c r="BV10" s="2">
        <v>56</v>
      </c>
      <c r="BW10" s="2">
        <v>71</v>
      </c>
      <c r="BX10" s="2">
        <v>108</v>
      </c>
      <c r="BY10" s="2">
        <v>57</v>
      </c>
      <c r="BZ10" s="2">
        <v>11.4</v>
      </c>
      <c r="CA10" s="2">
        <v>2.2000000000000002</v>
      </c>
      <c r="CB10" s="2">
        <v>2.1498041599303299E-4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10c</v>
      </c>
      <c r="J11" s="47">
        <f t="shared" ca="1" si="35"/>
        <v>6</v>
      </c>
      <c r="K11" s="19">
        <f t="shared" ca="1" si="36"/>
        <v>-10.4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8.3999999999999986</v>
      </c>
      <c r="O11" s="63">
        <f t="shared" ca="1" si="4"/>
        <v>550</v>
      </c>
      <c r="P11" s="63">
        <f t="shared" ca="1" si="5"/>
        <v>-108.05555555555557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0.25</v>
      </c>
      <c r="X11" s="47">
        <f t="shared" ca="1" si="13"/>
        <v>57900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658000</v>
      </c>
      <c r="AD11" s="63">
        <f t="shared" ca="1" si="19"/>
        <v>-128611.11111111111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4</v>
      </c>
      <c r="AX11" s="2" t="s">
        <v>259</v>
      </c>
      <c r="AY11" s="130">
        <v>25.5</v>
      </c>
      <c r="AZ11" s="2">
        <v>20</v>
      </c>
      <c r="BA11" s="2"/>
      <c r="BB11" s="2">
        <v>14</v>
      </c>
      <c r="BC11" s="2"/>
      <c r="BD11" s="2">
        <v>13.1</v>
      </c>
      <c r="BE11" s="2">
        <v>15.7</v>
      </c>
      <c r="BF11" s="2">
        <v>16.3</v>
      </c>
      <c r="BG11" s="2">
        <v>17.100000000000001</v>
      </c>
      <c r="BH11" s="2">
        <v>20.6</v>
      </c>
      <c r="BI11" s="2"/>
      <c r="BJ11" s="2"/>
      <c r="BK11" s="2"/>
      <c r="BL11" s="2"/>
      <c r="BM11" s="2"/>
      <c r="BN11" s="2">
        <v>80</v>
      </c>
      <c r="BO11" s="2">
        <v>35</v>
      </c>
      <c r="BP11" s="2">
        <v>41</v>
      </c>
      <c r="BQ11" s="2">
        <v>44</v>
      </c>
      <c r="BR11" s="2">
        <v>48</v>
      </c>
      <c r="BS11" s="2">
        <v>54</v>
      </c>
      <c r="BT11" s="2">
        <v>19</v>
      </c>
      <c r="BU11" s="2">
        <v>56</v>
      </c>
      <c r="BV11" s="2">
        <v>71</v>
      </c>
      <c r="BW11" s="2">
        <v>86</v>
      </c>
      <c r="BX11" s="2">
        <v>123</v>
      </c>
      <c r="BY11" s="2">
        <v>57</v>
      </c>
      <c r="BZ11" s="2">
        <v>11.4</v>
      </c>
      <c r="CA11" s="2">
        <v>2.2000000000000002</v>
      </c>
      <c r="CB11" s="2">
        <v>2.1498041599303299E-4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10b</v>
      </c>
      <c r="J12" s="47">
        <f t="shared" ca="1" si="35"/>
        <v>7</v>
      </c>
      <c r="K12" s="19">
        <f t="shared" ca="1" si="36"/>
        <v>-14</v>
      </c>
      <c r="L12" s="116" t="str">
        <f t="shared" ca="1" si="1"/>
        <v>EW_sand_Ruled_61</v>
      </c>
      <c r="M12" s="105" t="str">
        <f t="shared" ca="1" si="2"/>
        <v>API sand</v>
      </c>
      <c r="N12" s="47">
        <f t="shared" ca="1" si="3"/>
        <v>9.8999999999999986</v>
      </c>
      <c r="O12" s="63">
        <f t="shared" ca="1" si="4"/>
        <v>0</v>
      </c>
      <c r="P12" s="63">
        <f t="shared" ca="1" si="5"/>
        <v>0</v>
      </c>
      <c r="Q12" s="47">
        <f t="shared" ca="1" si="6"/>
        <v>37</v>
      </c>
      <c r="R12" s="47">
        <f t="shared" ca="1" si="7"/>
        <v>32</v>
      </c>
      <c r="S12" s="47">
        <f t="shared" ca="1" si="8"/>
        <v>0.8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54600</v>
      </c>
      <c r="Y12" s="47">
        <f t="shared" ca="1" si="14"/>
        <v>0</v>
      </c>
      <c r="Z12" s="47">
        <f t="shared" ca="1" si="15"/>
        <v>103.59999999999997</v>
      </c>
      <c r="AA12" s="47">
        <f t="shared" ca="1" si="16"/>
        <v>1</v>
      </c>
      <c r="AB12" s="47">
        <f t="shared" ca="1" si="17"/>
        <v>10560</v>
      </c>
      <c r="AC12" s="63">
        <f t="shared" ca="1" si="18"/>
        <v>94000</v>
      </c>
      <c r="AD12" s="63">
        <f t="shared" ca="1" si="19"/>
        <v>17916.666666666679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44.000000000000007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61</v>
      </c>
      <c r="AS12" s="33">
        <f t="shared" ca="1" si="34"/>
        <v>0.4</v>
      </c>
      <c r="AW12" s="2">
        <v>4</v>
      </c>
      <c r="AX12" s="2" t="s">
        <v>261</v>
      </c>
      <c r="AY12" s="130">
        <v>24</v>
      </c>
      <c r="AZ12" s="2">
        <v>19.899999999999999</v>
      </c>
      <c r="BA12" s="2"/>
      <c r="BB12" s="2">
        <v>6</v>
      </c>
      <c r="BC12" s="2"/>
      <c r="BD12" s="2">
        <v>17.600000000000001</v>
      </c>
      <c r="BE12" s="2">
        <v>19.3</v>
      </c>
      <c r="BF12" s="2">
        <v>19.7</v>
      </c>
      <c r="BG12" s="2">
        <v>20.100000000000001</v>
      </c>
      <c r="BH12" s="2">
        <v>22</v>
      </c>
      <c r="BI12" s="2"/>
      <c r="BJ12" s="2"/>
      <c r="BK12" s="2"/>
      <c r="BL12" s="2"/>
      <c r="BM12" s="2"/>
      <c r="BN12" s="2">
        <v>75</v>
      </c>
      <c r="BO12" s="2">
        <v>34</v>
      </c>
      <c r="BP12" s="2">
        <v>40</v>
      </c>
      <c r="BQ12" s="2">
        <v>43</v>
      </c>
      <c r="BR12" s="2">
        <v>47</v>
      </c>
      <c r="BS12" s="2">
        <v>53</v>
      </c>
      <c r="BT12" s="2">
        <v>13</v>
      </c>
      <c r="BU12" s="2">
        <v>60</v>
      </c>
      <c r="BV12" s="2">
        <v>80</v>
      </c>
      <c r="BW12" s="2">
        <v>99</v>
      </c>
      <c r="BX12" s="2">
        <v>146</v>
      </c>
      <c r="BY12" s="2">
        <v>64.7</v>
      </c>
      <c r="BZ12" s="2">
        <v>6.5</v>
      </c>
      <c r="CA12" s="2">
        <v>1.5</v>
      </c>
      <c r="CB12" s="2">
        <v>2.2137112951971701E-5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10b</v>
      </c>
      <c r="J13" s="47">
        <f t="shared" ca="1" si="35"/>
        <v>8</v>
      </c>
      <c r="K13" s="19">
        <f t="shared" ca="1" si="36"/>
        <v>-16.399999999999999</v>
      </c>
      <c r="L13" s="116" t="str">
        <f t="shared" ca="1" si="1"/>
        <v>EW_sand_Ruled_44</v>
      </c>
      <c r="M13" s="105" t="str">
        <f t="shared" ca="1" si="2"/>
        <v>API sand</v>
      </c>
      <c r="N13" s="47">
        <f t="shared" ca="1" si="3"/>
        <v>9.8999999999999986</v>
      </c>
      <c r="O13" s="63">
        <f t="shared" ca="1" si="4"/>
        <v>0</v>
      </c>
      <c r="P13" s="63">
        <f t="shared" ca="1" si="5"/>
        <v>0</v>
      </c>
      <c r="Q13" s="47">
        <f t="shared" ca="1" si="6"/>
        <v>35</v>
      </c>
      <c r="R13" s="47">
        <f t="shared" ca="1" si="7"/>
        <v>30</v>
      </c>
      <c r="S13" s="47">
        <f t="shared" ca="1" si="8"/>
        <v>0.6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35300</v>
      </c>
      <c r="Y13" s="47">
        <f t="shared" ca="1" si="14"/>
        <v>0</v>
      </c>
      <c r="Z13" s="47">
        <f t="shared" ca="1" si="15"/>
        <v>95.999999999999972</v>
      </c>
      <c r="AA13" s="47">
        <f t="shared" ca="1" si="16"/>
        <v>1</v>
      </c>
      <c r="AB13" s="47">
        <f t="shared" ca="1" si="17"/>
        <v>9600</v>
      </c>
      <c r="AC13" s="63">
        <f t="shared" ca="1" si="18"/>
        <v>95000</v>
      </c>
      <c r="AD13" s="63">
        <f t="shared" ca="1" si="19"/>
        <v>9032.2580645161252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40.000000000000007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44</v>
      </c>
      <c r="AS13" s="33">
        <f t="shared" ca="1" si="34"/>
        <v>0.4</v>
      </c>
      <c r="AW13" s="2">
        <v>7</v>
      </c>
      <c r="AX13" s="2" t="s">
        <v>261</v>
      </c>
      <c r="AY13" s="130">
        <v>24</v>
      </c>
      <c r="AZ13" s="2">
        <v>19.899999999999999</v>
      </c>
      <c r="BA13" s="2"/>
      <c r="BB13" s="2">
        <v>6</v>
      </c>
      <c r="BC13" s="2"/>
      <c r="BD13" s="2">
        <v>10</v>
      </c>
      <c r="BE13" s="2">
        <v>11.8</v>
      </c>
      <c r="BF13" s="2">
        <v>12.1</v>
      </c>
      <c r="BG13" s="2">
        <v>12.5</v>
      </c>
      <c r="BH13" s="2">
        <v>14.4</v>
      </c>
      <c r="BI13" s="2"/>
      <c r="BJ13" s="2"/>
      <c r="BK13" s="2"/>
      <c r="BL13" s="2"/>
      <c r="BM13" s="2"/>
      <c r="BN13" s="2">
        <v>75</v>
      </c>
      <c r="BO13" s="2">
        <v>34</v>
      </c>
      <c r="BP13" s="2">
        <v>40</v>
      </c>
      <c r="BQ13" s="2">
        <v>43</v>
      </c>
      <c r="BR13" s="2">
        <v>47</v>
      </c>
      <c r="BS13" s="2">
        <v>53</v>
      </c>
      <c r="BT13" s="2">
        <v>17</v>
      </c>
      <c r="BU13" s="2">
        <v>64</v>
      </c>
      <c r="BV13" s="2">
        <v>83</v>
      </c>
      <c r="BW13" s="2">
        <v>102</v>
      </c>
      <c r="BX13" s="2">
        <v>149</v>
      </c>
      <c r="BY13" s="2">
        <v>64.7</v>
      </c>
      <c r="BZ13" s="2">
        <v>6.5</v>
      </c>
      <c r="CA13" s="2">
        <v>1.5</v>
      </c>
      <c r="CB13" s="2">
        <v>2.2137112951971701E-5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20a</v>
      </c>
      <c r="J14" s="47">
        <f t="shared" ca="1" si="35"/>
        <v>9</v>
      </c>
      <c r="K14" s="19">
        <f t="shared" ca="1" si="36"/>
        <v>-19.5</v>
      </c>
      <c r="L14" s="116" t="str">
        <f t="shared" ca="1" si="1"/>
        <v>EW_sand_Ruled_73</v>
      </c>
      <c r="M14" s="105" t="str">
        <f t="shared" ca="1" si="2"/>
        <v>API sand</v>
      </c>
      <c r="N14" s="47">
        <f t="shared" ca="1" si="3"/>
        <v>10</v>
      </c>
      <c r="O14" s="63">
        <f t="shared" ca="1" si="4"/>
        <v>0</v>
      </c>
      <c r="P14" s="63">
        <f t="shared" ca="1" si="5"/>
        <v>0</v>
      </c>
      <c r="Q14" s="47">
        <f t="shared" ca="1" si="6"/>
        <v>28</v>
      </c>
      <c r="R14" s="47">
        <f t="shared" ca="1" si="7"/>
        <v>23</v>
      </c>
      <c r="S14" s="47">
        <f t="shared" ca="1" si="8"/>
        <v>1.2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31000</v>
      </c>
      <c r="Y14" s="47">
        <f t="shared" ca="1" si="14"/>
        <v>0</v>
      </c>
      <c r="Z14" s="47">
        <f t="shared" ca="1" si="15"/>
        <v>75.399999999999977</v>
      </c>
      <c r="AA14" s="47">
        <f t="shared" ca="1" si="16"/>
        <v>1</v>
      </c>
      <c r="AB14" s="47">
        <f t="shared" ca="1" si="17"/>
        <v>4040</v>
      </c>
      <c r="AC14" s="63">
        <f t="shared" ca="1" si="18"/>
        <v>127000</v>
      </c>
      <c r="AD14" s="63">
        <f t="shared" ca="1" si="19"/>
        <v>15600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16.800000000000004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73</v>
      </c>
      <c r="AS14" s="33">
        <f t="shared" ca="1" si="34"/>
        <v>0.2</v>
      </c>
      <c r="AW14" s="2">
        <v>7</v>
      </c>
      <c r="AX14" s="2" t="s">
        <v>287</v>
      </c>
      <c r="AY14" s="130">
        <v>36</v>
      </c>
      <c r="AZ14" s="2">
        <v>18.399999999999999</v>
      </c>
      <c r="BA14" s="2">
        <v>23</v>
      </c>
      <c r="BB14" s="2">
        <v>53</v>
      </c>
      <c r="BC14" s="2">
        <v>4</v>
      </c>
      <c r="BD14" s="2">
        <v>6.5</v>
      </c>
      <c r="BE14" s="2">
        <v>7.5</v>
      </c>
      <c r="BF14" s="2">
        <v>7.7</v>
      </c>
      <c r="BG14" s="2">
        <v>8.1</v>
      </c>
      <c r="BH14" s="2">
        <v>9.9</v>
      </c>
      <c r="BI14" s="2">
        <v>239</v>
      </c>
      <c r="BJ14" s="2">
        <v>366</v>
      </c>
      <c r="BK14" s="2">
        <v>420</v>
      </c>
      <c r="BL14" s="2">
        <v>477</v>
      </c>
      <c r="BM14" s="2">
        <v>626</v>
      </c>
      <c r="BN14" s="2"/>
      <c r="BO14" s="2"/>
      <c r="BP14" s="2"/>
      <c r="BQ14" s="2"/>
      <c r="BR14" s="2"/>
      <c r="BS14" s="2"/>
      <c r="BT14" s="2">
        <v>150</v>
      </c>
      <c r="BU14" s="2">
        <v>341</v>
      </c>
      <c r="BV14" s="2">
        <v>432</v>
      </c>
      <c r="BW14" s="2">
        <v>524</v>
      </c>
      <c r="BX14" s="2">
        <v>737</v>
      </c>
      <c r="BY14" s="2">
        <v>54.5</v>
      </c>
      <c r="BZ14" s="2">
        <v>16.3</v>
      </c>
      <c r="CA14" s="2">
        <v>3</v>
      </c>
      <c r="CB14" s="2">
        <v>3.1092053139851699E-7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20a</v>
      </c>
      <c r="J15" s="47">
        <f t="shared" ca="1" si="35"/>
        <v>10</v>
      </c>
      <c r="K15" s="19">
        <f t="shared" ca="1" si="36"/>
        <v>-22</v>
      </c>
      <c r="L15" s="116" t="str">
        <f t="shared" ca="1" si="1"/>
        <v>EW_sand_Ruled_77</v>
      </c>
      <c r="M15" s="105" t="str">
        <f t="shared" ca="1" si="2"/>
        <v>API sand</v>
      </c>
      <c r="N15" s="47">
        <f t="shared" ca="1" si="3"/>
        <v>10</v>
      </c>
      <c r="O15" s="63">
        <f t="shared" ca="1" si="4"/>
        <v>0</v>
      </c>
      <c r="P15" s="63">
        <f t="shared" ca="1" si="5"/>
        <v>0</v>
      </c>
      <c r="Q15" s="47">
        <f t="shared" ca="1" si="6"/>
        <v>29</v>
      </c>
      <c r="R15" s="47">
        <f t="shared" ca="1" si="7"/>
        <v>24</v>
      </c>
      <c r="S15" s="47">
        <f t="shared" ca="1" si="8"/>
        <v>1.2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38500</v>
      </c>
      <c r="Y15" s="47">
        <f t="shared" ca="1" si="14"/>
        <v>0</v>
      </c>
      <c r="Z15" s="47">
        <f t="shared" ca="1" si="15"/>
        <v>78.199999999999974</v>
      </c>
      <c r="AA15" s="47">
        <f t="shared" ca="1" si="16"/>
        <v>1</v>
      </c>
      <c r="AB15" s="47">
        <f t="shared" ca="1" si="17"/>
        <v>4420</v>
      </c>
      <c r="AC15" s="63">
        <f t="shared" ca="1" si="18"/>
        <v>150000</v>
      </c>
      <c r="AD15" s="63">
        <f t="shared" ca="1" si="19"/>
        <v>2142.8571428571427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18.400000000000006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77</v>
      </c>
      <c r="AS15" s="33">
        <f t="shared" ca="1" si="34"/>
        <v>0.2</v>
      </c>
      <c r="AW15" s="2">
        <v>10.4</v>
      </c>
      <c r="AX15" s="2" t="s">
        <v>287</v>
      </c>
      <c r="AY15" s="130">
        <v>36</v>
      </c>
      <c r="AZ15" s="2">
        <v>18.399999999999999</v>
      </c>
      <c r="BA15" s="2">
        <v>23</v>
      </c>
      <c r="BB15" s="2">
        <v>53</v>
      </c>
      <c r="BC15" s="2">
        <v>4</v>
      </c>
      <c r="BD15" s="2">
        <v>5.0999999999999996</v>
      </c>
      <c r="BE15" s="2">
        <v>6.2</v>
      </c>
      <c r="BF15" s="2">
        <v>6.4</v>
      </c>
      <c r="BG15" s="2">
        <v>6.7</v>
      </c>
      <c r="BH15" s="2">
        <v>8.5</v>
      </c>
      <c r="BI15" s="2">
        <v>162</v>
      </c>
      <c r="BJ15" s="2">
        <v>289</v>
      </c>
      <c r="BK15" s="2">
        <v>343</v>
      </c>
      <c r="BL15" s="2">
        <v>399</v>
      </c>
      <c r="BM15" s="2">
        <v>548</v>
      </c>
      <c r="BN15" s="2"/>
      <c r="BO15" s="2"/>
      <c r="BP15" s="2"/>
      <c r="BQ15" s="2"/>
      <c r="BR15" s="2"/>
      <c r="BS15" s="2"/>
      <c r="BT15" s="2">
        <v>57</v>
      </c>
      <c r="BU15" s="2">
        <v>248</v>
      </c>
      <c r="BV15" s="2">
        <v>338</v>
      </c>
      <c r="BW15" s="2">
        <v>430</v>
      </c>
      <c r="BX15" s="2">
        <v>644</v>
      </c>
      <c r="BY15" s="2">
        <v>54.5</v>
      </c>
      <c r="BZ15" s="2">
        <v>16.3</v>
      </c>
      <c r="CA15" s="2">
        <v>3</v>
      </c>
      <c r="CB15" s="2">
        <v>3.1092053139851699E-7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21a</v>
      </c>
      <c r="J16" s="47">
        <f t="shared" ca="1" si="35"/>
        <v>11</v>
      </c>
      <c r="K16" s="19">
        <f t="shared" ca="1" si="36"/>
        <v>-31.8</v>
      </c>
      <c r="L16" s="116" t="str">
        <f t="shared" ca="1" si="1"/>
        <v>EW_sand_Ruled_72</v>
      </c>
      <c r="M16" s="105" t="str">
        <f t="shared" ca="1" si="2"/>
        <v>API sand</v>
      </c>
      <c r="N16" s="47">
        <f t="shared" ca="1" si="3"/>
        <v>9.8000000000000007</v>
      </c>
      <c r="O16" s="63">
        <f t="shared" ca="1" si="4"/>
        <v>0</v>
      </c>
      <c r="P16" s="63">
        <f t="shared" ca="1" si="5"/>
        <v>0</v>
      </c>
      <c r="Q16" s="47">
        <f t="shared" ca="1" si="6"/>
        <v>28</v>
      </c>
      <c r="R16" s="47">
        <f t="shared" ca="1" si="7"/>
        <v>23</v>
      </c>
      <c r="S16" s="47">
        <f t="shared" ca="1" si="8"/>
        <v>1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42400</v>
      </c>
      <c r="Y16" s="47">
        <f t="shared" ca="1" si="14"/>
        <v>0</v>
      </c>
      <c r="Z16" s="47">
        <f t="shared" ca="1" si="15"/>
        <v>75.399999999999977</v>
      </c>
      <c r="AA16" s="47">
        <f t="shared" ca="1" si="16"/>
        <v>1</v>
      </c>
      <c r="AB16" s="47">
        <f t="shared" ca="1" si="17"/>
        <v>4040</v>
      </c>
      <c r="AC16" s="63">
        <f t="shared" ca="1" si="18"/>
        <v>182000</v>
      </c>
      <c r="AD16" s="63">
        <f t="shared" ca="1" si="19"/>
        <v>2297.2972972972966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16.800000000000004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72</v>
      </c>
      <c r="AS16" s="33">
        <f t="shared" ca="1" si="34"/>
        <v>0.2</v>
      </c>
      <c r="AW16" s="2">
        <v>10.4</v>
      </c>
      <c r="AX16" s="2" t="s">
        <v>287</v>
      </c>
      <c r="AY16" s="130">
        <v>36</v>
      </c>
      <c r="AZ16" s="2">
        <v>18.399999999999999</v>
      </c>
      <c r="BA16" s="2">
        <v>23</v>
      </c>
      <c r="BB16" s="2">
        <v>53</v>
      </c>
      <c r="BC16" s="2">
        <v>4</v>
      </c>
      <c r="BD16" s="2">
        <v>9.3000000000000007</v>
      </c>
      <c r="BE16" s="2">
        <v>10.8</v>
      </c>
      <c r="BF16" s="2">
        <v>11.1</v>
      </c>
      <c r="BG16" s="2">
        <v>11.4</v>
      </c>
      <c r="BH16" s="2">
        <v>12.8</v>
      </c>
      <c r="BI16" s="2">
        <v>411</v>
      </c>
      <c r="BJ16" s="2">
        <v>550</v>
      </c>
      <c r="BK16" s="2">
        <v>605</v>
      </c>
      <c r="BL16" s="2">
        <v>661</v>
      </c>
      <c r="BM16" s="2">
        <v>797</v>
      </c>
      <c r="BN16" s="2"/>
      <c r="BO16" s="2"/>
      <c r="BP16" s="2"/>
      <c r="BQ16" s="2"/>
      <c r="BR16" s="2"/>
      <c r="BS16" s="2"/>
      <c r="BT16" s="2">
        <v>476</v>
      </c>
      <c r="BU16" s="2">
        <v>565</v>
      </c>
      <c r="BV16" s="2">
        <v>658</v>
      </c>
      <c r="BW16" s="2">
        <v>750</v>
      </c>
      <c r="BX16" s="2">
        <v>952</v>
      </c>
      <c r="BY16" s="2">
        <v>57.9</v>
      </c>
      <c r="BZ16" s="2">
        <v>12.2</v>
      </c>
      <c r="CA16" s="2">
        <v>3</v>
      </c>
      <c r="CB16" s="2">
        <v>2.2384693090269399E-8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23d</v>
      </c>
      <c r="J17" s="47">
        <f t="shared" ca="1" si="35"/>
        <v>12</v>
      </c>
      <c r="K17" s="19">
        <f t="shared" ca="1" si="36"/>
        <v>-39.200000000000003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8.8999999999999986</v>
      </c>
      <c r="O17" s="63">
        <f t="shared" ca="1" si="4"/>
        <v>324</v>
      </c>
      <c r="P17" s="63">
        <f t="shared" ca="1" si="5"/>
        <v>5.9068627450980395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2.1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39700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469000</v>
      </c>
      <c r="AD17" s="63">
        <f t="shared" ca="1" si="19"/>
        <v>10661.764705882353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14</v>
      </c>
      <c r="AX17" s="2" t="s">
        <v>287</v>
      </c>
      <c r="AY17" s="130">
        <v>36</v>
      </c>
      <c r="AZ17" s="2">
        <v>18.399999999999999</v>
      </c>
      <c r="BA17" s="2">
        <v>23</v>
      </c>
      <c r="BB17" s="2">
        <v>53</v>
      </c>
      <c r="BC17" s="2">
        <v>4</v>
      </c>
      <c r="BD17" s="2">
        <v>2.4</v>
      </c>
      <c r="BE17" s="2">
        <v>3.9</v>
      </c>
      <c r="BF17" s="2">
        <v>4.2</v>
      </c>
      <c r="BG17" s="2">
        <v>4.4000000000000004</v>
      </c>
      <c r="BH17" s="2">
        <f>5+5.8</f>
        <v>10.8</v>
      </c>
      <c r="BI17" s="2">
        <v>22</v>
      </c>
      <c r="BJ17" s="2">
        <v>161</v>
      </c>
      <c r="BK17" s="2">
        <v>216</v>
      </c>
      <c r="BL17" s="2">
        <v>272</v>
      </c>
      <c r="BM17" s="2">
        <v>408</v>
      </c>
      <c r="BN17" s="2"/>
      <c r="BO17" s="2"/>
      <c r="BP17" s="2"/>
      <c r="BQ17" s="2"/>
      <c r="BR17" s="2"/>
      <c r="BS17" s="2"/>
      <c r="BT17" s="2">
        <v>14</v>
      </c>
      <c r="BU17" s="2">
        <v>103</v>
      </c>
      <c r="BV17" s="2">
        <v>195</v>
      </c>
      <c r="BW17" s="2">
        <v>288</v>
      </c>
      <c r="BX17" s="2">
        <v>489</v>
      </c>
      <c r="BY17" s="2">
        <v>57.9</v>
      </c>
      <c r="BZ17" s="2">
        <v>12.2</v>
      </c>
      <c r="CA17" s="2">
        <v>3</v>
      </c>
      <c r="CB17" s="2">
        <v>2.2384693090269399E-8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14</v>
      </c>
      <c r="AX18" s="2" t="s">
        <v>261</v>
      </c>
      <c r="AY18" s="130">
        <v>24</v>
      </c>
      <c r="AZ18" s="2">
        <v>19.899999999999999</v>
      </c>
      <c r="BA18" s="2"/>
      <c r="BB18" s="2">
        <v>6</v>
      </c>
      <c r="BC18" s="2"/>
      <c r="BD18" s="2">
        <f>-2+2.2</f>
        <v>0.20000000000000018</v>
      </c>
      <c r="BE18" s="2">
        <v>4.8</v>
      </c>
      <c r="BF18" s="2">
        <v>5.4</v>
      </c>
      <c r="BG18" s="2">
        <v>6</v>
      </c>
      <c r="BH18" s="2">
        <f>5+8.7</f>
        <v>13.7</v>
      </c>
      <c r="BI18" s="2"/>
      <c r="BJ18" s="2"/>
      <c r="BK18" s="2"/>
      <c r="BL18" s="2"/>
      <c r="BM18" s="2"/>
      <c r="BN18" s="2">
        <v>61</v>
      </c>
      <c r="BO18" s="2">
        <v>31</v>
      </c>
      <c r="BP18" s="2">
        <v>37</v>
      </c>
      <c r="BQ18" s="2">
        <v>40</v>
      </c>
      <c r="BR18" s="2">
        <v>43</v>
      </c>
      <c r="BS18" s="2">
        <v>50</v>
      </c>
      <c r="BT18" s="2">
        <v>14</v>
      </c>
      <c r="BU18" s="2">
        <v>67</v>
      </c>
      <c r="BV18" s="2">
        <v>94</v>
      </c>
      <c r="BW18" s="2">
        <v>121</v>
      </c>
      <c r="BX18" s="2">
        <v>189</v>
      </c>
      <c r="BY18" s="2">
        <v>54.6</v>
      </c>
      <c r="BZ18" s="2">
        <v>2</v>
      </c>
      <c r="CA18" s="2">
        <v>0.8</v>
      </c>
      <c r="CB18" s="2">
        <v>1.8374783279018601E-7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16.399999999999999</v>
      </c>
      <c r="AX19" s="2" t="s">
        <v>261</v>
      </c>
      <c r="AY19" s="130">
        <v>24</v>
      </c>
      <c r="AZ19" s="2">
        <v>19.899999999999999</v>
      </c>
      <c r="BA19" s="2"/>
      <c r="BB19" s="2">
        <v>6</v>
      </c>
      <c r="BC19" s="2"/>
      <c r="BD19" s="2">
        <f>-2+21.1</f>
        <v>19.100000000000001</v>
      </c>
      <c r="BE19" s="2">
        <v>23.7</v>
      </c>
      <c r="BF19" s="2">
        <v>24.3</v>
      </c>
      <c r="BG19" s="2">
        <v>24.9</v>
      </c>
      <c r="BH19" s="2">
        <v>27.6</v>
      </c>
      <c r="BI19" s="2"/>
      <c r="BJ19" s="2"/>
      <c r="BK19" s="2"/>
      <c r="BL19" s="2"/>
      <c r="BM19" s="2"/>
      <c r="BN19" s="2">
        <v>61</v>
      </c>
      <c r="BO19" s="2">
        <v>31</v>
      </c>
      <c r="BP19" s="2">
        <v>37</v>
      </c>
      <c r="BQ19" s="2">
        <v>40</v>
      </c>
      <c r="BR19" s="2">
        <v>43</v>
      </c>
      <c r="BS19" s="2">
        <v>50</v>
      </c>
      <c r="BT19" s="2">
        <v>57</v>
      </c>
      <c r="BU19" s="2">
        <v>110</v>
      </c>
      <c r="BV19" s="2">
        <v>137</v>
      </c>
      <c r="BW19" s="2">
        <v>164</v>
      </c>
      <c r="BX19" s="2">
        <v>232</v>
      </c>
      <c r="BY19" s="2">
        <v>54.6</v>
      </c>
      <c r="BZ19" s="2">
        <v>2</v>
      </c>
      <c r="CA19" s="2">
        <v>0.8</v>
      </c>
      <c r="CB19" s="2">
        <v>1.8374783279018601E-7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16.399999999999999</v>
      </c>
      <c r="AX20" s="2" t="s">
        <v>261</v>
      </c>
      <c r="AY20" s="130">
        <v>24</v>
      </c>
      <c r="AZ20" s="2">
        <v>19.899999999999999</v>
      </c>
      <c r="BA20" s="2"/>
      <c r="BB20" s="2">
        <v>6</v>
      </c>
      <c r="BC20" s="2"/>
      <c r="BD20" s="2">
        <v>1.6</v>
      </c>
      <c r="BE20" s="2">
        <v>4.5999999999999996</v>
      </c>
      <c r="BF20" s="2">
        <v>5.2</v>
      </c>
      <c r="BG20" s="2">
        <v>6.1</v>
      </c>
      <c r="BH20" s="2">
        <v>11.2</v>
      </c>
      <c r="BI20" s="2"/>
      <c r="BJ20" s="2"/>
      <c r="BK20" s="2"/>
      <c r="BL20" s="2"/>
      <c r="BM20" s="2"/>
      <c r="BN20" s="2">
        <v>44</v>
      </c>
      <c r="BO20" s="2">
        <v>29</v>
      </c>
      <c r="BP20" s="2">
        <v>35</v>
      </c>
      <c r="BQ20" s="2">
        <v>38</v>
      </c>
      <c r="BR20" s="2">
        <v>41</v>
      </c>
      <c r="BS20" s="2">
        <v>46</v>
      </c>
      <c r="BT20" s="2">
        <v>16</v>
      </c>
      <c r="BU20" s="2">
        <v>70</v>
      </c>
      <c r="BV20" s="2">
        <v>95</v>
      </c>
      <c r="BW20" s="2">
        <v>121</v>
      </c>
      <c r="BX20" s="2">
        <v>186</v>
      </c>
      <c r="BY20" s="2">
        <v>35.299999999999997</v>
      </c>
      <c r="BZ20" s="2">
        <v>1.3</v>
      </c>
      <c r="CA20" s="2">
        <v>0.6</v>
      </c>
      <c r="CB20" s="2">
        <v>3.7222325263498398E-10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19.5</v>
      </c>
      <c r="AX21" s="2" t="s">
        <v>261</v>
      </c>
      <c r="AY21" s="130">
        <v>24</v>
      </c>
      <c r="AZ21" s="2">
        <v>19.899999999999999</v>
      </c>
      <c r="BA21" s="2"/>
      <c r="BB21" s="2">
        <v>6</v>
      </c>
      <c r="BC21" s="2"/>
      <c r="BD21" s="2">
        <v>9.1</v>
      </c>
      <c r="BE21" s="2">
        <v>12.1</v>
      </c>
      <c r="BF21" s="2">
        <v>12.7</v>
      </c>
      <c r="BG21" s="2">
        <v>13.6</v>
      </c>
      <c r="BH21" s="2">
        <v>18.7</v>
      </c>
      <c r="BI21" s="2"/>
      <c r="BJ21" s="2"/>
      <c r="BK21" s="2"/>
      <c r="BL21" s="2"/>
      <c r="BM21" s="2"/>
      <c r="BN21" s="2">
        <v>44</v>
      </c>
      <c r="BO21" s="2">
        <v>29</v>
      </c>
      <c r="BP21" s="2">
        <v>35</v>
      </c>
      <c r="BQ21" s="2">
        <v>38</v>
      </c>
      <c r="BR21" s="2">
        <v>41</v>
      </c>
      <c r="BS21" s="2">
        <v>46</v>
      </c>
      <c r="BT21" s="2">
        <v>44</v>
      </c>
      <c r="BU21" s="2">
        <v>98</v>
      </c>
      <c r="BV21" s="2">
        <v>123</v>
      </c>
      <c r="BW21" s="2">
        <v>149</v>
      </c>
      <c r="BX21" s="2">
        <v>214</v>
      </c>
      <c r="BY21" s="2">
        <v>35.299999999999997</v>
      </c>
      <c r="BZ21" s="2">
        <v>1.3</v>
      </c>
      <c r="CA21" s="2">
        <v>0.6</v>
      </c>
      <c r="CB21" s="2">
        <v>3.7222325263498398E-10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19.5</v>
      </c>
      <c r="AX22" s="2" t="s">
        <v>278</v>
      </c>
      <c r="AY22" s="130">
        <v>25.2</v>
      </c>
      <c r="AZ22" s="2">
        <v>20</v>
      </c>
      <c r="BA22" s="2"/>
      <c r="BB22" s="2">
        <v>22</v>
      </c>
      <c r="BC22" s="2"/>
      <c r="BD22" s="2">
        <v>0.7</v>
      </c>
      <c r="BE22" s="2">
        <v>9.1</v>
      </c>
      <c r="BF22" s="2">
        <v>13.7</v>
      </c>
      <c r="BG22" s="2">
        <v>18.3</v>
      </c>
      <c r="BH22" s="2">
        <v>33.1</v>
      </c>
      <c r="BI22" s="2"/>
      <c r="BJ22" s="2"/>
      <c r="BK22" s="2"/>
      <c r="BL22" s="2"/>
      <c r="BM22" s="2"/>
      <c r="BN22" s="2">
        <v>73</v>
      </c>
      <c r="BO22" s="2">
        <v>26</v>
      </c>
      <c r="BP22" s="2">
        <v>28</v>
      </c>
      <c r="BQ22" s="2">
        <v>31</v>
      </c>
      <c r="BR22" s="2">
        <v>33</v>
      </c>
      <c r="BS22" s="2">
        <v>37</v>
      </c>
      <c r="BT22" s="2">
        <v>19</v>
      </c>
      <c r="BU22" s="2">
        <v>93</v>
      </c>
      <c r="BV22" s="2">
        <v>127</v>
      </c>
      <c r="BW22" s="2">
        <v>162</v>
      </c>
      <c r="BX22" s="2">
        <v>247</v>
      </c>
      <c r="BY22" s="2">
        <v>31</v>
      </c>
      <c r="BZ22" s="2">
        <v>4.5</v>
      </c>
      <c r="CA22" s="2">
        <v>1.2</v>
      </c>
      <c r="CB22" s="2">
        <v>1.5614425576250399E-6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22</v>
      </c>
      <c r="AX23" s="2" t="s">
        <v>278</v>
      </c>
      <c r="AY23" s="130">
        <v>25.2</v>
      </c>
      <c r="AZ23" s="2">
        <v>20</v>
      </c>
      <c r="BA23" s="2"/>
      <c r="BB23" s="2">
        <v>22</v>
      </c>
      <c r="BC23" s="2"/>
      <c r="BD23" s="2">
        <v>19.5</v>
      </c>
      <c r="BE23" s="2">
        <v>27.9</v>
      </c>
      <c r="BF23" s="2">
        <v>32.5</v>
      </c>
      <c r="BG23" s="2">
        <v>37.1</v>
      </c>
      <c r="BH23" s="2">
        <v>52</v>
      </c>
      <c r="BI23" s="2"/>
      <c r="BJ23" s="2"/>
      <c r="BK23" s="2"/>
      <c r="BL23" s="2"/>
      <c r="BM23" s="2"/>
      <c r="BN23" s="2">
        <v>73</v>
      </c>
      <c r="BO23" s="2">
        <v>26</v>
      </c>
      <c r="BP23" s="2">
        <v>28</v>
      </c>
      <c r="BQ23" s="2">
        <v>31</v>
      </c>
      <c r="BR23" s="2">
        <v>33</v>
      </c>
      <c r="BS23" s="2">
        <v>37</v>
      </c>
      <c r="BT23" s="2">
        <v>58</v>
      </c>
      <c r="BU23" s="2">
        <v>131</v>
      </c>
      <c r="BV23" s="2">
        <v>166</v>
      </c>
      <c r="BW23" s="2">
        <v>200</v>
      </c>
      <c r="BX23" s="2">
        <v>286</v>
      </c>
      <c r="BY23" s="2">
        <v>31</v>
      </c>
      <c r="BZ23" s="2">
        <v>4.5</v>
      </c>
      <c r="CA23" s="2">
        <v>1.2</v>
      </c>
      <c r="CB23" s="2">
        <v>1.5614425576250399E-6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22</v>
      </c>
      <c r="AX24" s="2" t="s">
        <v>278</v>
      </c>
      <c r="AY24" s="130">
        <v>25.2</v>
      </c>
      <c r="AZ24" s="2">
        <v>20</v>
      </c>
      <c r="BA24" s="2"/>
      <c r="BB24" s="2">
        <v>22</v>
      </c>
      <c r="BC24" s="2"/>
      <c r="BD24" s="2">
        <v>0.8</v>
      </c>
      <c r="BE24" s="2">
        <v>16</v>
      </c>
      <c r="BF24" s="2">
        <v>20.7</v>
      </c>
      <c r="BG24" s="2">
        <v>25.7</v>
      </c>
      <c r="BH24" s="2">
        <v>46.2</v>
      </c>
      <c r="BI24" s="2"/>
      <c r="BJ24" s="2"/>
      <c r="BK24" s="2"/>
      <c r="BL24" s="2"/>
      <c r="BM24" s="2"/>
      <c r="BN24" s="2">
        <v>77</v>
      </c>
      <c r="BO24" s="2">
        <v>26</v>
      </c>
      <c r="BP24" s="2">
        <v>29</v>
      </c>
      <c r="BQ24" s="2">
        <v>31</v>
      </c>
      <c r="BR24" s="2">
        <v>33</v>
      </c>
      <c r="BS24" s="2">
        <v>38</v>
      </c>
      <c r="BT24" s="2">
        <v>22</v>
      </c>
      <c r="BU24" s="2">
        <v>112</v>
      </c>
      <c r="BV24" s="2">
        <v>150</v>
      </c>
      <c r="BW24" s="2">
        <v>187</v>
      </c>
      <c r="BX24" s="2">
        <v>282</v>
      </c>
      <c r="BY24" s="2">
        <v>38.5</v>
      </c>
      <c r="BZ24" s="2">
        <v>4.5</v>
      </c>
      <c r="CA24" s="2">
        <v>1.2</v>
      </c>
      <c r="CB24" s="2">
        <v>5.6251837897354901E-8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31.8</v>
      </c>
      <c r="AX25" s="2" t="s">
        <v>278</v>
      </c>
      <c r="AY25" s="130">
        <v>25.2</v>
      </c>
      <c r="AZ25" s="2">
        <v>20</v>
      </c>
      <c r="BA25" s="2"/>
      <c r="BB25" s="2">
        <v>22</v>
      </c>
      <c r="BC25" s="2"/>
      <c r="BD25" s="2">
        <v>8.6</v>
      </c>
      <c r="BE25" s="2">
        <v>23.8</v>
      </c>
      <c r="BF25" s="2">
        <v>28.5</v>
      </c>
      <c r="BG25" s="2">
        <v>33.5</v>
      </c>
      <c r="BH25" s="2">
        <v>54</v>
      </c>
      <c r="BI25" s="2"/>
      <c r="BJ25" s="2"/>
      <c r="BK25" s="2"/>
      <c r="BL25" s="2"/>
      <c r="BM25" s="2"/>
      <c r="BN25" s="2">
        <v>77</v>
      </c>
      <c r="BO25" s="2">
        <v>26</v>
      </c>
      <c r="BP25" s="2">
        <v>29</v>
      </c>
      <c r="BQ25" s="2">
        <v>31</v>
      </c>
      <c r="BR25" s="2">
        <v>33</v>
      </c>
      <c r="BS25" s="2">
        <v>38</v>
      </c>
      <c r="BT25" s="2">
        <v>43</v>
      </c>
      <c r="BU25" s="2">
        <v>133</v>
      </c>
      <c r="BV25" s="2">
        <v>171</v>
      </c>
      <c r="BW25" s="2">
        <v>209</v>
      </c>
      <c r="BX25" s="2">
        <v>304</v>
      </c>
      <c r="BY25" s="2">
        <v>38.5</v>
      </c>
      <c r="BZ25" s="2">
        <v>4.5</v>
      </c>
      <c r="CA25" s="2">
        <v>1.2</v>
      </c>
      <c r="CB25" s="2">
        <v>5.6251837897354901E-8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31.8</v>
      </c>
      <c r="AX26" s="2" t="s">
        <v>271</v>
      </c>
      <c r="AY26" s="130">
        <v>24.7</v>
      </c>
      <c r="AZ26" s="2">
        <v>19.8</v>
      </c>
      <c r="BA26" s="2"/>
      <c r="BB26" s="2">
        <v>11</v>
      </c>
      <c r="BC26" s="2"/>
      <c r="BD26" s="2">
        <v>1.1000000000000001</v>
      </c>
      <c r="BE26" s="2">
        <v>16.5</v>
      </c>
      <c r="BF26" s="2">
        <v>27</v>
      </c>
      <c r="BG26" s="2">
        <v>58.8</v>
      </c>
      <c r="BH26" s="2">
        <v>157.4</v>
      </c>
      <c r="BI26" s="2"/>
      <c r="BJ26" s="2"/>
      <c r="BK26" s="2"/>
      <c r="BL26" s="2"/>
      <c r="BM26" s="2"/>
      <c r="BN26" s="2">
        <v>72</v>
      </c>
      <c r="BO26" s="2">
        <v>26</v>
      </c>
      <c r="BP26" s="2">
        <v>28</v>
      </c>
      <c r="BQ26" s="2">
        <v>31</v>
      </c>
      <c r="BR26" s="2">
        <v>33</v>
      </c>
      <c r="BS26" s="2">
        <v>37</v>
      </c>
      <c r="BT26" s="2">
        <v>31</v>
      </c>
      <c r="BU26" s="2">
        <v>138</v>
      </c>
      <c r="BV26" s="2">
        <v>182</v>
      </c>
      <c r="BW26" s="2">
        <v>227</v>
      </c>
      <c r="BX26" s="2">
        <v>337</v>
      </c>
      <c r="BY26" s="2">
        <v>42.4</v>
      </c>
      <c r="BZ26" s="2">
        <v>3.4</v>
      </c>
      <c r="CA26" s="2">
        <v>1</v>
      </c>
      <c r="CB26" s="2">
        <v>4.70218082595161E-12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39.200000000000003</v>
      </c>
      <c r="AX27" s="2" t="s">
        <v>271</v>
      </c>
      <c r="AY27" s="130">
        <v>24.7</v>
      </c>
      <c r="AZ27" s="2">
        <v>19.8</v>
      </c>
      <c r="BA27" s="2"/>
      <c r="BB27" s="2">
        <v>11</v>
      </c>
      <c r="BC27" s="2"/>
      <c r="BD27" s="2">
        <v>3.7</v>
      </c>
      <c r="BE27" s="2">
        <v>19.100000000000001</v>
      </c>
      <c r="BF27" s="2">
        <v>29.6</v>
      </c>
      <c r="BG27" s="2">
        <v>61.4</v>
      </c>
      <c r="BH27" s="2">
        <v>160</v>
      </c>
      <c r="BI27" s="2"/>
      <c r="BJ27" s="2"/>
      <c r="BK27" s="2"/>
      <c r="BL27" s="2"/>
      <c r="BM27" s="2"/>
      <c r="BN27" s="2">
        <v>72</v>
      </c>
      <c r="BO27" s="2">
        <v>26</v>
      </c>
      <c r="BP27" s="2">
        <v>28</v>
      </c>
      <c r="BQ27" s="2">
        <v>31</v>
      </c>
      <c r="BR27" s="2">
        <v>33</v>
      </c>
      <c r="BS27" s="2">
        <v>37</v>
      </c>
      <c r="BT27" s="2">
        <v>48</v>
      </c>
      <c r="BU27" s="2">
        <v>154</v>
      </c>
      <c r="BV27" s="2">
        <v>199</v>
      </c>
      <c r="BW27" s="2">
        <v>243</v>
      </c>
      <c r="BX27" s="2">
        <v>354</v>
      </c>
      <c r="BY27" s="2">
        <v>42.4</v>
      </c>
      <c r="BZ27" s="2">
        <v>3.4</v>
      </c>
      <c r="CA27" s="2">
        <v>1</v>
      </c>
      <c r="CB27" s="2">
        <v>4.70218082595161E-12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39.200000000000003</v>
      </c>
      <c r="AX28" s="2" t="s">
        <v>273</v>
      </c>
      <c r="AY28" s="130">
        <v>32</v>
      </c>
      <c r="AZ28" s="2">
        <v>18.899999999999999</v>
      </c>
      <c r="BA28" s="2">
        <v>47</v>
      </c>
      <c r="BB28" s="2">
        <v>85</v>
      </c>
      <c r="BC28" s="2">
        <v>3</v>
      </c>
      <c r="BD28" s="2">
        <v>1.4</v>
      </c>
      <c r="BE28" s="2">
        <v>6</v>
      </c>
      <c r="BF28" s="2">
        <v>8.1</v>
      </c>
      <c r="BG28" s="2">
        <v>21.5</v>
      </c>
      <c r="BH28" s="2">
        <v>62.9</v>
      </c>
      <c r="BI28" s="2">
        <v>238</v>
      </c>
      <c r="BJ28" s="2">
        <v>324</v>
      </c>
      <c r="BK28" s="2">
        <v>367</v>
      </c>
      <c r="BL28" s="2">
        <v>412</v>
      </c>
      <c r="BM28" s="2">
        <v>497</v>
      </c>
      <c r="BN28" s="2"/>
      <c r="BO28" s="2"/>
      <c r="BP28" s="2"/>
      <c r="BQ28" s="2"/>
      <c r="BR28" s="2"/>
      <c r="BS28" s="2"/>
      <c r="BT28" s="2">
        <v>209</v>
      </c>
      <c r="BU28" s="2">
        <v>382</v>
      </c>
      <c r="BV28" s="2">
        <v>469</v>
      </c>
      <c r="BW28" s="2">
        <v>556</v>
      </c>
      <c r="BX28" s="2">
        <v>728</v>
      </c>
      <c r="BY28" s="2">
        <v>39.700000000000003</v>
      </c>
      <c r="BZ28" s="2">
        <v>5.2</v>
      </c>
      <c r="CA28" s="2">
        <v>2.1</v>
      </c>
      <c r="CB28" s="2">
        <v>4.1774920641234298E-12</v>
      </c>
      <c r="CC28" s="2">
        <v>1.8</v>
      </c>
    </row>
    <row r="29" spans="1:81" x14ac:dyDescent="0.25">
      <c r="A29" s="66"/>
      <c r="B29" s="66"/>
      <c r="C29" s="67"/>
      <c r="D29" s="35"/>
      <c r="AW29" s="2">
        <v>80</v>
      </c>
      <c r="AX29" s="2" t="s">
        <v>273</v>
      </c>
      <c r="AY29" s="130">
        <v>32</v>
      </c>
      <c r="AZ29" s="2">
        <v>18.899999999999999</v>
      </c>
      <c r="BA29" s="2">
        <v>47</v>
      </c>
      <c r="BB29" s="2">
        <v>85</v>
      </c>
      <c r="BC29" s="2">
        <v>3</v>
      </c>
      <c r="BD29" s="2">
        <v>7</v>
      </c>
      <c r="BE29" s="2">
        <v>11</v>
      </c>
      <c r="BF29" s="2">
        <v>13.7</v>
      </c>
      <c r="BG29" s="2">
        <v>27.1</v>
      </c>
      <c r="BH29" s="2">
        <v>68.400000000000006</v>
      </c>
      <c r="BI29" s="2">
        <v>479</v>
      </c>
      <c r="BJ29" s="2">
        <v>565</v>
      </c>
      <c r="BK29" s="2">
        <v>608</v>
      </c>
      <c r="BL29" s="2">
        <v>652</v>
      </c>
      <c r="BM29" s="2">
        <v>738</v>
      </c>
      <c r="BN29" s="2"/>
      <c r="BO29" s="2"/>
      <c r="BP29" s="2"/>
      <c r="BQ29" s="2"/>
      <c r="BR29" s="2"/>
      <c r="BS29" s="2"/>
      <c r="BT29" s="2">
        <v>645</v>
      </c>
      <c r="BU29" s="2">
        <v>817</v>
      </c>
      <c r="BV29" s="2">
        <v>904</v>
      </c>
      <c r="BW29" s="2">
        <v>991</v>
      </c>
      <c r="BX29" s="2">
        <v>1163</v>
      </c>
      <c r="BY29" s="2">
        <v>39.700000000000003</v>
      </c>
      <c r="BZ29" s="2">
        <v>5.2</v>
      </c>
      <c r="CA29" s="2">
        <v>2.1</v>
      </c>
      <c r="CB29" s="2">
        <v>4.1774920641234298E-12</v>
      </c>
      <c r="CC29" s="2">
        <v>1.8</v>
      </c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362" priority="12">
      <formula>$L32="API sand"</formula>
    </cfRule>
  </conditionalFormatting>
  <conditionalFormatting sqref="R32:S36 AB32:AB35 AJ32:AL36 Z32:Z36 N32:N36">
    <cfRule type="expression" dxfId="2361" priority="11">
      <formula>$M32="API sand"</formula>
    </cfRule>
  </conditionalFormatting>
  <conditionalFormatting sqref="R32:T36 Z32:AB35 AK32:AL36 N32:N36">
    <cfRule type="expression" dxfId="2360" priority="10">
      <formula>$M32="API clay"</formula>
    </cfRule>
  </conditionalFormatting>
  <conditionalFormatting sqref="U32:W36 AM32:AP36 N32:P36">
    <cfRule type="expression" dxfId="2359" priority="7">
      <formula>$L32="Stiff clay w/o free water"</formula>
    </cfRule>
    <cfRule type="expression" dxfId="2358" priority="9">
      <formula>$L32="API clay"</formula>
    </cfRule>
  </conditionalFormatting>
  <conditionalFormatting sqref="U32:Y36 AM32:AP36 N32:P36">
    <cfRule type="expression" dxfId="2357" priority="8">
      <formula>$L32="Kirsch soft clay"</formula>
    </cfRule>
  </conditionalFormatting>
  <conditionalFormatting sqref="U32:Y36 AM32:AP36 N32:P36">
    <cfRule type="expression" dxfId="2356" priority="6">
      <formula>$L32="Kirsch stiff clay"</formula>
    </cfRule>
  </conditionalFormatting>
  <conditionalFormatting sqref="AM32:AP36 Q32:Q36 X32:Y36 N32:N36">
    <cfRule type="expression" dxfId="2355" priority="5">
      <formula>$L32="Kirsch sand"</formula>
    </cfRule>
  </conditionalFormatting>
  <conditionalFormatting sqref="AC32:AD36 AI32:AI36 AM32:AP36 N32:N36">
    <cfRule type="expression" dxfId="2354" priority="4">
      <formula>$L32="Modified Weak rock"</formula>
    </cfRule>
  </conditionalFormatting>
  <conditionalFormatting sqref="AM32:AP36 N32:P36 U32:V36">
    <cfRule type="expression" dxfId="2353" priority="3">
      <formula>$L32="Reese stiff clay"</formula>
    </cfRule>
  </conditionalFormatting>
  <conditionalFormatting sqref="AB36">
    <cfRule type="expression" dxfId="2352" priority="2">
      <formula>$M36="API sand"</formula>
    </cfRule>
  </conditionalFormatting>
  <conditionalFormatting sqref="Z36:AB36">
    <cfRule type="expression" dxfId="2351" priority="1">
      <formula>$M36="API clay"</formula>
    </cfRule>
  </conditionalFormatting>
  <conditionalFormatting sqref="AE37:AH37">
    <cfRule type="expression" dxfId="2350" priority="13">
      <formula>#REF!="Modified Weak rock"</formula>
    </cfRule>
  </conditionalFormatting>
  <dataValidations count="4">
    <dataValidation type="list" showInputMessage="1" showErrorMessage="1" sqref="M32:M36" xr:uid="{7A9E5D49-2646-4B11-91CB-9EAAED537992}">
      <formula1>"',API sand,API clay"</formula1>
    </dataValidation>
    <dataValidation type="list" showInputMessage="1" showErrorMessage="1" sqref="L32:L255" xr:uid="{6D638811-0E01-41B2-A4D3-DCC3508FD59A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2E1DAACF-ADFE-4838-A74F-677845E1A3AF}"/>
    <dataValidation type="textLength" showInputMessage="1" showErrorMessage="1" sqref="M27:M31" xr:uid="{4A70BCA0-0686-4699-9464-C5A351A72C84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F1B08-55CF-498A-BA98-1281687427A7}">
  <sheetPr>
    <tabColor rgb="FF7030A0"/>
  </sheetPr>
  <dimension ref="A1:CC255"/>
  <sheetViews>
    <sheetView zoomScale="85" zoomScaleNormal="85" workbookViewId="0">
      <selection activeCell="J25" sqref="J25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Ak_Pisa_WTG43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6"/>
      <c r="R3" s="155"/>
      <c r="S3" s="155"/>
      <c r="T3" s="136"/>
      <c r="U3" s="155"/>
      <c r="V3" s="155"/>
      <c r="W3" s="136"/>
      <c r="X3" s="69"/>
      <c r="Y3" s="136"/>
      <c r="Z3" s="136"/>
      <c r="AA3" s="136"/>
      <c r="AB3" s="136"/>
      <c r="AC3" s="69"/>
      <c r="AD3" s="39"/>
      <c r="AE3" s="39"/>
      <c r="AF3" s="39"/>
      <c r="AG3" s="39"/>
      <c r="AH3" s="39"/>
      <c r="AI3" s="39"/>
      <c r="AJ3" s="136"/>
      <c r="AK3" s="136"/>
      <c r="AL3" s="136"/>
      <c r="AM3" s="136"/>
      <c r="AN3" s="136"/>
      <c r="AO3" s="136"/>
      <c r="AP3" s="136"/>
      <c r="AW3" s="35" t="s">
        <v>316</v>
      </c>
    </row>
    <row r="4" spans="1:81" x14ac:dyDescent="0.25">
      <c r="A4" s="40" t="s">
        <v>60</v>
      </c>
      <c r="B4" s="33">
        <f ca="1"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7" t="s">
        <v>38</v>
      </c>
      <c r="K5" s="137" t="s">
        <v>30</v>
      </c>
      <c r="L5" s="137" t="s">
        <v>31</v>
      </c>
      <c r="M5" s="137" t="s">
        <v>31</v>
      </c>
      <c r="N5" s="137" t="s">
        <v>32</v>
      </c>
      <c r="O5" s="137" t="s">
        <v>33</v>
      </c>
      <c r="P5" s="137" t="s">
        <v>35</v>
      </c>
      <c r="Q5" s="137" t="s">
        <v>36</v>
      </c>
      <c r="R5" s="137" t="s">
        <v>36</v>
      </c>
      <c r="S5" s="137" t="s">
        <v>34</v>
      </c>
      <c r="T5" s="137" t="s">
        <v>33</v>
      </c>
      <c r="U5" s="137" t="s">
        <v>34</v>
      </c>
      <c r="V5" s="137" t="s">
        <v>62</v>
      </c>
      <c r="W5" s="137" t="s">
        <v>34</v>
      </c>
      <c r="X5" s="137" t="s">
        <v>33</v>
      </c>
      <c r="Y5" s="137" t="s">
        <v>35</v>
      </c>
      <c r="Z5" s="137" t="s">
        <v>33</v>
      </c>
      <c r="AA5" s="137" t="s">
        <v>34</v>
      </c>
      <c r="AB5" s="137" t="s">
        <v>33</v>
      </c>
      <c r="AC5" s="137" t="s">
        <v>33</v>
      </c>
      <c r="AD5" s="137" t="s">
        <v>35</v>
      </c>
      <c r="AE5" s="137" t="s">
        <v>34</v>
      </c>
      <c r="AF5" s="137" t="s">
        <v>33</v>
      </c>
      <c r="AG5" s="137" t="s">
        <v>35</v>
      </c>
      <c r="AH5" s="137" t="s">
        <v>34</v>
      </c>
      <c r="AI5" s="137" t="s">
        <v>34</v>
      </c>
      <c r="AJ5" s="137" t="s">
        <v>34</v>
      </c>
      <c r="AK5" s="137" t="s">
        <v>34</v>
      </c>
      <c r="AL5" s="137" t="s">
        <v>34</v>
      </c>
      <c r="AM5" s="137" t="s">
        <v>34</v>
      </c>
      <c r="AN5" s="137" t="s">
        <v>34</v>
      </c>
      <c r="AO5" s="137" t="s">
        <v>34</v>
      </c>
      <c r="AP5" s="137" t="s">
        <v>34</v>
      </c>
      <c r="AQ5" s="137" t="s">
        <v>103</v>
      </c>
      <c r="AR5" s="137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EW_sand_Ruled_86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36</v>
      </c>
      <c r="R6" s="47">
        <f t="shared" ref="R6:R26" ca="1" si="7">IF(I6="","",IF(Q6&lt;&gt;0,Q6-5,NA()))</f>
        <v>31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7300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99.799999999999969</v>
      </c>
      <c r="AA6" s="47">
        <f t="shared" ref="AA6:AA26" ca="1" si="16">IF(I6="","",1)</f>
        <v>1</v>
      </c>
      <c r="AB6" s="47">
        <f t="shared" ref="AB6:AB26" ca="1" si="17">IF(I6="","",VLOOKUP(R6,$AE$39:$AG$59,3))</f>
        <v>10080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32000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42.000000000000007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86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0.2</v>
      </c>
      <c r="BF6" s="2">
        <v>1</v>
      </c>
      <c r="BG6" s="2">
        <v>1.6</v>
      </c>
      <c r="BH6" s="2">
        <v>3.3</v>
      </c>
      <c r="BI6" s="2"/>
      <c r="BJ6" s="2"/>
      <c r="BK6" s="2"/>
      <c r="BL6" s="2"/>
      <c r="BM6" s="2"/>
      <c r="BN6" s="2">
        <v>86</v>
      </c>
      <c r="BO6" s="2">
        <v>29</v>
      </c>
      <c r="BP6" s="2">
        <v>36</v>
      </c>
      <c r="BQ6" s="2">
        <v>40</v>
      </c>
      <c r="BR6" s="2">
        <v>43</v>
      </c>
      <c r="BS6" s="2">
        <v>50</v>
      </c>
      <c r="BT6" s="2">
        <v>0</v>
      </c>
      <c r="BU6" s="2">
        <v>1</v>
      </c>
      <c r="BV6" s="2">
        <v>5</v>
      </c>
      <c r="BW6" s="2">
        <v>10</v>
      </c>
      <c r="BX6" s="2">
        <v>20</v>
      </c>
      <c r="BY6" s="2">
        <v>7.3</v>
      </c>
      <c r="BZ6" s="2">
        <v>1</v>
      </c>
      <c r="CA6" s="2">
        <v>0.5</v>
      </c>
      <c r="CB6" s="2">
        <v>5.6470307436406499E-5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19" ca="1" si="36">IF(OFFSET($AW$6,(ROW()-6)*2,0)=0,"",-OFFSET($AW$6,(ROW()-6)*2,0))</f>
        <v>-0.75</v>
      </c>
      <c r="L7" s="116" t="str">
        <f t="shared" ca="1" si="1"/>
        <v>EW_sand_Ruled_100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42</v>
      </c>
      <c r="R7" s="47">
        <f t="shared" ca="1" si="7"/>
        <v>37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43000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37000</v>
      </c>
      <c r="AD7" s="63">
        <f t="shared" ca="1" si="19"/>
        <v>9090.9090909090901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100</v>
      </c>
      <c r="AS7" s="33">
        <f t="shared" ca="1" si="34"/>
        <v>0.4</v>
      </c>
      <c r="AW7" s="2">
        <v>0.75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2.2000000000000002</v>
      </c>
      <c r="BE7" s="2">
        <v>4.4000000000000004</v>
      </c>
      <c r="BF7" s="2">
        <v>5.2</v>
      </c>
      <c r="BG7" s="2">
        <v>5.8</v>
      </c>
      <c r="BH7" s="2">
        <v>7.5</v>
      </c>
      <c r="BI7" s="2"/>
      <c r="BJ7" s="2"/>
      <c r="BK7" s="2"/>
      <c r="BL7" s="2"/>
      <c r="BM7" s="2"/>
      <c r="BN7" s="2">
        <v>86</v>
      </c>
      <c r="BO7" s="2">
        <v>29</v>
      </c>
      <c r="BP7" s="2">
        <v>36</v>
      </c>
      <c r="BQ7" s="2">
        <v>40</v>
      </c>
      <c r="BR7" s="2">
        <v>43</v>
      </c>
      <c r="BS7" s="2">
        <v>50</v>
      </c>
      <c r="BT7" s="2">
        <v>15</v>
      </c>
      <c r="BU7" s="2">
        <v>25</v>
      </c>
      <c r="BV7" s="2">
        <v>29</v>
      </c>
      <c r="BW7" s="2">
        <v>34</v>
      </c>
      <c r="BX7" s="2">
        <v>44</v>
      </c>
      <c r="BY7" s="2">
        <v>7.3</v>
      </c>
      <c r="BZ7" s="2">
        <v>1</v>
      </c>
      <c r="CA7" s="2">
        <v>0.5</v>
      </c>
      <c r="CB7" s="2">
        <v>5.6470307436406499E-5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1000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-1.3</v>
      </c>
      <c r="L8" s="116" t="str">
        <f t="shared" ca="1" si="1"/>
        <v>EW_sand_Ruled_90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40</v>
      </c>
      <c r="R8" s="47">
        <f t="shared" ca="1" si="7"/>
        <v>35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38100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48000</v>
      </c>
      <c r="AD8" s="63">
        <f t="shared" ca="1" si="19"/>
        <v>-18333.333333333336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90</v>
      </c>
      <c r="AS8" s="33">
        <f t="shared" ca="1" si="34"/>
        <v>0.4</v>
      </c>
      <c r="AW8" s="2">
        <v>0.75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10.6</v>
      </c>
      <c r="BE8" s="2">
        <v>10.9</v>
      </c>
      <c r="BF8" s="2">
        <v>11</v>
      </c>
      <c r="BG8" s="2">
        <v>11.2</v>
      </c>
      <c r="BH8" s="2">
        <v>11.4</v>
      </c>
      <c r="BI8" s="2"/>
      <c r="BJ8" s="2"/>
      <c r="BK8" s="2"/>
      <c r="BL8" s="2"/>
      <c r="BM8" s="2"/>
      <c r="BN8" s="2">
        <v>100</v>
      </c>
      <c r="BO8" s="2">
        <v>36</v>
      </c>
      <c r="BP8" s="2">
        <v>42</v>
      </c>
      <c r="BQ8" s="2">
        <v>46</v>
      </c>
      <c r="BR8" s="2">
        <v>49</v>
      </c>
      <c r="BS8" s="2">
        <v>54</v>
      </c>
      <c r="BT8" s="2">
        <v>4</v>
      </c>
      <c r="BU8" s="2">
        <v>27</v>
      </c>
      <c r="BV8" s="2">
        <v>37</v>
      </c>
      <c r="BW8" s="2">
        <v>47</v>
      </c>
      <c r="BX8" s="2">
        <v>69</v>
      </c>
      <c r="BY8" s="2">
        <v>43</v>
      </c>
      <c r="BZ8" s="2">
        <v>1</v>
      </c>
      <c r="CA8" s="2">
        <v>0.5</v>
      </c>
      <c r="CB8" s="135">
        <v>2.7566327760898901E-4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-20000</v>
      </c>
      <c r="H9" s="45" t="s">
        <v>54</v>
      </c>
      <c r="I9" s="33" t="str">
        <f t="shared" ca="1" si="0"/>
        <v>02c</v>
      </c>
      <c r="J9" s="47">
        <f t="shared" ca="1" si="35"/>
        <v>4</v>
      </c>
      <c r="K9" s="19">
        <f t="shared" ca="1" si="36"/>
        <v>-1.9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8.5</v>
      </c>
      <c r="O9" s="63">
        <f t="shared" ca="1" si="4"/>
        <v>80</v>
      </c>
      <c r="P9" s="63">
        <f t="shared" ca="1" si="5"/>
        <v>8.3333333333333321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16400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76000</v>
      </c>
      <c r="AD9" s="63">
        <f t="shared" ca="1" si="19"/>
        <v>8333.3333333333321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1.3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11.5</v>
      </c>
      <c r="BE9" s="2">
        <v>11.8</v>
      </c>
      <c r="BF9" s="2">
        <v>12</v>
      </c>
      <c r="BG9" s="2">
        <v>12.1</v>
      </c>
      <c r="BH9" s="2">
        <v>12.3</v>
      </c>
      <c r="BI9" s="2"/>
      <c r="BJ9" s="2"/>
      <c r="BK9" s="2"/>
      <c r="BL9" s="2"/>
      <c r="BM9" s="2"/>
      <c r="BN9" s="2">
        <v>100</v>
      </c>
      <c r="BO9" s="2">
        <v>36</v>
      </c>
      <c r="BP9" s="2">
        <v>42</v>
      </c>
      <c r="BQ9" s="2">
        <v>46</v>
      </c>
      <c r="BR9" s="2">
        <v>49</v>
      </c>
      <c r="BS9" s="2">
        <v>54</v>
      </c>
      <c r="BT9" s="2">
        <v>10</v>
      </c>
      <c r="BU9" s="2">
        <v>33</v>
      </c>
      <c r="BV9" s="2">
        <v>42</v>
      </c>
      <c r="BW9" s="2">
        <v>52</v>
      </c>
      <c r="BX9" s="2">
        <v>75</v>
      </c>
      <c r="BY9" s="2">
        <v>43</v>
      </c>
      <c r="BZ9" s="2">
        <v>1</v>
      </c>
      <c r="CA9" s="2">
        <v>0.5</v>
      </c>
      <c r="CB9" s="2">
        <v>2.7566327760898901E-4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10a</v>
      </c>
      <c r="J10" s="47">
        <f t="shared" ca="1" si="35"/>
        <v>5</v>
      </c>
      <c r="K10" s="19">
        <f t="shared" ca="1" si="36"/>
        <v>-2.5</v>
      </c>
      <c r="L10" s="116" t="str">
        <f t="shared" ca="1" si="1"/>
        <v>EW_sand_Ruled_82</v>
      </c>
      <c r="M10" s="105" t="str">
        <f t="shared" ca="1" si="2"/>
        <v>API sand</v>
      </c>
      <c r="N10" s="47">
        <f t="shared" ca="1" si="3"/>
        <v>10</v>
      </c>
      <c r="O10" s="63">
        <f t="shared" ca="1" si="4"/>
        <v>0</v>
      </c>
      <c r="P10" s="63">
        <f t="shared" ca="1" si="5"/>
        <v>0</v>
      </c>
      <c r="Q10" s="47">
        <f t="shared" ca="1" si="6"/>
        <v>41</v>
      </c>
      <c r="R10" s="47">
        <f t="shared" ca="1" si="7"/>
        <v>36</v>
      </c>
      <c r="S10" s="47">
        <f t="shared" ca="1" si="8"/>
        <v>1.9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62600</v>
      </c>
      <c r="Y10" s="47">
        <f t="shared" ca="1" si="14"/>
        <v>0</v>
      </c>
      <c r="Z10" s="47">
        <f t="shared" ca="1" si="15"/>
        <v>114.99999999999996</v>
      </c>
      <c r="AA10" s="47">
        <f t="shared" ca="1" si="16"/>
        <v>1</v>
      </c>
      <c r="AB10" s="47">
        <f t="shared" ca="1" si="17"/>
        <v>12000</v>
      </c>
      <c r="AC10" s="63">
        <f t="shared" ca="1" si="18"/>
        <v>62000</v>
      </c>
      <c r="AD10" s="63">
        <f t="shared" ca="1" si="19"/>
        <v>7200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50.000000000000007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82</v>
      </c>
      <c r="AS10" s="33">
        <f t="shared" ca="1" si="34"/>
        <v>0.4</v>
      </c>
      <c r="AW10" s="2">
        <v>1.3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11.4</v>
      </c>
      <c r="BE10" s="2">
        <v>12.9</v>
      </c>
      <c r="BF10" s="2">
        <v>13.5</v>
      </c>
      <c r="BG10" s="2">
        <v>14.3</v>
      </c>
      <c r="BH10" s="2">
        <v>16</v>
      </c>
      <c r="BI10" s="2"/>
      <c r="BJ10" s="2"/>
      <c r="BK10" s="2"/>
      <c r="BL10" s="2"/>
      <c r="BM10" s="2"/>
      <c r="BN10" s="2">
        <v>90</v>
      </c>
      <c r="BO10" s="2">
        <v>34</v>
      </c>
      <c r="BP10" s="2">
        <v>40</v>
      </c>
      <c r="BQ10" s="2">
        <v>44</v>
      </c>
      <c r="BR10" s="2">
        <v>47</v>
      </c>
      <c r="BS10" s="2">
        <v>53</v>
      </c>
      <c r="BT10" s="2">
        <v>13</v>
      </c>
      <c r="BU10" s="2">
        <v>38</v>
      </c>
      <c r="BV10" s="2">
        <v>48</v>
      </c>
      <c r="BW10" s="2">
        <v>58</v>
      </c>
      <c r="BX10" s="2">
        <v>83</v>
      </c>
      <c r="BY10" s="2">
        <v>38.1</v>
      </c>
      <c r="BZ10" s="2">
        <v>1</v>
      </c>
      <c r="CA10" s="2">
        <v>0.5</v>
      </c>
      <c r="CB10" s="2">
        <v>3.8012457523279802E-5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10b</v>
      </c>
      <c r="J11" s="47">
        <f t="shared" ca="1" si="35"/>
        <v>6</v>
      </c>
      <c r="K11" s="19">
        <f t="shared" ca="1" si="36"/>
        <v>-5</v>
      </c>
      <c r="L11" s="116" t="str">
        <f t="shared" ca="1" si="1"/>
        <v>EW_sand_Ruled_92</v>
      </c>
      <c r="M11" s="105" t="str">
        <f t="shared" ca="1" si="2"/>
        <v>API sand</v>
      </c>
      <c r="N11" s="47">
        <f t="shared" ca="1" si="3"/>
        <v>9.8999999999999986</v>
      </c>
      <c r="O11" s="63">
        <f t="shared" ca="1" si="4"/>
        <v>0</v>
      </c>
      <c r="P11" s="63">
        <f t="shared" ca="1" si="5"/>
        <v>0</v>
      </c>
      <c r="Q11" s="47">
        <f t="shared" ca="1" si="6"/>
        <v>42</v>
      </c>
      <c r="R11" s="47">
        <f t="shared" ca="1" si="7"/>
        <v>37</v>
      </c>
      <c r="S11" s="47">
        <f t="shared" ca="1" si="8"/>
        <v>1.8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106900</v>
      </c>
      <c r="Y11" s="47">
        <f t="shared" ca="1" si="14"/>
        <v>0</v>
      </c>
      <c r="Z11" s="47">
        <f t="shared" ca="1" si="15"/>
        <v>114.99999999999996</v>
      </c>
      <c r="AA11" s="47">
        <f t="shared" ca="1" si="16"/>
        <v>1</v>
      </c>
      <c r="AB11" s="47">
        <f t="shared" ca="1" si="17"/>
        <v>12000</v>
      </c>
      <c r="AC11" s="63">
        <f t="shared" ca="1" si="18"/>
        <v>83000</v>
      </c>
      <c r="AD11" s="63">
        <f t="shared" ca="1" si="19"/>
        <v>16000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50.000000000000007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92</v>
      </c>
      <c r="AS11" s="33">
        <f t="shared" ca="1" si="34"/>
        <v>0.4</v>
      </c>
      <c r="AW11" s="2">
        <v>1.9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0.8</v>
      </c>
      <c r="BE11" s="2">
        <v>2.2999999999999998</v>
      </c>
      <c r="BF11" s="2">
        <v>3</v>
      </c>
      <c r="BG11" s="2">
        <v>3.8</v>
      </c>
      <c r="BH11" s="2">
        <v>5.5</v>
      </c>
      <c r="BI11" s="2"/>
      <c r="BJ11" s="2"/>
      <c r="BK11" s="2"/>
      <c r="BL11" s="2"/>
      <c r="BM11" s="2"/>
      <c r="BN11" s="2">
        <v>90</v>
      </c>
      <c r="BO11" s="2">
        <v>34</v>
      </c>
      <c r="BP11" s="2">
        <v>40</v>
      </c>
      <c r="BQ11" s="2">
        <v>44</v>
      </c>
      <c r="BR11" s="2">
        <v>47</v>
      </c>
      <c r="BS11" s="2">
        <v>53</v>
      </c>
      <c r="BT11" s="2">
        <v>2</v>
      </c>
      <c r="BU11" s="2">
        <v>26</v>
      </c>
      <c r="BV11" s="2">
        <v>37</v>
      </c>
      <c r="BW11" s="2">
        <v>47</v>
      </c>
      <c r="BX11" s="2">
        <v>72</v>
      </c>
      <c r="BY11" s="2">
        <v>38.1</v>
      </c>
      <c r="BZ11" s="2">
        <v>1</v>
      </c>
      <c r="CA11" s="2">
        <v>0.5</v>
      </c>
      <c r="CB11" s="2">
        <v>3.8012457523279802E-5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10b</v>
      </c>
      <c r="J12" s="47">
        <f t="shared" ca="1" si="35"/>
        <v>7</v>
      </c>
      <c r="K12" s="19">
        <f t="shared" ca="1" si="36"/>
        <v>-6.5</v>
      </c>
      <c r="L12" s="116" t="str">
        <f t="shared" ca="1" si="1"/>
        <v>EW_sand_Ruled_90</v>
      </c>
      <c r="M12" s="105" t="str">
        <f t="shared" ca="1" si="2"/>
        <v>API sand</v>
      </c>
      <c r="N12" s="47">
        <f t="shared" ca="1" si="3"/>
        <v>9.8999999999999986</v>
      </c>
      <c r="O12" s="63">
        <f t="shared" ca="1" si="4"/>
        <v>0</v>
      </c>
      <c r="P12" s="63">
        <f t="shared" ca="1" si="5"/>
        <v>0</v>
      </c>
      <c r="Q12" s="47">
        <f t="shared" ca="1" si="6"/>
        <v>42</v>
      </c>
      <c r="R12" s="47">
        <f t="shared" ca="1" si="7"/>
        <v>37</v>
      </c>
      <c r="S12" s="47">
        <f t="shared" ca="1" si="8"/>
        <v>1.6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110300</v>
      </c>
      <c r="Y12" s="47">
        <f t="shared" ca="1" si="14"/>
        <v>0</v>
      </c>
      <c r="Z12" s="47">
        <f t="shared" ca="1" si="15"/>
        <v>114.99999999999996</v>
      </c>
      <c r="AA12" s="47">
        <f t="shared" ca="1" si="16"/>
        <v>1</v>
      </c>
      <c r="AB12" s="47">
        <f t="shared" ca="1" si="17"/>
        <v>12000</v>
      </c>
      <c r="AC12" s="63">
        <f t="shared" ca="1" si="18"/>
        <v>109000</v>
      </c>
      <c r="AD12" s="63">
        <f t="shared" ca="1" si="19"/>
        <v>-5333.333333333333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50.000000000000007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90</v>
      </c>
      <c r="AS12" s="33">
        <f t="shared" ca="1" si="34"/>
        <v>0.4</v>
      </c>
      <c r="AW12" s="2">
        <v>1.9</v>
      </c>
      <c r="AX12" s="2" t="s">
        <v>298</v>
      </c>
      <c r="AY12" s="130">
        <v>37.1</v>
      </c>
      <c r="AZ12" s="2">
        <v>18.5</v>
      </c>
      <c r="BA12" s="2">
        <v>30</v>
      </c>
      <c r="BB12" s="2">
        <v>88</v>
      </c>
      <c r="BC12" s="2">
        <v>3</v>
      </c>
      <c r="BD12" s="2">
        <v>1.2</v>
      </c>
      <c r="BE12" s="2">
        <v>1.7</v>
      </c>
      <c r="BF12" s="2">
        <v>1.9</v>
      </c>
      <c r="BG12" s="2">
        <v>2.1</v>
      </c>
      <c r="BH12" s="2">
        <v>2.5</v>
      </c>
      <c r="BI12" s="2">
        <v>25</v>
      </c>
      <c r="BJ12" s="2">
        <v>80</v>
      </c>
      <c r="BK12" s="2">
        <v>104</v>
      </c>
      <c r="BL12" s="2">
        <v>129</v>
      </c>
      <c r="BM12" s="2">
        <v>182</v>
      </c>
      <c r="BN12" s="2"/>
      <c r="BO12" s="2"/>
      <c r="BP12" s="2"/>
      <c r="BQ12" s="2"/>
      <c r="BR12" s="2"/>
      <c r="BS12" s="2"/>
      <c r="BT12" s="2">
        <v>1</v>
      </c>
      <c r="BU12" s="2">
        <v>47</v>
      </c>
      <c r="BV12" s="2">
        <v>76</v>
      </c>
      <c r="BW12" s="2">
        <v>105</v>
      </c>
      <c r="BX12" s="2">
        <v>162</v>
      </c>
      <c r="BY12" s="2">
        <v>16.399999999999999</v>
      </c>
      <c r="BZ12" s="2">
        <v>19.7</v>
      </c>
      <c r="CA12" s="2">
        <v>3</v>
      </c>
      <c r="CB12" s="2">
        <v>9.3334875061155003E-8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10b</v>
      </c>
      <c r="J13" s="47">
        <f t="shared" ca="1" si="35"/>
        <v>8</v>
      </c>
      <c r="K13" s="19">
        <f t="shared" ca="1" si="36"/>
        <v>-8</v>
      </c>
      <c r="L13" s="116" t="str">
        <f t="shared" ca="1" si="1"/>
        <v>EW_sand_Ruled_81</v>
      </c>
      <c r="M13" s="105" t="str">
        <f t="shared" ca="1" si="2"/>
        <v>API sand</v>
      </c>
      <c r="N13" s="47">
        <f t="shared" ca="1" si="3"/>
        <v>9.8999999999999986</v>
      </c>
      <c r="O13" s="63">
        <f t="shared" ca="1" si="4"/>
        <v>0</v>
      </c>
      <c r="P13" s="63">
        <f t="shared" ca="1" si="5"/>
        <v>0</v>
      </c>
      <c r="Q13" s="47">
        <f t="shared" ca="1" si="6"/>
        <v>41</v>
      </c>
      <c r="R13" s="47">
        <f t="shared" ca="1" si="7"/>
        <v>36</v>
      </c>
      <c r="S13" s="47">
        <f t="shared" ca="1" si="8"/>
        <v>1.3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91000</v>
      </c>
      <c r="Y13" s="47">
        <f t="shared" ca="1" si="14"/>
        <v>0</v>
      </c>
      <c r="Z13" s="47">
        <f t="shared" ca="1" si="15"/>
        <v>114.99999999999996</v>
      </c>
      <c r="AA13" s="47">
        <f t="shared" ca="1" si="16"/>
        <v>1</v>
      </c>
      <c r="AB13" s="47">
        <f t="shared" ca="1" si="17"/>
        <v>12000</v>
      </c>
      <c r="AC13" s="63">
        <f t="shared" ca="1" si="18"/>
        <v>103000</v>
      </c>
      <c r="AD13" s="63">
        <f t="shared" ca="1" si="19"/>
        <v>5000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50.000000000000007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81</v>
      </c>
      <c r="AS13" s="33">
        <f t="shared" ca="1" si="34"/>
        <v>0.4</v>
      </c>
      <c r="AW13" s="2">
        <v>2.5</v>
      </c>
      <c r="AX13" s="2" t="s">
        <v>298</v>
      </c>
      <c r="AY13" s="130">
        <v>37.1</v>
      </c>
      <c r="AZ13" s="2">
        <v>18.5</v>
      </c>
      <c r="BA13" s="2">
        <v>30</v>
      </c>
      <c r="BB13" s="2">
        <v>88</v>
      </c>
      <c r="BC13" s="2">
        <v>3</v>
      </c>
      <c r="BD13" s="2">
        <v>1.3</v>
      </c>
      <c r="BE13" s="2">
        <v>1.8</v>
      </c>
      <c r="BF13" s="2">
        <v>2</v>
      </c>
      <c r="BG13" s="2">
        <v>2.2000000000000002</v>
      </c>
      <c r="BH13" s="2">
        <v>2.6</v>
      </c>
      <c r="BI13" s="2">
        <v>30</v>
      </c>
      <c r="BJ13" s="2">
        <v>85</v>
      </c>
      <c r="BK13" s="2">
        <v>109</v>
      </c>
      <c r="BL13" s="2">
        <v>134</v>
      </c>
      <c r="BM13" s="2">
        <v>187</v>
      </c>
      <c r="BN13" s="2"/>
      <c r="BO13" s="2"/>
      <c r="BP13" s="2"/>
      <c r="BQ13" s="2"/>
      <c r="BR13" s="2"/>
      <c r="BS13" s="2"/>
      <c r="BT13" s="2">
        <v>6</v>
      </c>
      <c r="BU13" s="2">
        <v>52</v>
      </c>
      <c r="BV13" s="2">
        <v>81</v>
      </c>
      <c r="BW13" s="2">
        <v>109</v>
      </c>
      <c r="BX13" s="2">
        <v>167</v>
      </c>
      <c r="BY13" s="2">
        <v>16.399999999999999</v>
      </c>
      <c r="BZ13" s="2">
        <v>19.7</v>
      </c>
      <c r="CA13" s="2">
        <v>3</v>
      </c>
      <c r="CB13" s="2">
        <v>9.3334875061155003E-8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10b</v>
      </c>
      <c r="J14" s="47">
        <f t="shared" ca="1" si="35"/>
        <v>9</v>
      </c>
      <c r="K14" s="19">
        <f t="shared" ca="1" si="36"/>
        <v>-11</v>
      </c>
      <c r="L14" s="116" t="str">
        <f t="shared" ca="1" si="1"/>
        <v>EW_sand_Ruled_76</v>
      </c>
      <c r="M14" s="105" t="str">
        <f t="shared" ca="1" si="2"/>
        <v>API sand</v>
      </c>
      <c r="N14" s="47">
        <f t="shared" ca="1" si="3"/>
        <v>9.8999999999999986</v>
      </c>
      <c r="O14" s="63">
        <f t="shared" ca="1" si="4"/>
        <v>0</v>
      </c>
      <c r="P14" s="63">
        <f t="shared" ca="1" si="5"/>
        <v>0</v>
      </c>
      <c r="Q14" s="47">
        <f t="shared" ca="1" si="6"/>
        <v>40</v>
      </c>
      <c r="R14" s="47">
        <f t="shared" ca="1" si="7"/>
        <v>35</v>
      </c>
      <c r="S14" s="47">
        <f t="shared" ca="1" si="8"/>
        <v>1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83900</v>
      </c>
      <c r="Y14" s="47">
        <f t="shared" ca="1" si="14"/>
        <v>0</v>
      </c>
      <c r="Z14" s="47">
        <f t="shared" ca="1" si="15"/>
        <v>114.99999999999996</v>
      </c>
      <c r="AA14" s="47">
        <f t="shared" ca="1" si="16"/>
        <v>1</v>
      </c>
      <c r="AB14" s="47">
        <f t="shared" ca="1" si="17"/>
        <v>12000</v>
      </c>
      <c r="AC14" s="63">
        <f t="shared" ca="1" si="18"/>
        <v>114000</v>
      </c>
      <c r="AD14" s="63">
        <f t="shared" ca="1" si="19"/>
        <v>4666.666666666667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50.000000000000007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76</v>
      </c>
      <c r="AS14" s="33">
        <f t="shared" ca="1" si="34"/>
        <v>0.4</v>
      </c>
      <c r="AW14" s="2">
        <v>2.5</v>
      </c>
      <c r="AX14" s="2" t="s">
        <v>259</v>
      </c>
      <c r="AY14" s="130">
        <v>25.5</v>
      </c>
      <c r="AZ14" s="2">
        <v>20</v>
      </c>
      <c r="BA14" s="2"/>
      <c r="BB14" s="2">
        <v>14</v>
      </c>
      <c r="BC14" s="2"/>
      <c r="BD14" s="2">
        <v>8.5</v>
      </c>
      <c r="BE14" s="2">
        <v>13.5</v>
      </c>
      <c r="BF14" s="2">
        <v>14.6</v>
      </c>
      <c r="BG14" s="2">
        <v>15.5</v>
      </c>
      <c r="BH14" s="2">
        <v>19.899999999999999</v>
      </c>
      <c r="BI14" s="2"/>
      <c r="BJ14" s="2"/>
      <c r="BK14" s="2"/>
      <c r="BL14" s="2"/>
      <c r="BM14" s="2"/>
      <c r="BN14" s="2">
        <v>82</v>
      </c>
      <c r="BO14" s="2">
        <v>35</v>
      </c>
      <c r="BP14" s="2">
        <v>41</v>
      </c>
      <c r="BQ14" s="2">
        <v>45</v>
      </c>
      <c r="BR14" s="2">
        <v>48</v>
      </c>
      <c r="BS14" s="2">
        <v>54</v>
      </c>
      <c r="BT14" s="2">
        <v>3</v>
      </c>
      <c r="BU14" s="2">
        <v>45</v>
      </c>
      <c r="BV14" s="2">
        <v>62</v>
      </c>
      <c r="BW14" s="2">
        <v>79</v>
      </c>
      <c r="BX14" s="2">
        <v>120</v>
      </c>
      <c r="BY14" s="2">
        <v>62.6</v>
      </c>
      <c r="BZ14" s="2">
        <v>9.1</v>
      </c>
      <c r="CA14" s="2">
        <v>1.9</v>
      </c>
      <c r="CB14" s="2">
        <v>6.6575984411190996E-5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19a</v>
      </c>
      <c r="J15" s="47">
        <f t="shared" ca="1" si="35"/>
        <v>10</v>
      </c>
      <c r="K15" s="19">
        <f t="shared" ca="1" si="36"/>
        <v>-14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8.3000000000000007</v>
      </c>
      <c r="O15" s="63">
        <f t="shared" ca="1" si="4"/>
        <v>1112</v>
      </c>
      <c r="P15" s="63">
        <f t="shared" ca="1" si="5"/>
        <v>-235.5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73300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1770000</v>
      </c>
      <c r="AD15" s="63">
        <f t="shared" ca="1" si="19"/>
        <v>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5</v>
      </c>
      <c r="AX15" s="2" t="s">
        <v>259</v>
      </c>
      <c r="AY15" s="130">
        <v>25.5</v>
      </c>
      <c r="AZ15" s="2">
        <v>20</v>
      </c>
      <c r="BA15" s="2"/>
      <c r="BB15" s="2">
        <v>14</v>
      </c>
      <c r="BC15" s="2"/>
      <c r="BD15" s="2">
        <v>11.9</v>
      </c>
      <c r="BE15" s="2">
        <v>16.899999999999999</v>
      </c>
      <c r="BF15" s="2">
        <v>18</v>
      </c>
      <c r="BG15" s="2">
        <v>18.899999999999999</v>
      </c>
      <c r="BH15" s="2">
        <v>23.4</v>
      </c>
      <c r="BI15" s="2"/>
      <c r="BJ15" s="2"/>
      <c r="BK15" s="2"/>
      <c r="BL15" s="2"/>
      <c r="BM15" s="2"/>
      <c r="BN15" s="2">
        <v>82</v>
      </c>
      <c r="BO15" s="2">
        <v>35</v>
      </c>
      <c r="BP15" s="2">
        <v>41</v>
      </c>
      <c r="BQ15" s="2">
        <v>45</v>
      </c>
      <c r="BR15" s="2">
        <v>48</v>
      </c>
      <c r="BS15" s="2">
        <v>54</v>
      </c>
      <c r="BT15" s="2">
        <v>22</v>
      </c>
      <c r="BU15" s="2">
        <v>63</v>
      </c>
      <c r="BV15" s="2">
        <v>80</v>
      </c>
      <c r="BW15" s="2">
        <v>97</v>
      </c>
      <c r="BX15" s="2">
        <v>139</v>
      </c>
      <c r="BY15" s="2">
        <v>62.6</v>
      </c>
      <c r="BZ15" s="2">
        <v>9.1</v>
      </c>
      <c r="CA15" s="2">
        <v>1.9</v>
      </c>
      <c r="CB15" s="2">
        <v>6.6575984411190996E-5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19a</v>
      </c>
      <c r="J16" s="47">
        <f t="shared" ca="1" si="35"/>
        <v>11</v>
      </c>
      <c r="K16" s="19">
        <f t="shared" ca="1" si="36"/>
        <v>-16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8.3000000000000007</v>
      </c>
      <c r="O16" s="63">
        <f t="shared" ca="1" si="4"/>
        <v>225</v>
      </c>
      <c r="P16" s="63">
        <f t="shared" ca="1" si="5"/>
        <v>29.687500000000007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2.6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0.5</v>
      </c>
      <c r="X16" s="47">
        <f t="shared" ca="1" si="13"/>
        <v>24200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372000</v>
      </c>
      <c r="AD16" s="63">
        <f t="shared" ca="1" si="19"/>
        <v>50000.000000000015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5</v>
      </c>
      <c r="AX16" s="2" t="s">
        <v>261</v>
      </c>
      <c r="AY16" s="130">
        <v>24</v>
      </c>
      <c r="AZ16" s="2">
        <v>19.899999999999999</v>
      </c>
      <c r="BA16" s="2"/>
      <c r="BB16" s="2">
        <v>6</v>
      </c>
      <c r="BC16" s="2"/>
      <c r="BD16" s="2">
        <v>14.3</v>
      </c>
      <c r="BE16" s="2">
        <v>16.399999999999999</v>
      </c>
      <c r="BF16" s="2">
        <v>17</v>
      </c>
      <c r="BG16" s="2">
        <v>18.3</v>
      </c>
      <c r="BH16" s="2">
        <v>22.9</v>
      </c>
      <c r="BI16" s="2"/>
      <c r="BJ16" s="2"/>
      <c r="BK16" s="2"/>
      <c r="BL16" s="2"/>
      <c r="BM16" s="2"/>
      <c r="BN16" s="2">
        <v>92</v>
      </c>
      <c r="BO16" s="2">
        <v>36</v>
      </c>
      <c r="BP16" s="2">
        <v>42</v>
      </c>
      <c r="BQ16" s="2">
        <v>46</v>
      </c>
      <c r="BR16" s="2">
        <v>49</v>
      </c>
      <c r="BS16" s="2">
        <v>54</v>
      </c>
      <c r="BT16" s="2">
        <v>5</v>
      </c>
      <c r="BU16" s="2">
        <v>60</v>
      </c>
      <c r="BV16" s="2">
        <v>83</v>
      </c>
      <c r="BW16" s="2">
        <v>105</v>
      </c>
      <c r="BX16" s="2">
        <v>160</v>
      </c>
      <c r="BY16" s="2">
        <v>106.9</v>
      </c>
      <c r="BZ16" s="2">
        <v>8.8000000000000007</v>
      </c>
      <c r="CA16" s="2">
        <v>1.8</v>
      </c>
      <c r="CB16" s="2">
        <v>1.2071863842775199E-4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7"/>
      <c r="E17" s="137"/>
      <c r="I17" s="33" t="str">
        <f t="shared" ca="1" si="0"/>
        <v>19b</v>
      </c>
      <c r="J17" s="47">
        <f t="shared" ca="1" si="35"/>
        <v>12</v>
      </c>
      <c r="K17" s="19">
        <f t="shared" ca="1" si="36"/>
        <v>-19.2</v>
      </c>
      <c r="L17" s="116" t="str">
        <f t="shared" ca="1" si="1"/>
        <v>EW_sand_Ruled_66</v>
      </c>
      <c r="M17" s="105" t="str">
        <f t="shared" ca="1" si="2"/>
        <v>API sand</v>
      </c>
      <c r="N17" s="47">
        <f t="shared" ca="1" si="3"/>
        <v>8.5</v>
      </c>
      <c r="O17" s="63">
        <f t="shared" ca="1" si="4"/>
        <v>0</v>
      </c>
      <c r="P17" s="63">
        <f t="shared" ca="1" si="5"/>
        <v>0</v>
      </c>
      <c r="Q17" s="47">
        <f t="shared" ca="1" si="6"/>
        <v>27</v>
      </c>
      <c r="R17" s="47">
        <f t="shared" ca="1" si="7"/>
        <v>22</v>
      </c>
      <c r="S17" s="47">
        <f t="shared" ca="1" si="8"/>
        <v>1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25000</v>
      </c>
      <c r="Y17" s="47">
        <f t="shared" ca="1" si="14"/>
        <v>0</v>
      </c>
      <c r="Z17" s="47">
        <f t="shared" ca="1" si="15"/>
        <v>72.59999999999998</v>
      </c>
      <c r="AA17" s="47">
        <f t="shared" ca="1" si="16"/>
        <v>1</v>
      </c>
      <c r="AB17" s="47">
        <f t="shared" ca="1" si="17"/>
        <v>3660</v>
      </c>
      <c r="AC17" s="63">
        <f t="shared" ca="1" si="18"/>
        <v>108000</v>
      </c>
      <c r="AD17" s="63">
        <f t="shared" ca="1" si="19"/>
        <v>16071.428571428565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15.200000000000003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66</v>
      </c>
      <c r="AS17" s="33">
        <f t="shared" ca="1" si="34"/>
        <v>0.2</v>
      </c>
      <c r="AW17" s="2">
        <v>6.5</v>
      </c>
      <c r="AX17" s="2" t="s">
        <v>261</v>
      </c>
      <c r="AY17" s="130">
        <v>24</v>
      </c>
      <c r="AZ17" s="2">
        <v>19.899999999999999</v>
      </c>
      <c r="BA17" s="2"/>
      <c r="BB17" s="2">
        <v>6</v>
      </c>
      <c r="BC17" s="2"/>
      <c r="BD17" s="2">
        <v>34.5</v>
      </c>
      <c r="BE17" s="2">
        <v>36.5</v>
      </c>
      <c r="BF17" s="2">
        <v>37.1</v>
      </c>
      <c r="BG17" s="2">
        <v>38.4</v>
      </c>
      <c r="BH17" s="2">
        <v>43.1</v>
      </c>
      <c r="BI17" s="2"/>
      <c r="BJ17" s="2"/>
      <c r="BK17" s="2"/>
      <c r="BL17" s="2"/>
      <c r="BM17" s="2"/>
      <c r="BN17" s="2">
        <v>92</v>
      </c>
      <c r="BO17" s="2">
        <v>36</v>
      </c>
      <c r="BP17" s="2">
        <v>42</v>
      </c>
      <c r="BQ17" s="2">
        <v>46</v>
      </c>
      <c r="BR17" s="2">
        <v>49</v>
      </c>
      <c r="BS17" s="2">
        <v>54</v>
      </c>
      <c r="BT17" s="2">
        <v>30</v>
      </c>
      <c r="BU17" s="2">
        <v>85</v>
      </c>
      <c r="BV17" s="2">
        <v>107</v>
      </c>
      <c r="BW17" s="2">
        <v>130</v>
      </c>
      <c r="BX17" s="2">
        <v>185</v>
      </c>
      <c r="BY17" s="2">
        <v>106.9</v>
      </c>
      <c r="BZ17" s="2">
        <v>8.8000000000000007</v>
      </c>
      <c r="CA17" s="2">
        <v>1.8</v>
      </c>
      <c r="CB17" s="2">
        <v>1.2071863842775199E-4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21a</v>
      </c>
      <c r="J18" s="47">
        <f t="shared" ca="1" si="35"/>
        <v>13</v>
      </c>
      <c r="K18" s="19">
        <f t="shared" ca="1" si="36"/>
        <v>-22</v>
      </c>
      <c r="L18" s="116" t="str">
        <f t="shared" ca="1" si="1"/>
        <v>EW_sand_Ruled_69</v>
      </c>
      <c r="M18" s="105" t="str">
        <f t="shared" ca="1" si="2"/>
        <v>API sand</v>
      </c>
      <c r="N18" s="47">
        <f t="shared" ca="1" si="3"/>
        <v>9.8000000000000007</v>
      </c>
      <c r="O18" s="63">
        <f t="shared" ca="1" si="4"/>
        <v>0</v>
      </c>
      <c r="P18" s="63">
        <f t="shared" ca="1" si="5"/>
        <v>0</v>
      </c>
      <c r="Q18" s="47">
        <f t="shared" ca="1" si="6"/>
        <v>28</v>
      </c>
      <c r="R18" s="47">
        <f t="shared" ca="1" si="7"/>
        <v>23</v>
      </c>
      <c r="S18" s="47">
        <f t="shared" ca="1" si="8"/>
        <v>1.1000000000000001</v>
      </c>
      <c r="T18" s="47">
        <f t="shared" ca="1" si="9"/>
        <v>0</v>
      </c>
      <c r="U18" s="75">
        <f t="shared" ca="1" si="10"/>
        <v>0</v>
      </c>
      <c r="V18" s="75">
        <f t="shared" ca="1" si="11"/>
        <v>0</v>
      </c>
      <c r="W18" s="47">
        <f t="shared" ca="1" si="12"/>
        <v>0</v>
      </c>
      <c r="X18" s="47">
        <f t="shared" ca="1" si="13"/>
        <v>50500</v>
      </c>
      <c r="Y18" s="47">
        <f t="shared" ca="1" si="14"/>
        <v>0</v>
      </c>
      <c r="Z18" s="47">
        <f t="shared" ca="1" si="15"/>
        <v>75.399999999999977</v>
      </c>
      <c r="AA18" s="47">
        <f t="shared" ca="1" si="16"/>
        <v>1</v>
      </c>
      <c r="AB18" s="47">
        <f t="shared" ca="1" si="17"/>
        <v>4040</v>
      </c>
      <c r="AC18" s="63">
        <f t="shared" ca="1" si="18"/>
        <v>167000</v>
      </c>
      <c r="AD18" s="63">
        <f t="shared" ca="1" si="19"/>
        <v>864.8648648648649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>
        <f t="shared" ca="1" si="25"/>
        <v>16.800000000000004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69</v>
      </c>
      <c r="AS18" s="33">
        <f t="shared" ca="1" si="34"/>
        <v>0.2</v>
      </c>
      <c r="AW18" s="2">
        <v>6.5</v>
      </c>
      <c r="AX18" s="2" t="s">
        <v>261</v>
      </c>
      <c r="AY18" s="130">
        <v>24</v>
      </c>
      <c r="AZ18" s="2">
        <v>19.899999999999999</v>
      </c>
      <c r="BA18" s="2"/>
      <c r="BB18" s="2">
        <v>6</v>
      </c>
      <c r="BC18" s="2"/>
      <c r="BD18" s="2">
        <v>33.5</v>
      </c>
      <c r="BE18" s="2">
        <v>35</v>
      </c>
      <c r="BF18" s="2">
        <v>35.5</v>
      </c>
      <c r="BG18" s="2">
        <v>36.1</v>
      </c>
      <c r="BH18" s="2">
        <f>10+38</f>
        <v>48</v>
      </c>
      <c r="BI18" s="2"/>
      <c r="BJ18" s="2"/>
      <c r="BK18" s="2"/>
      <c r="BL18" s="2"/>
      <c r="BM18" s="2"/>
      <c r="BN18" s="2">
        <v>90</v>
      </c>
      <c r="BO18" s="2">
        <v>36</v>
      </c>
      <c r="BP18" s="2">
        <v>42</v>
      </c>
      <c r="BQ18" s="2">
        <v>45</v>
      </c>
      <c r="BR18" s="2">
        <v>49</v>
      </c>
      <c r="BS18" s="2">
        <v>54</v>
      </c>
      <c r="BT18" s="2">
        <v>23</v>
      </c>
      <c r="BU18" s="2">
        <v>84</v>
      </c>
      <c r="BV18" s="2">
        <v>109</v>
      </c>
      <c r="BW18" s="2">
        <v>133</v>
      </c>
      <c r="BX18" s="2">
        <v>194</v>
      </c>
      <c r="BY18" s="2">
        <v>110.3</v>
      </c>
      <c r="BZ18" s="2">
        <v>7.3</v>
      </c>
      <c r="CA18" s="2">
        <v>1.6</v>
      </c>
      <c r="CB18" s="2">
        <v>8.5930487234410003E-5</v>
      </c>
      <c r="CC18" s="2"/>
    </row>
    <row r="19" spans="1:81" x14ac:dyDescent="0.25">
      <c r="A19" s="137" t="s">
        <v>38</v>
      </c>
      <c r="B19" s="137" t="s">
        <v>30</v>
      </c>
      <c r="C19" s="137" t="s">
        <v>59</v>
      </c>
      <c r="D19" s="43"/>
      <c r="E19" s="35"/>
      <c r="I19" s="33" t="str">
        <f t="shared" ca="1" si="0"/>
        <v>23d</v>
      </c>
      <c r="J19" s="47">
        <f t="shared" ca="1" si="35"/>
        <v>14</v>
      </c>
      <c r="K19" s="19">
        <f t="shared" ca="1" si="36"/>
        <v>-40.5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8.8999999999999986</v>
      </c>
      <c r="O19" s="63">
        <f t="shared" ca="1" si="4"/>
        <v>418</v>
      </c>
      <c r="P19" s="63">
        <f t="shared" ca="1" si="5"/>
        <v>-3.3924050632911391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1.4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0.25</v>
      </c>
      <c r="X19" s="47">
        <f t="shared" ca="1" si="13"/>
        <v>29400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622000</v>
      </c>
      <c r="AD19" s="63">
        <f t="shared" ca="1" si="19"/>
        <v>-4658.2278481012654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8</v>
      </c>
      <c r="AX19" s="2" t="s">
        <v>261</v>
      </c>
      <c r="AY19" s="130">
        <v>24</v>
      </c>
      <c r="AZ19" s="2">
        <v>19.899999999999999</v>
      </c>
      <c r="BA19" s="2"/>
      <c r="BB19" s="2">
        <v>6</v>
      </c>
      <c r="BC19" s="2"/>
      <c r="BD19" s="2">
        <f>18.8</f>
        <v>18.8</v>
      </c>
      <c r="BE19" s="2">
        <v>20.3</v>
      </c>
      <c r="BF19" s="2">
        <v>20.7</v>
      </c>
      <c r="BG19" s="2">
        <v>21.3</v>
      </c>
      <c r="BH19" s="2">
        <f>10+23.2</f>
        <v>33.200000000000003</v>
      </c>
      <c r="BI19" s="2"/>
      <c r="BJ19" s="2"/>
      <c r="BK19" s="2"/>
      <c r="BL19" s="2"/>
      <c r="BM19" s="2"/>
      <c r="BN19" s="2">
        <v>90</v>
      </c>
      <c r="BO19" s="2">
        <v>36</v>
      </c>
      <c r="BP19" s="2">
        <v>42</v>
      </c>
      <c r="BQ19" s="2">
        <v>45</v>
      </c>
      <c r="BR19" s="2">
        <v>49</v>
      </c>
      <c r="BS19" s="2">
        <v>54</v>
      </c>
      <c r="BT19" s="2">
        <v>16</v>
      </c>
      <c r="BU19" s="2">
        <v>76</v>
      </c>
      <c r="BV19" s="2">
        <v>101</v>
      </c>
      <c r="BW19" s="2">
        <v>126</v>
      </c>
      <c r="BX19" s="2">
        <v>186</v>
      </c>
      <c r="BY19" s="2">
        <v>110.3</v>
      </c>
      <c r="BZ19" s="2">
        <v>7.3</v>
      </c>
      <c r="CA19" s="2">
        <v>1.6</v>
      </c>
      <c r="CB19" s="2">
        <v>8.5930487234410003E-5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J20" s="47"/>
      <c r="K20" s="19"/>
      <c r="L20" s="116"/>
      <c r="M20" s="105"/>
      <c r="N20" s="47"/>
      <c r="O20" s="63"/>
      <c r="P20" s="63"/>
      <c r="Q20" s="47"/>
      <c r="R20" s="47"/>
      <c r="S20" s="47"/>
      <c r="T20" s="47"/>
      <c r="U20" s="75"/>
      <c r="V20" s="75"/>
      <c r="W20" s="47"/>
      <c r="X20" s="47"/>
      <c r="Y20" s="47"/>
      <c r="Z20" s="47"/>
      <c r="AA20" s="47"/>
      <c r="AB20" s="47"/>
      <c r="AC20" s="63"/>
      <c r="AD20" s="63"/>
      <c r="AE20" s="63"/>
      <c r="AF20" s="63"/>
      <c r="AG20" s="63"/>
      <c r="AH20" s="63"/>
      <c r="AI20" s="63"/>
      <c r="AJ20" s="47"/>
      <c r="AK20" s="47"/>
      <c r="AL20" s="47"/>
      <c r="AM20" s="47"/>
      <c r="AN20" s="47"/>
      <c r="AO20" s="47"/>
      <c r="AP20" s="47"/>
      <c r="AQ20" s="47"/>
      <c r="AR20" s="47"/>
      <c r="AW20" s="2">
        <v>8</v>
      </c>
      <c r="AX20" s="2" t="s">
        <v>261</v>
      </c>
      <c r="AY20" s="130">
        <v>24</v>
      </c>
      <c r="AZ20" s="2">
        <v>19.899999999999999</v>
      </c>
      <c r="BA20" s="2"/>
      <c r="BB20" s="2">
        <v>6</v>
      </c>
      <c r="BC20" s="2"/>
      <c r="BD20" s="2">
        <f>-10+17.5</f>
        <v>7.5</v>
      </c>
      <c r="BE20" s="2">
        <v>20</v>
      </c>
      <c r="BF20" s="2">
        <v>20.5</v>
      </c>
      <c r="BG20" s="2">
        <v>21.8</v>
      </c>
      <c r="BH20" s="2">
        <v>28.8</v>
      </c>
      <c r="BI20" s="2"/>
      <c r="BJ20" s="2"/>
      <c r="BK20" s="2"/>
      <c r="BL20" s="2"/>
      <c r="BM20" s="2"/>
      <c r="BN20" s="2">
        <v>81</v>
      </c>
      <c r="BO20" s="2">
        <v>35</v>
      </c>
      <c r="BP20" s="2">
        <v>41</v>
      </c>
      <c r="BQ20" s="2">
        <v>44</v>
      </c>
      <c r="BR20" s="2">
        <v>47</v>
      </c>
      <c r="BS20" s="2">
        <v>53</v>
      </c>
      <c r="BT20" s="2">
        <v>13</v>
      </c>
      <c r="BU20" s="2">
        <v>77</v>
      </c>
      <c r="BV20" s="2">
        <v>103</v>
      </c>
      <c r="BW20" s="2">
        <v>129</v>
      </c>
      <c r="BX20" s="2">
        <v>193</v>
      </c>
      <c r="BY20" s="2">
        <v>91</v>
      </c>
      <c r="BZ20" s="2">
        <v>5</v>
      </c>
      <c r="CA20" s="2">
        <v>1.3</v>
      </c>
      <c r="CB20" s="2">
        <v>1.29055242502475E-5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11</v>
      </c>
      <c r="AX21" s="2" t="s">
        <v>261</v>
      </c>
      <c r="AY21" s="130">
        <v>24</v>
      </c>
      <c r="AZ21" s="2">
        <v>19.899999999999999</v>
      </c>
      <c r="BA21" s="2"/>
      <c r="BB21" s="2">
        <v>6</v>
      </c>
      <c r="BC21" s="2"/>
      <c r="BD21" s="2">
        <f>-10+22.1</f>
        <v>12.100000000000001</v>
      </c>
      <c r="BE21" s="2">
        <v>24.6</v>
      </c>
      <c r="BF21" s="2">
        <v>25.1</v>
      </c>
      <c r="BG21" s="2">
        <v>26.4</v>
      </c>
      <c r="BH21" s="2">
        <v>33.4</v>
      </c>
      <c r="BI21" s="2"/>
      <c r="BJ21" s="2"/>
      <c r="BK21" s="2"/>
      <c r="BL21" s="2"/>
      <c r="BM21" s="2"/>
      <c r="BN21" s="2">
        <v>81</v>
      </c>
      <c r="BO21" s="2">
        <v>35</v>
      </c>
      <c r="BP21" s="2">
        <v>41</v>
      </c>
      <c r="BQ21" s="2">
        <v>44</v>
      </c>
      <c r="BR21" s="2">
        <v>47</v>
      </c>
      <c r="BS21" s="2">
        <v>53</v>
      </c>
      <c r="BT21" s="2">
        <v>28</v>
      </c>
      <c r="BU21" s="2">
        <v>92</v>
      </c>
      <c r="BV21" s="2">
        <v>118</v>
      </c>
      <c r="BW21" s="2">
        <v>144</v>
      </c>
      <c r="BX21" s="2">
        <v>208</v>
      </c>
      <c r="BY21" s="2">
        <v>91</v>
      </c>
      <c r="BZ21" s="2">
        <v>5</v>
      </c>
      <c r="CA21" s="2">
        <v>1.3</v>
      </c>
      <c r="CB21" s="2">
        <v>1.29055242502475E-5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11</v>
      </c>
      <c r="AX22" s="2" t="s">
        <v>261</v>
      </c>
      <c r="AY22" s="130">
        <v>24</v>
      </c>
      <c r="AZ22" s="2">
        <v>19.899999999999999</v>
      </c>
      <c r="BA22" s="2"/>
      <c r="BB22" s="2">
        <v>6</v>
      </c>
      <c r="BC22" s="2"/>
      <c r="BD22" s="2">
        <v>15.2</v>
      </c>
      <c r="BE22" s="2">
        <v>19</v>
      </c>
      <c r="BF22" s="2">
        <v>19.7</v>
      </c>
      <c r="BG22" s="2">
        <v>21</v>
      </c>
      <c r="BH22" s="2">
        <v>28.3</v>
      </c>
      <c r="BI22" s="2"/>
      <c r="BJ22" s="2"/>
      <c r="BK22" s="2"/>
      <c r="BL22" s="2"/>
      <c r="BM22" s="2"/>
      <c r="BN22" s="2">
        <v>76</v>
      </c>
      <c r="BO22" s="2">
        <v>34</v>
      </c>
      <c r="BP22" s="2">
        <v>40</v>
      </c>
      <c r="BQ22" s="2">
        <v>43</v>
      </c>
      <c r="BR22" s="2">
        <v>46</v>
      </c>
      <c r="BS22" s="2">
        <v>52</v>
      </c>
      <c r="BT22" s="2">
        <v>15</v>
      </c>
      <c r="BU22" s="2">
        <v>85</v>
      </c>
      <c r="BV22" s="2">
        <v>114</v>
      </c>
      <c r="BW22" s="2">
        <v>142</v>
      </c>
      <c r="BX22" s="2">
        <v>212</v>
      </c>
      <c r="BY22" s="2">
        <v>83.9</v>
      </c>
      <c r="BZ22" s="2">
        <v>3.4</v>
      </c>
      <c r="CA22" s="2">
        <v>1</v>
      </c>
      <c r="CB22" s="2">
        <v>3.7007854454180999E-6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14</v>
      </c>
      <c r="AX23" s="2" t="s">
        <v>261</v>
      </c>
      <c r="AY23" s="130">
        <v>24</v>
      </c>
      <c r="AZ23" s="2">
        <v>19.899999999999999</v>
      </c>
      <c r="BA23" s="2"/>
      <c r="BB23" s="2">
        <v>6</v>
      </c>
      <c r="BC23" s="2"/>
      <c r="BD23" s="2">
        <v>19.2</v>
      </c>
      <c r="BE23" s="2">
        <v>23</v>
      </c>
      <c r="BF23" s="2">
        <v>23.7</v>
      </c>
      <c r="BG23" s="2">
        <v>25</v>
      </c>
      <c r="BH23" s="2">
        <v>32.200000000000003</v>
      </c>
      <c r="BI23" s="2"/>
      <c r="BJ23" s="2"/>
      <c r="BK23" s="2"/>
      <c r="BL23" s="2"/>
      <c r="BM23" s="2"/>
      <c r="BN23" s="2">
        <v>76</v>
      </c>
      <c r="BO23" s="2">
        <v>34</v>
      </c>
      <c r="BP23" s="2">
        <v>40</v>
      </c>
      <c r="BQ23" s="2">
        <v>43</v>
      </c>
      <c r="BR23" s="2">
        <v>46</v>
      </c>
      <c r="BS23" s="2">
        <v>52</v>
      </c>
      <c r="BT23" s="2">
        <v>30</v>
      </c>
      <c r="BU23" s="2">
        <v>100</v>
      </c>
      <c r="BV23" s="2">
        <v>128</v>
      </c>
      <c r="BW23" s="2">
        <v>156</v>
      </c>
      <c r="BX23" s="2">
        <v>227</v>
      </c>
      <c r="BY23" s="2">
        <v>83.9</v>
      </c>
      <c r="BZ23" s="2">
        <v>3.4</v>
      </c>
      <c r="CA23" s="2">
        <v>1</v>
      </c>
      <c r="CB23" s="2">
        <v>3.7007854454180999E-6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14</v>
      </c>
      <c r="AX24" s="2" t="s">
        <v>304</v>
      </c>
      <c r="AY24" s="130">
        <v>38</v>
      </c>
      <c r="AZ24" s="2">
        <v>18.3</v>
      </c>
      <c r="BA24" s="2"/>
      <c r="BB24" s="2"/>
      <c r="BC24" s="2">
        <v>4</v>
      </c>
      <c r="BD24" s="2">
        <v>14.6</v>
      </c>
      <c r="BE24" s="2">
        <v>20.5</v>
      </c>
      <c r="BF24" s="2">
        <v>21.9</v>
      </c>
      <c r="BG24" s="2">
        <v>23</v>
      </c>
      <c r="BH24" s="2">
        <v>27.3</v>
      </c>
      <c r="BI24" s="2">
        <v>766</v>
      </c>
      <c r="BJ24" s="2">
        <v>1112</v>
      </c>
      <c r="BK24" s="2">
        <v>1203</v>
      </c>
      <c r="BL24" s="2">
        <v>1278</v>
      </c>
      <c r="BM24" s="2">
        <v>1537</v>
      </c>
      <c r="BN24" s="2"/>
      <c r="BO24" s="2"/>
      <c r="BP24" s="2"/>
      <c r="BQ24" s="2"/>
      <c r="BR24" s="2"/>
      <c r="BS24" s="2"/>
      <c r="BT24" s="2">
        <v>324</v>
      </c>
      <c r="BU24" s="2">
        <v>1613</v>
      </c>
      <c r="BV24" s="2">
        <v>1770</v>
      </c>
      <c r="BW24" s="2">
        <v>1896</v>
      </c>
      <c r="BX24" s="2">
        <v>2804</v>
      </c>
      <c r="BY24" s="2">
        <v>73.3</v>
      </c>
      <c r="BZ24" s="2">
        <v>30</v>
      </c>
      <c r="CA24" s="2">
        <v>3</v>
      </c>
      <c r="CB24" s="2">
        <v>1.16790352234228E-6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16</v>
      </c>
      <c r="AX25" s="2" t="s">
        <v>304</v>
      </c>
      <c r="AY25" s="130">
        <v>38</v>
      </c>
      <c r="AZ25" s="2">
        <v>18.3</v>
      </c>
      <c r="BA25" s="2"/>
      <c r="BB25" s="2"/>
      <c r="BC25" s="2">
        <v>4</v>
      </c>
      <c r="BD25" s="2">
        <v>6.1</v>
      </c>
      <c r="BE25" s="2">
        <v>12.1</v>
      </c>
      <c r="BF25" s="2">
        <v>13.5</v>
      </c>
      <c r="BG25" s="2">
        <v>14.5</v>
      </c>
      <c r="BH25" s="2">
        <v>18.8</v>
      </c>
      <c r="BI25" s="2">
        <v>295</v>
      </c>
      <c r="BJ25" s="2">
        <v>641</v>
      </c>
      <c r="BK25" s="2">
        <v>732</v>
      </c>
      <c r="BL25" s="2">
        <v>807</v>
      </c>
      <c r="BM25" s="2">
        <v>1066</v>
      </c>
      <c r="BN25" s="2"/>
      <c r="BO25" s="2"/>
      <c r="BP25" s="2"/>
      <c r="BQ25" s="2"/>
      <c r="BR25" s="2"/>
      <c r="BS25" s="2"/>
      <c r="BT25" s="2">
        <v>324</v>
      </c>
      <c r="BU25" s="2">
        <v>1613</v>
      </c>
      <c r="BV25" s="2">
        <v>1770</v>
      </c>
      <c r="BW25" s="2">
        <v>1896</v>
      </c>
      <c r="BX25" s="2">
        <v>2804</v>
      </c>
      <c r="BY25" s="2">
        <v>73.3</v>
      </c>
      <c r="BZ25" s="2">
        <v>30</v>
      </c>
      <c r="CA25" s="2">
        <v>3</v>
      </c>
      <c r="CB25" s="2">
        <v>1.16790352234228E-6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16</v>
      </c>
      <c r="AX26" s="2" t="s">
        <v>304</v>
      </c>
      <c r="AY26" s="130">
        <v>38</v>
      </c>
      <c r="AZ26" s="2">
        <v>18.3</v>
      </c>
      <c r="BA26" s="2"/>
      <c r="BB26" s="2"/>
      <c r="BC26" s="2">
        <v>4</v>
      </c>
      <c r="BD26" s="2">
        <v>3.1</v>
      </c>
      <c r="BE26" s="2">
        <v>5</v>
      </c>
      <c r="BF26" s="2">
        <v>5.4</v>
      </c>
      <c r="BG26" s="2">
        <v>7.5</v>
      </c>
      <c r="BH26" s="2">
        <v>18</v>
      </c>
      <c r="BI26" s="2">
        <v>80</v>
      </c>
      <c r="BJ26" s="2">
        <v>225</v>
      </c>
      <c r="BK26" s="2">
        <v>278</v>
      </c>
      <c r="BL26" s="2">
        <v>404</v>
      </c>
      <c r="BM26" s="2">
        <v>997</v>
      </c>
      <c r="BN26" s="2"/>
      <c r="BO26" s="2"/>
      <c r="BP26" s="2"/>
      <c r="BQ26" s="2"/>
      <c r="BR26" s="2"/>
      <c r="BS26" s="2"/>
      <c r="BT26" s="2">
        <v>58</v>
      </c>
      <c r="BU26" s="2">
        <v>283</v>
      </c>
      <c r="BV26" s="2">
        <v>372</v>
      </c>
      <c r="BW26" s="2">
        <v>608</v>
      </c>
      <c r="BX26" s="2">
        <v>1744</v>
      </c>
      <c r="BY26" s="2">
        <v>24.2</v>
      </c>
      <c r="BZ26" s="2">
        <v>9.3000000000000007</v>
      </c>
      <c r="CA26" s="2">
        <v>2.6</v>
      </c>
      <c r="CB26" s="2">
        <v>9.8322254493782301E-10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19.2</v>
      </c>
      <c r="AX27" s="2" t="s">
        <v>304</v>
      </c>
      <c r="AY27" s="130">
        <v>38</v>
      </c>
      <c r="AZ27" s="2">
        <v>18.3</v>
      </c>
      <c r="BA27" s="2"/>
      <c r="BB27" s="2"/>
      <c r="BC27" s="2">
        <v>4</v>
      </c>
      <c r="BD27" s="2">
        <v>4.9000000000000004</v>
      </c>
      <c r="BE27" s="2">
        <v>6.7</v>
      </c>
      <c r="BF27" s="2">
        <v>7.1</v>
      </c>
      <c r="BG27" s="2">
        <v>9.1999999999999993</v>
      </c>
      <c r="BH27" s="2">
        <v>19.8</v>
      </c>
      <c r="BI27" s="2">
        <v>176</v>
      </c>
      <c r="BJ27" s="2">
        <v>320</v>
      </c>
      <c r="BK27" s="2">
        <v>374</v>
      </c>
      <c r="BL27" s="2">
        <v>500</v>
      </c>
      <c r="BM27" s="2">
        <v>1092</v>
      </c>
      <c r="BN27" s="2"/>
      <c r="BO27" s="2"/>
      <c r="BP27" s="2"/>
      <c r="BQ27" s="2"/>
      <c r="BR27" s="2"/>
      <c r="BS27" s="2"/>
      <c r="BT27" s="2">
        <v>218</v>
      </c>
      <c r="BU27" s="2">
        <v>443</v>
      </c>
      <c r="BV27" s="2">
        <v>532</v>
      </c>
      <c r="BW27" s="2">
        <v>768</v>
      </c>
      <c r="BX27" s="2">
        <v>1904</v>
      </c>
      <c r="BY27" s="2">
        <v>24.2</v>
      </c>
      <c r="BZ27" s="2">
        <v>9.3000000000000007</v>
      </c>
      <c r="CA27" s="2">
        <v>2.6</v>
      </c>
      <c r="CB27" s="2">
        <v>9.8322254493782301E-10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19.2</v>
      </c>
      <c r="AX28" s="2" t="s">
        <v>291</v>
      </c>
      <c r="AY28" s="130">
        <v>35.4</v>
      </c>
      <c r="AZ28" s="2">
        <v>18.5</v>
      </c>
      <c r="BA28" s="2"/>
      <c r="BB28" s="2">
        <v>54</v>
      </c>
      <c r="BC28" s="2"/>
      <c r="BD28" s="2">
        <v>0.7</v>
      </c>
      <c r="BE28" s="2">
        <v>3.9</v>
      </c>
      <c r="BF28" s="2">
        <v>7.1</v>
      </c>
      <c r="BG28" s="2">
        <v>11.6</v>
      </c>
      <c r="BH28" s="2">
        <v>29.2</v>
      </c>
      <c r="BI28" s="2"/>
      <c r="BJ28" s="2"/>
      <c r="BK28" s="2"/>
      <c r="BL28" s="2"/>
      <c r="BM28" s="2"/>
      <c r="BN28" s="2">
        <v>66</v>
      </c>
      <c r="BO28" s="2">
        <v>26</v>
      </c>
      <c r="BP28" s="2">
        <v>27</v>
      </c>
      <c r="BQ28" s="2">
        <v>29</v>
      </c>
      <c r="BR28" s="2">
        <v>32</v>
      </c>
      <c r="BS28" s="2">
        <v>37</v>
      </c>
      <c r="BT28" s="2">
        <v>19</v>
      </c>
      <c r="BU28" s="2">
        <v>77</v>
      </c>
      <c r="BV28" s="2">
        <v>108</v>
      </c>
      <c r="BW28" s="2">
        <v>139</v>
      </c>
      <c r="BX28" s="2">
        <v>219</v>
      </c>
      <c r="BY28" s="2">
        <v>25</v>
      </c>
      <c r="BZ28" s="2">
        <v>3.2</v>
      </c>
      <c r="CA28" s="2">
        <v>1</v>
      </c>
      <c r="CB28" s="2">
        <v>5.7633431704662103E-10</v>
      </c>
      <c r="CC28" s="2"/>
    </row>
    <row r="29" spans="1:81" x14ac:dyDescent="0.25">
      <c r="A29" s="66"/>
      <c r="B29" s="66"/>
      <c r="C29" s="67"/>
      <c r="D29" s="35"/>
      <c r="AW29" s="2">
        <v>22</v>
      </c>
      <c r="AX29" s="2" t="s">
        <v>291</v>
      </c>
      <c r="AY29" s="130">
        <v>35.4</v>
      </c>
      <c r="AZ29" s="2">
        <v>18.5</v>
      </c>
      <c r="BA29" s="2"/>
      <c r="BB29" s="2">
        <v>54</v>
      </c>
      <c r="BC29" s="2"/>
      <c r="BD29" s="2">
        <v>21.6</v>
      </c>
      <c r="BE29" s="2">
        <v>24.8</v>
      </c>
      <c r="BF29" s="2">
        <v>28</v>
      </c>
      <c r="BG29" s="2">
        <v>32.5</v>
      </c>
      <c r="BH29" s="2">
        <v>50.1</v>
      </c>
      <c r="BI29" s="2"/>
      <c r="BJ29" s="2"/>
      <c r="BK29" s="2"/>
      <c r="BL29" s="2"/>
      <c r="BM29" s="2"/>
      <c r="BN29" s="2">
        <v>66</v>
      </c>
      <c r="BO29" s="2">
        <v>26</v>
      </c>
      <c r="BP29" s="2">
        <v>27</v>
      </c>
      <c r="BQ29" s="2">
        <v>29</v>
      </c>
      <c r="BR29" s="2">
        <v>32</v>
      </c>
      <c r="BS29" s="2">
        <v>37</v>
      </c>
      <c r="BT29" s="2">
        <v>64</v>
      </c>
      <c r="BU29" s="2">
        <v>122</v>
      </c>
      <c r="BV29" s="2">
        <v>153</v>
      </c>
      <c r="BW29" s="2">
        <v>184</v>
      </c>
      <c r="BX29" s="2">
        <v>264</v>
      </c>
      <c r="BY29" s="2">
        <v>25</v>
      </c>
      <c r="BZ29" s="2">
        <v>3.2</v>
      </c>
      <c r="CA29" s="2">
        <v>1</v>
      </c>
      <c r="CB29" s="2">
        <v>5.7633431704662103E-10</v>
      </c>
      <c r="CC29" s="2"/>
    </row>
    <row r="30" spans="1:81" x14ac:dyDescent="0.25">
      <c r="A30" s="66"/>
      <c r="B30" s="66"/>
      <c r="C30" s="67"/>
      <c r="D30" s="35"/>
      <c r="AW30" s="2">
        <v>22</v>
      </c>
      <c r="AX30" s="2" t="s">
        <v>271</v>
      </c>
      <c r="AY30" s="130">
        <v>24.7</v>
      </c>
      <c r="AZ30" s="2">
        <v>19.8</v>
      </c>
      <c r="BA30" s="2"/>
      <c r="BB30" s="2">
        <v>11</v>
      </c>
      <c r="BC30" s="2"/>
      <c r="BD30" s="2">
        <v>17.5</v>
      </c>
      <c r="BE30" s="2">
        <v>31.2</v>
      </c>
      <c r="BF30" s="2">
        <v>32.200000000000003</v>
      </c>
      <c r="BG30" s="2">
        <v>33.5</v>
      </c>
      <c r="BH30" s="2">
        <v>49.8</v>
      </c>
      <c r="BI30" s="2"/>
      <c r="BJ30" s="2"/>
      <c r="BK30" s="2"/>
      <c r="BL30" s="2"/>
      <c r="BM30" s="2"/>
      <c r="BN30" s="2">
        <v>69</v>
      </c>
      <c r="BO30" s="2">
        <v>26</v>
      </c>
      <c r="BP30" s="2">
        <v>28</v>
      </c>
      <c r="BQ30" s="2">
        <v>31</v>
      </c>
      <c r="BR30" s="2">
        <v>33</v>
      </c>
      <c r="BS30" s="2">
        <v>37</v>
      </c>
      <c r="BT30" s="2">
        <v>24</v>
      </c>
      <c r="BU30" s="2">
        <v>126</v>
      </c>
      <c r="BV30" s="2">
        <v>167</v>
      </c>
      <c r="BW30" s="2">
        <v>208</v>
      </c>
      <c r="BX30" s="2">
        <v>312</v>
      </c>
      <c r="BY30" s="2">
        <v>50.5</v>
      </c>
      <c r="BZ30" s="2">
        <v>3.7</v>
      </c>
      <c r="CA30" s="2">
        <v>1.1000000000000001</v>
      </c>
      <c r="CB30" s="2">
        <v>4.2298322466551702E-10</v>
      </c>
      <c r="CC30" s="2"/>
    </row>
    <row r="31" spans="1:81" x14ac:dyDescent="0.25">
      <c r="A31" s="66"/>
      <c r="B31" s="66"/>
      <c r="C31" s="67"/>
      <c r="D31" s="35"/>
      <c r="AW31" s="2">
        <v>40.5</v>
      </c>
      <c r="AX31" s="2" t="s">
        <v>271</v>
      </c>
      <c r="AY31" s="130">
        <v>24.7</v>
      </c>
      <c r="AZ31" s="2">
        <v>19.8</v>
      </c>
      <c r="BA31" s="2"/>
      <c r="BB31" s="2">
        <v>11</v>
      </c>
      <c r="BC31" s="2"/>
      <c r="BD31" s="2">
        <v>5.0999999999999996</v>
      </c>
      <c r="BE31" s="2">
        <v>18.8</v>
      </c>
      <c r="BF31" s="2">
        <v>19.899999999999999</v>
      </c>
      <c r="BG31" s="2">
        <v>21.1</v>
      </c>
      <c r="BH31" s="2">
        <v>37.4</v>
      </c>
      <c r="BI31" s="2"/>
      <c r="BJ31" s="2"/>
      <c r="BK31" s="2"/>
      <c r="BL31" s="2"/>
      <c r="BM31" s="2"/>
      <c r="BN31" s="2">
        <v>69</v>
      </c>
      <c r="BO31" s="2">
        <v>26</v>
      </c>
      <c r="BP31" s="2">
        <v>28</v>
      </c>
      <c r="BQ31" s="2">
        <v>31</v>
      </c>
      <c r="BR31" s="2">
        <v>33</v>
      </c>
      <c r="BS31" s="2">
        <v>37</v>
      </c>
      <c r="BT31" s="2">
        <v>40</v>
      </c>
      <c r="BU31" s="2">
        <v>142</v>
      </c>
      <c r="BV31" s="2">
        <v>183</v>
      </c>
      <c r="BW31" s="2">
        <v>225</v>
      </c>
      <c r="BX31" s="2">
        <v>329</v>
      </c>
      <c r="BY31" s="2">
        <v>50.5</v>
      </c>
      <c r="BZ31" s="2">
        <v>3.7</v>
      </c>
      <c r="CA31" s="2">
        <v>1.1000000000000001</v>
      </c>
      <c r="CB31" s="2">
        <v>4.2298322466551702E-10</v>
      </c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40.5</v>
      </c>
      <c r="AX32" s="2" t="s">
        <v>273</v>
      </c>
      <c r="AY32" s="130">
        <v>32</v>
      </c>
      <c r="AZ32" s="2">
        <v>18.899999999999999</v>
      </c>
      <c r="BA32" s="2">
        <v>47</v>
      </c>
      <c r="BB32" s="2">
        <v>85</v>
      </c>
      <c r="BC32" s="2">
        <v>3</v>
      </c>
      <c r="BD32" s="2">
        <v>6.8</v>
      </c>
      <c r="BE32" s="2">
        <v>9.9</v>
      </c>
      <c r="BF32" s="2">
        <v>10.199999999999999</v>
      </c>
      <c r="BG32" s="2">
        <v>10.5</v>
      </c>
      <c r="BH32" s="2">
        <f>30+13.8</f>
        <v>43.8</v>
      </c>
      <c r="BI32" s="2">
        <v>251</v>
      </c>
      <c r="BJ32" s="2">
        <v>418</v>
      </c>
      <c r="BK32" s="2">
        <v>466</v>
      </c>
      <c r="BL32" s="2">
        <v>516</v>
      </c>
      <c r="BM32" s="2">
        <v>693</v>
      </c>
      <c r="BN32" s="2"/>
      <c r="BO32" s="2"/>
      <c r="BP32" s="2"/>
      <c r="BQ32" s="2"/>
      <c r="BR32" s="2"/>
      <c r="BS32" s="2"/>
      <c r="BT32" s="2">
        <v>263</v>
      </c>
      <c r="BU32" s="2">
        <v>526</v>
      </c>
      <c r="BV32" s="2">
        <v>622</v>
      </c>
      <c r="BW32" s="2">
        <v>719</v>
      </c>
      <c r="BX32" s="2">
        <v>1016</v>
      </c>
      <c r="BY32" s="2">
        <v>29.4</v>
      </c>
      <c r="BZ32" s="2">
        <v>4.5</v>
      </c>
      <c r="CA32" s="2">
        <v>1.4</v>
      </c>
      <c r="CB32" s="2">
        <v>2.2026708761020001E-10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80</v>
      </c>
      <c r="AX33" s="2" t="s">
        <v>273</v>
      </c>
      <c r="AY33" s="130">
        <v>32</v>
      </c>
      <c r="AZ33" s="2">
        <v>18.899999999999999</v>
      </c>
      <c r="BA33" s="2">
        <v>47</v>
      </c>
      <c r="BB33" s="2">
        <v>85</v>
      </c>
      <c r="BC33" s="2">
        <v>3</v>
      </c>
      <c r="BD33" s="2">
        <v>4.4000000000000004</v>
      </c>
      <c r="BE33" s="2">
        <v>7.4</v>
      </c>
      <c r="BF33" s="2">
        <v>7.7</v>
      </c>
      <c r="BG33" s="2">
        <v>8</v>
      </c>
      <c r="BH33" s="2">
        <f>30+11.3</f>
        <v>41.3</v>
      </c>
      <c r="BI33" s="2">
        <v>118</v>
      </c>
      <c r="BJ33" s="2">
        <v>284</v>
      </c>
      <c r="BK33" s="2">
        <v>333</v>
      </c>
      <c r="BL33" s="2">
        <v>382</v>
      </c>
      <c r="BM33" s="2">
        <v>560</v>
      </c>
      <c r="BN33" s="2"/>
      <c r="BO33" s="2"/>
      <c r="BP33" s="2"/>
      <c r="BQ33" s="2"/>
      <c r="BR33" s="2"/>
      <c r="BS33" s="2"/>
      <c r="BT33" s="2">
        <v>80</v>
      </c>
      <c r="BU33" s="2">
        <v>342</v>
      </c>
      <c r="BV33" s="2">
        <v>438</v>
      </c>
      <c r="BW33" s="2">
        <v>535</v>
      </c>
      <c r="BX33" s="2">
        <v>833</v>
      </c>
      <c r="BY33" s="2">
        <v>29.4</v>
      </c>
      <c r="BZ33" s="2">
        <v>4.5</v>
      </c>
      <c r="CA33" s="2">
        <v>1.4</v>
      </c>
      <c r="CB33" s="2">
        <v>2.2026708761020001E-10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80</v>
      </c>
      <c r="AX34" s="2" t="s">
        <v>273</v>
      </c>
      <c r="AY34" s="130">
        <v>32</v>
      </c>
      <c r="AZ34" s="2">
        <v>18.899999999999999</v>
      </c>
      <c r="BA34" s="2">
        <v>47</v>
      </c>
      <c r="BB34" s="2">
        <v>85</v>
      </c>
      <c r="BC34" s="2">
        <v>3</v>
      </c>
      <c r="BD34" s="2">
        <v>4.4000000000000004</v>
      </c>
      <c r="BE34" s="2">
        <v>7.4</v>
      </c>
      <c r="BF34" s="2">
        <v>7.7</v>
      </c>
      <c r="BG34" s="2">
        <v>8</v>
      </c>
      <c r="BH34" s="2">
        <f>30+11.3</f>
        <v>41.3</v>
      </c>
      <c r="BI34" s="2">
        <v>118</v>
      </c>
      <c r="BJ34" s="2">
        <v>284</v>
      </c>
      <c r="BK34" s="2">
        <v>333</v>
      </c>
      <c r="BL34" s="2">
        <v>382</v>
      </c>
      <c r="BM34" s="2">
        <v>560</v>
      </c>
      <c r="BN34" s="2"/>
      <c r="BO34" s="2"/>
      <c r="BP34" s="2"/>
      <c r="BQ34" s="2"/>
      <c r="BR34" s="2"/>
      <c r="BS34" s="2"/>
      <c r="BT34" s="2">
        <v>80</v>
      </c>
      <c r="BU34" s="2">
        <v>342</v>
      </c>
      <c r="BV34" s="2">
        <v>438</v>
      </c>
      <c r="BW34" s="2">
        <v>535</v>
      </c>
      <c r="BX34" s="2">
        <v>833</v>
      </c>
      <c r="BY34" s="2">
        <v>29.4</v>
      </c>
      <c r="BZ34" s="2">
        <v>4.5</v>
      </c>
      <c r="CA34" s="2">
        <v>1.4</v>
      </c>
      <c r="CB34" s="2">
        <v>2.2026708761020001E-10</v>
      </c>
      <c r="CC34" s="2">
        <v>1.8</v>
      </c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349" priority="12">
      <formula>$L32="API sand"</formula>
    </cfRule>
  </conditionalFormatting>
  <conditionalFormatting sqref="R32:S36 AB32:AB35 AJ32:AL36 Z32:Z36 N32:N36">
    <cfRule type="expression" dxfId="2348" priority="11">
      <formula>$M32="API sand"</formula>
    </cfRule>
  </conditionalFormatting>
  <conditionalFormatting sqref="R32:T36 Z32:AB35 AK32:AL36 N32:N36">
    <cfRule type="expression" dxfId="2347" priority="10">
      <formula>$M32="API clay"</formula>
    </cfRule>
  </conditionalFormatting>
  <conditionalFormatting sqref="U32:W36 AM32:AP36 N32:P36">
    <cfRule type="expression" dxfId="2346" priority="7">
      <formula>$L32="Stiff clay w/o free water"</formula>
    </cfRule>
    <cfRule type="expression" dxfId="2345" priority="9">
      <formula>$L32="API clay"</formula>
    </cfRule>
  </conditionalFormatting>
  <conditionalFormatting sqref="U32:Y36 AM32:AP36 N32:P36">
    <cfRule type="expression" dxfId="2344" priority="8">
      <formula>$L32="Kirsch soft clay"</formula>
    </cfRule>
  </conditionalFormatting>
  <conditionalFormatting sqref="U32:Y36 AM32:AP36 N32:P36">
    <cfRule type="expression" dxfId="2343" priority="6">
      <formula>$L32="Kirsch stiff clay"</formula>
    </cfRule>
  </conditionalFormatting>
  <conditionalFormatting sqref="AM32:AP36 Q32:Q36 X32:Y36 N32:N36">
    <cfRule type="expression" dxfId="2342" priority="5">
      <formula>$L32="Kirsch sand"</formula>
    </cfRule>
  </conditionalFormatting>
  <conditionalFormatting sqref="AC32:AD36 AI32:AI36 AM32:AP36 N32:N36">
    <cfRule type="expression" dxfId="2341" priority="4">
      <formula>$L32="Modified Weak rock"</formula>
    </cfRule>
  </conditionalFormatting>
  <conditionalFormatting sqref="AM32:AP36 N32:P36 U32:V36">
    <cfRule type="expression" dxfId="2340" priority="3">
      <formula>$L32="Reese stiff clay"</formula>
    </cfRule>
  </conditionalFormatting>
  <conditionalFormatting sqref="AB36">
    <cfRule type="expression" dxfId="2339" priority="2">
      <formula>$M36="API sand"</formula>
    </cfRule>
  </conditionalFormatting>
  <conditionalFormatting sqref="Z36:AB36">
    <cfRule type="expression" dxfId="2338" priority="1">
      <formula>$M36="API clay"</formula>
    </cfRule>
  </conditionalFormatting>
  <conditionalFormatting sqref="AE37:AH37">
    <cfRule type="expression" dxfId="2337" priority="13">
      <formula>#REF!="Modified Weak rock"</formula>
    </cfRule>
  </conditionalFormatting>
  <dataValidations count="4">
    <dataValidation type="textLength" showInputMessage="1" showErrorMessage="1" sqref="M27:M31" xr:uid="{4204642F-F2DA-4757-8D1F-10819CF771DC}">
      <formula1>0</formula1>
      <formula2>100</formula2>
    </dataValidation>
    <dataValidation showInputMessage="1" showErrorMessage="1" sqref="L6:M26" xr:uid="{B7B65A95-5B46-40B2-83DF-34965E5D2F7A}"/>
    <dataValidation type="list" showInputMessage="1" showErrorMessage="1" sqref="L32:L255" xr:uid="{F30162BA-81D8-49FA-A709-6551D6CAB2B9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B20367EE-83E7-455D-A2A2-8EF6633A2352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A3AC5-8F7B-41BA-8DB5-70FB5661A777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Ak_Pisa_WTG44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13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EW_sand_Ruled_95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39</v>
      </c>
      <c r="R6" s="47">
        <f t="shared" ref="R6:R26" ca="1" si="7">IF(I6="","",IF(Q6&lt;&gt;0,Q6-5,NA()))</f>
        <v>34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16500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111.19999999999996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11520</v>
      </c>
      <c r="AC6" s="63">
        <f t="shared" ref="AC6:AC26" ca="1" si="18">IF(I6="","",IF(OFFSET($BV$6,(ROW()-6)*2,0)=0,0,OFFSET($BV$6,(ROW()-6)*2,0)*1000))</f>
        <v>11000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95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1.3</v>
      </c>
      <c r="BF6" s="2">
        <v>2.1</v>
      </c>
      <c r="BG6" s="2">
        <v>2.8</v>
      </c>
      <c r="BH6" s="2">
        <v>4.4000000000000004</v>
      </c>
      <c r="BI6" s="2"/>
      <c r="BJ6" s="2"/>
      <c r="BK6" s="2"/>
      <c r="BL6" s="2"/>
      <c r="BM6" s="2"/>
      <c r="BN6" s="2">
        <v>95</v>
      </c>
      <c r="BO6" s="2">
        <v>30</v>
      </c>
      <c r="BP6" s="2">
        <v>39</v>
      </c>
      <c r="BQ6" s="2">
        <v>43</v>
      </c>
      <c r="BR6" s="2">
        <v>46</v>
      </c>
      <c r="BS6" s="2">
        <v>53</v>
      </c>
      <c r="BT6" s="2">
        <v>0</v>
      </c>
      <c r="BU6" s="2">
        <v>6</v>
      </c>
      <c r="BV6" s="2">
        <v>11</v>
      </c>
      <c r="BW6" s="2">
        <v>17</v>
      </c>
      <c r="BX6" s="2">
        <v>30</v>
      </c>
      <c r="BY6" s="2">
        <v>16.5</v>
      </c>
      <c r="BZ6" s="2">
        <v>1</v>
      </c>
      <c r="CA6" s="2">
        <v>0.5</v>
      </c>
      <c r="CB6" s="2">
        <v>6.07705402963186E-5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-1</v>
      </c>
      <c r="L7" s="116" t="str">
        <f t="shared" ca="1" si="1"/>
        <v>EW_sand_Ruled_91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41</v>
      </c>
      <c r="R7" s="47">
        <f t="shared" ca="1" si="7"/>
        <v>36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33000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40000</v>
      </c>
      <c r="AD7" s="63">
        <f t="shared" ca="1" si="19"/>
        <v>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91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3.2</v>
      </c>
      <c r="BE7" s="2">
        <v>5.3</v>
      </c>
      <c r="BF7" s="2">
        <v>6.1</v>
      </c>
      <c r="BG7" s="2">
        <v>6.7</v>
      </c>
      <c r="BH7" s="2">
        <v>8.3000000000000007</v>
      </c>
      <c r="BI7" s="2"/>
      <c r="BJ7" s="2"/>
      <c r="BK7" s="2"/>
      <c r="BL7" s="2"/>
      <c r="BM7" s="2"/>
      <c r="BN7" s="2">
        <v>95</v>
      </c>
      <c r="BO7" s="2">
        <v>30</v>
      </c>
      <c r="BP7" s="2">
        <v>39</v>
      </c>
      <c r="BQ7" s="2">
        <v>43</v>
      </c>
      <c r="BR7" s="2">
        <v>46</v>
      </c>
      <c r="BS7" s="2">
        <v>53</v>
      </c>
      <c r="BT7" s="2">
        <v>14</v>
      </c>
      <c r="BU7" s="2">
        <v>27</v>
      </c>
      <c r="BV7" s="2">
        <v>33</v>
      </c>
      <c r="BW7" s="2">
        <v>38</v>
      </c>
      <c r="BX7" s="2">
        <v>51</v>
      </c>
      <c r="BY7" s="2">
        <v>16.5</v>
      </c>
      <c r="BZ7" s="2">
        <v>1</v>
      </c>
      <c r="CA7" s="2">
        <v>0.5</v>
      </c>
      <c r="CB7" s="2">
        <v>6.07705402963186E-5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02a</v>
      </c>
      <c r="J8" s="47">
        <f t="shared" ca="1" si="35"/>
        <v>3</v>
      </c>
      <c r="K8" s="19">
        <f t="shared" ca="1" si="36"/>
        <v>-1.5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10.199999999999999</v>
      </c>
      <c r="O8" s="63">
        <f t="shared" ca="1" si="4"/>
        <v>82</v>
      </c>
      <c r="P8" s="63">
        <f t="shared" ca="1" si="5"/>
        <v>55.555555555555564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17900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89000</v>
      </c>
      <c r="AD8" s="63">
        <f t="shared" ca="1" si="19"/>
        <v>54444.444444444453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8.3000000000000007</v>
      </c>
      <c r="BE8" s="2">
        <v>9.4</v>
      </c>
      <c r="BF8" s="2">
        <v>10</v>
      </c>
      <c r="BG8" s="2">
        <v>10.5</v>
      </c>
      <c r="BH8" s="2">
        <v>11.6</v>
      </c>
      <c r="BI8" s="2"/>
      <c r="BJ8" s="2"/>
      <c r="BK8" s="2"/>
      <c r="BL8" s="2"/>
      <c r="BM8" s="2"/>
      <c r="BN8" s="2">
        <v>91</v>
      </c>
      <c r="BO8" s="2">
        <v>34</v>
      </c>
      <c r="BP8" s="2">
        <v>41</v>
      </c>
      <c r="BQ8" s="2">
        <v>44</v>
      </c>
      <c r="BR8" s="2">
        <v>47</v>
      </c>
      <c r="BS8" s="2">
        <v>54</v>
      </c>
      <c r="BT8" s="2">
        <v>7</v>
      </c>
      <c r="BU8" s="2">
        <v>30</v>
      </c>
      <c r="BV8" s="2">
        <v>40</v>
      </c>
      <c r="BW8" s="2">
        <v>50</v>
      </c>
      <c r="BX8" s="2">
        <v>73</v>
      </c>
      <c r="BY8" s="2">
        <v>33</v>
      </c>
      <c r="BZ8" s="2">
        <v>1</v>
      </c>
      <c r="CA8" s="2">
        <v>0.5</v>
      </c>
      <c r="CB8" s="2">
        <v>6.3149933598395696E-5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09a</v>
      </c>
      <c r="J9" s="47">
        <f t="shared" ca="1" si="35"/>
        <v>4</v>
      </c>
      <c r="K9" s="19">
        <f t="shared" ca="1" si="36"/>
        <v>-2.4</v>
      </c>
      <c r="L9" s="116" t="str">
        <f t="shared" ca="1" si="1"/>
        <v>EW_sand_Ruled_100</v>
      </c>
      <c r="M9" s="105" t="str">
        <f t="shared" ca="1" si="2"/>
        <v>API sand</v>
      </c>
      <c r="N9" s="47">
        <f t="shared" ca="1" si="3"/>
        <v>9.3999999999999986</v>
      </c>
      <c r="O9" s="63">
        <f t="shared" ca="1" si="4"/>
        <v>0</v>
      </c>
      <c r="P9" s="63">
        <f t="shared" ca="1" si="5"/>
        <v>0</v>
      </c>
      <c r="Q9" s="47">
        <f t="shared" ca="1" si="6"/>
        <v>44</v>
      </c>
      <c r="R9" s="47">
        <f t="shared" ca="1" si="7"/>
        <v>39</v>
      </c>
      <c r="S9" s="47">
        <f t="shared" ca="1" si="8"/>
        <v>2.6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114300</v>
      </c>
      <c r="Y9" s="47">
        <f t="shared" ca="1" si="14"/>
        <v>0</v>
      </c>
      <c r="Z9" s="47">
        <f t="shared" ca="1" si="15"/>
        <v>114.99999999999996</v>
      </c>
      <c r="AA9" s="47">
        <f t="shared" ca="1" si="16"/>
        <v>1</v>
      </c>
      <c r="AB9" s="47">
        <f t="shared" ca="1" si="17"/>
        <v>12000</v>
      </c>
      <c r="AC9" s="63">
        <f t="shared" ca="1" si="18"/>
        <v>74000</v>
      </c>
      <c r="AD9" s="63">
        <f t="shared" ca="1" si="19"/>
        <v>4545.454545454546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50.000000000000007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100</v>
      </c>
      <c r="AS9" s="33">
        <f t="shared" ca="1" si="34"/>
        <v>0.4</v>
      </c>
      <c r="AW9" s="2">
        <v>1.5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6.2</v>
      </c>
      <c r="BE9" s="2">
        <v>7.3</v>
      </c>
      <c r="BF9" s="2">
        <v>7.9</v>
      </c>
      <c r="BG9" s="2">
        <v>8.4</v>
      </c>
      <c r="BH9" s="2">
        <v>9.5</v>
      </c>
      <c r="BI9" s="2"/>
      <c r="BJ9" s="2"/>
      <c r="BK9" s="2"/>
      <c r="BL9" s="2"/>
      <c r="BM9" s="2"/>
      <c r="BN9" s="2">
        <v>91</v>
      </c>
      <c r="BO9" s="2">
        <v>34</v>
      </c>
      <c r="BP9" s="2">
        <v>41</v>
      </c>
      <c r="BQ9" s="2">
        <v>44</v>
      </c>
      <c r="BR9" s="2">
        <v>47</v>
      </c>
      <c r="BS9" s="2">
        <v>54</v>
      </c>
      <c r="BT9" s="2">
        <v>7</v>
      </c>
      <c r="BU9" s="2">
        <v>31</v>
      </c>
      <c r="BV9" s="2">
        <v>40</v>
      </c>
      <c r="BW9" s="2">
        <v>50</v>
      </c>
      <c r="BX9" s="2">
        <v>74</v>
      </c>
      <c r="BY9" s="2">
        <v>33</v>
      </c>
      <c r="BZ9" s="2">
        <v>1</v>
      </c>
      <c r="CA9" s="2">
        <v>0.5</v>
      </c>
      <c r="CB9" s="2">
        <v>6.3149933598395696E-5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09b</v>
      </c>
      <c r="J10" s="47">
        <f t="shared" ca="1" si="35"/>
        <v>5</v>
      </c>
      <c r="K10" s="19">
        <f t="shared" ca="1" si="36"/>
        <v>-4.5999999999999996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9.5</v>
      </c>
      <c r="O10" s="63">
        <f t="shared" ca="1" si="4"/>
        <v>336</v>
      </c>
      <c r="P10" s="63">
        <f t="shared" ca="1" si="5"/>
        <v>-78.928571428571402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0.25</v>
      </c>
      <c r="X10" s="47">
        <f t="shared" ca="1" si="13"/>
        <v>40100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413000</v>
      </c>
      <c r="AD10" s="63">
        <f t="shared" ca="1" si="19"/>
        <v>-94642.85714285713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1.5</v>
      </c>
      <c r="AX10" s="2" t="s">
        <v>255</v>
      </c>
      <c r="AY10" s="130">
        <v>23.1</v>
      </c>
      <c r="AZ10" s="2">
        <v>20.2</v>
      </c>
      <c r="BA10" s="2">
        <v>18</v>
      </c>
      <c r="BB10" s="2">
        <v>28</v>
      </c>
      <c r="BC10" s="2">
        <v>5</v>
      </c>
      <c r="BD10" s="2">
        <v>1.5</v>
      </c>
      <c r="BE10" s="2">
        <v>1.9</v>
      </c>
      <c r="BF10" s="2">
        <v>2</v>
      </c>
      <c r="BG10" s="2">
        <v>2.9</v>
      </c>
      <c r="BH10" s="2">
        <v>5.7</v>
      </c>
      <c r="BI10" s="2">
        <v>18</v>
      </c>
      <c r="BJ10" s="2">
        <v>82</v>
      </c>
      <c r="BK10" s="2">
        <v>111</v>
      </c>
      <c r="BL10" s="2">
        <v>167</v>
      </c>
      <c r="BM10" s="2">
        <v>332</v>
      </c>
      <c r="BN10" s="2"/>
      <c r="BO10" s="2"/>
      <c r="BP10" s="2"/>
      <c r="BQ10" s="2"/>
      <c r="BR10" s="2"/>
      <c r="BS10" s="2"/>
      <c r="BT10" s="2">
        <v>1</v>
      </c>
      <c r="BU10" s="2">
        <v>49</v>
      </c>
      <c r="BV10" s="2">
        <v>89</v>
      </c>
      <c r="BW10" s="2">
        <v>155</v>
      </c>
      <c r="BX10" s="2">
        <v>343</v>
      </c>
      <c r="BY10" s="2">
        <v>17.899999999999999</v>
      </c>
      <c r="BZ10" s="2">
        <v>25.5</v>
      </c>
      <c r="CA10" s="2">
        <v>3</v>
      </c>
      <c r="CB10" s="2">
        <v>2.2082398477709599E-8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10a</v>
      </c>
      <c r="J11" s="47">
        <f t="shared" ca="1" si="35"/>
        <v>6</v>
      </c>
      <c r="K11" s="19">
        <f t="shared" ca="1" si="36"/>
        <v>-7.4</v>
      </c>
      <c r="L11" s="116" t="str">
        <f t="shared" ca="1" si="1"/>
        <v>EW_sand_Ruled_84</v>
      </c>
      <c r="M11" s="105" t="str">
        <f t="shared" ca="1" si="2"/>
        <v>API sand</v>
      </c>
      <c r="N11" s="47">
        <f t="shared" ca="1" si="3"/>
        <v>10</v>
      </c>
      <c r="O11" s="63">
        <f t="shared" ca="1" si="4"/>
        <v>0</v>
      </c>
      <c r="P11" s="63">
        <f t="shared" ca="1" si="5"/>
        <v>0</v>
      </c>
      <c r="Q11" s="47">
        <f t="shared" ca="1" si="6"/>
        <v>41</v>
      </c>
      <c r="R11" s="47">
        <f t="shared" ca="1" si="7"/>
        <v>36</v>
      </c>
      <c r="S11" s="47">
        <f t="shared" ca="1" si="8"/>
        <v>1.4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86900</v>
      </c>
      <c r="Y11" s="47">
        <f t="shared" ca="1" si="14"/>
        <v>0</v>
      </c>
      <c r="Z11" s="47">
        <f t="shared" ca="1" si="15"/>
        <v>114.99999999999996</v>
      </c>
      <c r="AA11" s="47">
        <f t="shared" ca="1" si="16"/>
        <v>1</v>
      </c>
      <c r="AB11" s="47">
        <f t="shared" ca="1" si="17"/>
        <v>12000</v>
      </c>
      <c r="AC11" s="63">
        <f t="shared" ca="1" si="18"/>
        <v>97000</v>
      </c>
      <c r="AD11" s="63">
        <f t="shared" ca="1" si="19"/>
        <v>6190.4761904761917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50.000000000000007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84</v>
      </c>
      <c r="AS11" s="33">
        <f t="shared" ca="1" si="34"/>
        <v>0.4</v>
      </c>
      <c r="AW11" s="2">
        <v>2.4</v>
      </c>
      <c r="AX11" s="2" t="s">
        <v>255</v>
      </c>
      <c r="AY11" s="130">
        <v>23.1</v>
      </c>
      <c r="AZ11" s="2">
        <v>20.2</v>
      </c>
      <c r="BA11" s="2">
        <v>18</v>
      </c>
      <c r="BB11" s="2">
        <v>28</v>
      </c>
      <c r="BC11" s="2">
        <v>5</v>
      </c>
      <c r="BD11" s="2">
        <v>2.4</v>
      </c>
      <c r="BE11" s="2">
        <v>2.8</v>
      </c>
      <c r="BF11" s="2">
        <v>3</v>
      </c>
      <c r="BG11" s="2">
        <v>3.9</v>
      </c>
      <c r="BH11" s="2">
        <v>6.6</v>
      </c>
      <c r="BI11" s="2">
        <v>69</v>
      </c>
      <c r="BJ11" s="2">
        <v>132</v>
      </c>
      <c r="BK11" s="2">
        <v>161</v>
      </c>
      <c r="BL11" s="2">
        <v>217</v>
      </c>
      <c r="BM11" s="2">
        <v>383</v>
      </c>
      <c r="BN11" s="2"/>
      <c r="BO11" s="2"/>
      <c r="BP11" s="2"/>
      <c r="BQ11" s="2"/>
      <c r="BR11" s="2"/>
      <c r="BS11" s="2"/>
      <c r="BT11" s="2">
        <v>50</v>
      </c>
      <c r="BU11" s="2">
        <v>98</v>
      </c>
      <c r="BV11" s="2">
        <v>138</v>
      </c>
      <c r="BW11" s="2">
        <v>204</v>
      </c>
      <c r="BX11" s="2">
        <v>392</v>
      </c>
      <c r="BY11" s="2">
        <v>17.899999999999999</v>
      </c>
      <c r="BZ11" s="2">
        <v>25.5</v>
      </c>
      <c r="CA11" s="2">
        <v>3</v>
      </c>
      <c r="CB11" s="2">
        <v>2.2082398477709599E-8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10b</v>
      </c>
      <c r="J12" s="47">
        <f t="shared" ca="1" si="35"/>
        <v>7</v>
      </c>
      <c r="K12" s="19">
        <f t="shared" ca="1" si="36"/>
        <v>-9.5</v>
      </c>
      <c r="L12" s="116" t="str">
        <f t="shared" ca="1" si="1"/>
        <v>EW_sand_Ruled_63</v>
      </c>
      <c r="M12" s="105" t="str">
        <f t="shared" ca="1" si="2"/>
        <v>API sand</v>
      </c>
      <c r="N12" s="47">
        <f t="shared" ca="1" si="3"/>
        <v>9.8999999999999986</v>
      </c>
      <c r="O12" s="63">
        <f t="shared" ca="1" si="4"/>
        <v>0</v>
      </c>
      <c r="P12" s="63">
        <f t="shared" ca="1" si="5"/>
        <v>0</v>
      </c>
      <c r="Q12" s="47">
        <f t="shared" ca="1" si="6"/>
        <v>38</v>
      </c>
      <c r="R12" s="47">
        <f t="shared" ca="1" si="7"/>
        <v>33</v>
      </c>
      <c r="S12" s="47">
        <f t="shared" ca="1" si="8"/>
        <v>1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53800</v>
      </c>
      <c r="Y12" s="47">
        <f t="shared" ca="1" si="14"/>
        <v>0</v>
      </c>
      <c r="Z12" s="47">
        <f t="shared" ca="1" si="15"/>
        <v>107.39999999999996</v>
      </c>
      <c r="AA12" s="47">
        <f t="shared" ca="1" si="16"/>
        <v>1</v>
      </c>
      <c r="AB12" s="47">
        <f t="shared" ca="1" si="17"/>
        <v>11040</v>
      </c>
      <c r="AC12" s="63">
        <f t="shared" ca="1" si="18"/>
        <v>102000</v>
      </c>
      <c r="AD12" s="63">
        <f t="shared" ca="1" si="19"/>
        <v>-400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46.000000000000007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63</v>
      </c>
      <c r="AS12" s="33">
        <f t="shared" ca="1" si="34"/>
        <v>0.4</v>
      </c>
      <c r="AW12" s="2">
        <v>2.4</v>
      </c>
      <c r="AX12" s="2" t="s">
        <v>295</v>
      </c>
      <c r="AY12" s="130">
        <v>25.8</v>
      </c>
      <c r="AZ12" s="2">
        <v>19.399999999999999</v>
      </c>
      <c r="BA12" s="2"/>
      <c r="BB12" s="2">
        <v>2</v>
      </c>
      <c r="BC12" s="2"/>
      <c r="BD12" s="2">
        <v>26.5</v>
      </c>
      <c r="BE12" s="2">
        <v>30.9</v>
      </c>
      <c r="BF12" s="2">
        <v>31.8</v>
      </c>
      <c r="BG12" s="2">
        <v>32.5</v>
      </c>
      <c r="BH12" s="2">
        <v>35.6</v>
      </c>
      <c r="BI12" s="2"/>
      <c r="BJ12" s="2"/>
      <c r="BK12" s="2"/>
      <c r="BL12" s="2"/>
      <c r="BM12" s="2"/>
      <c r="BN12" s="2">
        <v>100</v>
      </c>
      <c r="BO12" s="2">
        <v>37</v>
      </c>
      <c r="BP12" s="2">
        <v>44</v>
      </c>
      <c r="BQ12" s="2">
        <v>47</v>
      </c>
      <c r="BR12" s="2">
        <v>51</v>
      </c>
      <c r="BS12" s="2">
        <v>54</v>
      </c>
      <c r="BT12" s="2">
        <v>9</v>
      </c>
      <c r="BU12" s="2">
        <v>55</v>
      </c>
      <c r="BV12" s="2">
        <v>74</v>
      </c>
      <c r="BW12" s="2">
        <v>92</v>
      </c>
      <c r="BX12" s="2">
        <v>138</v>
      </c>
      <c r="BY12" s="2">
        <v>114.3</v>
      </c>
      <c r="BZ12" s="2">
        <v>16.100000000000001</v>
      </c>
      <c r="CA12" s="2">
        <v>2.6</v>
      </c>
      <c r="CB12" s="2">
        <v>1.9950038742119801E-4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10b</v>
      </c>
      <c r="J13" s="47">
        <f t="shared" ca="1" si="35"/>
        <v>8</v>
      </c>
      <c r="K13" s="19">
        <f t="shared" ca="1" si="36"/>
        <v>-12</v>
      </c>
      <c r="L13" s="116" t="str">
        <f t="shared" ca="1" si="1"/>
        <v>EW_sand_Ruled_68</v>
      </c>
      <c r="M13" s="105" t="str">
        <f t="shared" ca="1" si="2"/>
        <v>API sand</v>
      </c>
      <c r="N13" s="47">
        <f t="shared" ca="1" si="3"/>
        <v>9.8999999999999986</v>
      </c>
      <c r="O13" s="63">
        <f t="shared" ca="1" si="4"/>
        <v>0</v>
      </c>
      <c r="P13" s="63">
        <f t="shared" ca="1" si="5"/>
        <v>0</v>
      </c>
      <c r="Q13" s="47">
        <f t="shared" ca="1" si="6"/>
        <v>38</v>
      </c>
      <c r="R13" s="47">
        <f t="shared" ca="1" si="7"/>
        <v>33</v>
      </c>
      <c r="S13" s="47">
        <f t="shared" ca="1" si="8"/>
        <v>0.9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68400</v>
      </c>
      <c r="Y13" s="47">
        <f t="shared" ca="1" si="14"/>
        <v>0</v>
      </c>
      <c r="Z13" s="47">
        <f t="shared" ca="1" si="15"/>
        <v>107.39999999999996</v>
      </c>
      <c r="AA13" s="47">
        <f t="shared" ca="1" si="16"/>
        <v>1</v>
      </c>
      <c r="AB13" s="47">
        <f t="shared" ca="1" si="17"/>
        <v>11040</v>
      </c>
      <c r="AC13" s="63">
        <f t="shared" ca="1" si="18"/>
        <v>103000</v>
      </c>
      <c r="AD13" s="63">
        <f t="shared" ca="1" si="19"/>
        <v>8000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46.000000000000007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68</v>
      </c>
      <c r="AS13" s="33">
        <f t="shared" ca="1" si="34"/>
        <v>0.4</v>
      </c>
      <c r="AW13" s="2">
        <v>4.5999999999999996</v>
      </c>
      <c r="AX13" s="2" t="s">
        <v>295</v>
      </c>
      <c r="AY13" s="130">
        <v>25.8</v>
      </c>
      <c r="AZ13" s="2">
        <v>19.399999999999999</v>
      </c>
      <c r="BA13" s="2"/>
      <c r="BB13" s="2">
        <v>2</v>
      </c>
      <c r="BC13" s="2"/>
      <c r="BD13" s="2">
        <v>19.7</v>
      </c>
      <c r="BE13" s="2">
        <v>24</v>
      </c>
      <c r="BF13" s="2">
        <v>25</v>
      </c>
      <c r="BG13" s="2">
        <v>25.7</v>
      </c>
      <c r="BH13" s="2">
        <v>28.7</v>
      </c>
      <c r="BI13" s="2"/>
      <c r="BJ13" s="2"/>
      <c r="BK13" s="2"/>
      <c r="BL13" s="2"/>
      <c r="BM13" s="2"/>
      <c r="BN13" s="2">
        <v>100</v>
      </c>
      <c r="BO13" s="2">
        <v>37</v>
      </c>
      <c r="BP13" s="2">
        <v>44</v>
      </c>
      <c r="BQ13" s="2">
        <v>47</v>
      </c>
      <c r="BR13" s="2">
        <v>51</v>
      </c>
      <c r="BS13" s="2">
        <v>54</v>
      </c>
      <c r="BT13" s="2">
        <v>19</v>
      </c>
      <c r="BU13" s="2">
        <v>65</v>
      </c>
      <c r="BV13" s="2">
        <v>84</v>
      </c>
      <c r="BW13" s="2">
        <v>103</v>
      </c>
      <c r="BX13" s="2">
        <v>148</v>
      </c>
      <c r="BY13" s="2">
        <v>114.3</v>
      </c>
      <c r="BZ13" s="2">
        <v>16.100000000000001</v>
      </c>
      <c r="CA13" s="2">
        <v>2.6</v>
      </c>
      <c r="CB13" s="2">
        <v>1.9950038742119801E-4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10b</v>
      </c>
      <c r="J14" s="47">
        <f t="shared" ca="1" si="35"/>
        <v>9</v>
      </c>
      <c r="K14" s="19">
        <f t="shared" ca="1" si="36"/>
        <v>-15</v>
      </c>
      <c r="L14" s="116" t="str">
        <f t="shared" ca="1" si="1"/>
        <v>EW_sand_Ruled_77</v>
      </c>
      <c r="M14" s="105" t="str">
        <f t="shared" ca="1" si="2"/>
        <v>API sand</v>
      </c>
      <c r="N14" s="47">
        <f t="shared" ca="1" si="3"/>
        <v>9.8999999999999986</v>
      </c>
      <c r="O14" s="63">
        <f t="shared" ca="1" si="4"/>
        <v>0</v>
      </c>
      <c r="P14" s="63">
        <f t="shared" ca="1" si="5"/>
        <v>0</v>
      </c>
      <c r="Q14" s="47">
        <f t="shared" ca="1" si="6"/>
        <v>39</v>
      </c>
      <c r="R14" s="47">
        <f t="shared" ca="1" si="7"/>
        <v>34</v>
      </c>
      <c r="S14" s="47">
        <f t="shared" ca="1" si="8"/>
        <v>0.9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94200</v>
      </c>
      <c r="Y14" s="47">
        <f t="shared" ca="1" si="14"/>
        <v>0</v>
      </c>
      <c r="Z14" s="47">
        <f t="shared" ca="1" si="15"/>
        <v>111.19999999999996</v>
      </c>
      <c r="AA14" s="47">
        <f t="shared" ca="1" si="16"/>
        <v>1</v>
      </c>
      <c r="AB14" s="47">
        <f t="shared" ca="1" si="17"/>
        <v>11520</v>
      </c>
      <c r="AC14" s="63">
        <f t="shared" ca="1" si="18"/>
        <v>136000</v>
      </c>
      <c r="AD14" s="63">
        <f t="shared" ca="1" si="19"/>
        <v>-1000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48.000000000000007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77</v>
      </c>
      <c r="AS14" s="33">
        <f t="shared" ca="1" si="34"/>
        <v>0.4</v>
      </c>
      <c r="AW14" s="2">
        <v>4.5999999999999996</v>
      </c>
      <c r="AX14" s="2" t="s">
        <v>296</v>
      </c>
      <c r="AY14" s="130">
        <v>28</v>
      </c>
      <c r="AZ14" s="2">
        <v>19.5</v>
      </c>
      <c r="BA14" s="2">
        <v>11</v>
      </c>
      <c r="BB14" s="2">
        <v>34</v>
      </c>
      <c r="BC14" s="2">
        <v>4</v>
      </c>
      <c r="BD14" s="2">
        <v>5.5</v>
      </c>
      <c r="BE14" s="2">
        <v>6.8</v>
      </c>
      <c r="BF14" s="2">
        <v>7.1</v>
      </c>
      <c r="BG14" s="2">
        <v>7.5</v>
      </c>
      <c r="BH14" s="2">
        <v>9</v>
      </c>
      <c r="BI14" s="2">
        <v>231</v>
      </c>
      <c r="BJ14" s="2">
        <v>336</v>
      </c>
      <c r="BK14" s="2">
        <v>390</v>
      </c>
      <c r="BL14" s="2">
        <v>446</v>
      </c>
      <c r="BM14" s="2">
        <v>585</v>
      </c>
      <c r="BN14" s="2"/>
      <c r="BO14" s="2"/>
      <c r="BP14" s="2"/>
      <c r="BQ14" s="2"/>
      <c r="BR14" s="2"/>
      <c r="BS14" s="2"/>
      <c r="BT14" s="2">
        <v>273</v>
      </c>
      <c r="BU14" s="2">
        <v>323</v>
      </c>
      <c r="BV14" s="2">
        <v>413</v>
      </c>
      <c r="BW14" s="2">
        <v>505</v>
      </c>
      <c r="BX14" s="2">
        <v>709</v>
      </c>
      <c r="BY14" s="2">
        <v>40.1</v>
      </c>
      <c r="BZ14" s="2">
        <v>16.7</v>
      </c>
      <c r="CA14" s="2">
        <v>3</v>
      </c>
      <c r="CB14" s="2">
        <v>4.2006169992632799E-8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10b</v>
      </c>
      <c r="J15" s="47">
        <f t="shared" ca="1" si="35"/>
        <v>10</v>
      </c>
      <c r="K15" s="19">
        <f t="shared" ca="1" si="36"/>
        <v>-18</v>
      </c>
      <c r="L15" s="116" t="str">
        <f t="shared" ca="1" si="1"/>
        <v>EW_sand_Ruled_72</v>
      </c>
      <c r="M15" s="105" t="str">
        <f t="shared" ca="1" si="2"/>
        <v>API sand</v>
      </c>
      <c r="N15" s="47">
        <f t="shared" ca="1" si="3"/>
        <v>9.8999999999999986</v>
      </c>
      <c r="O15" s="63">
        <f t="shared" ca="1" si="4"/>
        <v>0</v>
      </c>
      <c r="P15" s="63">
        <f t="shared" ca="1" si="5"/>
        <v>0</v>
      </c>
      <c r="Q15" s="47">
        <f t="shared" ca="1" si="6"/>
        <v>39</v>
      </c>
      <c r="R15" s="47">
        <f t="shared" ca="1" si="7"/>
        <v>34</v>
      </c>
      <c r="S15" s="47">
        <f t="shared" ca="1" si="8"/>
        <v>0.8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89100</v>
      </c>
      <c r="Y15" s="47">
        <f t="shared" ca="1" si="14"/>
        <v>0</v>
      </c>
      <c r="Z15" s="47">
        <f t="shared" ca="1" si="15"/>
        <v>111.19999999999996</v>
      </c>
      <c r="AA15" s="47">
        <f t="shared" ca="1" si="16"/>
        <v>1</v>
      </c>
      <c r="AB15" s="47">
        <f t="shared" ca="1" si="17"/>
        <v>11520</v>
      </c>
      <c r="AC15" s="63">
        <f t="shared" ca="1" si="18"/>
        <v>126000</v>
      </c>
      <c r="AD15" s="63">
        <f t="shared" ca="1" si="19"/>
        <v>7708.3333333333321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48.000000000000007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72</v>
      </c>
      <c r="AS15" s="33">
        <f t="shared" ca="1" si="34"/>
        <v>0.4</v>
      </c>
      <c r="AW15" s="2">
        <v>7.4</v>
      </c>
      <c r="AX15" s="2" t="s">
        <v>296</v>
      </c>
      <c r="AY15" s="130">
        <v>28</v>
      </c>
      <c r="AZ15" s="2">
        <v>19.5</v>
      </c>
      <c r="BA15" s="2">
        <v>11</v>
      </c>
      <c r="BB15" s="2">
        <v>34</v>
      </c>
      <c r="BC15" s="2">
        <v>4</v>
      </c>
      <c r="BD15" s="2">
        <v>1.5</v>
      </c>
      <c r="BE15" s="2">
        <v>2.9</v>
      </c>
      <c r="BF15" s="2">
        <v>3.2</v>
      </c>
      <c r="BG15" s="2">
        <v>3.5</v>
      </c>
      <c r="BH15" s="2">
        <v>5.0999999999999996</v>
      </c>
      <c r="BI15" s="2">
        <v>10</v>
      </c>
      <c r="BJ15" s="2">
        <v>115</v>
      </c>
      <c r="BK15" s="2">
        <v>169</v>
      </c>
      <c r="BL15" s="2">
        <v>224</v>
      </c>
      <c r="BM15" s="2">
        <v>364</v>
      </c>
      <c r="BN15" s="2"/>
      <c r="BO15" s="2"/>
      <c r="BP15" s="2"/>
      <c r="BQ15" s="2"/>
      <c r="BR15" s="2"/>
      <c r="BS15" s="2"/>
      <c r="BT15" s="2">
        <v>7</v>
      </c>
      <c r="BU15" s="2">
        <v>57</v>
      </c>
      <c r="BV15" s="2">
        <v>148</v>
      </c>
      <c r="BW15" s="2">
        <v>239</v>
      </c>
      <c r="BX15" s="2">
        <v>443</v>
      </c>
      <c r="BY15" s="2">
        <v>40.1</v>
      </c>
      <c r="BZ15" s="2">
        <v>16.7</v>
      </c>
      <c r="CA15" s="2">
        <v>3</v>
      </c>
      <c r="CB15" s="2">
        <v>4.2006169992632799E-8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19b</v>
      </c>
      <c r="J16" s="47">
        <f t="shared" ca="1" si="35"/>
        <v>11</v>
      </c>
      <c r="K16" s="19">
        <f t="shared" ca="1" si="36"/>
        <v>-22.8</v>
      </c>
      <c r="L16" s="116" t="str">
        <f t="shared" ca="1" si="1"/>
        <v>EW_sand_Ruled_87</v>
      </c>
      <c r="M16" s="105" t="str">
        <f t="shared" ca="1" si="2"/>
        <v>API sand</v>
      </c>
      <c r="N16" s="47">
        <f t="shared" ca="1" si="3"/>
        <v>8.5</v>
      </c>
      <c r="O16" s="63">
        <f t="shared" ca="1" si="4"/>
        <v>0</v>
      </c>
      <c r="P16" s="63">
        <f t="shared" ca="1" si="5"/>
        <v>0</v>
      </c>
      <c r="Q16" s="47">
        <f t="shared" ca="1" si="6"/>
        <v>29</v>
      </c>
      <c r="R16" s="47">
        <f t="shared" ca="1" si="7"/>
        <v>24</v>
      </c>
      <c r="S16" s="47">
        <f t="shared" ca="1" si="8"/>
        <v>1.4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47600</v>
      </c>
      <c r="Y16" s="47">
        <f t="shared" ca="1" si="14"/>
        <v>0</v>
      </c>
      <c r="Z16" s="47">
        <f t="shared" ca="1" si="15"/>
        <v>78.199999999999974</v>
      </c>
      <c r="AA16" s="47">
        <f t="shared" ca="1" si="16"/>
        <v>1</v>
      </c>
      <c r="AB16" s="47">
        <f t="shared" ca="1" si="17"/>
        <v>4420</v>
      </c>
      <c r="AC16" s="63">
        <f t="shared" ca="1" si="18"/>
        <v>166000</v>
      </c>
      <c r="AD16" s="63">
        <f t="shared" ca="1" si="19"/>
        <v>2553.1914893617027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18.400000000000006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87</v>
      </c>
      <c r="AS16" s="33">
        <f t="shared" ca="1" si="34"/>
        <v>0.2</v>
      </c>
      <c r="AW16" s="2">
        <v>7.4</v>
      </c>
      <c r="AX16" s="2" t="s">
        <v>259</v>
      </c>
      <c r="AY16" s="130">
        <v>25.5</v>
      </c>
      <c r="AZ16" s="2">
        <v>20</v>
      </c>
      <c r="BA16" s="2"/>
      <c r="BB16" s="2">
        <v>14</v>
      </c>
      <c r="BC16" s="2"/>
      <c r="BD16" s="2">
        <v>14.2</v>
      </c>
      <c r="BE16" s="2">
        <v>18.399999999999999</v>
      </c>
      <c r="BF16" s="2">
        <v>19.3</v>
      </c>
      <c r="BG16" s="2">
        <v>20.2</v>
      </c>
      <c r="BH16" s="2">
        <v>23.8</v>
      </c>
      <c r="BI16" s="2"/>
      <c r="BJ16" s="2"/>
      <c r="BK16" s="2"/>
      <c r="BL16" s="2"/>
      <c r="BM16" s="2"/>
      <c r="BN16" s="2">
        <v>84</v>
      </c>
      <c r="BO16" s="2">
        <v>35</v>
      </c>
      <c r="BP16" s="2">
        <v>41</v>
      </c>
      <c r="BQ16" s="2">
        <v>44</v>
      </c>
      <c r="BR16" s="2">
        <v>47</v>
      </c>
      <c r="BS16" s="2">
        <v>53</v>
      </c>
      <c r="BT16" s="2">
        <v>12</v>
      </c>
      <c r="BU16" s="2">
        <v>72</v>
      </c>
      <c r="BV16" s="2">
        <v>97</v>
      </c>
      <c r="BW16" s="2">
        <v>121</v>
      </c>
      <c r="BX16" s="2">
        <v>181</v>
      </c>
      <c r="BY16" s="2">
        <v>86.9</v>
      </c>
      <c r="BZ16" s="2">
        <v>5.3</v>
      </c>
      <c r="CA16" s="2">
        <v>1.4</v>
      </c>
      <c r="CB16" s="2">
        <v>8.1615411760585901E-6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21a</v>
      </c>
      <c r="J17" s="47">
        <f t="shared" ca="1" si="35"/>
        <v>12</v>
      </c>
      <c r="K17" s="19">
        <f t="shared" ca="1" si="36"/>
        <v>-27.5</v>
      </c>
      <c r="L17" s="116" t="str">
        <f t="shared" ca="1" si="1"/>
        <v>EW_sand_Ruled_55</v>
      </c>
      <c r="M17" s="105" t="str">
        <f t="shared" ca="1" si="2"/>
        <v>API sand</v>
      </c>
      <c r="N17" s="47">
        <f t="shared" ca="1" si="3"/>
        <v>9.8000000000000007</v>
      </c>
      <c r="O17" s="63">
        <f t="shared" ca="1" si="4"/>
        <v>0</v>
      </c>
      <c r="P17" s="63">
        <f t="shared" ca="1" si="5"/>
        <v>0</v>
      </c>
      <c r="Q17" s="47">
        <f t="shared" ca="1" si="6"/>
        <v>27</v>
      </c>
      <c r="R17" s="47">
        <f t="shared" ca="1" si="7"/>
        <v>22</v>
      </c>
      <c r="S17" s="47">
        <f t="shared" ca="1" si="8"/>
        <v>0.8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25100</v>
      </c>
      <c r="Y17" s="47">
        <f t="shared" ca="1" si="14"/>
        <v>0</v>
      </c>
      <c r="Z17" s="47">
        <f t="shared" ca="1" si="15"/>
        <v>72.59999999999998</v>
      </c>
      <c r="AA17" s="47">
        <f t="shared" ca="1" si="16"/>
        <v>1</v>
      </c>
      <c r="AB17" s="47">
        <f t="shared" ca="1" si="17"/>
        <v>3660</v>
      </c>
      <c r="AC17" s="63">
        <f t="shared" ca="1" si="18"/>
        <v>148000</v>
      </c>
      <c r="AD17" s="63">
        <f t="shared" ca="1" si="19"/>
        <v>2091.8367346938776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15.200000000000003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55</v>
      </c>
      <c r="AS17" s="33">
        <f t="shared" ca="1" si="34"/>
        <v>0.2</v>
      </c>
      <c r="AW17" s="2">
        <v>9.5</v>
      </c>
      <c r="AX17" s="2" t="s">
        <v>259</v>
      </c>
      <c r="AY17" s="130">
        <v>25.5</v>
      </c>
      <c r="AZ17" s="2">
        <v>20</v>
      </c>
      <c r="BA17" s="2"/>
      <c r="BB17" s="2">
        <v>14</v>
      </c>
      <c r="BC17" s="2"/>
      <c r="BD17" s="2">
        <v>18.899999999999999</v>
      </c>
      <c r="BE17" s="2">
        <v>23.1</v>
      </c>
      <c r="BF17" s="2">
        <v>24</v>
      </c>
      <c r="BG17" s="2">
        <v>24.8</v>
      </c>
      <c r="BH17" s="2">
        <v>28.5</v>
      </c>
      <c r="BI17" s="2"/>
      <c r="BJ17" s="2"/>
      <c r="BK17" s="2"/>
      <c r="BL17" s="2"/>
      <c r="BM17" s="2"/>
      <c r="BN17" s="2">
        <v>84</v>
      </c>
      <c r="BO17" s="2">
        <v>35</v>
      </c>
      <c r="BP17" s="2">
        <v>41</v>
      </c>
      <c r="BQ17" s="2">
        <v>44</v>
      </c>
      <c r="BR17" s="2">
        <v>47</v>
      </c>
      <c r="BS17" s="2">
        <v>53</v>
      </c>
      <c r="BT17" s="2">
        <v>26</v>
      </c>
      <c r="BU17" s="2">
        <v>86</v>
      </c>
      <c r="BV17" s="2">
        <v>110</v>
      </c>
      <c r="BW17" s="2">
        <v>135</v>
      </c>
      <c r="BX17" s="2">
        <v>195</v>
      </c>
      <c r="BY17" s="2">
        <v>86.9</v>
      </c>
      <c r="BZ17" s="2">
        <v>5.3</v>
      </c>
      <c r="CA17" s="2">
        <v>1.4</v>
      </c>
      <c r="CB17" s="2">
        <v>8.1615411760585901E-6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23d</v>
      </c>
      <c r="J18" s="47">
        <f t="shared" ca="1" si="35"/>
        <v>13</v>
      </c>
      <c r="K18" s="19">
        <f t="shared" ca="1" si="36"/>
        <v>-47.1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8.8999999999999986</v>
      </c>
      <c r="O18" s="63">
        <f t="shared" ca="1" si="4"/>
        <v>370</v>
      </c>
      <c r="P18" s="63">
        <f t="shared" ca="1" si="5"/>
        <v>5.8358662613981762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1.8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0.25</v>
      </c>
      <c r="X18" s="47">
        <f t="shared" ca="1" si="13"/>
        <v>41000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550000</v>
      </c>
      <c r="AD18" s="63">
        <f t="shared" ca="1" si="19"/>
        <v>10638.297872340425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9.5</v>
      </c>
      <c r="AX18" s="2" t="s">
        <v>261</v>
      </c>
      <c r="AY18" s="130">
        <v>24</v>
      </c>
      <c r="AZ18" s="2">
        <v>19.899999999999999</v>
      </c>
      <c r="BA18" s="2"/>
      <c r="BB18" s="2">
        <v>6</v>
      </c>
      <c r="BC18" s="2"/>
      <c r="BD18" s="2">
        <v>14.5</v>
      </c>
      <c r="BE18" s="2">
        <v>15.7</v>
      </c>
      <c r="BF18" s="2">
        <v>16</v>
      </c>
      <c r="BG18" s="2">
        <v>16.3</v>
      </c>
      <c r="BH18" s="2">
        <v>17.399999999999999</v>
      </c>
      <c r="BI18" s="2"/>
      <c r="BJ18" s="2"/>
      <c r="BK18" s="2"/>
      <c r="BL18" s="2"/>
      <c r="BM18" s="2"/>
      <c r="BN18" s="2">
        <v>63</v>
      </c>
      <c r="BO18" s="2">
        <v>32</v>
      </c>
      <c r="BP18" s="2">
        <v>38</v>
      </c>
      <c r="BQ18" s="2">
        <v>41</v>
      </c>
      <c r="BR18" s="2">
        <v>44</v>
      </c>
      <c r="BS18" s="2">
        <v>50</v>
      </c>
      <c r="BT18" s="2">
        <v>19</v>
      </c>
      <c r="BU18" s="2">
        <v>78</v>
      </c>
      <c r="BV18" s="2">
        <v>102</v>
      </c>
      <c r="BW18" s="2">
        <v>126</v>
      </c>
      <c r="BX18" s="2">
        <v>184</v>
      </c>
      <c r="BY18" s="2">
        <v>53.8</v>
      </c>
      <c r="BZ18" s="2">
        <v>3</v>
      </c>
      <c r="CA18" s="2">
        <v>1</v>
      </c>
      <c r="CB18" s="2">
        <v>1.0305708780631399E-6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12</v>
      </c>
      <c r="AX19" s="2" t="s">
        <v>261</v>
      </c>
      <c r="AY19" s="130">
        <v>24</v>
      </c>
      <c r="AZ19" s="2">
        <v>19.899999999999999</v>
      </c>
      <c r="BA19" s="2"/>
      <c r="BB19" s="2">
        <v>6</v>
      </c>
      <c r="BC19" s="2"/>
      <c r="BD19" s="2">
        <v>10</v>
      </c>
      <c r="BE19" s="2">
        <v>11.2</v>
      </c>
      <c r="BF19" s="2">
        <v>11.5</v>
      </c>
      <c r="BG19" s="2">
        <v>11.8</v>
      </c>
      <c r="BH19" s="2">
        <v>12.9</v>
      </c>
      <c r="BI19" s="2"/>
      <c r="BJ19" s="2"/>
      <c r="BK19" s="2"/>
      <c r="BL19" s="2"/>
      <c r="BM19" s="2"/>
      <c r="BN19" s="2">
        <v>63</v>
      </c>
      <c r="BO19" s="2">
        <v>32</v>
      </c>
      <c r="BP19" s="2">
        <v>38</v>
      </c>
      <c r="BQ19" s="2">
        <v>41</v>
      </c>
      <c r="BR19" s="2">
        <v>44</v>
      </c>
      <c r="BS19" s="2">
        <v>50</v>
      </c>
      <c r="BT19" s="2">
        <v>18</v>
      </c>
      <c r="BU19" s="2">
        <v>77</v>
      </c>
      <c r="BV19" s="2">
        <v>101</v>
      </c>
      <c r="BW19" s="2">
        <v>125</v>
      </c>
      <c r="BX19" s="2">
        <v>183</v>
      </c>
      <c r="BY19" s="2">
        <v>53.8</v>
      </c>
      <c r="BZ19" s="2">
        <v>3</v>
      </c>
      <c r="CA19" s="2">
        <v>1</v>
      </c>
      <c r="CB19" s="2">
        <v>1.0305708780631399E-6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12</v>
      </c>
      <c r="AX20" s="2" t="s">
        <v>261</v>
      </c>
      <c r="AY20" s="130">
        <v>24</v>
      </c>
      <c r="AZ20" s="2">
        <v>19.899999999999999</v>
      </c>
      <c r="BA20" s="2"/>
      <c r="BB20" s="2">
        <v>6</v>
      </c>
      <c r="BC20" s="2"/>
      <c r="BD20" s="2">
        <v>8.9</v>
      </c>
      <c r="BE20" s="2">
        <v>11.2</v>
      </c>
      <c r="BF20" s="2">
        <v>11.7</v>
      </c>
      <c r="BG20" s="2">
        <v>12.7</v>
      </c>
      <c r="BH20" s="2">
        <v>18.100000000000001</v>
      </c>
      <c r="BI20" s="2"/>
      <c r="BJ20" s="2"/>
      <c r="BK20" s="2"/>
      <c r="BL20" s="2"/>
      <c r="BM20" s="2"/>
      <c r="BN20" s="2">
        <v>68</v>
      </c>
      <c r="BO20" s="2">
        <v>33</v>
      </c>
      <c r="BP20" s="2">
        <v>38</v>
      </c>
      <c r="BQ20" s="2">
        <v>41</v>
      </c>
      <c r="BR20" s="2">
        <v>44</v>
      </c>
      <c r="BS20" s="2">
        <v>50</v>
      </c>
      <c r="BT20" s="2">
        <v>12</v>
      </c>
      <c r="BU20" s="2">
        <v>76</v>
      </c>
      <c r="BV20" s="2">
        <v>103</v>
      </c>
      <c r="BW20" s="2">
        <v>130</v>
      </c>
      <c r="BX20" s="2">
        <v>197</v>
      </c>
      <c r="BY20" s="2">
        <v>68.400000000000006</v>
      </c>
      <c r="BZ20" s="2">
        <v>2.6</v>
      </c>
      <c r="CA20" s="2">
        <v>0.9</v>
      </c>
      <c r="CB20" s="2">
        <v>8.5381409893465796E-7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15</v>
      </c>
      <c r="AX21" s="2" t="s">
        <v>261</v>
      </c>
      <c r="AY21" s="130">
        <v>24</v>
      </c>
      <c r="AZ21" s="2">
        <v>19.899999999999999</v>
      </c>
      <c r="BA21" s="2"/>
      <c r="BB21" s="2">
        <v>6</v>
      </c>
      <c r="BC21" s="2"/>
      <c r="BD21" s="2">
        <v>18.100000000000001</v>
      </c>
      <c r="BE21" s="2">
        <v>20.399999999999999</v>
      </c>
      <c r="BF21" s="2">
        <v>20.8</v>
      </c>
      <c r="BG21" s="2">
        <v>21.9</v>
      </c>
      <c r="BH21" s="2">
        <v>27.2</v>
      </c>
      <c r="BI21" s="2"/>
      <c r="BJ21" s="2"/>
      <c r="BK21" s="2"/>
      <c r="BL21" s="2"/>
      <c r="BM21" s="2"/>
      <c r="BN21" s="2">
        <v>68</v>
      </c>
      <c r="BO21" s="2">
        <v>33</v>
      </c>
      <c r="BP21" s="2">
        <v>38</v>
      </c>
      <c r="BQ21" s="2">
        <v>41</v>
      </c>
      <c r="BR21" s="2">
        <v>44</v>
      </c>
      <c r="BS21" s="2">
        <v>50</v>
      </c>
      <c r="BT21" s="2">
        <v>35</v>
      </c>
      <c r="BU21" s="2">
        <v>100</v>
      </c>
      <c r="BV21" s="2">
        <v>127</v>
      </c>
      <c r="BW21" s="2">
        <v>154</v>
      </c>
      <c r="BX21" s="2">
        <v>221</v>
      </c>
      <c r="BY21" s="2">
        <v>68.400000000000006</v>
      </c>
      <c r="BZ21" s="2">
        <v>2.6</v>
      </c>
      <c r="CA21" s="2">
        <v>0.9</v>
      </c>
      <c r="CB21" s="2">
        <v>8.5381409893465796E-7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15</v>
      </c>
      <c r="AX22" s="2" t="s">
        <v>261</v>
      </c>
      <c r="AY22" s="130">
        <v>24</v>
      </c>
      <c r="AZ22" s="2">
        <v>19.899999999999999</v>
      </c>
      <c r="BA22" s="2"/>
      <c r="BB22" s="2">
        <v>6</v>
      </c>
      <c r="BC22" s="2"/>
      <c r="BD22" s="2">
        <v>24.7</v>
      </c>
      <c r="BE22" s="2">
        <v>25.9</v>
      </c>
      <c r="BF22" s="2">
        <v>26.1</v>
      </c>
      <c r="BG22" s="2">
        <v>26.6</v>
      </c>
      <c r="BH22" s="2">
        <v>29.1</v>
      </c>
      <c r="BI22" s="2"/>
      <c r="BJ22" s="2"/>
      <c r="BK22" s="2"/>
      <c r="BL22" s="2"/>
      <c r="BM22" s="2"/>
      <c r="BN22" s="2">
        <v>77</v>
      </c>
      <c r="BO22" s="2">
        <v>34</v>
      </c>
      <c r="BP22" s="2">
        <v>39</v>
      </c>
      <c r="BQ22" s="2">
        <v>43</v>
      </c>
      <c r="BR22" s="2">
        <v>46</v>
      </c>
      <c r="BS22" s="2">
        <v>52</v>
      </c>
      <c r="BT22" s="2">
        <v>27</v>
      </c>
      <c r="BU22" s="2">
        <v>105</v>
      </c>
      <c r="BV22" s="2">
        <v>136</v>
      </c>
      <c r="BW22" s="2">
        <v>168</v>
      </c>
      <c r="BX22" s="2">
        <v>246</v>
      </c>
      <c r="BY22" s="2">
        <v>94.2</v>
      </c>
      <c r="BZ22" s="2">
        <v>2.8</v>
      </c>
      <c r="CA22" s="2">
        <v>0.9</v>
      </c>
      <c r="CB22" s="2">
        <v>1.7251783205306801E-6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18</v>
      </c>
      <c r="AX23" s="2" t="s">
        <v>261</v>
      </c>
      <c r="AY23" s="130">
        <v>24</v>
      </c>
      <c r="AZ23" s="2">
        <v>19.899999999999999</v>
      </c>
      <c r="BA23" s="2"/>
      <c r="BB23" s="2">
        <v>6</v>
      </c>
      <c r="BC23" s="2"/>
      <c r="BD23" s="2">
        <v>17.600000000000001</v>
      </c>
      <c r="BE23" s="2">
        <v>18.8</v>
      </c>
      <c r="BF23" s="2">
        <v>19.100000000000001</v>
      </c>
      <c r="BG23" s="2">
        <v>19.5</v>
      </c>
      <c r="BH23" s="2">
        <v>22</v>
      </c>
      <c r="BI23" s="2"/>
      <c r="BJ23" s="2"/>
      <c r="BK23" s="2"/>
      <c r="BL23" s="2"/>
      <c r="BM23" s="2"/>
      <c r="BN23" s="2">
        <v>77</v>
      </c>
      <c r="BO23" s="2">
        <v>34</v>
      </c>
      <c r="BP23" s="2">
        <v>39</v>
      </c>
      <c r="BQ23" s="2">
        <v>43</v>
      </c>
      <c r="BR23" s="2">
        <v>46</v>
      </c>
      <c r="BS23" s="2">
        <v>52</v>
      </c>
      <c r="BT23" s="2">
        <v>24</v>
      </c>
      <c r="BU23" s="2">
        <v>102</v>
      </c>
      <c r="BV23" s="2">
        <v>133</v>
      </c>
      <c r="BW23" s="2">
        <v>165</v>
      </c>
      <c r="BX23" s="2">
        <v>243</v>
      </c>
      <c r="BY23" s="2">
        <v>94.2</v>
      </c>
      <c r="BZ23" s="2">
        <v>2.8</v>
      </c>
      <c r="CA23" s="2">
        <v>0.9</v>
      </c>
      <c r="CB23" s="2">
        <v>1.7251783205306801E-6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18</v>
      </c>
      <c r="AX24" s="2" t="s">
        <v>261</v>
      </c>
      <c r="AY24" s="130">
        <v>24</v>
      </c>
      <c r="AZ24" s="2">
        <v>19.899999999999999</v>
      </c>
      <c r="BA24" s="2"/>
      <c r="BB24" s="2">
        <v>6</v>
      </c>
      <c r="BC24" s="2"/>
      <c r="BD24" s="2">
        <v>12.1</v>
      </c>
      <c r="BE24" s="2">
        <v>14.3</v>
      </c>
      <c r="BF24" s="2">
        <v>14.6</v>
      </c>
      <c r="BG24" s="2">
        <v>15</v>
      </c>
      <c r="BH24" s="2">
        <v>17.5</v>
      </c>
      <c r="BI24" s="2"/>
      <c r="BJ24" s="2"/>
      <c r="BK24" s="2"/>
      <c r="BL24" s="2"/>
      <c r="BM24" s="2"/>
      <c r="BN24" s="2">
        <v>72</v>
      </c>
      <c r="BO24" s="2">
        <v>33</v>
      </c>
      <c r="BP24" s="2">
        <v>39</v>
      </c>
      <c r="BQ24" s="2">
        <v>42</v>
      </c>
      <c r="BR24" s="2">
        <v>45</v>
      </c>
      <c r="BS24" s="2">
        <v>51</v>
      </c>
      <c r="BT24" s="2">
        <v>18</v>
      </c>
      <c r="BU24" s="2">
        <v>92</v>
      </c>
      <c r="BV24" s="2">
        <v>126</v>
      </c>
      <c r="BW24" s="2">
        <v>160</v>
      </c>
      <c r="BX24" s="2">
        <v>244</v>
      </c>
      <c r="BY24" s="2">
        <v>89.1</v>
      </c>
      <c r="BZ24" s="2">
        <v>2.2000000000000002</v>
      </c>
      <c r="CA24" s="2">
        <v>0.8</v>
      </c>
      <c r="CB24" s="2">
        <v>1.01539535855833E-6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22.8</v>
      </c>
      <c r="AX25" s="2" t="s">
        <v>261</v>
      </c>
      <c r="AY25" s="130">
        <v>24</v>
      </c>
      <c r="AZ25" s="2">
        <v>19.899999999999999</v>
      </c>
      <c r="BA25" s="2"/>
      <c r="BB25" s="2">
        <v>6</v>
      </c>
      <c r="BC25" s="2"/>
      <c r="BD25" s="2">
        <v>26.9</v>
      </c>
      <c r="BE25" s="2">
        <v>29.1</v>
      </c>
      <c r="BF25" s="2">
        <v>29.4</v>
      </c>
      <c r="BG25" s="2">
        <v>29.8</v>
      </c>
      <c r="BH25" s="2">
        <v>32.299999999999997</v>
      </c>
      <c r="BI25" s="2"/>
      <c r="BJ25" s="2"/>
      <c r="BK25" s="2"/>
      <c r="BL25" s="2"/>
      <c r="BM25" s="2"/>
      <c r="BN25" s="2">
        <v>72</v>
      </c>
      <c r="BO25" s="2">
        <v>33</v>
      </c>
      <c r="BP25" s="2">
        <v>39</v>
      </c>
      <c r="BQ25" s="2">
        <v>42</v>
      </c>
      <c r="BR25" s="2">
        <v>45</v>
      </c>
      <c r="BS25" s="2">
        <v>51</v>
      </c>
      <c r="BT25" s="2">
        <v>54</v>
      </c>
      <c r="BU25" s="2">
        <v>129</v>
      </c>
      <c r="BV25" s="2">
        <v>163</v>
      </c>
      <c r="BW25" s="2">
        <v>197</v>
      </c>
      <c r="BX25" s="2">
        <v>281</v>
      </c>
      <c r="BY25" s="2">
        <v>89.1</v>
      </c>
      <c r="BZ25" s="2">
        <v>2.2000000000000002</v>
      </c>
      <c r="CA25" s="2">
        <v>0.8</v>
      </c>
      <c r="CB25" s="2">
        <v>1.01539535855833E-6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22.8</v>
      </c>
      <c r="AX26" s="2" t="s">
        <v>291</v>
      </c>
      <c r="AY26" s="130">
        <v>35.4</v>
      </c>
      <c r="AZ26" s="2">
        <v>18.5</v>
      </c>
      <c r="BA26" s="2"/>
      <c r="BB26" s="2">
        <v>54</v>
      </c>
      <c r="BC26" s="2"/>
      <c r="BD26" s="2">
        <v>0.8</v>
      </c>
      <c r="BE26" s="2">
        <v>18.2</v>
      </c>
      <c r="BF26" s="2">
        <v>32</v>
      </c>
      <c r="BG26" s="2">
        <v>73.2</v>
      </c>
      <c r="BH26" s="2">
        <v>201.7</v>
      </c>
      <c r="BI26" s="2"/>
      <c r="BJ26" s="2"/>
      <c r="BK26" s="2"/>
      <c r="BL26" s="2"/>
      <c r="BM26" s="2"/>
      <c r="BN26" s="2">
        <v>87</v>
      </c>
      <c r="BO26" s="2">
        <v>26</v>
      </c>
      <c r="BP26" s="2">
        <v>29</v>
      </c>
      <c r="BQ26" s="2">
        <v>31</v>
      </c>
      <c r="BR26" s="2">
        <v>34</v>
      </c>
      <c r="BS26" s="2">
        <v>38</v>
      </c>
      <c r="BT26" s="2">
        <v>26</v>
      </c>
      <c r="BU26" s="2">
        <v>125</v>
      </c>
      <c r="BV26" s="2">
        <v>166</v>
      </c>
      <c r="BW26" s="2">
        <v>206</v>
      </c>
      <c r="BX26" s="2">
        <v>305</v>
      </c>
      <c r="BY26" s="2">
        <v>47.6</v>
      </c>
      <c r="BZ26" s="2">
        <v>5.3</v>
      </c>
      <c r="CA26" s="2">
        <v>1.4</v>
      </c>
      <c r="CB26" s="2">
        <v>2.15303028160141E-11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27.5</v>
      </c>
      <c r="AX27" s="2" t="s">
        <v>291</v>
      </c>
      <c r="AY27" s="130">
        <v>35.4</v>
      </c>
      <c r="AZ27" s="2">
        <v>18.5</v>
      </c>
      <c r="BA27" s="2"/>
      <c r="BB27" s="2">
        <v>54</v>
      </c>
      <c r="BC27" s="2"/>
      <c r="BD27" s="2">
        <v>2.7</v>
      </c>
      <c r="BE27" s="2">
        <v>20</v>
      </c>
      <c r="BF27" s="2">
        <v>33.799999999999997</v>
      </c>
      <c r="BG27" s="2">
        <v>75.099999999999994</v>
      </c>
      <c r="BH27" s="2">
        <v>203.6</v>
      </c>
      <c r="BI27" s="2"/>
      <c r="BJ27" s="2"/>
      <c r="BK27" s="2"/>
      <c r="BL27" s="2"/>
      <c r="BM27" s="2"/>
      <c r="BN27" s="2">
        <v>87</v>
      </c>
      <c r="BO27" s="2">
        <v>26</v>
      </c>
      <c r="BP27" s="2">
        <v>29</v>
      </c>
      <c r="BQ27" s="2">
        <v>31</v>
      </c>
      <c r="BR27" s="2">
        <v>34</v>
      </c>
      <c r="BS27" s="2">
        <v>38</v>
      </c>
      <c r="BT27" s="2">
        <v>38</v>
      </c>
      <c r="BU27" s="2">
        <v>138</v>
      </c>
      <c r="BV27" s="2">
        <v>178</v>
      </c>
      <c r="BW27" s="2">
        <v>218</v>
      </c>
      <c r="BX27" s="2">
        <v>318</v>
      </c>
      <c r="BY27" s="2">
        <v>47.6</v>
      </c>
      <c r="BZ27" s="2">
        <v>5.3</v>
      </c>
      <c r="CA27" s="2">
        <v>1.4</v>
      </c>
      <c r="CB27" s="2">
        <v>2.15303028160141E-11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27.5</v>
      </c>
      <c r="AX28" s="2" t="s">
        <v>271</v>
      </c>
      <c r="AY28" s="130">
        <v>24.7</v>
      </c>
      <c r="AZ28" s="2">
        <v>19.8</v>
      </c>
      <c r="BA28" s="2"/>
      <c r="BB28" s="2">
        <v>11</v>
      </c>
      <c r="BC28" s="2"/>
      <c r="BD28" s="2">
        <v>1</v>
      </c>
      <c r="BE28" s="2">
        <v>10.7</v>
      </c>
      <c r="BF28" s="2">
        <v>15</v>
      </c>
      <c r="BG28" s="2">
        <v>34.4</v>
      </c>
      <c r="BH28" s="2">
        <v>94.8</v>
      </c>
      <c r="BI28" s="2"/>
      <c r="BJ28" s="2"/>
      <c r="BK28" s="2"/>
      <c r="BL28" s="2"/>
      <c r="BM28" s="2"/>
      <c r="BN28" s="2">
        <v>55</v>
      </c>
      <c r="BO28" s="2">
        <v>26</v>
      </c>
      <c r="BP28" s="2">
        <v>27</v>
      </c>
      <c r="BQ28" s="2">
        <v>29</v>
      </c>
      <c r="BR28" s="2">
        <v>32</v>
      </c>
      <c r="BS28" s="2">
        <v>35</v>
      </c>
      <c r="BT28" s="2">
        <v>27</v>
      </c>
      <c r="BU28" s="2">
        <v>108</v>
      </c>
      <c r="BV28" s="2">
        <v>148</v>
      </c>
      <c r="BW28" s="2">
        <v>187</v>
      </c>
      <c r="BX28" s="2">
        <v>285</v>
      </c>
      <c r="BY28" s="2">
        <v>25.1</v>
      </c>
      <c r="BZ28" s="2">
        <v>2.1</v>
      </c>
      <c r="CA28" s="2">
        <v>0.8</v>
      </c>
      <c r="CB28" s="2">
        <v>1.55401914352E-12</v>
      </c>
      <c r="CC28" s="2"/>
    </row>
    <row r="29" spans="1:81" x14ac:dyDescent="0.25">
      <c r="A29" s="66"/>
      <c r="B29" s="66"/>
      <c r="C29" s="67"/>
      <c r="D29" s="35"/>
      <c r="AW29" s="2">
        <v>47.1</v>
      </c>
      <c r="AX29" s="2" t="s">
        <v>271</v>
      </c>
      <c r="AY29" s="130">
        <v>24.7</v>
      </c>
      <c r="AZ29" s="2">
        <v>19.8</v>
      </c>
      <c r="BA29" s="2"/>
      <c r="BB29" s="2">
        <v>11</v>
      </c>
      <c r="BC29" s="2"/>
      <c r="BD29" s="2">
        <v>4.3</v>
      </c>
      <c r="BE29" s="2">
        <v>13.9</v>
      </c>
      <c r="BF29" s="2">
        <v>18.2</v>
      </c>
      <c r="BG29" s="2">
        <v>37.700000000000003</v>
      </c>
      <c r="BH29" s="2">
        <v>98.1</v>
      </c>
      <c r="BI29" s="2"/>
      <c r="BJ29" s="2"/>
      <c r="BK29" s="2"/>
      <c r="BL29" s="2"/>
      <c r="BM29" s="2"/>
      <c r="BN29" s="2">
        <v>55</v>
      </c>
      <c r="BO29" s="2">
        <v>26</v>
      </c>
      <c r="BP29" s="2">
        <v>27</v>
      </c>
      <c r="BQ29" s="2">
        <v>29</v>
      </c>
      <c r="BR29" s="2">
        <v>32</v>
      </c>
      <c r="BS29" s="2">
        <v>35</v>
      </c>
      <c r="BT29" s="2">
        <v>68</v>
      </c>
      <c r="BU29" s="2">
        <v>149</v>
      </c>
      <c r="BV29" s="2">
        <v>189</v>
      </c>
      <c r="BW29" s="2">
        <v>228</v>
      </c>
      <c r="BX29" s="2">
        <v>326</v>
      </c>
      <c r="BY29" s="2">
        <v>25.1</v>
      </c>
      <c r="BZ29" s="2">
        <v>2.1</v>
      </c>
      <c r="CA29" s="2">
        <v>0.8</v>
      </c>
      <c r="CB29" s="2">
        <v>1.55401914352E-12</v>
      </c>
      <c r="CC29" s="2"/>
    </row>
    <row r="30" spans="1:81" x14ac:dyDescent="0.25">
      <c r="A30" s="66"/>
      <c r="B30" s="66"/>
      <c r="C30" s="67"/>
      <c r="D30" s="35"/>
      <c r="AW30" s="2">
        <v>47.1</v>
      </c>
      <c r="AX30" s="2" t="s">
        <v>273</v>
      </c>
      <c r="AY30" s="130">
        <v>32</v>
      </c>
      <c r="AZ30" s="2">
        <v>18.899999999999999</v>
      </c>
      <c r="BA30" s="2">
        <v>47</v>
      </c>
      <c r="BB30" s="2">
        <v>85</v>
      </c>
      <c r="BC30" s="2">
        <v>3</v>
      </c>
      <c r="BD30" s="2">
        <v>1.7</v>
      </c>
      <c r="BE30" s="2">
        <v>8</v>
      </c>
      <c r="BF30" s="2">
        <v>9.1999999999999993</v>
      </c>
      <c r="BG30" s="2">
        <v>23.1</v>
      </c>
      <c r="BH30" s="2">
        <v>66.099999999999994</v>
      </c>
      <c r="BI30" s="2">
        <v>284</v>
      </c>
      <c r="BJ30" s="2">
        <v>370</v>
      </c>
      <c r="BK30" s="2">
        <v>413</v>
      </c>
      <c r="BL30" s="2">
        <v>457</v>
      </c>
      <c r="BM30" s="2">
        <v>543</v>
      </c>
      <c r="BN30" s="2"/>
      <c r="BO30" s="2"/>
      <c r="BP30" s="2"/>
      <c r="BQ30" s="2"/>
      <c r="BR30" s="2"/>
      <c r="BS30" s="2"/>
      <c r="BT30" s="2">
        <v>291</v>
      </c>
      <c r="BU30" s="2">
        <v>463</v>
      </c>
      <c r="BV30" s="2">
        <v>550</v>
      </c>
      <c r="BW30" s="2">
        <v>637</v>
      </c>
      <c r="BX30" s="2">
        <v>809</v>
      </c>
      <c r="BY30" s="2">
        <v>41</v>
      </c>
      <c r="BZ30" s="2">
        <v>5.0999999999999996</v>
      </c>
      <c r="CA30" s="2">
        <v>1.8</v>
      </c>
      <c r="CB30" s="2">
        <v>4.07656174800642E-12</v>
      </c>
      <c r="CC30" s="2">
        <v>1.8</v>
      </c>
    </row>
    <row r="31" spans="1:81" x14ac:dyDescent="0.25">
      <c r="A31" s="66"/>
      <c r="B31" s="66"/>
      <c r="C31" s="67"/>
      <c r="D31" s="35"/>
      <c r="AW31" s="2">
        <v>80</v>
      </c>
      <c r="AX31" s="2" t="s">
        <v>273</v>
      </c>
      <c r="AY31" s="130">
        <v>32</v>
      </c>
      <c r="AZ31" s="2">
        <v>18.899999999999999</v>
      </c>
      <c r="BA31" s="2">
        <v>47</v>
      </c>
      <c r="BB31" s="2">
        <v>85</v>
      </c>
      <c r="BC31" s="2">
        <v>3</v>
      </c>
      <c r="BD31" s="2">
        <v>6.1</v>
      </c>
      <c r="BE31" s="2">
        <v>12</v>
      </c>
      <c r="BF31" s="2">
        <v>13.6</v>
      </c>
      <c r="BG31" s="2">
        <v>27.5</v>
      </c>
      <c r="BH31" s="2">
        <v>70.5</v>
      </c>
      <c r="BI31" s="2">
        <v>476</v>
      </c>
      <c r="BJ31" s="2">
        <v>562</v>
      </c>
      <c r="BK31" s="2">
        <v>605</v>
      </c>
      <c r="BL31" s="2">
        <v>649</v>
      </c>
      <c r="BM31" s="2">
        <v>735</v>
      </c>
      <c r="BN31" s="2"/>
      <c r="BO31" s="2"/>
      <c r="BP31" s="2"/>
      <c r="BQ31" s="2"/>
      <c r="BR31" s="2"/>
      <c r="BS31" s="2"/>
      <c r="BT31" s="2">
        <v>641</v>
      </c>
      <c r="BU31" s="2">
        <v>813</v>
      </c>
      <c r="BV31" s="2">
        <v>900</v>
      </c>
      <c r="BW31" s="2">
        <v>987</v>
      </c>
      <c r="BX31" s="2">
        <v>1159</v>
      </c>
      <c r="BY31" s="2">
        <v>41</v>
      </c>
      <c r="BZ31" s="2">
        <v>5.0999999999999996</v>
      </c>
      <c r="CA31" s="2">
        <v>1.8</v>
      </c>
      <c r="CB31" s="2">
        <v>4.07656174800642E-12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336" priority="12">
      <formula>$L32="API sand"</formula>
    </cfRule>
  </conditionalFormatting>
  <conditionalFormatting sqref="R32:S36 AB32:AB35 AJ32:AL36 Z32:Z36 N32:N36">
    <cfRule type="expression" dxfId="2335" priority="11">
      <formula>$M32="API sand"</formula>
    </cfRule>
  </conditionalFormatting>
  <conditionalFormatting sqref="R32:T36 Z32:AB35 AK32:AL36 N32:N36">
    <cfRule type="expression" dxfId="2334" priority="10">
      <formula>$M32="API clay"</formula>
    </cfRule>
  </conditionalFormatting>
  <conditionalFormatting sqref="U32:W36 AM32:AP36 N32:P36">
    <cfRule type="expression" dxfId="2333" priority="7">
      <formula>$L32="Stiff clay w/o free water"</formula>
    </cfRule>
    <cfRule type="expression" dxfId="2332" priority="9">
      <formula>$L32="API clay"</formula>
    </cfRule>
  </conditionalFormatting>
  <conditionalFormatting sqref="U32:Y36 AM32:AP36 N32:P36">
    <cfRule type="expression" dxfId="2331" priority="8">
      <formula>$L32="Kirsch soft clay"</formula>
    </cfRule>
  </conditionalFormatting>
  <conditionalFormatting sqref="U32:Y36 AM32:AP36 N32:P36">
    <cfRule type="expression" dxfId="2330" priority="6">
      <formula>$L32="Kirsch stiff clay"</formula>
    </cfRule>
  </conditionalFormatting>
  <conditionalFormatting sqref="AM32:AP36 Q32:Q36 X32:Y36 N32:N36">
    <cfRule type="expression" dxfId="2329" priority="5">
      <formula>$L32="Kirsch sand"</formula>
    </cfRule>
  </conditionalFormatting>
  <conditionalFormatting sqref="AC32:AD36 AI32:AI36 AM32:AP36 N32:N36">
    <cfRule type="expression" dxfId="2328" priority="4">
      <formula>$L32="Modified Weak rock"</formula>
    </cfRule>
  </conditionalFormatting>
  <conditionalFormatting sqref="AM32:AP36 N32:P36 U32:V36">
    <cfRule type="expression" dxfId="2327" priority="3">
      <formula>$L32="Reese stiff clay"</formula>
    </cfRule>
  </conditionalFormatting>
  <conditionalFormatting sqref="AB36">
    <cfRule type="expression" dxfId="2326" priority="2">
      <formula>$M36="API sand"</formula>
    </cfRule>
  </conditionalFormatting>
  <conditionalFormatting sqref="Z36:AB36">
    <cfRule type="expression" dxfId="2325" priority="1">
      <formula>$M36="API clay"</formula>
    </cfRule>
  </conditionalFormatting>
  <conditionalFormatting sqref="AE37:AH37">
    <cfRule type="expression" dxfId="2324" priority="13">
      <formula>#REF!="Modified Weak rock"</formula>
    </cfRule>
  </conditionalFormatting>
  <dataValidations count="4">
    <dataValidation type="list" showInputMessage="1" showErrorMessage="1" sqref="M32:M36" xr:uid="{2A61F0C7-561E-4D38-9FF1-E91ABE6BCD53}">
      <formula1>"',API sand,API clay"</formula1>
    </dataValidation>
    <dataValidation type="list" showInputMessage="1" showErrorMessage="1" sqref="L32:L255" xr:uid="{D4173D50-3278-46C9-A580-5228B823CA36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AA4954E2-22F6-4A28-B4C8-468157F87AC2}"/>
    <dataValidation type="textLength" showInputMessage="1" showErrorMessage="1" sqref="M27:M31" xr:uid="{25954613-3F5D-4273-891B-6F13349785A8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86C9D-3CEE-4678-AA53-E408020A825C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Ak_Pisa_WTG45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13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EW_sand_Ruled_91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38</v>
      </c>
      <c r="R6" s="47">
        <f t="shared" ref="R6:R26" ca="1" si="7">IF(I6="","",IF(Q6&lt;&gt;0,Q6-5,NA()))</f>
        <v>33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13400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107.39999999999996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11040</v>
      </c>
      <c r="AC6" s="63">
        <f t="shared" ref="AC6:AC26" ca="1" si="18">IF(I6="","",IF(OFFSET($BV$6,(ROW()-6)*2,0)=0,0,OFFSET($BV$6,(ROW()-6)*2,0)*1000))</f>
        <v>11000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21000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46.000000000000007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91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1.2</v>
      </c>
      <c r="BF6" s="2">
        <v>1.7</v>
      </c>
      <c r="BG6" s="2">
        <v>2.6</v>
      </c>
      <c r="BH6" s="2">
        <v>4.8</v>
      </c>
      <c r="BI6" s="2"/>
      <c r="BJ6" s="2"/>
      <c r="BK6" s="2"/>
      <c r="BL6" s="2"/>
      <c r="BM6" s="2"/>
      <c r="BN6" s="2">
        <v>91</v>
      </c>
      <c r="BO6" s="2">
        <v>30</v>
      </c>
      <c r="BP6" s="2">
        <v>38</v>
      </c>
      <c r="BQ6" s="2">
        <v>42</v>
      </c>
      <c r="BR6" s="2">
        <v>45</v>
      </c>
      <c r="BS6" s="2">
        <v>52</v>
      </c>
      <c r="BT6" s="2">
        <v>0</v>
      </c>
      <c r="BU6" s="2">
        <v>6</v>
      </c>
      <c r="BV6" s="2">
        <v>11</v>
      </c>
      <c r="BW6" s="2">
        <v>17</v>
      </c>
      <c r="BX6" s="2">
        <v>30</v>
      </c>
      <c r="BY6" s="2">
        <v>13.4</v>
      </c>
      <c r="BZ6" s="2">
        <v>1</v>
      </c>
      <c r="CA6" s="2">
        <v>0.5</v>
      </c>
      <c r="CB6" s="2">
        <v>5.1005910380642098E-5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-1</v>
      </c>
      <c r="L7" s="116" t="str">
        <f t="shared" ca="1" si="1"/>
        <v>EW_sand_Ruled_74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39</v>
      </c>
      <c r="R7" s="47">
        <f t="shared" ca="1" si="7"/>
        <v>34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26100</v>
      </c>
      <c r="Y7" s="47">
        <f t="shared" ca="1" si="14"/>
        <v>0</v>
      </c>
      <c r="Z7" s="47">
        <f t="shared" ca="1" si="15"/>
        <v>111.19999999999996</v>
      </c>
      <c r="AA7" s="47">
        <f t="shared" ca="1" si="16"/>
        <v>1</v>
      </c>
      <c r="AB7" s="47">
        <f t="shared" ca="1" si="17"/>
        <v>11520</v>
      </c>
      <c r="AC7" s="63">
        <f t="shared" ca="1" si="18"/>
        <v>38000</v>
      </c>
      <c r="AD7" s="63">
        <f t="shared" ca="1" si="19"/>
        <v>4999.9999999999991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48.000000000000007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74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2.9</v>
      </c>
      <c r="BE7" s="2">
        <v>4.4000000000000004</v>
      </c>
      <c r="BF7" s="2">
        <v>5</v>
      </c>
      <c r="BG7" s="2">
        <v>5.8</v>
      </c>
      <c r="BH7" s="2">
        <v>8.1</v>
      </c>
      <c r="BI7" s="2"/>
      <c r="BJ7" s="2"/>
      <c r="BK7" s="2"/>
      <c r="BL7" s="2"/>
      <c r="BM7" s="2"/>
      <c r="BN7" s="2">
        <v>91</v>
      </c>
      <c r="BO7" s="2">
        <v>30</v>
      </c>
      <c r="BP7" s="2">
        <v>38</v>
      </c>
      <c r="BQ7" s="2">
        <v>42</v>
      </c>
      <c r="BR7" s="2">
        <v>45</v>
      </c>
      <c r="BS7" s="2">
        <v>52</v>
      </c>
      <c r="BT7" s="2">
        <v>14</v>
      </c>
      <c r="BU7" s="2">
        <v>27</v>
      </c>
      <c r="BV7" s="2">
        <v>32</v>
      </c>
      <c r="BW7" s="2">
        <v>38</v>
      </c>
      <c r="BX7" s="2">
        <v>50</v>
      </c>
      <c r="BY7" s="2">
        <v>13.4</v>
      </c>
      <c r="BZ7" s="2">
        <v>1</v>
      </c>
      <c r="CA7" s="2">
        <v>0.5</v>
      </c>
      <c r="CB7" s="2">
        <v>5.1005910380642098E-5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09a</v>
      </c>
      <c r="J8" s="47">
        <f t="shared" ca="1" si="35"/>
        <v>3</v>
      </c>
      <c r="K8" s="19">
        <f t="shared" ca="1" si="36"/>
        <v>-2.2000000000000002</v>
      </c>
      <c r="L8" s="116" t="str">
        <f t="shared" ca="1" si="1"/>
        <v>EW_sand_Ruled_87</v>
      </c>
      <c r="M8" s="105" t="str">
        <f t="shared" ca="1" si="2"/>
        <v>API sand</v>
      </c>
      <c r="N8" s="47">
        <f t="shared" ca="1" si="3"/>
        <v>9.3999999999999986</v>
      </c>
      <c r="O8" s="63">
        <f t="shared" ca="1" si="4"/>
        <v>0</v>
      </c>
      <c r="P8" s="63">
        <f t="shared" ca="1" si="5"/>
        <v>0</v>
      </c>
      <c r="Q8" s="47">
        <f t="shared" ca="1" si="6"/>
        <v>42</v>
      </c>
      <c r="R8" s="47">
        <f t="shared" ca="1" si="7"/>
        <v>37</v>
      </c>
      <c r="S8" s="47">
        <f t="shared" ca="1" si="8"/>
        <v>2.2999999999999998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71900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69000</v>
      </c>
      <c r="AD8" s="63">
        <f t="shared" ca="1" si="19"/>
        <v>-2000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87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2.6</v>
      </c>
      <c r="BE8" s="2">
        <v>5.6</v>
      </c>
      <c r="BF8" s="2">
        <v>6.6</v>
      </c>
      <c r="BG8" s="2">
        <v>8.4</v>
      </c>
      <c r="BH8" s="2">
        <v>14.3</v>
      </c>
      <c r="BI8" s="2"/>
      <c r="BJ8" s="2"/>
      <c r="BK8" s="2"/>
      <c r="BL8" s="2"/>
      <c r="BM8" s="2"/>
      <c r="BN8" s="2">
        <v>74</v>
      </c>
      <c r="BO8" s="2">
        <v>33</v>
      </c>
      <c r="BP8" s="2">
        <v>39</v>
      </c>
      <c r="BQ8" s="2">
        <v>42</v>
      </c>
      <c r="BR8" s="2">
        <v>45</v>
      </c>
      <c r="BS8" s="2">
        <v>52</v>
      </c>
      <c r="BT8" s="2">
        <v>4</v>
      </c>
      <c r="BU8" s="2">
        <v>28</v>
      </c>
      <c r="BV8" s="2">
        <v>38</v>
      </c>
      <c r="BW8" s="2">
        <v>48</v>
      </c>
      <c r="BX8" s="2">
        <v>73</v>
      </c>
      <c r="BY8" s="2">
        <v>26.1</v>
      </c>
      <c r="BZ8" s="2">
        <v>1</v>
      </c>
      <c r="CA8" s="2">
        <v>0.5</v>
      </c>
      <c r="CB8" s="2">
        <v>1.47888135157843E-5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09b</v>
      </c>
      <c r="J9" s="47">
        <f t="shared" ca="1" si="35"/>
        <v>4</v>
      </c>
      <c r="K9" s="19">
        <f t="shared" ca="1" si="36"/>
        <v>-4.2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9.5</v>
      </c>
      <c r="O9" s="63">
        <f t="shared" ca="1" si="4"/>
        <v>235</v>
      </c>
      <c r="P9" s="63">
        <f t="shared" ca="1" si="5"/>
        <v>-33.333333333333336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37100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288000</v>
      </c>
      <c r="AD9" s="63">
        <f t="shared" ca="1" si="19"/>
        <v>-39047.619047619053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2.2000000000000002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2.5</v>
      </c>
      <c r="BE9" s="2">
        <v>5.5</v>
      </c>
      <c r="BF9" s="2">
        <v>6.5</v>
      </c>
      <c r="BG9" s="2">
        <v>8.3000000000000007</v>
      </c>
      <c r="BH9" s="2">
        <v>14.2</v>
      </c>
      <c r="BI9" s="2"/>
      <c r="BJ9" s="2"/>
      <c r="BK9" s="2"/>
      <c r="BL9" s="2"/>
      <c r="BM9" s="2"/>
      <c r="BN9" s="2">
        <v>74</v>
      </c>
      <c r="BO9" s="2">
        <v>33</v>
      </c>
      <c r="BP9" s="2">
        <v>39</v>
      </c>
      <c r="BQ9" s="2">
        <v>42</v>
      </c>
      <c r="BR9" s="2">
        <v>45</v>
      </c>
      <c r="BS9" s="2">
        <v>52</v>
      </c>
      <c r="BT9" s="2">
        <v>9</v>
      </c>
      <c r="BU9" s="2">
        <v>34</v>
      </c>
      <c r="BV9" s="2">
        <v>44</v>
      </c>
      <c r="BW9" s="2">
        <v>54</v>
      </c>
      <c r="BX9" s="2">
        <v>79</v>
      </c>
      <c r="BY9" s="2">
        <v>26.1</v>
      </c>
      <c r="BZ9" s="2">
        <v>1</v>
      </c>
      <c r="CA9" s="2">
        <v>0.5</v>
      </c>
      <c r="CB9" s="2">
        <v>1.47888135157843E-5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10a</v>
      </c>
      <c r="J10" s="47">
        <f t="shared" ca="1" si="35"/>
        <v>5</v>
      </c>
      <c r="K10" s="19">
        <f t="shared" ca="1" si="36"/>
        <v>-6.3</v>
      </c>
      <c r="L10" s="116" t="str">
        <f t="shared" ca="1" si="1"/>
        <v>EW_sand_Ruled_75</v>
      </c>
      <c r="M10" s="105" t="str">
        <f t="shared" ca="1" si="2"/>
        <v>API sand</v>
      </c>
      <c r="N10" s="47">
        <f t="shared" ca="1" si="3"/>
        <v>10</v>
      </c>
      <c r="O10" s="63">
        <f t="shared" ca="1" si="4"/>
        <v>0</v>
      </c>
      <c r="P10" s="63">
        <f t="shared" ca="1" si="5"/>
        <v>0</v>
      </c>
      <c r="Q10" s="47">
        <f t="shared" ca="1" si="6"/>
        <v>39</v>
      </c>
      <c r="R10" s="47">
        <f t="shared" ca="1" si="7"/>
        <v>34</v>
      </c>
      <c r="S10" s="47">
        <f t="shared" ca="1" si="8"/>
        <v>1.2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63900</v>
      </c>
      <c r="Y10" s="47">
        <f t="shared" ca="1" si="14"/>
        <v>0</v>
      </c>
      <c r="Z10" s="47">
        <f t="shared" ca="1" si="15"/>
        <v>111.19999999999996</v>
      </c>
      <c r="AA10" s="47">
        <f t="shared" ca="1" si="16"/>
        <v>1</v>
      </c>
      <c r="AB10" s="47">
        <f t="shared" ca="1" si="17"/>
        <v>11520</v>
      </c>
      <c r="AC10" s="63">
        <f t="shared" ca="1" si="18"/>
        <v>80000</v>
      </c>
      <c r="AD10" s="63">
        <f t="shared" ca="1" si="19"/>
        <v>8108.1081081081074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48.000000000000007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75</v>
      </c>
      <c r="AS10" s="33">
        <f t="shared" ca="1" si="34"/>
        <v>0.4</v>
      </c>
      <c r="AW10" s="2">
        <v>2.2000000000000002</v>
      </c>
      <c r="AX10" s="2" t="s">
        <v>295</v>
      </c>
      <c r="AY10" s="130">
        <v>25.8</v>
      </c>
      <c r="AZ10" s="2">
        <v>19.399999999999999</v>
      </c>
      <c r="BA10" s="2"/>
      <c r="BB10" s="2">
        <v>2</v>
      </c>
      <c r="BC10" s="2"/>
      <c r="BD10" s="2">
        <v>19.399999999999999</v>
      </c>
      <c r="BE10" s="2">
        <v>23.4</v>
      </c>
      <c r="BF10" s="2">
        <v>24.3</v>
      </c>
      <c r="BG10" s="2">
        <v>25</v>
      </c>
      <c r="BH10" s="2">
        <v>28</v>
      </c>
      <c r="BI10" s="2"/>
      <c r="BJ10" s="2"/>
      <c r="BK10" s="2"/>
      <c r="BL10" s="2"/>
      <c r="BM10" s="2"/>
      <c r="BN10" s="2">
        <v>87</v>
      </c>
      <c r="BO10" s="2">
        <v>34</v>
      </c>
      <c r="BP10" s="2">
        <v>42</v>
      </c>
      <c r="BQ10" s="2">
        <v>45</v>
      </c>
      <c r="BR10" s="2">
        <v>49</v>
      </c>
      <c r="BS10" s="2">
        <v>54</v>
      </c>
      <c r="BT10" s="2">
        <v>14</v>
      </c>
      <c r="BU10" s="2">
        <v>53</v>
      </c>
      <c r="BV10" s="2">
        <v>69</v>
      </c>
      <c r="BW10" s="2">
        <v>85</v>
      </c>
      <c r="BX10" s="2">
        <v>124</v>
      </c>
      <c r="BY10" s="2">
        <v>71.900000000000006</v>
      </c>
      <c r="BZ10" s="2">
        <v>12.5</v>
      </c>
      <c r="CA10" s="2">
        <v>2.2999999999999998</v>
      </c>
      <c r="CB10" s="2">
        <v>1.4486837863223099E-4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10b</v>
      </c>
      <c r="J11" s="47">
        <f t="shared" ca="1" si="35"/>
        <v>6</v>
      </c>
      <c r="K11" s="19">
        <f t="shared" ca="1" si="36"/>
        <v>-10</v>
      </c>
      <c r="L11" s="116" t="str">
        <f t="shared" ca="1" si="1"/>
        <v>EW_sand_Ruled_84</v>
      </c>
      <c r="M11" s="105" t="str">
        <f t="shared" ca="1" si="2"/>
        <v>API sand</v>
      </c>
      <c r="N11" s="47">
        <f t="shared" ca="1" si="3"/>
        <v>9.8999999999999986</v>
      </c>
      <c r="O11" s="63">
        <f t="shared" ca="1" si="4"/>
        <v>0</v>
      </c>
      <c r="P11" s="63">
        <f t="shared" ca="1" si="5"/>
        <v>0</v>
      </c>
      <c r="Q11" s="47">
        <f t="shared" ca="1" si="6"/>
        <v>41</v>
      </c>
      <c r="R11" s="47">
        <f t="shared" ca="1" si="7"/>
        <v>36</v>
      </c>
      <c r="S11" s="47">
        <f t="shared" ca="1" si="8"/>
        <v>1.2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105700</v>
      </c>
      <c r="Y11" s="47">
        <f t="shared" ca="1" si="14"/>
        <v>0</v>
      </c>
      <c r="Z11" s="47">
        <f t="shared" ca="1" si="15"/>
        <v>114.99999999999996</v>
      </c>
      <c r="AA11" s="47">
        <f t="shared" ca="1" si="16"/>
        <v>1</v>
      </c>
      <c r="AB11" s="47">
        <f t="shared" ca="1" si="17"/>
        <v>12000</v>
      </c>
      <c r="AC11" s="63">
        <f t="shared" ca="1" si="18"/>
        <v>126000</v>
      </c>
      <c r="AD11" s="63">
        <f t="shared" ca="1" si="19"/>
        <v>-1250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50.000000000000007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84</v>
      </c>
      <c r="AS11" s="33">
        <f t="shared" ca="1" si="34"/>
        <v>0.4</v>
      </c>
      <c r="AW11" s="2">
        <v>4.2</v>
      </c>
      <c r="AX11" s="2" t="s">
        <v>295</v>
      </c>
      <c r="AY11" s="130">
        <v>25.8</v>
      </c>
      <c r="AZ11" s="2">
        <v>19.399999999999999</v>
      </c>
      <c r="BA11" s="2"/>
      <c r="BB11" s="2">
        <v>2</v>
      </c>
      <c r="BC11" s="2"/>
      <c r="BD11" s="2">
        <v>4.9000000000000004</v>
      </c>
      <c r="BE11" s="2">
        <v>8.9</v>
      </c>
      <c r="BF11" s="2">
        <v>9.8000000000000007</v>
      </c>
      <c r="BG11" s="2">
        <v>10.5</v>
      </c>
      <c r="BH11" s="2">
        <v>13.5</v>
      </c>
      <c r="BI11" s="2"/>
      <c r="BJ11" s="2"/>
      <c r="BK11" s="2"/>
      <c r="BL11" s="2"/>
      <c r="BM11" s="2"/>
      <c r="BN11" s="2">
        <v>87</v>
      </c>
      <c r="BO11" s="2">
        <v>34</v>
      </c>
      <c r="BP11" s="2">
        <v>42</v>
      </c>
      <c r="BQ11" s="2">
        <v>45</v>
      </c>
      <c r="BR11" s="2">
        <v>49</v>
      </c>
      <c r="BS11" s="2">
        <v>54</v>
      </c>
      <c r="BT11" s="2">
        <v>9</v>
      </c>
      <c r="BU11" s="2">
        <v>49</v>
      </c>
      <c r="BV11" s="2">
        <v>65</v>
      </c>
      <c r="BW11" s="2">
        <v>81</v>
      </c>
      <c r="BX11" s="2">
        <v>120</v>
      </c>
      <c r="BY11" s="2">
        <v>71.900000000000006</v>
      </c>
      <c r="BZ11" s="2">
        <v>12.5</v>
      </c>
      <c r="CA11" s="2">
        <v>2.2999999999999998</v>
      </c>
      <c r="CB11" s="2">
        <v>1.4486837863223099E-4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10b</v>
      </c>
      <c r="J12" s="47">
        <f t="shared" ca="1" si="35"/>
        <v>7</v>
      </c>
      <c r="K12" s="19">
        <f t="shared" ca="1" si="36"/>
        <v>-14</v>
      </c>
      <c r="L12" s="116" t="str">
        <f t="shared" ca="1" si="1"/>
        <v>EW_sand_Ruled_76</v>
      </c>
      <c r="M12" s="105" t="str">
        <f t="shared" ca="1" si="2"/>
        <v>API sand</v>
      </c>
      <c r="N12" s="47">
        <f t="shared" ca="1" si="3"/>
        <v>9.8999999999999986</v>
      </c>
      <c r="O12" s="63">
        <f t="shared" ca="1" si="4"/>
        <v>0</v>
      </c>
      <c r="P12" s="63">
        <f t="shared" ca="1" si="5"/>
        <v>0</v>
      </c>
      <c r="Q12" s="47">
        <f t="shared" ca="1" si="6"/>
        <v>39</v>
      </c>
      <c r="R12" s="47">
        <f t="shared" ca="1" si="7"/>
        <v>34</v>
      </c>
      <c r="S12" s="47">
        <f t="shared" ca="1" si="8"/>
        <v>0.9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91400</v>
      </c>
      <c r="Y12" s="47">
        <f t="shared" ca="1" si="14"/>
        <v>0</v>
      </c>
      <c r="Z12" s="47">
        <f t="shared" ca="1" si="15"/>
        <v>111.19999999999996</v>
      </c>
      <c r="AA12" s="47">
        <f t="shared" ca="1" si="16"/>
        <v>1</v>
      </c>
      <c r="AB12" s="47">
        <f t="shared" ca="1" si="17"/>
        <v>11520</v>
      </c>
      <c r="AC12" s="63">
        <f t="shared" ca="1" si="18"/>
        <v>125000</v>
      </c>
      <c r="AD12" s="63">
        <f t="shared" ca="1" si="19"/>
        <v>4468.0851063829796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48.000000000000007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76</v>
      </c>
      <c r="AS12" s="33">
        <f t="shared" ca="1" si="34"/>
        <v>0.4</v>
      </c>
      <c r="AW12" s="2">
        <v>4.2</v>
      </c>
      <c r="AX12" s="2" t="s">
        <v>296</v>
      </c>
      <c r="AY12" s="130">
        <v>28</v>
      </c>
      <c r="AZ12" s="2">
        <v>19.5</v>
      </c>
      <c r="BA12" s="2">
        <v>11</v>
      </c>
      <c r="BB12" s="2">
        <v>34</v>
      </c>
      <c r="BC12" s="2">
        <v>4</v>
      </c>
      <c r="BD12" s="2">
        <v>3.2</v>
      </c>
      <c r="BE12" s="2">
        <v>4.9000000000000004</v>
      </c>
      <c r="BF12" s="2">
        <v>5.3</v>
      </c>
      <c r="BG12" s="2">
        <v>5.7</v>
      </c>
      <c r="BH12" s="2">
        <v>7.1</v>
      </c>
      <c r="BI12" s="2">
        <v>91</v>
      </c>
      <c r="BJ12" s="2">
        <v>235</v>
      </c>
      <c r="BK12" s="2">
        <v>292</v>
      </c>
      <c r="BL12" s="2">
        <v>348</v>
      </c>
      <c r="BM12" s="2">
        <v>483</v>
      </c>
      <c r="BN12" s="2"/>
      <c r="BO12" s="2"/>
      <c r="BP12" s="2"/>
      <c r="BQ12" s="2"/>
      <c r="BR12" s="2"/>
      <c r="BS12" s="2"/>
      <c r="BT12" s="2">
        <v>87</v>
      </c>
      <c r="BU12" s="2">
        <v>199</v>
      </c>
      <c r="BV12" s="2">
        <v>288</v>
      </c>
      <c r="BW12" s="2">
        <v>375</v>
      </c>
      <c r="BX12" s="2">
        <v>564</v>
      </c>
      <c r="BY12" s="2">
        <v>37.1</v>
      </c>
      <c r="BZ12" s="2">
        <v>17.2</v>
      </c>
      <c r="CA12" s="2">
        <v>3</v>
      </c>
      <c r="CB12" s="2">
        <v>8.4318201398439298E-8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17c</v>
      </c>
      <c r="J13" s="47">
        <f t="shared" ca="1" si="35"/>
        <v>8</v>
      </c>
      <c r="K13" s="19">
        <f t="shared" ca="1" si="36"/>
        <v>-18.7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8.6999999999999993</v>
      </c>
      <c r="O13" s="63">
        <f t="shared" ca="1" si="4"/>
        <v>180</v>
      </c>
      <c r="P13" s="63">
        <f t="shared" ca="1" si="5"/>
        <v>36.029411764705877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0.5</v>
      </c>
      <c r="X13" s="47">
        <f t="shared" ca="1" si="13"/>
        <v>25400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225000</v>
      </c>
      <c r="AD13" s="63">
        <f t="shared" ca="1" si="19"/>
        <v>45441.176470588231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6.3</v>
      </c>
      <c r="AX13" s="2" t="s">
        <v>296</v>
      </c>
      <c r="AY13" s="130">
        <v>28</v>
      </c>
      <c r="AZ13" s="2">
        <v>19.5</v>
      </c>
      <c r="BA13" s="2">
        <v>11</v>
      </c>
      <c r="BB13" s="2">
        <v>34</v>
      </c>
      <c r="BC13" s="2">
        <v>4</v>
      </c>
      <c r="BD13" s="2">
        <v>2</v>
      </c>
      <c r="BE13" s="2">
        <v>3.7</v>
      </c>
      <c r="BF13" s="2">
        <v>4.0999999999999996</v>
      </c>
      <c r="BG13" s="2">
        <v>4.5</v>
      </c>
      <c r="BH13" s="2">
        <v>5.9</v>
      </c>
      <c r="BI13" s="2">
        <v>20</v>
      </c>
      <c r="BJ13" s="2">
        <v>165</v>
      </c>
      <c r="BK13" s="2">
        <v>221</v>
      </c>
      <c r="BL13" s="2">
        <v>277</v>
      </c>
      <c r="BM13" s="2">
        <v>412</v>
      </c>
      <c r="BN13" s="2"/>
      <c r="BO13" s="2"/>
      <c r="BP13" s="2"/>
      <c r="BQ13" s="2"/>
      <c r="BR13" s="2"/>
      <c r="BS13" s="2"/>
      <c r="BT13" s="2">
        <v>6</v>
      </c>
      <c r="BU13" s="2">
        <v>118</v>
      </c>
      <c r="BV13" s="2">
        <v>206</v>
      </c>
      <c r="BW13" s="2">
        <v>294</v>
      </c>
      <c r="BX13" s="2">
        <v>483</v>
      </c>
      <c r="BY13" s="2">
        <v>37.1</v>
      </c>
      <c r="BZ13" s="2">
        <v>17.2</v>
      </c>
      <c r="CA13" s="2">
        <v>3</v>
      </c>
      <c r="CB13" s="2">
        <v>8.4318201398439298E-8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19b</v>
      </c>
      <c r="J14" s="47">
        <f t="shared" ca="1" si="35"/>
        <v>9</v>
      </c>
      <c r="K14" s="19">
        <f t="shared" ca="1" si="36"/>
        <v>-25.5</v>
      </c>
      <c r="L14" s="116" t="str">
        <f t="shared" ca="1" si="1"/>
        <v>EW_sand_Ruled_71</v>
      </c>
      <c r="M14" s="105" t="str">
        <f t="shared" ca="1" si="2"/>
        <v>API sand</v>
      </c>
      <c r="N14" s="47">
        <f t="shared" ca="1" si="3"/>
        <v>8.5</v>
      </c>
      <c r="O14" s="63">
        <f t="shared" ca="1" si="4"/>
        <v>0</v>
      </c>
      <c r="P14" s="63">
        <f t="shared" ca="1" si="5"/>
        <v>0</v>
      </c>
      <c r="Q14" s="47">
        <f t="shared" ca="1" si="6"/>
        <v>27</v>
      </c>
      <c r="R14" s="47">
        <f t="shared" ca="1" si="7"/>
        <v>22</v>
      </c>
      <c r="S14" s="47">
        <f t="shared" ca="1" si="8"/>
        <v>0.9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25000</v>
      </c>
      <c r="Y14" s="47">
        <f t="shared" ca="1" si="14"/>
        <v>0</v>
      </c>
      <c r="Z14" s="47">
        <f t="shared" ca="1" si="15"/>
        <v>72.59999999999998</v>
      </c>
      <c r="AA14" s="47">
        <f t="shared" ca="1" si="16"/>
        <v>1</v>
      </c>
      <c r="AB14" s="47">
        <f t="shared" ca="1" si="17"/>
        <v>3660</v>
      </c>
      <c r="AC14" s="63">
        <f t="shared" ca="1" si="18"/>
        <v>148000</v>
      </c>
      <c r="AD14" s="63">
        <f t="shared" ca="1" si="19"/>
        <v>1034.4827586206895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15.200000000000003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71</v>
      </c>
      <c r="AS14" s="33">
        <f t="shared" ca="1" si="34"/>
        <v>0.2</v>
      </c>
      <c r="AW14" s="2">
        <v>6.3</v>
      </c>
      <c r="AX14" s="2" t="s">
        <v>259</v>
      </c>
      <c r="AY14" s="130">
        <v>25.5</v>
      </c>
      <c r="AZ14" s="2">
        <v>20</v>
      </c>
      <c r="BA14" s="2"/>
      <c r="BB14" s="2">
        <v>14</v>
      </c>
      <c r="BC14" s="2"/>
      <c r="BD14" s="2">
        <v>6.9</v>
      </c>
      <c r="BE14" s="2">
        <v>10.5</v>
      </c>
      <c r="BF14" s="2">
        <v>11.1</v>
      </c>
      <c r="BG14" s="2">
        <v>12</v>
      </c>
      <c r="BH14" s="2">
        <v>17.5</v>
      </c>
      <c r="BI14" s="2"/>
      <c r="BJ14" s="2"/>
      <c r="BK14" s="2"/>
      <c r="BL14" s="2"/>
      <c r="BM14" s="2"/>
      <c r="BN14" s="2">
        <v>75</v>
      </c>
      <c r="BO14" s="2">
        <v>33</v>
      </c>
      <c r="BP14" s="2">
        <v>39</v>
      </c>
      <c r="BQ14" s="2">
        <v>42</v>
      </c>
      <c r="BR14" s="2">
        <v>46</v>
      </c>
      <c r="BS14" s="2">
        <v>52</v>
      </c>
      <c r="BT14" s="2">
        <v>6</v>
      </c>
      <c r="BU14" s="2">
        <v>57</v>
      </c>
      <c r="BV14" s="2">
        <v>80</v>
      </c>
      <c r="BW14" s="2">
        <v>102</v>
      </c>
      <c r="BX14" s="2">
        <v>157</v>
      </c>
      <c r="BY14" s="2">
        <v>63.9</v>
      </c>
      <c r="BZ14" s="2">
        <v>4.4000000000000004</v>
      </c>
      <c r="CA14" s="2">
        <v>1.2</v>
      </c>
      <c r="CB14" s="2">
        <v>1.48614775245693E-5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21a</v>
      </c>
      <c r="J15" s="47">
        <f t="shared" ca="1" si="35"/>
        <v>10</v>
      </c>
      <c r="K15" s="19">
        <f t="shared" ca="1" si="36"/>
        <v>-31.3</v>
      </c>
      <c r="L15" s="116" t="str">
        <f t="shared" ca="1" si="1"/>
        <v>EW_sand_Ruled_72</v>
      </c>
      <c r="M15" s="105" t="str">
        <f t="shared" ca="1" si="2"/>
        <v>API sand</v>
      </c>
      <c r="N15" s="47">
        <f t="shared" ca="1" si="3"/>
        <v>9.8000000000000007</v>
      </c>
      <c r="O15" s="63">
        <f t="shared" ca="1" si="4"/>
        <v>0</v>
      </c>
      <c r="P15" s="63">
        <f t="shared" ca="1" si="5"/>
        <v>0</v>
      </c>
      <c r="Q15" s="47">
        <f t="shared" ca="1" si="6"/>
        <v>28</v>
      </c>
      <c r="R15" s="47">
        <f t="shared" ca="1" si="7"/>
        <v>23</v>
      </c>
      <c r="S15" s="47">
        <f t="shared" ca="1" si="8"/>
        <v>1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55000</v>
      </c>
      <c r="Y15" s="47">
        <f t="shared" ca="1" si="14"/>
        <v>0</v>
      </c>
      <c r="Z15" s="47">
        <f t="shared" ca="1" si="15"/>
        <v>75.399999999999977</v>
      </c>
      <c r="AA15" s="47">
        <f t="shared" ca="1" si="16"/>
        <v>1</v>
      </c>
      <c r="AB15" s="47">
        <f t="shared" ca="1" si="17"/>
        <v>4040</v>
      </c>
      <c r="AC15" s="63">
        <f t="shared" ca="1" si="18"/>
        <v>192000</v>
      </c>
      <c r="AD15" s="63">
        <f t="shared" ca="1" si="19"/>
        <v>480.00000000000017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16.800000000000004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72</v>
      </c>
      <c r="AS15" s="33">
        <f t="shared" ca="1" si="34"/>
        <v>0.2</v>
      </c>
      <c r="AW15" s="2">
        <v>10</v>
      </c>
      <c r="AX15" s="2" t="s">
        <v>259</v>
      </c>
      <c r="AY15" s="130">
        <v>25.5</v>
      </c>
      <c r="AZ15" s="2">
        <v>20</v>
      </c>
      <c r="BA15" s="2"/>
      <c r="BB15" s="2">
        <v>14</v>
      </c>
      <c r="BC15" s="2"/>
      <c r="BD15" s="2">
        <v>17.2</v>
      </c>
      <c r="BE15" s="2">
        <v>20.9</v>
      </c>
      <c r="BF15" s="2">
        <v>21.5</v>
      </c>
      <c r="BG15" s="2">
        <v>22.3</v>
      </c>
      <c r="BH15" s="2">
        <v>27.9</v>
      </c>
      <c r="BI15" s="2"/>
      <c r="BJ15" s="2"/>
      <c r="BK15" s="2"/>
      <c r="BL15" s="2"/>
      <c r="BM15" s="2"/>
      <c r="BN15" s="2">
        <v>75</v>
      </c>
      <c r="BO15" s="2">
        <v>33</v>
      </c>
      <c r="BP15" s="2">
        <v>39</v>
      </c>
      <c r="BQ15" s="2">
        <v>42</v>
      </c>
      <c r="BR15" s="2">
        <v>46</v>
      </c>
      <c r="BS15" s="2">
        <v>52</v>
      </c>
      <c r="BT15" s="2">
        <v>36</v>
      </c>
      <c r="BU15" s="2">
        <v>87</v>
      </c>
      <c r="BV15" s="2">
        <v>110</v>
      </c>
      <c r="BW15" s="2">
        <v>132</v>
      </c>
      <c r="BX15" s="2">
        <v>187</v>
      </c>
      <c r="BY15" s="2">
        <v>63.9</v>
      </c>
      <c r="BZ15" s="2">
        <v>4.4000000000000004</v>
      </c>
      <c r="CA15" s="2">
        <v>1.2</v>
      </c>
      <c r="CB15" s="2">
        <v>1.48614775245693E-5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21c</v>
      </c>
      <c r="J16" s="47">
        <f t="shared" ca="1" si="35"/>
        <v>11</v>
      </c>
      <c r="K16" s="19">
        <f t="shared" ca="1" si="36"/>
        <v>-43.8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9.3000000000000007</v>
      </c>
      <c r="O16" s="63">
        <f t="shared" ca="1" si="4"/>
        <v>434</v>
      </c>
      <c r="P16" s="63">
        <f t="shared" ca="1" si="5"/>
        <v>48.723404255319117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2.9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43000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603000</v>
      </c>
      <c r="AD16" s="63">
        <f t="shared" ca="1" si="19"/>
        <v>72765.957446808476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10</v>
      </c>
      <c r="AX16" s="2" t="s">
        <v>261</v>
      </c>
      <c r="AY16" s="130">
        <v>24</v>
      </c>
      <c r="AZ16" s="2">
        <v>19.899999999999999</v>
      </c>
      <c r="BA16" s="2"/>
      <c r="BB16" s="2">
        <v>6</v>
      </c>
      <c r="BC16" s="2"/>
      <c r="BD16" s="2">
        <v>26.4</v>
      </c>
      <c r="BE16" s="2">
        <v>31.8</v>
      </c>
      <c r="BF16" s="2">
        <v>32.700000000000003</v>
      </c>
      <c r="BG16" s="2">
        <v>33.799999999999997</v>
      </c>
      <c r="BH16" s="2">
        <f>10+41.1</f>
        <v>51.1</v>
      </c>
      <c r="BI16" s="2"/>
      <c r="BJ16" s="2"/>
      <c r="BK16" s="2"/>
      <c r="BL16" s="2"/>
      <c r="BM16" s="2"/>
      <c r="BN16" s="2">
        <v>84</v>
      </c>
      <c r="BO16" s="2">
        <v>34</v>
      </c>
      <c r="BP16" s="2">
        <v>41</v>
      </c>
      <c r="BQ16" s="2">
        <v>44</v>
      </c>
      <c r="BR16" s="2">
        <v>47</v>
      </c>
      <c r="BS16" s="2">
        <v>53</v>
      </c>
      <c r="BT16" s="2">
        <v>25</v>
      </c>
      <c r="BU16" s="2">
        <v>97</v>
      </c>
      <c r="BV16" s="2">
        <v>126</v>
      </c>
      <c r="BW16" s="2">
        <v>155</v>
      </c>
      <c r="BX16" s="2">
        <v>227</v>
      </c>
      <c r="BY16" s="2">
        <v>105.7</v>
      </c>
      <c r="BZ16" s="2">
        <v>4.3</v>
      </c>
      <c r="CA16" s="2">
        <v>1.2</v>
      </c>
      <c r="CB16" s="2">
        <v>2.1639513959316899E-5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23a</v>
      </c>
      <c r="J17" s="47">
        <f t="shared" ca="1" si="35"/>
        <v>12</v>
      </c>
      <c r="K17" s="19">
        <f t="shared" ca="1" si="36"/>
        <v>-48.5</v>
      </c>
      <c r="L17" s="116" t="str">
        <f t="shared" ca="1" si="1"/>
        <v>EW_sand_Ruled_82</v>
      </c>
      <c r="M17" s="105" t="str">
        <f t="shared" ca="1" si="2"/>
        <v>API sand</v>
      </c>
      <c r="N17" s="47">
        <f t="shared" ca="1" si="3"/>
        <v>10</v>
      </c>
      <c r="O17" s="63">
        <f t="shared" ca="1" si="4"/>
        <v>0</v>
      </c>
      <c r="P17" s="63">
        <f t="shared" ca="1" si="5"/>
        <v>0</v>
      </c>
      <c r="Q17" s="47">
        <f t="shared" ca="1" si="6"/>
        <v>28</v>
      </c>
      <c r="R17" s="47">
        <f t="shared" ca="1" si="7"/>
        <v>23</v>
      </c>
      <c r="S17" s="47">
        <f t="shared" ca="1" si="8"/>
        <v>0.9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50900</v>
      </c>
      <c r="Y17" s="47">
        <f t="shared" ca="1" si="14"/>
        <v>0</v>
      </c>
      <c r="Z17" s="47">
        <f t="shared" ca="1" si="15"/>
        <v>75.399999999999977</v>
      </c>
      <c r="AA17" s="47">
        <f t="shared" ca="1" si="16"/>
        <v>1</v>
      </c>
      <c r="AB17" s="47">
        <f t="shared" ca="1" si="17"/>
        <v>4040</v>
      </c>
      <c r="AC17" s="63">
        <f t="shared" ca="1" si="18"/>
        <v>234000</v>
      </c>
      <c r="AD17" s="63">
        <f t="shared" ca="1" si="19"/>
        <v>-8571.4285714285706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16.800000000000004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82</v>
      </c>
      <c r="AS17" s="33">
        <f t="shared" ca="1" si="34"/>
        <v>0.4</v>
      </c>
      <c r="AW17" s="2">
        <v>14</v>
      </c>
      <c r="AX17" s="2" t="s">
        <v>261</v>
      </c>
      <c r="AY17" s="130">
        <v>24</v>
      </c>
      <c r="AZ17" s="2">
        <v>19.899999999999999</v>
      </c>
      <c r="BA17" s="2"/>
      <c r="BB17" s="2">
        <v>6</v>
      </c>
      <c r="BC17" s="2"/>
      <c r="BD17" s="2">
        <v>12.9</v>
      </c>
      <c r="BE17" s="2">
        <v>18.3</v>
      </c>
      <c r="BF17" s="2">
        <v>19.2</v>
      </c>
      <c r="BG17" s="2">
        <v>20.3</v>
      </c>
      <c r="BH17" s="2">
        <f>10+27.6</f>
        <v>37.6</v>
      </c>
      <c r="BI17" s="2"/>
      <c r="BJ17" s="2"/>
      <c r="BK17" s="2"/>
      <c r="BL17" s="2"/>
      <c r="BM17" s="2"/>
      <c r="BN17" s="2">
        <v>84</v>
      </c>
      <c r="BO17" s="2">
        <v>34</v>
      </c>
      <c r="BP17" s="2">
        <v>41</v>
      </c>
      <c r="BQ17" s="2">
        <v>44</v>
      </c>
      <c r="BR17" s="2">
        <v>47</v>
      </c>
      <c r="BS17" s="2">
        <v>53</v>
      </c>
      <c r="BT17" s="2">
        <v>20</v>
      </c>
      <c r="BU17" s="2">
        <v>92</v>
      </c>
      <c r="BV17" s="2">
        <v>121</v>
      </c>
      <c r="BW17" s="2">
        <v>151</v>
      </c>
      <c r="BX17" s="2">
        <v>223</v>
      </c>
      <c r="BY17" s="2">
        <v>105.7</v>
      </c>
      <c r="BZ17" s="2">
        <v>4.3</v>
      </c>
      <c r="CA17" s="2">
        <v>1.2</v>
      </c>
      <c r="CB17" s="2">
        <v>2.1639513959316899E-5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23c</v>
      </c>
      <c r="J18" s="47">
        <f t="shared" ca="1" si="35"/>
        <v>13</v>
      </c>
      <c r="K18" s="19">
        <f t="shared" ca="1" si="36"/>
        <v>-52</v>
      </c>
      <c r="L18" s="116" t="str">
        <f t="shared" ca="1" si="1"/>
        <v>EW_sand_Ruled_86</v>
      </c>
      <c r="M18" s="105" t="str">
        <f t="shared" ca="1" si="2"/>
        <v>API sand</v>
      </c>
      <c r="N18" s="47">
        <f t="shared" ca="1" si="3"/>
        <v>9.3000000000000007</v>
      </c>
      <c r="O18" s="63">
        <f t="shared" ca="1" si="4"/>
        <v>0</v>
      </c>
      <c r="P18" s="63">
        <f t="shared" ca="1" si="5"/>
        <v>0</v>
      </c>
      <c r="Q18" s="47">
        <f t="shared" ca="1" si="6"/>
        <v>29</v>
      </c>
      <c r="R18" s="47">
        <f t="shared" ca="1" si="7"/>
        <v>24</v>
      </c>
      <c r="S18" s="47">
        <f t="shared" ca="1" si="8"/>
        <v>1</v>
      </c>
      <c r="T18" s="47">
        <f t="shared" ca="1" si="9"/>
        <v>0</v>
      </c>
      <c r="U18" s="75">
        <f t="shared" ca="1" si="10"/>
        <v>0</v>
      </c>
      <c r="V18" s="75">
        <f t="shared" ca="1" si="11"/>
        <v>0</v>
      </c>
      <c r="W18" s="47">
        <f t="shared" ca="1" si="12"/>
        <v>0</v>
      </c>
      <c r="X18" s="47">
        <f t="shared" ca="1" si="13"/>
        <v>75000</v>
      </c>
      <c r="Y18" s="47">
        <f t="shared" ca="1" si="14"/>
        <v>0</v>
      </c>
      <c r="Z18" s="47">
        <f t="shared" ca="1" si="15"/>
        <v>78.199999999999974</v>
      </c>
      <c r="AA18" s="47">
        <f t="shared" ca="1" si="16"/>
        <v>1</v>
      </c>
      <c r="AB18" s="47">
        <f t="shared" ca="1" si="17"/>
        <v>4420</v>
      </c>
      <c r="AC18" s="63">
        <f t="shared" ca="1" si="18"/>
        <v>244000</v>
      </c>
      <c r="AD18" s="63">
        <f t="shared" ca="1" si="19"/>
        <v>2285.7142857142858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>
        <f t="shared" ca="1" si="25"/>
        <v>18.400000000000006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86</v>
      </c>
      <c r="AS18" s="33">
        <f t="shared" ca="1" si="34"/>
        <v>0.4</v>
      </c>
      <c r="AW18" s="2">
        <v>14</v>
      </c>
      <c r="AX18" s="2" t="s">
        <v>261</v>
      </c>
      <c r="AY18" s="130">
        <v>24</v>
      </c>
      <c r="AZ18" s="2">
        <v>19.899999999999999</v>
      </c>
      <c r="BA18" s="2"/>
      <c r="BB18" s="2">
        <v>6</v>
      </c>
      <c r="BC18" s="2"/>
      <c r="BD18" s="2">
        <v>10.7</v>
      </c>
      <c r="BE18" s="2">
        <v>19.3</v>
      </c>
      <c r="BF18" s="2">
        <v>20.5</v>
      </c>
      <c r="BG18" s="2">
        <v>21.9</v>
      </c>
      <c r="BH18" s="2">
        <f>-5+32</f>
        <v>27</v>
      </c>
      <c r="BI18" s="2"/>
      <c r="BJ18" s="2"/>
      <c r="BK18" s="2"/>
      <c r="BL18" s="2"/>
      <c r="BM18" s="2"/>
      <c r="BN18" s="2">
        <v>76</v>
      </c>
      <c r="BO18" s="2">
        <v>33</v>
      </c>
      <c r="BP18" s="2">
        <v>39</v>
      </c>
      <c r="BQ18" s="2">
        <v>42</v>
      </c>
      <c r="BR18" s="2">
        <v>46</v>
      </c>
      <c r="BS18" s="2">
        <v>52</v>
      </c>
      <c r="BT18" s="2">
        <v>14</v>
      </c>
      <c r="BU18" s="2">
        <v>94</v>
      </c>
      <c r="BV18" s="2">
        <v>125</v>
      </c>
      <c r="BW18" s="2">
        <v>157</v>
      </c>
      <c r="BX18" s="2">
        <v>236</v>
      </c>
      <c r="BY18" s="2">
        <v>91.4</v>
      </c>
      <c r="BZ18" s="2">
        <v>2.8</v>
      </c>
      <c r="CA18" s="2">
        <v>0.9</v>
      </c>
      <c r="CB18" s="2">
        <v>2.34091968700403E-6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18.7</v>
      </c>
      <c r="AX19" s="2" t="s">
        <v>261</v>
      </c>
      <c r="AY19" s="130">
        <v>24</v>
      </c>
      <c r="AZ19" s="2">
        <v>19.899999999999999</v>
      </c>
      <c r="BA19" s="2"/>
      <c r="BB19" s="2">
        <v>6</v>
      </c>
      <c r="BC19" s="2"/>
      <c r="BD19" s="2">
        <v>16.3</v>
      </c>
      <c r="BE19" s="2">
        <v>24.9</v>
      </c>
      <c r="BF19" s="2">
        <v>26.1</v>
      </c>
      <c r="BG19" s="2">
        <v>27.5</v>
      </c>
      <c r="BH19" s="2">
        <f>-5+37.7</f>
        <v>32.700000000000003</v>
      </c>
      <c r="BI19" s="2"/>
      <c r="BJ19" s="2"/>
      <c r="BK19" s="2"/>
      <c r="BL19" s="2"/>
      <c r="BM19" s="2"/>
      <c r="BN19" s="2">
        <v>76</v>
      </c>
      <c r="BO19" s="2">
        <v>33</v>
      </c>
      <c r="BP19" s="2">
        <v>39</v>
      </c>
      <c r="BQ19" s="2">
        <v>42</v>
      </c>
      <c r="BR19" s="2">
        <v>46</v>
      </c>
      <c r="BS19" s="2">
        <v>52</v>
      </c>
      <c r="BT19" s="2">
        <v>35</v>
      </c>
      <c r="BU19" s="2">
        <v>114</v>
      </c>
      <c r="BV19" s="2">
        <v>146</v>
      </c>
      <c r="BW19" s="2">
        <v>177</v>
      </c>
      <c r="BX19" s="2">
        <v>257</v>
      </c>
      <c r="BY19" s="2">
        <v>91.4</v>
      </c>
      <c r="BZ19" s="2">
        <v>2.8</v>
      </c>
      <c r="CA19" s="2">
        <v>0.9</v>
      </c>
      <c r="CB19" s="2">
        <v>2.34091968700403E-6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18.7</v>
      </c>
      <c r="AX20" s="2" t="s">
        <v>301</v>
      </c>
      <c r="AY20" s="130">
        <v>32.5</v>
      </c>
      <c r="AZ20" s="2">
        <v>18.7</v>
      </c>
      <c r="BA20" s="2">
        <v>21</v>
      </c>
      <c r="BB20" s="2">
        <v>82</v>
      </c>
      <c r="BC20" s="2">
        <v>7</v>
      </c>
      <c r="BD20" s="2">
        <v>2.2000000000000002</v>
      </c>
      <c r="BE20" s="2">
        <v>4.3</v>
      </c>
      <c r="BF20" s="2">
        <v>4.5999999999999996</v>
      </c>
      <c r="BG20" s="2">
        <v>5</v>
      </c>
      <c r="BH20" s="2">
        <v>8.4</v>
      </c>
      <c r="BI20" s="2">
        <v>26</v>
      </c>
      <c r="BJ20" s="2">
        <v>180</v>
      </c>
      <c r="BK20" s="2">
        <v>234</v>
      </c>
      <c r="BL20" s="2">
        <v>293</v>
      </c>
      <c r="BM20" s="2">
        <v>503</v>
      </c>
      <c r="BN20" s="2"/>
      <c r="BO20" s="2"/>
      <c r="BP20" s="2"/>
      <c r="BQ20" s="2"/>
      <c r="BR20" s="2"/>
      <c r="BS20" s="2"/>
      <c r="BT20" s="2">
        <v>18</v>
      </c>
      <c r="BU20" s="2">
        <v>134</v>
      </c>
      <c r="BV20" s="2">
        <v>225</v>
      </c>
      <c r="BW20" s="2">
        <v>320</v>
      </c>
      <c r="BX20" s="2">
        <v>611</v>
      </c>
      <c r="BY20" s="2">
        <v>25.4</v>
      </c>
      <c r="BZ20" s="2">
        <v>8.6</v>
      </c>
      <c r="CA20" s="2">
        <v>3</v>
      </c>
      <c r="CB20" s="2">
        <v>5.2942751673761095E-10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25.5</v>
      </c>
      <c r="AX21" s="2" t="s">
        <v>301</v>
      </c>
      <c r="AY21" s="130">
        <v>32.5</v>
      </c>
      <c r="AZ21" s="2">
        <v>18.7</v>
      </c>
      <c r="BA21" s="2">
        <v>21</v>
      </c>
      <c r="BB21" s="2">
        <v>82</v>
      </c>
      <c r="BC21" s="2">
        <v>7</v>
      </c>
      <c r="BD21" s="2">
        <v>6.8</v>
      </c>
      <c r="BE21" s="2">
        <v>8.8000000000000007</v>
      </c>
      <c r="BF21" s="2">
        <v>9.1</v>
      </c>
      <c r="BG21" s="2">
        <v>9.6</v>
      </c>
      <c r="BH21" s="2">
        <v>12.9</v>
      </c>
      <c r="BI21" s="2">
        <v>271</v>
      </c>
      <c r="BJ21" s="2">
        <v>425</v>
      </c>
      <c r="BK21" s="2">
        <v>480</v>
      </c>
      <c r="BL21" s="2">
        <v>538</v>
      </c>
      <c r="BM21" s="2">
        <v>749</v>
      </c>
      <c r="BN21" s="2"/>
      <c r="BO21" s="2"/>
      <c r="BP21" s="2"/>
      <c r="BQ21" s="2"/>
      <c r="BR21" s="2"/>
      <c r="BS21" s="2"/>
      <c r="BT21" s="2">
        <v>327</v>
      </c>
      <c r="BU21" s="2">
        <v>443</v>
      </c>
      <c r="BV21" s="2">
        <v>534</v>
      </c>
      <c r="BW21" s="2">
        <v>628</v>
      </c>
      <c r="BX21" s="2">
        <v>920</v>
      </c>
      <c r="BY21" s="2">
        <v>25.4</v>
      </c>
      <c r="BZ21" s="2">
        <v>8.6</v>
      </c>
      <c r="CA21" s="2">
        <v>3</v>
      </c>
      <c r="CB21" s="2">
        <v>5.2942751673761095E-10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25.5</v>
      </c>
      <c r="AX22" s="2" t="s">
        <v>291</v>
      </c>
      <c r="AY22" s="130">
        <v>35.4</v>
      </c>
      <c r="AZ22" s="2">
        <v>18.5</v>
      </c>
      <c r="BA22" s="2"/>
      <c r="BB22" s="2">
        <v>54</v>
      </c>
      <c r="BC22" s="2"/>
      <c r="BD22" s="2">
        <v>0.9</v>
      </c>
      <c r="BE22" s="2">
        <v>12.9</v>
      </c>
      <c r="BF22" s="2">
        <v>15</v>
      </c>
      <c r="BG22" s="2">
        <v>20.2</v>
      </c>
      <c r="BH22" s="2">
        <v>52.3</v>
      </c>
      <c r="BI22" s="2"/>
      <c r="BJ22" s="2"/>
      <c r="BK22" s="2"/>
      <c r="BL22" s="2"/>
      <c r="BM22" s="2"/>
      <c r="BN22" s="2">
        <v>71</v>
      </c>
      <c r="BO22" s="2">
        <v>26</v>
      </c>
      <c r="BP22" s="2">
        <v>27</v>
      </c>
      <c r="BQ22" s="2">
        <v>30</v>
      </c>
      <c r="BR22" s="2">
        <v>32</v>
      </c>
      <c r="BS22" s="2">
        <v>37</v>
      </c>
      <c r="BT22" s="2">
        <v>26</v>
      </c>
      <c r="BU22" s="2">
        <v>112</v>
      </c>
      <c r="BV22" s="2">
        <v>148</v>
      </c>
      <c r="BW22" s="2">
        <v>185</v>
      </c>
      <c r="BX22" s="2">
        <v>284</v>
      </c>
      <c r="BY22" s="2">
        <v>25</v>
      </c>
      <c r="BZ22" s="2">
        <v>2.8</v>
      </c>
      <c r="CA22" s="2">
        <v>0.9</v>
      </c>
      <c r="CB22" s="2">
        <v>2.4800100382489802E-10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31.3</v>
      </c>
      <c r="AX23" s="2" t="s">
        <v>291</v>
      </c>
      <c r="AY23" s="130">
        <v>35.4</v>
      </c>
      <c r="AZ23" s="2">
        <v>18.5</v>
      </c>
      <c r="BA23" s="2"/>
      <c r="BB23" s="2">
        <v>54</v>
      </c>
      <c r="BC23" s="2"/>
      <c r="BD23" s="2">
        <v>3.1</v>
      </c>
      <c r="BE23" s="2">
        <v>15.1</v>
      </c>
      <c r="BF23" s="2">
        <v>17.2</v>
      </c>
      <c r="BG23" s="2">
        <v>22.4</v>
      </c>
      <c r="BH23" s="2">
        <v>54.5</v>
      </c>
      <c r="BI23" s="2"/>
      <c r="BJ23" s="2"/>
      <c r="BK23" s="2"/>
      <c r="BL23" s="2"/>
      <c r="BM23" s="2"/>
      <c r="BN23" s="2">
        <v>71</v>
      </c>
      <c r="BO23" s="2">
        <v>26</v>
      </c>
      <c r="BP23" s="2">
        <v>27</v>
      </c>
      <c r="BQ23" s="2">
        <v>30</v>
      </c>
      <c r="BR23" s="2">
        <v>32</v>
      </c>
      <c r="BS23" s="2">
        <v>37</v>
      </c>
      <c r="BT23" s="2">
        <v>31</v>
      </c>
      <c r="BU23" s="2">
        <v>117</v>
      </c>
      <c r="BV23" s="2">
        <v>154</v>
      </c>
      <c r="BW23" s="2">
        <v>190</v>
      </c>
      <c r="BX23" s="2">
        <v>289</v>
      </c>
      <c r="BY23" s="2">
        <v>25</v>
      </c>
      <c r="BZ23" s="2">
        <v>2.8</v>
      </c>
      <c r="CA23" s="2">
        <v>0.9</v>
      </c>
      <c r="CB23" s="2">
        <v>2.4800100382489802E-10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31.3</v>
      </c>
      <c r="AX24" s="2" t="s">
        <v>271</v>
      </c>
      <c r="AY24" s="130">
        <v>24.7</v>
      </c>
      <c r="AZ24" s="2">
        <v>19.8</v>
      </c>
      <c r="BA24" s="2"/>
      <c r="BB24" s="2">
        <v>11</v>
      </c>
      <c r="BC24" s="2"/>
      <c r="BD24" s="2">
        <v>13.4</v>
      </c>
      <c r="BE24" s="2">
        <v>34.200000000000003</v>
      </c>
      <c r="BF24" s="2">
        <v>36.700000000000003</v>
      </c>
      <c r="BG24" s="2">
        <v>38.700000000000003</v>
      </c>
      <c r="BH24" s="2">
        <v>58.9</v>
      </c>
      <c r="BI24" s="2"/>
      <c r="BJ24" s="2"/>
      <c r="BK24" s="2"/>
      <c r="BL24" s="2"/>
      <c r="BM24" s="2"/>
      <c r="BN24" s="2">
        <v>72</v>
      </c>
      <c r="BO24" s="2">
        <v>26</v>
      </c>
      <c r="BP24" s="2">
        <v>28</v>
      </c>
      <c r="BQ24" s="2">
        <v>31</v>
      </c>
      <c r="BR24" s="2">
        <v>33</v>
      </c>
      <c r="BS24" s="2">
        <v>38</v>
      </c>
      <c r="BT24" s="2">
        <v>37</v>
      </c>
      <c r="BU24" s="2">
        <v>146</v>
      </c>
      <c r="BV24" s="2">
        <v>192</v>
      </c>
      <c r="BW24" s="2">
        <v>238</v>
      </c>
      <c r="BX24" s="2">
        <v>356</v>
      </c>
      <c r="BY24" s="2">
        <v>55</v>
      </c>
      <c r="BZ24" s="2">
        <v>3.2</v>
      </c>
      <c r="CA24" s="2">
        <v>1</v>
      </c>
      <c r="CB24" s="2">
        <v>2.2127195584704199E-10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43.8</v>
      </c>
      <c r="AX25" s="2" t="s">
        <v>271</v>
      </c>
      <c r="AY25" s="130">
        <v>24.7</v>
      </c>
      <c r="AZ25" s="2">
        <v>19.8</v>
      </c>
      <c r="BA25" s="2"/>
      <c r="BB25" s="2">
        <v>11</v>
      </c>
      <c r="BC25" s="2"/>
      <c r="BD25" s="2">
        <v>1.6</v>
      </c>
      <c r="BE25" s="2">
        <v>22.4</v>
      </c>
      <c r="BF25" s="2">
        <v>24.9</v>
      </c>
      <c r="BG25" s="2">
        <v>26.9</v>
      </c>
      <c r="BH25" s="2">
        <v>47.1</v>
      </c>
      <c r="BI25" s="2"/>
      <c r="BJ25" s="2"/>
      <c r="BK25" s="2"/>
      <c r="BL25" s="2"/>
      <c r="BM25" s="2"/>
      <c r="BN25" s="2">
        <v>72</v>
      </c>
      <c r="BO25" s="2">
        <v>26</v>
      </c>
      <c r="BP25" s="2">
        <v>28</v>
      </c>
      <c r="BQ25" s="2">
        <v>31</v>
      </c>
      <c r="BR25" s="2">
        <v>33</v>
      </c>
      <c r="BS25" s="2">
        <v>38</v>
      </c>
      <c r="BT25" s="2">
        <v>43</v>
      </c>
      <c r="BU25" s="2">
        <v>152</v>
      </c>
      <c r="BV25" s="2">
        <v>198</v>
      </c>
      <c r="BW25" s="2">
        <v>244</v>
      </c>
      <c r="BX25" s="2">
        <v>362</v>
      </c>
      <c r="BY25" s="2">
        <v>55</v>
      </c>
      <c r="BZ25" s="2">
        <v>3.2</v>
      </c>
      <c r="CA25" s="2">
        <v>1</v>
      </c>
      <c r="CB25" s="2">
        <v>2.2127195584704199E-10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43.8</v>
      </c>
      <c r="AX26" s="2" t="s">
        <v>216</v>
      </c>
      <c r="AY26" s="130">
        <v>31.7</v>
      </c>
      <c r="AZ26" s="2">
        <v>19.3</v>
      </c>
      <c r="BA26" s="2">
        <v>20</v>
      </c>
      <c r="BB26" s="2">
        <v>45</v>
      </c>
      <c r="BC26" s="2">
        <v>4</v>
      </c>
      <c r="BD26" s="2">
        <v>5.9</v>
      </c>
      <c r="BE26" s="2">
        <v>9.1999999999999993</v>
      </c>
      <c r="BF26" s="2">
        <v>9.8000000000000007</v>
      </c>
      <c r="BG26" s="2">
        <v>10.199999999999999</v>
      </c>
      <c r="BH26" s="2">
        <v>12.8</v>
      </c>
      <c r="BI26" s="2">
        <v>220</v>
      </c>
      <c r="BJ26" s="2">
        <v>434</v>
      </c>
      <c r="BK26" s="2">
        <v>494</v>
      </c>
      <c r="BL26" s="2">
        <v>552</v>
      </c>
      <c r="BM26" s="2">
        <v>731</v>
      </c>
      <c r="BN26" s="2"/>
      <c r="BO26" s="2"/>
      <c r="BP26" s="2"/>
      <c r="BQ26" s="2"/>
      <c r="BR26" s="2"/>
      <c r="BS26" s="2"/>
      <c r="BT26" s="2">
        <v>192</v>
      </c>
      <c r="BU26" s="2">
        <v>504</v>
      </c>
      <c r="BV26" s="2">
        <v>603</v>
      </c>
      <c r="BW26" s="2">
        <v>698</v>
      </c>
      <c r="BX26" s="2">
        <v>964</v>
      </c>
      <c r="BY26" s="2">
        <v>43</v>
      </c>
      <c r="BZ26" s="2">
        <v>7.3</v>
      </c>
      <c r="CA26" s="2">
        <v>2.9</v>
      </c>
      <c r="CB26" s="2">
        <v>2.6035660563389202E-10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48.5</v>
      </c>
      <c r="AX27" s="2" t="s">
        <v>216</v>
      </c>
      <c r="AY27" s="130">
        <v>31.7</v>
      </c>
      <c r="AZ27" s="2">
        <v>19.3</v>
      </c>
      <c r="BA27" s="2">
        <v>20</v>
      </c>
      <c r="BB27" s="2">
        <v>45</v>
      </c>
      <c r="BC27" s="2">
        <v>4</v>
      </c>
      <c r="BD27" s="2">
        <v>10.1</v>
      </c>
      <c r="BE27" s="2">
        <v>13.4</v>
      </c>
      <c r="BF27" s="2">
        <v>14</v>
      </c>
      <c r="BG27" s="2">
        <v>14.4</v>
      </c>
      <c r="BH27" s="2">
        <v>17</v>
      </c>
      <c r="BI27" s="2">
        <v>450</v>
      </c>
      <c r="BJ27" s="2">
        <v>663</v>
      </c>
      <c r="BK27" s="2">
        <v>723</v>
      </c>
      <c r="BL27" s="2">
        <v>782</v>
      </c>
      <c r="BM27" s="2">
        <v>961</v>
      </c>
      <c r="BN27" s="2"/>
      <c r="BO27" s="2"/>
      <c r="BP27" s="2"/>
      <c r="BQ27" s="2"/>
      <c r="BR27" s="2"/>
      <c r="BS27" s="2"/>
      <c r="BT27" s="2">
        <v>534</v>
      </c>
      <c r="BU27" s="2">
        <v>846</v>
      </c>
      <c r="BV27" s="2">
        <v>945</v>
      </c>
      <c r="BW27" s="2">
        <v>1041</v>
      </c>
      <c r="BX27" s="2">
        <v>1306</v>
      </c>
      <c r="BY27" s="2">
        <v>43</v>
      </c>
      <c r="BZ27" s="2">
        <v>7.3</v>
      </c>
      <c r="CA27" s="2">
        <v>2.9</v>
      </c>
      <c r="CB27" s="2">
        <v>2.6035660563389202E-10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48.5</v>
      </c>
      <c r="AX28" s="2" t="s">
        <v>300</v>
      </c>
      <c r="AY28" s="130">
        <v>21</v>
      </c>
      <c r="AZ28" s="2">
        <v>20</v>
      </c>
      <c r="BA28" s="2"/>
      <c r="BB28" s="2">
        <v>29</v>
      </c>
      <c r="BC28" s="2"/>
      <c r="BD28" s="2">
        <v>36.700000000000003</v>
      </c>
      <c r="BE28" s="2">
        <v>40.700000000000003</v>
      </c>
      <c r="BF28" s="2">
        <v>41.7</v>
      </c>
      <c r="BG28" s="2">
        <v>43</v>
      </c>
      <c r="BH28" s="2">
        <v>48.2</v>
      </c>
      <c r="BI28" s="2"/>
      <c r="BJ28" s="2"/>
      <c r="BK28" s="2"/>
      <c r="BL28" s="2"/>
      <c r="BM28" s="2"/>
      <c r="BN28" s="2">
        <v>82</v>
      </c>
      <c r="BO28" s="2">
        <v>26</v>
      </c>
      <c r="BP28" s="2">
        <v>28</v>
      </c>
      <c r="BQ28" s="2">
        <v>31</v>
      </c>
      <c r="BR28" s="2">
        <v>33</v>
      </c>
      <c r="BS28" s="2">
        <v>37</v>
      </c>
      <c r="BT28" s="2">
        <v>82</v>
      </c>
      <c r="BU28" s="2">
        <v>183</v>
      </c>
      <c r="BV28" s="2">
        <v>234</v>
      </c>
      <c r="BW28" s="2">
        <v>285</v>
      </c>
      <c r="BX28" s="2">
        <v>412</v>
      </c>
      <c r="BY28" s="2">
        <v>50.9</v>
      </c>
      <c r="BZ28" s="2">
        <v>2.9</v>
      </c>
      <c r="CA28" s="2">
        <v>0.9</v>
      </c>
      <c r="CB28" s="2">
        <v>1.6611566818278001E-7</v>
      </c>
      <c r="CC28" s="2"/>
    </row>
    <row r="29" spans="1:81" x14ac:dyDescent="0.25">
      <c r="A29" s="66"/>
      <c r="B29" s="66"/>
      <c r="C29" s="67"/>
      <c r="D29" s="35"/>
      <c r="AW29" s="2">
        <v>52</v>
      </c>
      <c r="AX29" s="2" t="s">
        <v>300</v>
      </c>
      <c r="AY29" s="130">
        <v>21</v>
      </c>
      <c r="AZ29" s="2">
        <v>20</v>
      </c>
      <c r="BA29" s="2"/>
      <c r="BB29" s="2">
        <v>29</v>
      </c>
      <c r="BC29" s="2"/>
      <c r="BD29" s="2">
        <v>18.3</v>
      </c>
      <c r="BE29" s="2">
        <v>22.4</v>
      </c>
      <c r="BF29" s="2">
        <v>23.4</v>
      </c>
      <c r="BG29" s="2">
        <v>24.6</v>
      </c>
      <c r="BH29" s="2">
        <v>29.9</v>
      </c>
      <c r="BI29" s="2"/>
      <c r="BJ29" s="2"/>
      <c r="BK29" s="2"/>
      <c r="BL29" s="2"/>
      <c r="BM29" s="2"/>
      <c r="BN29" s="2">
        <v>82</v>
      </c>
      <c r="BO29" s="2">
        <v>26</v>
      </c>
      <c r="BP29" s="2">
        <v>28</v>
      </c>
      <c r="BQ29" s="2">
        <v>31</v>
      </c>
      <c r="BR29" s="2">
        <v>33</v>
      </c>
      <c r="BS29" s="2">
        <v>37</v>
      </c>
      <c r="BT29" s="2">
        <v>51</v>
      </c>
      <c r="BU29" s="2">
        <v>153</v>
      </c>
      <c r="BV29" s="2">
        <v>204</v>
      </c>
      <c r="BW29" s="2">
        <v>255</v>
      </c>
      <c r="BX29" s="2">
        <v>382</v>
      </c>
      <c r="BY29" s="2">
        <v>50.9</v>
      </c>
      <c r="BZ29" s="2">
        <v>2.9</v>
      </c>
      <c r="CA29" s="2">
        <v>0.9</v>
      </c>
      <c r="CB29" s="2">
        <v>1.6611566818278001E-7</v>
      </c>
      <c r="CC29" s="2"/>
    </row>
    <row r="30" spans="1:81" x14ac:dyDescent="0.25">
      <c r="A30" s="66"/>
      <c r="B30" s="66"/>
      <c r="C30" s="67"/>
      <c r="D30" s="35"/>
      <c r="AW30" s="2">
        <v>52</v>
      </c>
      <c r="AX30" s="2" t="s">
        <v>302</v>
      </c>
      <c r="AY30" s="130">
        <v>27.7</v>
      </c>
      <c r="AZ30" s="2">
        <v>19.3</v>
      </c>
      <c r="BA30" s="2"/>
      <c r="BB30" s="2">
        <v>15</v>
      </c>
      <c r="BC30" s="2"/>
      <c r="BD30" s="2">
        <v>1.9</v>
      </c>
      <c r="BE30" s="2">
        <v>33.299999999999997</v>
      </c>
      <c r="BF30" s="2">
        <v>42.8</v>
      </c>
      <c r="BG30" s="2">
        <v>105.5</v>
      </c>
      <c r="BH30" s="2">
        <v>299.8</v>
      </c>
      <c r="BI30" s="2"/>
      <c r="BJ30" s="2"/>
      <c r="BK30" s="2"/>
      <c r="BL30" s="2"/>
      <c r="BM30" s="2"/>
      <c r="BN30" s="2">
        <v>86</v>
      </c>
      <c r="BO30" s="2">
        <v>26</v>
      </c>
      <c r="BP30" s="2">
        <v>29</v>
      </c>
      <c r="BQ30" s="2">
        <v>31</v>
      </c>
      <c r="BR30" s="2">
        <v>34</v>
      </c>
      <c r="BS30" s="2">
        <v>38</v>
      </c>
      <c r="BT30" s="2">
        <v>52</v>
      </c>
      <c r="BU30" s="2">
        <v>185</v>
      </c>
      <c r="BV30" s="2">
        <v>244</v>
      </c>
      <c r="BW30" s="2">
        <v>302</v>
      </c>
      <c r="BX30" s="2">
        <v>446</v>
      </c>
      <c r="BY30" s="2">
        <v>75</v>
      </c>
      <c r="BZ30" s="2">
        <v>3</v>
      </c>
      <c r="CA30" s="2">
        <v>1</v>
      </c>
      <c r="CB30" s="2">
        <v>1.8931259598966299E-11</v>
      </c>
      <c r="CC30" s="2"/>
    </row>
    <row r="31" spans="1:81" x14ac:dyDescent="0.25">
      <c r="A31" s="66"/>
      <c r="B31" s="66"/>
      <c r="C31" s="67"/>
      <c r="D31" s="35"/>
      <c r="AW31" s="2">
        <v>80</v>
      </c>
      <c r="AX31" s="2" t="s">
        <v>302</v>
      </c>
      <c r="AY31" s="130">
        <v>27.7</v>
      </c>
      <c r="AZ31" s="2">
        <v>19.3</v>
      </c>
      <c r="BA31" s="2"/>
      <c r="BB31" s="2">
        <v>15</v>
      </c>
      <c r="BC31" s="2"/>
      <c r="BD31" s="2">
        <v>19.899999999999999</v>
      </c>
      <c r="BE31" s="2">
        <v>51.2</v>
      </c>
      <c r="BF31" s="2">
        <v>60.8</v>
      </c>
      <c r="BG31" s="2">
        <v>123.4</v>
      </c>
      <c r="BH31" s="2">
        <v>317.8</v>
      </c>
      <c r="BI31" s="2"/>
      <c r="BJ31" s="2"/>
      <c r="BK31" s="2"/>
      <c r="BL31" s="2"/>
      <c r="BM31" s="2"/>
      <c r="BN31" s="2">
        <v>86</v>
      </c>
      <c r="BO31" s="2">
        <v>26</v>
      </c>
      <c r="BP31" s="2">
        <v>29</v>
      </c>
      <c r="BQ31" s="2">
        <v>31</v>
      </c>
      <c r="BR31" s="2">
        <v>34</v>
      </c>
      <c r="BS31" s="2">
        <v>38</v>
      </c>
      <c r="BT31" s="2">
        <v>116</v>
      </c>
      <c r="BU31" s="2">
        <v>250</v>
      </c>
      <c r="BV31" s="2">
        <v>308</v>
      </c>
      <c r="BW31" s="2">
        <v>366</v>
      </c>
      <c r="BX31" s="2">
        <v>511</v>
      </c>
      <c r="BY31" s="2">
        <v>75</v>
      </c>
      <c r="BZ31" s="2">
        <v>3</v>
      </c>
      <c r="CA31" s="2">
        <v>1</v>
      </c>
      <c r="CB31" s="2">
        <v>1.8931259598966299E-11</v>
      </c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323" priority="12">
      <formula>$L32="API sand"</formula>
    </cfRule>
  </conditionalFormatting>
  <conditionalFormatting sqref="R32:S36 AB32:AB35 AJ32:AL36 Z32:Z36 N32:N36">
    <cfRule type="expression" dxfId="2322" priority="11">
      <formula>$M32="API sand"</formula>
    </cfRule>
  </conditionalFormatting>
  <conditionalFormatting sqref="R32:T36 Z32:AB35 AK32:AL36 N32:N36">
    <cfRule type="expression" dxfId="2321" priority="10">
      <formula>$M32="API clay"</formula>
    </cfRule>
  </conditionalFormatting>
  <conditionalFormatting sqref="U32:W36 AM32:AP36 N32:P36">
    <cfRule type="expression" dxfId="2320" priority="7">
      <formula>$L32="Stiff clay w/o free water"</formula>
    </cfRule>
    <cfRule type="expression" dxfId="2319" priority="9">
      <formula>$L32="API clay"</formula>
    </cfRule>
  </conditionalFormatting>
  <conditionalFormatting sqref="U32:Y36 AM32:AP36 N32:P36">
    <cfRule type="expression" dxfId="2318" priority="8">
      <formula>$L32="Kirsch soft clay"</formula>
    </cfRule>
  </conditionalFormatting>
  <conditionalFormatting sqref="U32:Y36 AM32:AP36 N32:P36">
    <cfRule type="expression" dxfId="2317" priority="6">
      <formula>$L32="Kirsch stiff clay"</formula>
    </cfRule>
  </conditionalFormatting>
  <conditionalFormatting sqref="AM32:AP36 Q32:Q36 X32:Y36 N32:N36">
    <cfRule type="expression" dxfId="2316" priority="5">
      <formula>$L32="Kirsch sand"</formula>
    </cfRule>
  </conditionalFormatting>
  <conditionalFormatting sqref="AC32:AD36 AI32:AI36 AM32:AP36 N32:N36">
    <cfRule type="expression" dxfId="2315" priority="4">
      <formula>$L32="Modified Weak rock"</formula>
    </cfRule>
  </conditionalFormatting>
  <conditionalFormatting sqref="AM32:AP36 N32:P36 U32:V36">
    <cfRule type="expression" dxfId="2314" priority="3">
      <formula>$L32="Reese stiff clay"</formula>
    </cfRule>
  </conditionalFormatting>
  <conditionalFormatting sqref="AB36">
    <cfRule type="expression" dxfId="2313" priority="2">
      <formula>$M36="API sand"</formula>
    </cfRule>
  </conditionalFormatting>
  <conditionalFormatting sqref="Z36:AB36">
    <cfRule type="expression" dxfId="2312" priority="1">
      <formula>$M36="API clay"</formula>
    </cfRule>
  </conditionalFormatting>
  <conditionalFormatting sqref="AE37:AH37">
    <cfRule type="expression" dxfId="2311" priority="13">
      <formula>#REF!="Modified Weak rock"</formula>
    </cfRule>
  </conditionalFormatting>
  <dataValidations count="4">
    <dataValidation type="textLength" showInputMessage="1" showErrorMessage="1" sqref="M27:M31" xr:uid="{DC2AD97A-5171-419E-B531-F2661939BD31}">
      <formula1>0</formula1>
      <formula2>100</formula2>
    </dataValidation>
    <dataValidation showInputMessage="1" showErrorMessage="1" sqref="L6:M26" xr:uid="{DBA6FEE6-9B3D-44C1-B4BD-2BBC9C974219}"/>
    <dataValidation type="list" showInputMessage="1" showErrorMessage="1" sqref="L32:L255" xr:uid="{F16BBC31-6905-47D3-8CD7-C4D892CA56F9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C6937CBA-A807-4EAA-B744-894C807D1459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F50C2-722C-4DB2-8C33-25B63D31853F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Ak_Pisa_WTG46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EW_sand_Ruled_73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33</v>
      </c>
      <c r="R6" s="47">
        <f t="shared" ref="R6:R26" ca="1" si="7">IF(I6="","",IF(Q6&lt;&gt;0,Q6-5,NA()))</f>
        <v>28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2800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89.999999999999972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7680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24000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32.000000000000007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73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0.4</v>
      </c>
      <c r="BG6" s="2">
        <v>0.7</v>
      </c>
      <c r="BH6" s="2">
        <v>1.3</v>
      </c>
      <c r="BI6" s="2"/>
      <c r="BJ6" s="2"/>
      <c r="BK6" s="2"/>
      <c r="BL6" s="2"/>
      <c r="BM6" s="2"/>
      <c r="BN6" s="2">
        <v>73</v>
      </c>
      <c r="BO6" s="2">
        <v>22</v>
      </c>
      <c r="BP6" s="2">
        <v>33</v>
      </c>
      <c r="BQ6" s="2">
        <v>36</v>
      </c>
      <c r="BR6" s="2">
        <v>39</v>
      </c>
      <c r="BS6" s="2">
        <v>49</v>
      </c>
      <c r="BT6" s="2">
        <v>0</v>
      </c>
      <c r="BU6" s="2">
        <v>2</v>
      </c>
      <c r="BV6" s="2">
        <v>5</v>
      </c>
      <c r="BW6" s="2">
        <v>8</v>
      </c>
      <c r="BX6" s="2">
        <v>15</v>
      </c>
      <c r="BY6" s="2">
        <v>2.8</v>
      </c>
      <c r="BZ6" s="2">
        <v>1</v>
      </c>
      <c r="CA6" s="2">
        <v>0.5</v>
      </c>
      <c r="CB6" s="2">
        <v>5.1005910380642098E-5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-0.5</v>
      </c>
      <c r="L7" s="116" t="str">
        <f t="shared" ca="1" si="1"/>
        <v>EW_sand_Ruled_100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42</v>
      </c>
      <c r="R7" s="47">
        <f t="shared" ca="1" si="7"/>
        <v>37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37200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34000</v>
      </c>
      <c r="AD7" s="63">
        <f t="shared" ca="1" si="19"/>
        <v>6000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100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0.5</v>
      </c>
      <c r="BE7" s="2">
        <v>1</v>
      </c>
      <c r="BF7" s="2">
        <v>1.3</v>
      </c>
      <c r="BG7" s="2">
        <v>1.6</v>
      </c>
      <c r="BH7" s="2">
        <v>2.2000000000000002</v>
      </c>
      <c r="BI7" s="2"/>
      <c r="BJ7" s="2"/>
      <c r="BK7" s="2"/>
      <c r="BL7" s="2"/>
      <c r="BM7" s="2"/>
      <c r="BN7" s="2">
        <v>73</v>
      </c>
      <c r="BO7" s="2">
        <v>22</v>
      </c>
      <c r="BP7" s="2">
        <v>33</v>
      </c>
      <c r="BQ7" s="2">
        <v>36</v>
      </c>
      <c r="BR7" s="2">
        <v>39</v>
      </c>
      <c r="BS7" s="2">
        <v>49</v>
      </c>
      <c r="BT7" s="2">
        <v>7</v>
      </c>
      <c r="BU7" s="2">
        <v>14</v>
      </c>
      <c r="BV7" s="2">
        <v>17</v>
      </c>
      <c r="BW7" s="2">
        <v>20</v>
      </c>
      <c r="BX7" s="2">
        <v>27</v>
      </c>
      <c r="BY7" s="2">
        <v>2.8</v>
      </c>
      <c r="BZ7" s="2">
        <v>1</v>
      </c>
      <c r="CA7" s="2">
        <v>0.5</v>
      </c>
      <c r="CB7" s="2">
        <v>5.1005910380642098E-5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02a</v>
      </c>
      <c r="J8" s="47">
        <f t="shared" ca="1" si="35"/>
        <v>3</v>
      </c>
      <c r="K8" s="19">
        <f t="shared" ca="1" si="36"/>
        <v>-1.5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10.199999999999999</v>
      </c>
      <c r="O8" s="63">
        <f t="shared" ca="1" si="4"/>
        <v>125</v>
      </c>
      <c r="P8" s="63">
        <f t="shared" ca="1" si="5"/>
        <v>-98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21400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133000</v>
      </c>
      <c r="AD8" s="63">
        <f t="shared" ca="1" si="19"/>
        <v>-98000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8.1999999999999993</v>
      </c>
      <c r="BE8" s="2">
        <v>9.3000000000000007</v>
      </c>
      <c r="BF8" s="2">
        <v>9.6999999999999993</v>
      </c>
      <c r="BG8" s="2">
        <v>10.3</v>
      </c>
      <c r="BH8" s="2">
        <v>11.7</v>
      </c>
      <c r="BI8" s="2"/>
      <c r="BJ8" s="2"/>
      <c r="BK8" s="2"/>
      <c r="BL8" s="2"/>
      <c r="BM8" s="2"/>
      <c r="BN8" s="2">
        <v>100</v>
      </c>
      <c r="BO8" s="2">
        <v>36</v>
      </c>
      <c r="BP8" s="2">
        <v>42</v>
      </c>
      <c r="BQ8" s="2">
        <v>45</v>
      </c>
      <c r="BR8" s="2">
        <v>49</v>
      </c>
      <c r="BS8" s="2">
        <v>54</v>
      </c>
      <c r="BT8" s="2">
        <v>3</v>
      </c>
      <c r="BU8" s="2">
        <v>25</v>
      </c>
      <c r="BV8" s="2">
        <v>34</v>
      </c>
      <c r="BW8" s="2">
        <v>43</v>
      </c>
      <c r="BX8" s="2">
        <v>65</v>
      </c>
      <c r="BY8" s="2">
        <v>37.200000000000003</v>
      </c>
      <c r="BZ8" s="2">
        <v>1</v>
      </c>
      <c r="CA8" s="2">
        <v>0.5</v>
      </c>
      <c r="CB8" s="2">
        <v>1.4809018255261701E-4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10a</v>
      </c>
      <c r="J9" s="47">
        <f t="shared" ca="1" si="35"/>
        <v>4</v>
      </c>
      <c r="K9" s="19">
        <f t="shared" ca="1" si="36"/>
        <v>-2</v>
      </c>
      <c r="L9" s="116" t="str">
        <f t="shared" ca="1" si="1"/>
        <v>EW_sand_Ruled_63</v>
      </c>
      <c r="M9" s="105" t="str">
        <f t="shared" ca="1" si="2"/>
        <v>API sand</v>
      </c>
      <c r="N9" s="47">
        <f t="shared" ca="1" si="3"/>
        <v>10</v>
      </c>
      <c r="O9" s="63">
        <f t="shared" ca="1" si="4"/>
        <v>0</v>
      </c>
      <c r="P9" s="63">
        <f t="shared" ca="1" si="5"/>
        <v>0</v>
      </c>
      <c r="Q9" s="47">
        <f t="shared" ca="1" si="6"/>
        <v>39</v>
      </c>
      <c r="R9" s="47">
        <f t="shared" ca="1" si="7"/>
        <v>34</v>
      </c>
      <c r="S9" s="47">
        <f t="shared" ca="1" si="8"/>
        <v>1.8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30600</v>
      </c>
      <c r="Y9" s="47">
        <f t="shared" ca="1" si="14"/>
        <v>0</v>
      </c>
      <c r="Z9" s="47">
        <f t="shared" ca="1" si="15"/>
        <v>111.19999999999996</v>
      </c>
      <c r="AA9" s="47">
        <f t="shared" ca="1" si="16"/>
        <v>1</v>
      </c>
      <c r="AB9" s="47">
        <f t="shared" ca="1" si="17"/>
        <v>11520</v>
      </c>
      <c r="AC9" s="63">
        <f t="shared" ca="1" si="18"/>
        <v>54000</v>
      </c>
      <c r="AD9" s="63">
        <f t="shared" ca="1" si="19"/>
        <v>-5000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48.000000000000007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63</v>
      </c>
      <c r="AS9" s="33">
        <f t="shared" ca="1" si="34"/>
        <v>0.4</v>
      </c>
      <c r="AW9" s="2">
        <v>1.5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7.5</v>
      </c>
      <c r="BE9" s="2">
        <v>8.6</v>
      </c>
      <c r="BF9" s="2">
        <v>9</v>
      </c>
      <c r="BG9" s="2">
        <v>9.6</v>
      </c>
      <c r="BH9" s="2">
        <v>11</v>
      </c>
      <c r="BI9" s="2"/>
      <c r="BJ9" s="2"/>
      <c r="BK9" s="2"/>
      <c r="BL9" s="2"/>
      <c r="BM9" s="2"/>
      <c r="BN9" s="2">
        <v>100</v>
      </c>
      <c r="BO9" s="2">
        <v>36</v>
      </c>
      <c r="BP9" s="2">
        <v>42</v>
      </c>
      <c r="BQ9" s="2">
        <v>45</v>
      </c>
      <c r="BR9" s="2">
        <v>49</v>
      </c>
      <c r="BS9" s="2">
        <v>54</v>
      </c>
      <c r="BT9" s="2">
        <v>10</v>
      </c>
      <c r="BU9" s="2">
        <v>31</v>
      </c>
      <c r="BV9" s="2">
        <v>40</v>
      </c>
      <c r="BW9" s="2">
        <v>50</v>
      </c>
      <c r="BX9" s="2">
        <v>71</v>
      </c>
      <c r="BY9" s="2">
        <v>37.200000000000003</v>
      </c>
      <c r="BZ9" s="2">
        <v>1</v>
      </c>
      <c r="CA9" s="2">
        <v>0.5</v>
      </c>
      <c r="CB9" s="2">
        <v>1.4809018255261701E-4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10b</v>
      </c>
      <c r="J10" s="47">
        <f t="shared" ca="1" si="35"/>
        <v>5</v>
      </c>
      <c r="K10" s="19">
        <f t="shared" ca="1" si="36"/>
        <v>-3</v>
      </c>
      <c r="L10" s="116" t="str">
        <f t="shared" ca="1" si="1"/>
        <v>EW_sand_Ruled_55</v>
      </c>
      <c r="M10" s="105" t="str">
        <f t="shared" ca="1" si="2"/>
        <v>API sand</v>
      </c>
      <c r="N10" s="47">
        <f t="shared" ca="1" si="3"/>
        <v>9.8999999999999986</v>
      </c>
      <c r="O10" s="63">
        <f t="shared" ca="1" si="4"/>
        <v>0</v>
      </c>
      <c r="P10" s="63">
        <f t="shared" ca="1" si="5"/>
        <v>0</v>
      </c>
      <c r="Q10" s="47">
        <f t="shared" ca="1" si="6"/>
        <v>38</v>
      </c>
      <c r="R10" s="47">
        <f t="shared" ca="1" si="7"/>
        <v>33</v>
      </c>
      <c r="S10" s="47">
        <f t="shared" ca="1" si="8"/>
        <v>1.3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31200</v>
      </c>
      <c r="Y10" s="47">
        <f t="shared" ca="1" si="14"/>
        <v>0</v>
      </c>
      <c r="Z10" s="47">
        <f t="shared" ca="1" si="15"/>
        <v>107.39999999999996</v>
      </c>
      <c r="AA10" s="47">
        <f t="shared" ca="1" si="16"/>
        <v>1</v>
      </c>
      <c r="AB10" s="47">
        <f t="shared" ca="1" si="17"/>
        <v>11040</v>
      </c>
      <c r="AC10" s="63">
        <f t="shared" ca="1" si="18"/>
        <v>55000</v>
      </c>
      <c r="AD10" s="63">
        <f t="shared" ca="1" si="19"/>
        <v>6000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46.000000000000007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55</v>
      </c>
      <c r="AS10" s="33">
        <f t="shared" ca="1" si="34"/>
        <v>0.4</v>
      </c>
      <c r="AW10" s="2">
        <v>1.5</v>
      </c>
      <c r="AX10" s="2" t="s">
        <v>255</v>
      </c>
      <c r="AY10" s="130">
        <v>23.1</v>
      </c>
      <c r="AZ10" s="2">
        <v>20.2</v>
      </c>
      <c r="BA10" s="2">
        <v>18</v>
      </c>
      <c r="BB10" s="2">
        <v>28</v>
      </c>
      <c r="BC10" s="2">
        <v>5</v>
      </c>
      <c r="BD10" s="2">
        <v>2.1</v>
      </c>
      <c r="BE10" s="2">
        <v>2.5</v>
      </c>
      <c r="BF10" s="2">
        <v>2.8</v>
      </c>
      <c r="BG10" s="2">
        <v>3.1</v>
      </c>
      <c r="BH10" s="2">
        <v>3.7</v>
      </c>
      <c r="BI10" s="2">
        <v>60</v>
      </c>
      <c r="BJ10" s="2">
        <v>125</v>
      </c>
      <c r="BK10" s="2">
        <v>154</v>
      </c>
      <c r="BL10" s="2">
        <v>186</v>
      </c>
      <c r="BM10" s="2">
        <v>253</v>
      </c>
      <c r="BN10" s="2"/>
      <c r="BO10" s="2"/>
      <c r="BP10" s="2"/>
      <c r="BQ10" s="2"/>
      <c r="BR10" s="2"/>
      <c r="BS10" s="2"/>
      <c r="BT10" s="2">
        <v>51</v>
      </c>
      <c r="BU10" s="2">
        <v>94</v>
      </c>
      <c r="BV10" s="2">
        <v>133</v>
      </c>
      <c r="BW10" s="2">
        <v>174</v>
      </c>
      <c r="BX10" s="2">
        <v>256</v>
      </c>
      <c r="BY10" s="2">
        <v>21.4</v>
      </c>
      <c r="BZ10" s="2">
        <v>30</v>
      </c>
      <c r="CA10" s="2">
        <v>3</v>
      </c>
      <c r="CB10" s="2">
        <v>9.8785413512681498E-8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10c</v>
      </c>
      <c r="J11" s="47">
        <f t="shared" ca="1" si="35"/>
        <v>6</v>
      </c>
      <c r="K11" s="19">
        <f t="shared" ca="1" si="36"/>
        <v>-6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8.3999999999999986</v>
      </c>
      <c r="O11" s="63">
        <f t="shared" ca="1" si="4"/>
        <v>168</v>
      </c>
      <c r="P11" s="63">
        <f t="shared" ca="1" si="5"/>
        <v>17.333333333333332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0.5</v>
      </c>
      <c r="X11" s="47">
        <f t="shared" ca="1" si="13"/>
        <v>41200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194000</v>
      </c>
      <c r="AD11" s="63">
        <f t="shared" ca="1" si="19"/>
        <v>21066.666666666668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2</v>
      </c>
      <c r="AX11" s="2" t="s">
        <v>255</v>
      </c>
      <c r="AY11" s="130">
        <v>23.1</v>
      </c>
      <c r="AZ11" s="2">
        <v>20.2</v>
      </c>
      <c r="BA11" s="2">
        <v>18</v>
      </c>
      <c r="BB11" s="2">
        <v>28</v>
      </c>
      <c r="BC11" s="2">
        <v>5</v>
      </c>
      <c r="BD11" s="2">
        <v>1.2</v>
      </c>
      <c r="BE11" s="2">
        <v>1.7</v>
      </c>
      <c r="BF11" s="2">
        <v>2</v>
      </c>
      <c r="BG11" s="2">
        <v>2.2999999999999998</v>
      </c>
      <c r="BH11" s="2">
        <v>2.9</v>
      </c>
      <c r="BI11" s="2">
        <v>12</v>
      </c>
      <c r="BJ11" s="2">
        <v>76</v>
      </c>
      <c r="BK11" s="2">
        <v>106</v>
      </c>
      <c r="BL11" s="2">
        <v>138</v>
      </c>
      <c r="BM11" s="2">
        <v>205</v>
      </c>
      <c r="BN11" s="2"/>
      <c r="BO11" s="2"/>
      <c r="BP11" s="2"/>
      <c r="BQ11" s="2"/>
      <c r="BR11" s="2"/>
      <c r="BS11" s="2"/>
      <c r="BT11" s="2">
        <v>2</v>
      </c>
      <c r="BU11" s="2">
        <v>44</v>
      </c>
      <c r="BV11" s="2">
        <v>84</v>
      </c>
      <c r="BW11" s="2">
        <v>125</v>
      </c>
      <c r="BX11" s="2">
        <v>207</v>
      </c>
      <c r="BY11" s="2">
        <v>21.4</v>
      </c>
      <c r="BZ11" s="2">
        <v>30</v>
      </c>
      <c r="CA11" s="2">
        <v>3</v>
      </c>
      <c r="CB11" s="2">
        <v>9.8785413512681498E-8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11a</v>
      </c>
      <c r="J12" s="47">
        <f t="shared" ca="1" si="35"/>
        <v>7</v>
      </c>
      <c r="K12" s="19">
        <f t="shared" ca="1" si="36"/>
        <v>-13.5</v>
      </c>
      <c r="L12" s="116" t="str">
        <f t="shared" ca="1" si="1"/>
        <v>EW_sand_Ruled_64</v>
      </c>
      <c r="M12" s="105" t="str">
        <f t="shared" ca="1" si="2"/>
        <v>API sand</v>
      </c>
      <c r="N12" s="47">
        <f t="shared" ca="1" si="3"/>
        <v>9.6000000000000014</v>
      </c>
      <c r="O12" s="63">
        <f t="shared" ca="1" si="4"/>
        <v>0</v>
      </c>
      <c r="P12" s="63">
        <f t="shared" ca="1" si="5"/>
        <v>0</v>
      </c>
      <c r="Q12" s="47">
        <f t="shared" ca="1" si="6"/>
        <v>36</v>
      </c>
      <c r="R12" s="47">
        <f t="shared" ca="1" si="7"/>
        <v>31</v>
      </c>
      <c r="S12" s="47">
        <f t="shared" ca="1" si="8"/>
        <v>0.7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40800</v>
      </c>
      <c r="Y12" s="47">
        <f t="shared" ca="1" si="14"/>
        <v>0</v>
      </c>
      <c r="Z12" s="47">
        <f t="shared" ca="1" si="15"/>
        <v>99.799999999999969</v>
      </c>
      <c r="AA12" s="47">
        <f t="shared" ca="1" si="16"/>
        <v>1</v>
      </c>
      <c r="AB12" s="47">
        <f t="shared" ca="1" si="17"/>
        <v>10080</v>
      </c>
      <c r="AC12" s="63">
        <f t="shared" ca="1" si="18"/>
        <v>88000</v>
      </c>
      <c r="AD12" s="63">
        <f t="shared" ca="1" si="19"/>
        <v>24999.999999999993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42.000000000000007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64</v>
      </c>
      <c r="AS12" s="33">
        <f t="shared" ca="1" si="34"/>
        <v>0.4</v>
      </c>
      <c r="AW12" s="2">
        <v>2</v>
      </c>
      <c r="AX12" s="2" t="s">
        <v>259</v>
      </c>
      <c r="AY12" s="130">
        <v>25.5</v>
      </c>
      <c r="AZ12" s="2">
        <v>20</v>
      </c>
      <c r="BA12" s="2"/>
      <c r="BB12" s="2">
        <v>14</v>
      </c>
      <c r="BC12" s="2"/>
      <c r="BD12" s="2">
        <v>9.1999999999999993</v>
      </c>
      <c r="BE12" s="2">
        <v>11.3</v>
      </c>
      <c r="BF12" s="2">
        <v>12</v>
      </c>
      <c r="BG12" s="2">
        <v>12.8</v>
      </c>
      <c r="BH12" s="2">
        <f>15+14.9</f>
        <v>29.9</v>
      </c>
      <c r="BI12" s="2"/>
      <c r="BJ12" s="2"/>
      <c r="BK12" s="2"/>
      <c r="BL12" s="2"/>
      <c r="BM12" s="2"/>
      <c r="BN12" s="2">
        <v>63</v>
      </c>
      <c r="BO12" s="2">
        <v>33</v>
      </c>
      <c r="BP12" s="2">
        <v>39</v>
      </c>
      <c r="BQ12" s="2">
        <v>42</v>
      </c>
      <c r="BR12" s="2">
        <v>45</v>
      </c>
      <c r="BS12" s="2">
        <v>51</v>
      </c>
      <c r="BT12" s="2">
        <v>12</v>
      </c>
      <c r="BU12" s="2">
        <v>42</v>
      </c>
      <c r="BV12" s="2">
        <v>54</v>
      </c>
      <c r="BW12" s="2">
        <v>67</v>
      </c>
      <c r="BX12" s="2">
        <v>97</v>
      </c>
      <c r="BY12" s="2">
        <v>30.6</v>
      </c>
      <c r="BZ12" s="2">
        <v>8.4</v>
      </c>
      <c r="CA12" s="2">
        <v>1.8</v>
      </c>
      <c r="CB12" s="2">
        <v>1.61928986531443E-5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20a</v>
      </c>
      <c r="J13" s="47">
        <f t="shared" ca="1" si="35"/>
        <v>8</v>
      </c>
      <c r="K13" s="19">
        <f t="shared" ca="1" si="36"/>
        <v>-14.9</v>
      </c>
      <c r="L13" s="116" t="str">
        <f t="shared" ca="1" si="1"/>
        <v>EW_sand_Ruled_62</v>
      </c>
      <c r="M13" s="105" t="str">
        <f t="shared" ca="1" si="2"/>
        <v>API sand</v>
      </c>
      <c r="N13" s="47">
        <f t="shared" ca="1" si="3"/>
        <v>10</v>
      </c>
      <c r="O13" s="63">
        <f t="shared" ca="1" si="4"/>
        <v>0</v>
      </c>
      <c r="P13" s="63">
        <f t="shared" ca="1" si="5"/>
        <v>0</v>
      </c>
      <c r="Q13" s="47">
        <f t="shared" ca="1" si="6"/>
        <v>27</v>
      </c>
      <c r="R13" s="47">
        <f t="shared" ca="1" si="7"/>
        <v>22</v>
      </c>
      <c r="S13" s="47">
        <f t="shared" ca="1" si="8"/>
        <v>1.1000000000000001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18500</v>
      </c>
      <c r="Y13" s="47">
        <f t="shared" ca="1" si="14"/>
        <v>0</v>
      </c>
      <c r="Z13" s="47">
        <f t="shared" ca="1" si="15"/>
        <v>72.59999999999998</v>
      </c>
      <c r="AA13" s="47">
        <f t="shared" ca="1" si="16"/>
        <v>1</v>
      </c>
      <c r="AB13" s="47">
        <f t="shared" ca="1" si="17"/>
        <v>3660</v>
      </c>
      <c r="AC13" s="63">
        <f t="shared" ca="1" si="18"/>
        <v>100000</v>
      </c>
      <c r="AD13" s="63">
        <f t="shared" ca="1" si="19"/>
        <v>8387.0967741935492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15.200000000000003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62</v>
      </c>
      <c r="AS13" s="33">
        <f t="shared" ca="1" si="34"/>
        <v>0.2</v>
      </c>
      <c r="AW13" s="2">
        <v>3</v>
      </c>
      <c r="AX13" s="2" t="s">
        <v>259</v>
      </c>
      <c r="AY13" s="130">
        <v>25.5</v>
      </c>
      <c r="AZ13" s="2">
        <v>20</v>
      </c>
      <c r="BA13" s="2"/>
      <c r="BB13" s="2">
        <v>14</v>
      </c>
      <c r="BC13" s="2"/>
      <c r="BD13" s="2">
        <v>2.6</v>
      </c>
      <c r="BE13" s="2">
        <v>4.5999999999999996</v>
      </c>
      <c r="BF13" s="2">
        <v>5.3</v>
      </c>
      <c r="BG13" s="2">
        <v>6.1</v>
      </c>
      <c r="BH13" s="2">
        <f>15+8.2</f>
        <v>23.2</v>
      </c>
      <c r="BI13" s="2"/>
      <c r="BJ13" s="2"/>
      <c r="BK13" s="2"/>
      <c r="BL13" s="2"/>
      <c r="BM13" s="2"/>
      <c r="BN13" s="2">
        <v>63</v>
      </c>
      <c r="BO13" s="2">
        <v>33</v>
      </c>
      <c r="BP13" s="2">
        <v>39</v>
      </c>
      <c r="BQ13" s="2">
        <v>42</v>
      </c>
      <c r="BR13" s="2">
        <v>45</v>
      </c>
      <c r="BS13" s="2">
        <v>51</v>
      </c>
      <c r="BT13" s="2">
        <v>7</v>
      </c>
      <c r="BU13" s="2">
        <v>37</v>
      </c>
      <c r="BV13" s="2">
        <v>49</v>
      </c>
      <c r="BW13" s="2">
        <v>62</v>
      </c>
      <c r="BX13" s="2">
        <v>92</v>
      </c>
      <c r="BY13" s="2">
        <v>30.6</v>
      </c>
      <c r="BZ13" s="2">
        <v>8.4</v>
      </c>
      <c r="CA13" s="2">
        <v>1.8</v>
      </c>
      <c r="CB13" s="2">
        <v>1.61928986531443E-5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20a</v>
      </c>
      <c r="J14" s="47">
        <f t="shared" ca="1" si="35"/>
        <v>9</v>
      </c>
      <c r="K14" s="19">
        <f t="shared" ca="1" si="36"/>
        <v>-18</v>
      </c>
      <c r="L14" s="116" t="str">
        <f t="shared" ca="1" si="1"/>
        <v>EW_sand_Ruled_70</v>
      </c>
      <c r="M14" s="105" t="str">
        <f t="shared" ca="1" si="2"/>
        <v>API sand</v>
      </c>
      <c r="N14" s="47">
        <f t="shared" ca="1" si="3"/>
        <v>10</v>
      </c>
      <c r="O14" s="63">
        <f t="shared" ca="1" si="4"/>
        <v>0</v>
      </c>
      <c r="P14" s="63">
        <f t="shared" ca="1" si="5"/>
        <v>0</v>
      </c>
      <c r="Q14" s="47">
        <f t="shared" ca="1" si="6"/>
        <v>28</v>
      </c>
      <c r="R14" s="47">
        <f t="shared" ca="1" si="7"/>
        <v>23</v>
      </c>
      <c r="S14" s="47">
        <f t="shared" ca="1" si="8"/>
        <v>1.2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27500</v>
      </c>
      <c r="Y14" s="47">
        <f t="shared" ca="1" si="14"/>
        <v>0</v>
      </c>
      <c r="Z14" s="47">
        <f t="shared" ca="1" si="15"/>
        <v>75.399999999999977</v>
      </c>
      <c r="AA14" s="47">
        <f t="shared" ca="1" si="16"/>
        <v>1</v>
      </c>
      <c r="AB14" s="47">
        <f t="shared" ca="1" si="17"/>
        <v>4040</v>
      </c>
      <c r="AC14" s="63">
        <f t="shared" ca="1" si="18"/>
        <v>129000</v>
      </c>
      <c r="AD14" s="63">
        <f t="shared" ca="1" si="19"/>
        <v>3559.322033898306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16.800000000000004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70</v>
      </c>
      <c r="AS14" s="33">
        <f t="shared" ca="1" si="34"/>
        <v>0.2</v>
      </c>
      <c r="AW14" s="2">
        <v>3</v>
      </c>
      <c r="AX14" s="2" t="s">
        <v>261</v>
      </c>
      <c r="AY14" s="130">
        <v>24</v>
      </c>
      <c r="AZ14" s="2">
        <v>19.899999999999999</v>
      </c>
      <c r="BA14" s="2"/>
      <c r="BB14" s="2">
        <v>6</v>
      </c>
      <c r="BC14" s="2"/>
      <c r="BD14" s="2">
        <v>5.3</v>
      </c>
      <c r="BE14" s="2">
        <v>6.6</v>
      </c>
      <c r="BF14" s="2">
        <v>6.9</v>
      </c>
      <c r="BG14" s="2">
        <v>7.1</v>
      </c>
      <c r="BH14" s="2">
        <v>8.3000000000000007</v>
      </c>
      <c r="BI14" s="2"/>
      <c r="BJ14" s="2"/>
      <c r="BK14" s="2"/>
      <c r="BL14" s="2"/>
      <c r="BM14" s="2"/>
      <c r="BN14" s="2">
        <v>55</v>
      </c>
      <c r="BO14" s="2">
        <v>32</v>
      </c>
      <c r="BP14" s="2">
        <v>38</v>
      </c>
      <c r="BQ14" s="2">
        <v>41</v>
      </c>
      <c r="BR14" s="2">
        <v>44</v>
      </c>
      <c r="BS14" s="2">
        <v>49</v>
      </c>
      <c r="BT14" s="2">
        <v>3</v>
      </c>
      <c r="BU14" s="2">
        <v>39</v>
      </c>
      <c r="BV14" s="2">
        <v>55</v>
      </c>
      <c r="BW14" s="2">
        <v>70</v>
      </c>
      <c r="BX14" s="2">
        <v>107</v>
      </c>
      <c r="BY14" s="2">
        <v>31.2</v>
      </c>
      <c r="BZ14" s="2">
        <v>4.8</v>
      </c>
      <c r="CA14" s="2">
        <v>1.3</v>
      </c>
      <c r="CB14" s="2">
        <v>1.8019913044373799E-6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21a</v>
      </c>
      <c r="J15" s="47">
        <f t="shared" ca="1" si="35"/>
        <v>10</v>
      </c>
      <c r="K15" s="19">
        <f t="shared" ca="1" si="36"/>
        <v>-23.9</v>
      </c>
      <c r="L15" s="116" t="str">
        <f t="shared" ca="1" si="1"/>
        <v>EW_sand_Ruled_30</v>
      </c>
      <c r="M15" s="105" t="str">
        <f t="shared" ca="1" si="2"/>
        <v>API sand</v>
      </c>
      <c r="N15" s="47">
        <f t="shared" ca="1" si="3"/>
        <v>9.8000000000000007</v>
      </c>
      <c r="O15" s="63">
        <f t="shared" ca="1" si="4"/>
        <v>0</v>
      </c>
      <c r="P15" s="63">
        <f t="shared" ca="1" si="5"/>
        <v>0</v>
      </c>
      <c r="Q15" s="47">
        <f t="shared" ca="1" si="6"/>
        <v>26.5</v>
      </c>
      <c r="R15" s="47">
        <f t="shared" ca="1" si="7"/>
        <v>21.5</v>
      </c>
      <c r="S15" s="47">
        <f t="shared" ca="1" si="8"/>
        <v>0.6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23400</v>
      </c>
      <c r="Y15" s="47">
        <f t="shared" ca="1" si="14"/>
        <v>0</v>
      </c>
      <c r="Z15" s="47">
        <f t="shared" ca="1" si="15"/>
        <v>69.799999999999983</v>
      </c>
      <c r="AA15" s="47">
        <f t="shared" ca="1" si="16"/>
        <v>1</v>
      </c>
      <c r="AB15" s="47">
        <f t="shared" ca="1" si="17"/>
        <v>3280</v>
      </c>
      <c r="AC15" s="63">
        <f t="shared" ca="1" si="18"/>
        <v>115000</v>
      </c>
      <c r="AD15" s="63">
        <f t="shared" ca="1" si="19"/>
        <v>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13.600000000000003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30</v>
      </c>
      <c r="AS15" s="33">
        <f t="shared" ca="1" si="34"/>
        <v>0.2</v>
      </c>
      <c r="AW15" s="2">
        <v>6</v>
      </c>
      <c r="AX15" s="2" t="s">
        <v>261</v>
      </c>
      <c r="AY15" s="130">
        <v>24</v>
      </c>
      <c r="AZ15" s="2">
        <v>19.899999999999999</v>
      </c>
      <c r="BA15" s="2"/>
      <c r="BB15" s="2">
        <v>6</v>
      </c>
      <c r="BC15" s="2"/>
      <c r="BD15" s="2">
        <v>7.5</v>
      </c>
      <c r="BE15" s="2">
        <v>8.8000000000000007</v>
      </c>
      <c r="BF15" s="2">
        <v>9.1</v>
      </c>
      <c r="BG15" s="2">
        <v>9.4</v>
      </c>
      <c r="BH15" s="2">
        <v>10.6</v>
      </c>
      <c r="BI15" s="2"/>
      <c r="BJ15" s="2"/>
      <c r="BK15" s="2"/>
      <c r="BL15" s="2"/>
      <c r="BM15" s="2"/>
      <c r="BN15" s="2">
        <v>55</v>
      </c>
      <c r="BO15" s="2">
        <v>32</v>
      </c>
      <c r="BP15" s="2">
        <v>38</v>
      </c>
      <c r="BQ15" s="2">
        <v>41</v>
      </c>
      <c r="BR15" s="2">
        <v>44</v>
      </c>
      <c r="BS15" s="2">
        <v>49</v>
      </c>
      <c r="BT15" s="2">
        <v>20</v>
      </c>
      <c r="BU15" s="2">
        <v>57</v>
      </c>
      <c r="BV15" s="2">
        <v>73</v>
      </c>
      <c r="BW15" s="2">
        <v>88</v>
      </c>
      <c r="BX15" s="2">
        <v>125</v>
      </c>
      <c r="BY15" s="2">
        <v>31.2</v>
      </c>
      <c r="BZ15" s="2">
        <v>4.8</v>
      </c>
      <c r="CA15" s="2">
        <v>1.3</v>
      </c>
      <c r="CB15" s="2">
        <v>1.8019913044373799E-6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23d</v>
      </c>
      <c r="J16" s="47">
        <f t="shared" ca="1" si="35"/>
        <v>11</v>
      </c>
      <c r="K16" s="19">
        <f t="shared" ca="1" si="36"/>
        <v>-28.8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8.8999999999999986</v>
      </c>
      <c r="O16" s="63">
        <f t="shared" ca="1" si="4"/>
        <v>229</v>
      </c>
      <c r="P16" s="63">
        <f t="shared" ca="1" si="5"/>
        <v>12.71505376344086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2.5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0.5</v>
      </c>
      <c r="X16" s="47">
        <f t="shared" ca="1" si="13"/>
        <v>40900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309000</v>
      </c>
      <c r="AD16" s="63">
        <f t="shared" ca="1" si="19"/>
        <v>21317.204301075268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6</v>
      </c>
      <c r="AX16" s="2" t="s">
        <v>287</v>
      </c>
      <c r="AY16" s="130">
        <v>36</v>
      </c>
      <c r="AZ16" s="2">
        <v>18.399999999999999</v>
      </c>
      <c r="BA16" s="2">
        <v>23</v>
      </c>
      <c r="BB16" s="2">
        <v>53</v>
      </c>
      <c r="BC16" s="2">
        <v>4</v>
      </c>
      <c r="BD16" s="2">
        <v>1.6</v>
      </c>
      <c r="BE16" s="2">
        <v>3.9</v>
      </c>
      <c r="BF16" s="2">
        <v>4.0999999999999996</v>
      </c>
      <c r="BG16" s="2">
        <v>4.4000000000000004</v>
      </c>
      <c r="BH16" s="2">
        <v>6.2</v>
      </c>
      <c r="BI16" s="2">
        <v>8</v>
      </c>
      <c r="BJ16" s="2">
        <v>168</v>
      </c>
      <c r="BK16" s="2">
        <v>222</v>
      </c>
      <c r="BL16" s="2">
        <v>276</v>
      </c>
      <c r="BM16" s="2">
        <v>422</v>
      </c>
      <c r="BN16" s="2"/>
      <c r="BO16" s="2"/>
      <c r="BP16" s="2"/>
      <c r="BQ16" s="2"/>
      <c r="BR16" s="2"/>
      <c r="BS16" s="2"/>
      <c r="BT16" s="2">
        <v>6</v>
      </c>
      <c r="BU16" s="2">
        <v>105</v>
      </c>
      <c r="BV16" s="2">
        <v>194</v>
      </c>
      <c r="BW16" s="2">
        <v>283</v>
      </c>
      <c r="BX16" s="2">
        <v>484</v>
      </c>
      <c r="BY16" s="2">
        <v>41.2</v>
      </c>
      <c r="BZ16" s="2">
        <v>11.5</v>
      </c>
      <c r="CA16" s="2">
        <v>3</v>
      </c>
      <c r="CB16" s="2">
        <v>1.5981254668778901E-8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23i</v>
      </c>
      <c r="J17" s="47">
        <f t="shared" ca="1" si="35"/>
        <v>12</v>
      </c>
      <c r="K17" s="19">
        <f t="shared" ca="1" si="36"/>
        <v>-66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8.3000000000000007</v>
      </c>
      <c r="O17" s="63">
        <f t="shared" ca="1" si="4"/>
        <v>533</v>
      </c>
      <c r="P17" s="63">
        <f t="shared" ca="1" si="5"/>
        <v>6.2142857142857144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2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49800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809000</v>
      </c>
      <c r="AD17" s="63">
        <f t="shared" ca="1" si="19"/>
        <v>11285.714285714286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13.5</v>
      </c>
      <c r="AX17" s="2" t="s">
        <v>287</v>
      </c>
      <c r="AY17" s="130">
        <v>36</v>
      </c>
      <c r="AZ17" s="2">
        <v>18.399999999999999</v>
      </c>
      <c r="BA17" s="2">
        <v>23</v>
      </c>
      <c r="BB17" s="2">
        <v>53</v>
      </c>
      <c r="BC17" s="2">
        <v>4</v>
      </c>
      <c r="BD17" s="2">
        <v>4.0999999999999996</v>
      </c>
      <c r="BE17" s="2">
        <v>6.3</v>
      </c>
      <c r="BF17" s="2">
        <v>6.6</v>
      </c>
      <c r="BG17" s="2">
        <v>6.8</v>
      </c>
      <c r="BH17" s="2">
        <v>8.6</v>
      </c>
      <c r="BI17" s="2">
        <v>138</v>
      </c>
      <c r="BJ17" s="2">
        <v>298</v>
      </c>
      <c r="BK17" s="2">
        <v>352</v>
      </c>
      <c r="BL17" s="2">
        <v>406</v>
      </c>
      <c r="BM17" s="2">
        <v>551</v>
      </c>
      <c r="BN17" s="2"/>
      <c r="BO17" s="2"/>
      <c r="BP17" s="2"/>
      <c r="BQ17" s="2"/>
      <c r="BR17" s="2"/>
      <c r="BS17" s="2"/>
      <c r="BT17" s="2">
        <v>163</v>
      </c>
      <c r="BU17" s="2">
        <v>263</v>
      </c>
      <c r="BV17" s="2">
        <v>352</v>
      </c>
      <c r="BW17" s="2">
        <v>440</v>
      </c>
      <c r="BX17" s="2">
        <v>641</v>
      </c>
      <c r="BY17" s="2">
        <v>41.2</v>
      </c>
      <c r="BZ17" s="2">
        <v>11.5</v>
      </c>
      <c r="CA17" s="2">
        <v>3</v>
      </c>
      <c r="CB17" s="2">
        <v>1.5981254668778901E-8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13.5</v>
      </c>
      <c r="AX18" s="2" t="s">
        <v>293</v>
      </c>
      <c r="AY18" s="130">
        <v>25.8</v>
      </c>
      <c r="AZ18" s="2">
        <v>19.600000000000001</v>
      </c>
      <c r="BA18" s="2"/>
      <c r="BB18" s="2">
        <v>22</v>
      </c>
      <c r="BC18" s="2"/>
      <c r="BD18" s="2">
        <v>0.5</v>
      </c>
      <c r="BE18" s="2">
        <v>2</v>
      </c>
      <c r="BF18" s="2">
        <v>4.5999999999999996</v>
      </c>
      <c r="BG18" s="2">
        <v>6.8</v>
      </c>
      <c r="BH18" s="2">
        <v>14.7</v>
      </c>
      <c r="BI18" s="2"/>
      <c r="BJ18" s="2"/>
      <c r="BK18" s="2"/>
      <c r="BL18" s="2"/>
      <c r="BM18" s="2"/>
      <c r="BN18" s="2">
        <v>64</v>
      </c>
      <c r="BO18" s="2">
        <v>29</v>
      </c>
      <c r="BP18" s="2">
        <v>36</v>
      </c>
      <c r="BQ18" s="2">
        <v>39</v>
      </c>
      <c r="BR18" s="2">
        <v>42</v>
      </c>
      <c r="BS18" s="2">
        <v>49</v>
      </c>
      <c r="BT18" s="2">
        <v>13</v>
      </c>
      <c r="BU18" s="2">
        <v>63</v>
      </c>
      <c r="BV18" s="2">
        <v>88</v>
      </c>
      <c r="BW18" s="2">
        <v>114</v>
      </c>
      <c r="BX18" s="2">
        <v>179</v>
      </c>
      <c r="BY18" s="2">
        <v>40.799999999999997</v>
      </c>
      <c r="BZ18" s="2">
        <v>1.9</v>
      </c>
      <c r="CA18" s="2">
        <v>0.7</v>
      </c>
      <c r="CB18" s="2">
        <v>9.3021191927685996E-8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14.9</v>
      </c>
      <c r="AX19" s="2" t="s">
        <v>293</v>
      </c>
      <c r="AY19" s="130">
        <v>25.8</v>
      </c>
      <c r="AZ19" s="2">
        <v>19.600000000000001</v>
      </c>
      <c r="BA19" s="2"/>
      <c r="BB19" s="2">
        <v>22</v>
      </c>
      <c r="BC19" s="2"/>
      <c r="BD19" s="2">
        <v>13.2</v>
      </c>
      <c r="BE19" s="2">
        <v>14.7</v>
      </c>
      <c r="BF19" s="2">
        <v>17.3</v>
      </c>
      <c r="BG19" s="2">
        <v>19.5</v>
      </c>
      <c r="BH19" s="2">
        <v>27.4</v>
      </c>
      <c r="BI19" s="2"/>
      <c r="BJ19" s="2"/>
      <c r="BK19" s="2"/>
      <c r="BL19" s="2"/>
      <c r="BM19" s="2"/>
      <c r="BN19" s="2">
        <v>64</v>
      </c>
      <c r="BO19" s="2">
        <v>29</v>
      </c>
      <c r="BP19" s="2">
        <v>36</v>
      </c>
      <c r="BQ19" s="2">
        <v>39</v>
      </c>
      <c r="BR19" s="2">
        <v>42</v>
      </c>
      <c r="BS19" s="2">
        <v>49</v>
      </c>
      <c r="BT19" s="2">
        <v>48</v>
      </c>
      <c r="BU19" s="2">
        <v>98</v>
      </c>
      <c r="BV19" s="2">
        <v>123</v>
      </c>
      <c r="BW19" s="2">
        <v>149</v>
      </c>
      <c r="BX19" s="2">
        <v>213</v>
      </c>
      <c r="BY19" s="2">
        <v>40.799999999999997</v>
      </c>
      <c r="BZ19" s="2">
        <v>1.9</v>
      </c>
      <c r="CA19" s="2">
        <v>0.7</v>
      </c>
      <c r="CB19" s="2">
        <v>9.3021191927685996E-8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14.9</v>
      </c>
      <c r="AX20" s="2" t="s">
        <v>278</v>
      </c>
      <c r="AY20" s="130">
        <v>25.2</v>
      </c>
      <c r="AZ20" s="2">
        <v>20</v>
      </c>
      <c r="BA20" s="2"/>
      <c r="BB20" s="2">
        <v>22</v>
      </c>
      <c r="BC20" s="2"/>
      <c r="BD20" s="2">
        <v>3.6</v>
      </c>
      <c r="BE20" s="2">
        <v>6.8</v>
      </c>
      <c r="BF20" s="2">
        <v>7.5</v>
      </c>
      <c r="BG20" s="2">
        <v>8.9</v>
      </c>
      <c r="BH20" s="2">
        <v>15.4</v>
      </c>
      <c r="BI20" s="2"/>
      <c r="BJ20" s="2"/>
      <c r="BK20" s="2"/>
      <c r="BL20" s="2"/>
      <c r="BM20" s="2"/>
      <c r="BN20" s="2">
        <v>62</v>
      </c>
      <c r="BO20" s="2">
        <v>26</v>
      </c>
      <c r="BP20" s="2">
        <v>27</v>
      </c>
      <c r="BQ20" s="2">
        <v>30</v>
      </c>
      <c r="BR20" s="2">
        <v>32</v>
      </c>
      <c r="BS20" s="2">
        <v>36</v>
      </c>
      <c r="BT20" s="2">
        <v>14</v>
      </c>
      <c r="BU20" s="2">
        <v>74</v>
      </c>
      <c r="BV20" s="2">
        <v>100</v>
      </c>
      <c r="BW20" s="2">
        <v>127</v>
      </c>
      <c r="BX20" s="2">
        <v>194</v>
      </c>
      <c r="BY20" s="2">
        <v>18.5</v>
      </c>
      <c r="BZ20" s="2">
        <v>3.8</v>
      </c>
      <c r="CA20" s="2">
        <v>1.1000000000000001</v>
      </c>
      <c r="CB20" s="2">
        <v>2.2609661549226099E-10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18</v>
      </c>
      <c r="AX21" s="2" t="s">
        <v>278</v>
      </c>
      <c r="AY21" s="130">
        <v>25.2</v>
      </c>
      <c r="AZ21" s="2">
        <v>20</v>
      </c>
      <c r="BA21" s="2"/>
      <c r="BB21" s="2">
        <v>22</v>
      </c>
      <c r="BC21" s="2"/>
      <c r="BD21" s="2">
        <v>12.5</v>
      </c>
      <c r="BE21" s="2">
        <v>15.7</v>
      </c>
      <c r="BF21" s="2">
        <v>16.399999999999999</v>
      </c>
      <c r="BG21" s="2">
        <v>17.8</v>
      </c>
      <c r="BH21" s="2">
        <v>24.3</v>
      </c>
      <c r="BI21" s="2"/>
      <c r="BJ21" s="2"/>
      <c r="BK21" s="2"/>
      <c r="BL21" s="2"/>
      <c r="BM21" s="2"/>
      <c r="BN21" s="2">
        <v>62</v>
      </c>
      <c r="BO21" s="2">
        <v>26</v>
      </c>
      <c r="BP21" s="2">
        <v>27</v>
      </c>
      <c r="BQ21" s="2">
        <v>30</v>
      </c>
      <c r="BR21" s="2">
        <v>32</v>
      </c>
      <c r="BS21" s="2">
        <v>36</v>
      </c>
      <c r="BT21" s="2">
        <v>40</v>
      </c>
      <c r="BU21" s="2">
        <v>100</v>
      </c>
      <c r="BV21" s="2">
        <v>126</v>
      </c>
      <c r="BW21" s="2">
        <v>153</v>
      </c>
      <c r="BX21" s="2">
        <v>220</v>
      </c>
      <c r="BY21" s="2">
        <v>18.5</v>
      </c>
      <c r="BZ21" s="2">
        <v>3.8</v>
      </c>
      <c r="CA21" s="2">
        <v>1.1000000000000001</v>
      </c>
      <c r="CB21" s="2">
        <v>2.2609661549226099E-10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18</v>
      </c>
      <c r="AX22" s="2" t="s">
        <v>278</v>
      </c>
      <c r="AY22" s="130">
        <v>25.2</v>
      </c>
      <c r="AZ22" s="2">
        <v>20</v>
      </c>
      <c r="BA22" s="2"/>
      <c r="BB22" s="2">
        <v>22</v>
      </c>
      <c r="BC22" s="2"/>
      <c r="BD22" s="2">
        <v>0.6</v>
      </c>
      <c r="BE22" s="2">
        <v>11.5</v>
      </c>
      <c r="BF22" s="2">
        <v>15.5</v>
      </c>
      <c r="BG22" s="2">
        <v>35.6</v>
      </c>
      <c r="BH22" s="2">
        <v>97.7</v>
      </c>
      <c r="BI22" s="2"/>
      <c r="BJ22" s="2"/>
      <c r="BK22" s="2"/>
      <c r="BL22" s="2"/>
      <c r="BM22" s="2"/>
      <c r="BN22" s="2">
        <v>70</v>
      </c>
      <c r="BO22" s="2">
        <v>26</v>
      </c>
      <c r="BP22" s="2">
        <v>28</v>
      </c>
      <c r="BQ22" s="2">
        <v>30</v>
      </c>
      <c r="BR22" s="2">
        <v>33</v>
      </c>
      <c r="BS22" s="2">
        <v>37</v>
      </c>
      <c r="BT22" s="2">
        <v>18</v>
      </c>
      <c r="BU22" s="2">
        <v>97</v>
      </c>
      <c r="BV22" s="2">
        <v>129</v>
      </c>
      <c r="BW22" s="2">
        <v>162</v>
      </c>
      <c r="BX22" s="2">
        <v>243</v>
      </c>
      <c r="BY22" s="2">
        <v>27.5</v>
      </c>
      <c r="BZ22" s="2">
        <v>4.0999999999999996</v>
      </c>
      <c r="CA22" s="2">
        <v>1.2</v>
      </c>
      <c r="CB22" s="2">
        <v>3.49424484834786E-12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23.9</v>
      </c>
      <c r="AX23" s="2" t="s">
        <v>278</v>
      </c>
      <c r="AY23" s="130">
        <v>25.2</v>
      </c>
      <c r="AZ23" s="2">
        <v>20</v>
      </c>
      <c r="BA23" s="2"/>
      <c r="BB23" s="2">
        <v>22</v>
      </c>
      <c r="BC23" s="2"/>
      <c r="BD23" s="2">
        <v>6.3</v>
      </c>
      <c r="BE23" s="2">
        <v>17.2</v>
      </c>
      <c r="BF23" s="2">
        <v>21.1</v>
      </c>
      <c r="BG23" s="2">
        <v>41.2</v>
      </c>
      <c r="BH23" s="2">
        <v>103.3</v>
      </c>
      <c r="BI23" s="2"/>
      <c r="BJ23" s="2"/>
      <c r="BK23" s="2"/>
      <c r="BL23" s="2"/>
      <c r="BM23" s="2"/>
      <c r="BN23" s="2">
        <v>70</v>
      </c>
      <c r="BO23" s="2">
        <v>26</v>
      </c>
      <c r="BP23" s="2">
        <v>28</v>
      </c>
      <c r="BQ23" s="2">
        <v>30</v>
      </c>
      <c r="BR23" s="2">
        <v>33</v>
      </c>
      <c r="BS23" s="2">
        <v>37</v>
      </c>
      <c r="BT23" s="2">
        <v>39</v>
      </c>
      <c r="BU23" s="2">
        <v>118</v>
      </c>
      <c r="BV23" s="2">
        <v>150</v>
      </c>
      <c r="BW23" s="2">
        <v>183</v>
      </c>
      <c r="BX23" s="2">
        <v>264</v>
      </c>
      <c r="BY23" s="2">
        <v>27.5</v>
      </c>
      <c r="BZ23" s="2">
        <v>4.0999999999999996</v>
      </c>
      <c r="CA23" s="2">
        <v>1.2</v>
      </c>
      <c r="CB23" s="2">
        <v>3.49424484834786E-12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23.9</v>
      </c>
      <c r="AX24" s="2" t="s">
        <v>271</v>
      </c>
      <c r="AY24" s="130">
        <v>24.7</v>
      </c>
      <c r="AZ24" s="2">
        <v>19.8</v>
      </c>
      <c r="BA24" s="2"/>
      <c r="BB24" s="2">
        <v>11</v>
      </c>
      <c r="BC24" s="2"/>
      <c r="BD24" s="2">
        <v>2.1</v>
      </c>
      <c r="BE24" s="2">
        <v>4.5999999999999996</v>
      </c>
      <c r="BF24" s="2">
        <v>6.4</v>
      </c>
      <c r="BG24" s="2">
        <v>13.4</v>
      </c>
      <c r="BH24" s="2">
        <v>35</v>
      </c>
      <c r="BI24" s="2"/>
      <c r="BJ24" s="2"/>
      <c r="BK24" s="2"/>
      <c r="BL24" s="2"/>
      <c r="BM24" s="2"/>
      <c r="BN24" s="2">
        <v>30</v>
      </c>
      <c r="BO24" s="2">
        <v>26</v>
      </c>
      <c r="BP24" s="2">
        <v>26.5</v>
      </c>
      <c r="BQ24" s="2">
        <v>27</v>
      </c>
      <c r="BR24" s="2">
        <v>29</v>
      </c>
      <c r="BS24" s="2">
        <v>33</v>
      </c>
      <c r="BT24" s="2">
        <v>29</v>
      </c>
      <c r="BU24" s="2">
        <v>88</v>
      </c>
      <c r="BV24" s="2">
        <v>115</v>
      </c>
      <c r="BW24" s="2">
        <v>142</v>
      </c>
      <c r="BX24" s="2">
        <v>209</v>
      </c>
      <c r="BY24" s="2">
        <v>23.4</v>
      </c>
      <c r="BZ24" s="2">
        <v>1.2</v>
      </c>
      <c r="CA24" s="2">
        <v>0.6</v>
      </c>
      <c r="CB24" s="2">
        <v>4.69998845322926E-13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28.8</v>
      </c>
      <c r="AX25" s="2" t="s">
        <v>271</v>
      </c>
      <c r="AY25" s="130">
        <v>24.7</v>
      </c>
      <c r="AZ25" s="2">
        <v>19.8</v>
      </c>
      <c r="BA25" s="2"/>
      <c r="BB25" s="2">
        <v>11</v>
      </c>
      <c r="BC25" s="2"/>
      <c r="BD25" s="2">
        <v>1</v>
      </c>
      <c r="BE25" s="2">
        <v>3.5</v>
      </c>
      <c r="BF25" s="2">
        <v>5.3</v>
      </c>
      <c r="BG25" s="2">
        <v>12.3</v>
      </c>
      <c r="BH25" s="2">
        <v>33.9</v>
      </c>
      <c r="BI25" s="2"/>
      <c r="BJ25" s="2"/>
      <c r="BK25" s="2"/>
      <c r="BL25" s="2"/>
      <c r="BM25" s="2"/>
      <c r="BN25" s="2">
        <v>30</v>
      </c>
      <c r="BO25" s="2">
        <v>26</v>
      </c>
      <c r="BP25" s="2">
        <v>26.5</v>
      </c>
      <c r="BQ25" s="2">
        <v>27</v>
      </c>
      <c r="BR25" s="2">
        <v>29</v>
      </c>
      <c r="BS25" s="2">
        <v>33</v>
      </c>
      <c r="BT25" s="2">
        <v>28</v>
      </c>
      <c r="BU25" s="2">
        <v>88</v>
      </c>
      <c r="BV25" s="2">
        <v>115</v>
      </c>
      <c r="BW25" s="2">
        <v>142</v>
      </c>
      <c r="BX25" s="2">
        <v>208</v>
      </c>
      <c r="BY25" s="2">
        <v>23.4</v>
      </c>
      <c r="BZ25" s="2">
        <v>1.2</v>
      </c>
      <c r="CA25" s="2">
        <v>0.6</v>
      </c>
      <c r="CB25" s="2">
        <v>4.69998845322926E-13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28.8</v>
      </c>
      <c r="AX26" s="2" t="s">
        <v>273</v>
      </c>
      <c r="AY26" s="130">
        <v>32</v>
      </c>
      <c r="AZ26" s="2">
        <v>18.899999999999999</v>
      </c>
      <c r="BA26" s="2">
        <v>47</v>
      </c>
      <c r="BB26" s="2">
        <v>85</v>
      </c>
      <c r="BC26" s="2">
        <v>3</v>
      </c>
      <c r="BD26" s="2">
        <v>1</v>
      </c>
      <c r="BE26" s="2">
        <v>3</v>
      </c>
      <c r="BF26" s="2">
        <v>6</v>
      </c>
      <c r="BG26" s="2">
        <v>19.2</v>
      </c>
      <c r="BH26" s="2">
        <v>59.8</v>
      </c>
      <c r="BI26" s="2">
        <v>143</v>
      </c>
      <c r="BJ26" s="2">
        <v>229</v>
      </c>
      <c r="BK26" s="2">
        <v>272</v>
      </c>
      <c r="BL26" s="2">
        <v>316</v>
      </c>
      <c r="BM26" s="2">
        <v>402</v>
      </c>
      <c r="BN26" s="2"/>
      <c r="BO26" s="2"/>
      <c r="BP26" s="2"/>
      <c r="BQ26" s="2"/>
      <c r="BR26" s="2"/>
      <c r="BS26" s="2"/>
      <c r="BT26" s="2">
        <v>44</v>
      </c>
      <c r="BU26" s="2">
        <v>220</v>
      </c>
      <c r="BV26" s="2">
        <v>309</v>
      </c>
      <c r="BW26" s="2">
        <v>397</v>
      </c>
      <c r="BX26" s="2">
        <v>574</v>
      </c>
      <c r="BY26" s="2">
        <v>40.9</v>
      </c>
      <c r="BZ26" s="2">
        <v>6.9</v>
      </c>
      <c r="CA26" s="2">
        <v>2.5</v>
      </c>
      <c r="CB26" s="2">
        <v>6.7838620833064901E-12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66</v>
      </c>
      <c r="AX27" s="2" t="s">
        <v>273</v>
      </c>
      <c r="AY27" s="130">
        <v>32</v>
      </c>
      <c r="AZ27" s="2">
        <v>18.899999999999999</v>
      </c>
      <c r="BA27" s="2">
        <v>47</v>
      </c>
      <c r="BB27" s="2">
        <v>85</v>
      </c>
      <c r="BC27" s="2">
        <v>3</v>
      </c>
      <c r="BD27" s="2">
        <v>11.1</v>
      </c>
      <c r="BE27" s="2">
        <v>13</v>
      </c>
      <c r="BF27" s="2">
        <v>16.2</v>
      </c>
      <c r="BG27" s="2">
        <v>29.3</v>
      </c>
      <c r="BH27" s="2">
        <v>69.900000000000006</v>
      </c>
      <c r="BI27" s="2">
        <v>616</v>
      </c>
      <c r="BJ27" s="2">
        <v>702</v>
      </c>
      <c r="BK27" s="2">
        <v>745</v>
      </c>
      <c r="BL27" s="2">
        <v>789</v>
      </c>
      <c r="BM27" s="2">
        <v>875</v>
      </c>
      <c r="BN27" s="2"/>
      <c r="BO27" s="2"/>
      <c r="BP27" s="2"/>
      <c r="BQ27" s="2"/>
      <c r="BR27" s="2"/>
      <c r="BS27" s="2"/>
      <c r="BT27" s="2">
        <v>837</v>
      </c>
      <c r="BU27" s="2">
        <v>1013</v>
      </c>
      <c r="BV27" s="2">
        <v>1102</v>
      </c>
      <c r="BW27" s="2">
        <v>1190</v>
      </c>
      <c r="BX27" s="2">
        <v>1367</v>
      </c>
      <c r="BY27" s="2">
        <v>40.9</v>
      </c>
      <c r="BZ27" s="2">
        <v>6.9</v>
      </c>
      <c r="CA27" s="2">
        <v>2.5</v>
      </c>
      <c r="CB27" s="2">
        <v>6.7838620833064901E-12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66</v>
      </c>
      <c r="AX28" s="2" t="s">
        <v>218</v>
      </c>
      <c r="AY28" s="130">
        <v>37</v>
      </c>
      <c r="AZ28" s="2">
        <v>18.3</v>
      </c>
      <c r="BA28" s="2">
        <v>59</v>
      </c>
      <c r="BB28" s="2">
        <v>77</v>
      </c>
      <c r="BC28" s="2">
        <v>3</v>
      </c>
      <c r="BD28" s="2">
        <v>2.4</v>
      </c>
      <c r="BE28" s="2">
        <v>11.1</v>
      </c>
      <c r="BF28" s="2">
        <v>12.8</v>
      </c>
      <c r="BG28" s="2">
        <v>29</v>
      </c>
      <c r="BH28" s="2">
        <v>78.900000000000006</v>
      </c>
      <c r="BI28" s="2">
        <v>447</v>
      </c>
      <c r="BJ28" s="2">
        <v>533</v>
      </c>
      <c r="BK28" s="2">
        <v>576</v>
      </c>
      <c r="BL28" s="2">
        <v>620</v>
      </c>
      <c r="BM28" s="2">
        <v>706</v>
      </c>
      <c r="BN28" s="2"/>
      <c r="BO28" s="2"/>
      <c r="BP28" s="2"/>
      <c r="BQ28" s="2"/>
      <c r="BR28" s="2"/>
      <c r="BS28" s="2"/>
      <c r="BT28" s="2">
        <v>550</v>
      </c>
      <c r="BU28" s="2">
        <v>722</v>
      </c>
      <c r="BV28" s="2">
        <v>809</v>
      </c>
      <c r="BW28" s="2">
        <v>895</v>
      </c>
      <c r="BX28" s="2">
        <v>1067</v>
      </c>
      <c r="BY28" s="2">
        <v>49.8</v>
      </c>
      <c r="BZ28" s="2">
        <v>5.6</v>
      </c>
      <c r="CA28" s="2">
        <v>2</v>
      </c>
      <c r="CB28" s="2">
        <v>4.1299615427138603E-12</v>
      </c>
      <c r="CC28" s="2">
        <v>1.8</v>
      </c>
    </row>
    <row r="29" spans="1:81" x14ac:dyDescent="0.25">
      <c r="A29" s="66"/>
      <c r="B29" s="66"/>
      <c r="C29" s="67"/>
      <c r="D29" s="35"/>
      <c r="AW29" s="2">
        <v>80</v>
      </c>
      <c r="AX29" s="2" t="s">
        <v>218</v>
      </c>
      <c r="AY29" s="130">
        <v>37</v>
      </c>
      <c r="AZ29" s="2">
        <v>18.3</v>
      </c>
      <c r="BA29" s="2">
        <v>59</v>
      </c>
      <c r="BB29" s="2">
        <v>77</v>
      </c>
      <c r="BC29" s="2">
        <v>3</v>
      </c>
      <c r="BD29" s="2">
        <v>4.4000000000000004</v>
      </c>
      <c r="BE29" s="2">
        <v>13</v>
      </c>
      <c r="BF29" s="2">
        <v>14.8</v>
      </c>
      <c r="BG29" s="2">
        <v>30.9</v>
      </c>
      <c r="BH29" s="2">
        <v>80.900000000000006</v>
      </c>
      <c r="BI29" s="2">
        <v>534</v>
      </c>
      <c r="BJ29" s="2">
        <v>620</v>
      </c>
      <c r="BK29" s="2">
        <v>663</v>
      </c>
      <c r="BL29" s="2">
        <v>708</v>
      </c>
      <c r="BM29" s="2">
        <v>793</v>
      </c>
      <c r="BN29" s="2"/>
      <c r="BO29" s="2"/>
      <c r="BP29" s="2"/>
      <c r="BQ29" s="2"/>
      <c r="BR29" s="2"/>
      <c r="BS29" s="2"/>
      <c r="BT29" s="2">
        <v>709</v>
      </c>
      <c r="BU29" s="2">
        <v>880</v>
      </c>
      <c r="BV29" s="2">
        <v>967</v>
      </c>
      <c r="BW29" s="2">
        <v>1054</v>
      </c>
      <c r="BX29" s="2">
        <v>1226</v>
      </c>
      <c r="BY29" s="2">
        <v>49.8</v>
      </c>
      <c r="BZ29" s="2">
        <v>5.6</v>
      </c>
      <c r="CA29" s="2">
        <v>2</v>
      </c>
      <c r="CB29" s="2">
        <v>4.1299615427138603E-12</v>
      </c>
      <c r="CC29" s="2">
        <v>1.8</v>
      </c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310" priority="12">
      <formula>$L32="API sand"</formula>
    </cfRule>
  </conditionalFormatting>
  <conditionalFormatting sqref="R32:S36 AB32:AB35 AJ32:AL36 Z32:Z36 N32:N36">
    <cfRule type="expression" dxfId="2309" priority="11">
      <formula>$M32="API sand"</formula>
    </cfRule>
  </conditionalFormatting>
  <conditionalFormatting sqref="R32:T36 Z32:AB35 AK32:AL36 N32:N36">
    <cfRule type="expression" dxfId="2308" priority="10">
      <formula>$M32="API clay"</formula>
    </cfRule>
  </conditionalFormatting>
  <conditionalFormatting sqref="U32:W36 AM32:AP36 N32:P36">
    <cfRule type="expression" dxfId="2307" priority="7">
      <formula>$L32="Stiff clay w/o free water"</formula>
    </cfRule>
    <cfRule type="expression" dxfId="2306" priority="9">
      <formula>$L32="API clay"</formula>
    </cfRule>
  </conditionalFormatting>
  <conditionalFormatting sqref="U32:Y36 AM32:AP36 N32:P36">
    <cfRule type="expression" dxfId="2305" priority="8">
      <formula>$L32="Kirsch soft clay"</formula>
    </cfRule>
  </conditionalFormatting>
  <conditionalFormatting sqref="U32:Y36 AM32:AP36 N32:P36">
    <cfRule type="expression" dxfId="2304" priority="6">
      <formula>$L32="Kirsch stiff clay"</formula>
    </cfRule>
  </conditionalFormatting>
  <conditionalFormatting sqref="AM32:AP36 Q32:Q36 X32:Y36 N32:N36">
    <cfRule type="expression" dxfId="2303" priority="5">
      <formula>$L32="Kirsch sand"</formula>
    </cfRule>
  </conditionalFormatting>
  <conditionalFormatting sqref="AC32:AD36 AI32:AI36 AM32:AP36 N32:N36">
    <cfRule type="expression" dxfId="2302" priority="4">
      <formula>$L32="Modified Weak rock"</formula>
    </cfRule>
  </conditionalFormatting>
  <conditionalFormatting sqref="AM32:AP36 N32:P36 U32:V36">
    <cfRule type="expression" dxfId="2301" priority="3">
      <formula>$L32="Reese stiff clay"</formula>
    </cfRule>
  </conditionalFormatting>
  <conditionalFormatting sqref="AB36">
    <cfRule type="expression" dxfId="2300" priority="2">
      <formula>$M36="API sand"</formula>
    </cfRule>
  </conditionalFormatting>
  <conditionalFormatting sqref="Z36:AB36">
    <cfRule type="expression" dxfId="2299" priority="1">
      <formula>$M36="API clay"</formula>
    </cfRule>
  </conditionalFormatting>
  <conditionalFormatting sqref="AE37:AH37">
    <cfRule type="expression" dxfId="2298" priority="13">
      <formula>#REF!="Modified Weak rock"</formula>
    </cfRule>
  </conditionalFormatting>
  <dataValidations count="4">
    <dataValidation type="list" showInputMessage="1" showErrorMessage="1" sqref="M32:M36" xr:uid="{9B7FECED-88AF-496B-A08D-16CDBAECBC8F}">
      <formula1>"',API sand,API clay"</formula1>
    </dataValidation>
    <dataValidation type="list" showInputMessage="1" showErrorMessage="1" sqref="L32:L255" xr:uid="{536244E5-B598-4D77-88BA-C5D5F49F12BB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68AE11A2-3272-4D90-8D7A-96137A6A272F}"/>
    <dataValidation type="textLength" showInputMessage="1" showErrorMessage="1" sqref="M27:M31" xr:uid="{9703B5FA-F8B1-426B-90CB-F7502F4ACE10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661CA-BA6E-4FD3-969B-6CB15CC326AC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Ak_Pisa_WTG47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15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EW_sand_Ruled_60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33</v>
      </c>
      <c r="R6" s="47">
        <f t="shared" ref="R6:R26" ca="1" si="7">IF(I6="","",IF(Q6&lt;&gt;0,Q6-5,NA()))</f>
        <v>28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3200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89.999999999999972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7680</v>
      </c>
      <c r="AC6" s="63">
        <f t="shared" ref="AC6:AC26" ca="1" si="18">IF(I6="","",IF(OFFSET($BV$6,(ROW()-6)*2,0)=0,0,OFFSET($BV$6,(ROW()-6)*2,0)*1000))</f>
        <v>4000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26250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32.000000000000007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60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0.3</v>
      </c>
      <c r="BG6" s="2">
        <v>0.7</v>
      </c>
      <c r="BH6" s="2">
        <v>1.5</v>
      </c>
      <c r="BI6" s="2"/>
      <c r="BJ6" s="2"/>
      <c r="BK6" s="2"/>
      <c r="BL6" s="2"/>
      <c r="BM6" s="2"/>
      <c r="BN6" s="2">
        <v>60</v>
      </c>
      <c r="BO6" s="2">
        <v>26</v>
      </c>
      <c r="BP6" s="2">
        <v>33</v>
      </c>
      <c r="BQ6" s="2">
        <v>36</v>
      </c>
      <c r="BR6" s="2">
        <v>39</v>
      </c>
      <c r="BS6" s="2">
        <v>46</v>
      </c>
      <c r="BT6" s="2">
        <v>0</v>
      </c>
      <c r="BU6" s="2">
        <v>0</v>
      </c>
      <c r="BV6" s="2">
        <v>4</v>
      </c>
      <c r="BW6" s="2">
        <v>8</v>
      </c>
      <c r="BX6" s="2">
        <v>17</v>
      </c>
      <c r="BY6" s="2">
        <v>3.2</v>
      </c>
      <c r="BZ6" s="2">
        <v>1</v>
      </c>
      <c r="CA6" s="2">
        <v>0.5</v>
      </c>
      <c r="CB6" s="2">
        <v>2.2994969081339201E-6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02a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-0.8</v>
      </c>
      <c r="L7" s="116" t="str">
        <f t="shared" ca="1" si="1"/>
        <v>Cowden Clay</v>
      </c>
      <c r="M7" s="105" t="str">
        <f t="shared" ca="1" si="2"/>
        <v>API clay</v>
      </c>
      <c r="N7" s="47">
        <f t="shared" ca="1" si="3"/>
        <v>10.199999999999999</v>
      </c>
      <c r="O7" s="63">
        <f t="shared" ca="1" si="4"/>
        <v>14</v>
      </c>
      <c r="P7" s="63">
        <f t="shared" ca="1" si="5"/>
        <v>-6.6666666666666679</v>
      </c>
      <c r="Q7" s="47">
        <f t="shared" ca="1" si="6"/>
        <v>0</v>
      </c>
      <c r="R7" s="47" t="e">
        <f t="shared" ca="1" si="7"/>
        <v>#N/A</v>
      </c>
      <c r="S7" s="47">
        <f t="shared" ca="1" si="8"/>
        <v>3</v>
      </c>
      <c r="T7" s="47">
        <f t="shared" ca="1" si="9"/>
        <v>0</v>
      </c>
      <c r="U7" s="75">
        <f t="shared" ca="1" si="10"/>
        <v>1.7999999999999999E-2</v>
      </c>
      <c r="V7" s="75">
        <f t="shared" ca="1" si="11"/>
        <v>0</v>
      </c>
      <c r="W7" s="47">
        <f t="shared" ca="1" si="12"/>
        <v>0.5</v>
      </c>
      <c r="X7" s="47">
        <f t="shared" ca="1" si="13"/>
        <v>1500</v>
      </c>
      <c r="Y7" s="47">
        <f t="shared" ca="1" si="14"/>
        <v>0</v>
      </c>
      <c r="Z7" s="47" t="e">
        <f t="shared" ca="1" si="15"/>
        <v>#N/A</v>
      </c>
      <c r="AA7" s="47">
        <f t="shared" ca="1" si="16"/>
        <v>1</v>
      </c>
      <c r="AB7" s="47" t="e">
        <f t="shared" ca="1" si="17"/>
        <v>#N/A</v>
      </c>
      <c r="AC7" s="63">
        <f t="shared" ca="1" si="18"/>
        <v>15000</v>
      </c>
      <c r="AD7" s="63">
        <f t="shared" ca="1" si="19"/>
        <v>-3333.3333333333339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 t="e">
        <f t="shared" ca="1" si="25"/>
        <v>#N/A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0</v>
      </c>
      <c r="AS7" s="33">
        <f t="shared" ca="1" si="34"/>
        <v>0.4</v>
      </c>
      <c r="AW7" s="2">
        <v>0.8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1</v>
      </c>
      <c r="BE7" s="2">
        <v>1.6</v>
      </c>
      <c r="BF7" s="2">
        <v>1.8</v>
      </c>
      <c r="BG7" s="2">
        <v>2.2000000000000002</v>
      </c>
      <c r="BH7" s="2">
        <v>3</v>
      </c>
      <c r="BI7" s="2"/>
      <c r="BJ7" s="2"/>
      <c r="BK7" s="2"/>
      <c r="BL7" s="2"/>
      <c r="BM7" s="2"/>
      <c r="BN7" s="2">
        <v>60</v>
      </c>
      <c r="BO7" s="2">
        <v>26</v>
      </c>
      <c r="BP7" s="2">
        <v>33</v>
      </c>
      <c r="BQ7" s="2">
        <v>36</v>
      </c>
      <c r="BR7" s="2">
        <v>39</v>
      </c>
      <c r="BS7" s="2">
        <v>46</v>
      </c>
      <c r="BT7" s="2">
        <v>11</v>
      </c>
      <c r="BU7" s="2">
        <v>21</v>
      </c>
      <c r="BV7" s="2">
        <v>25</v>
      </c>
      <c r="BW7" s="2">
        <v>29</v>
      </c>
      <c r="BX7" s="2">
        <v>37</v>
      </c>
      <c r="BY7" s="2">
        <v>3.2</v>
      </c>
      <c r="BZ7" s="2">
        <v>1</v>
      </c>
      <c r="CA7" s="2">
        <v>0.5</v>
      </c>
      <c r="CB7" s="2">
        <v>2.2994969081339201E-6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09b</v>
      </c>
      <c r="J8" s="47">
        <f t="shared" ca="1" si="35"/>
        <v>3</v>
      </c>
      <c r="K8" s="19">
        <f t="shared" ca="1" si="36"/>
        <v>-1.4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9.5</v>
      </c>
      <c r="O8" s="63">
        <f t="shared" ca="1" si="4"/>
        <v>263</v>
      </c>
      <c r="P8" s="63">
        <f t="shared" ca="1" si="5"/>
        <v>15.609756097560977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0.25</v>
      </c>
      <c r="X8" s="47">
        <f t="shared" ca="1" si="13"/>
        <v>48800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315000</v>
      </c>
      <c r="AD8" s="63">
        <f t="shared" ca="1" si="19"/>
        <v>21463.414634146342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0.8</v>
      </c>
      <c r="AX8" s="2" t="s">
        <v>255</v>
      </c>
      <c r="AY8" s="130">
        <v>23.1</v>
      </c>
      <c r="AZ8" s="2">
        <v>20.2</v>
      </c>
      <c r="BA8" s="2">
        <v>18</v>
      </c>
      <c r="BB8" s="2">
        <v>28</v>
      </c>
      <c r="BC8" s="2">
        <v>5</v>
      </c>
      <c r="BD8" s="2">
        <v>0.1</v>
      </c>
      <c r="BE8" s="2">
        <v>0.2</v>
      </c>
      <c r="BF8" s="2">
        <v>0.5</v>
      </c>
      <c r="BG8" s="2">
        <v>0.8</v>
      </c>
      <c r="BH8" s="2">
        <v>1.4</v>
      </c>
      <c r="BI8" s="2">
        <v>5</v>
      </c>
      <c r="BJ8" s="2">
        <v>14</v>
      </c>
      <c r="BK8" s="2">
        <v>25</v>
      </c>
      <c r="BL8" s="2">
        <v>41</v>
      </c>
      <c r="BM8" s="2">
        <v>75</v>
      </c>
      <c r="BN8" s="2"/>
      <c r="BO8" s="2"/>
      <c r="BP8" s="2"/>
      <c r="BQ8" s="2"/>
      <c r="BR8" s="2"/>
      <c r="BS8" s="2"/>
      <c r="BT8" s="2">
        <v>3</v>
      </c>
      <c r="BU8" s="2">
        <v>6</v>
      </c>
      <c r="BV8" s="2">
        <v>15</v>
      </c>
      <c r="BW8" s="2">
        <v>26</v>
      </c>
      <c r="BX8" s="2">
        <v>52</v>
      </c>
      <c r="BY8" s="2">
        <v>1.5</v>
      </c>
      <c r="BZ8" s="2">
        <v>3.1</v>
      </c>
      <c r="CA8" s="2">
        <v>3</v>
      </c>
      <c r="CB8" s="2">
        <v>6.9768649539352194E-11</v>
      </c>
      <c r="CC8" s="2">
        <v>1.8</v>
      </c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09b</v>
      </c>
      <c r="J9" s="47">
        <f t="shared" ca="1" si="35"/>
        <v>4</v>
      </c>
      <c r="K9" s="19">
        <f t="shared" ca="1" si="36"/>
        <v>-5.5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9.5</v>
      </c>
      <c r="O9" s="63">
        <f t="shared" ca="1" si="4"/>
        <v>264</v>
      </c>
      <c r="P9" s="63">
        <f t="shared" ca="1" si="5"/>
        <v>-2.3880597014925375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0.25</v>
      </c>
      <c r="X9" s="47">
        <f t="shared" ca="1" si="13"/>
        <v>44600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314000</v>
      </c>
      <c r="AD9" s="63">
        <f t="shared" ca="1" si="19"/>
        <v>149.25373134328359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1.4</v>
      </c>
      <c r="AX9" s="2" t="s">
        <v>255</v>
      </c>
      <c r="AY9" s="130">
        <v>23.1</v>
      </c>
      <c r="AZ9" s="2">
        <v>20.2</v>
      </c>
      <c r="BA9" s="2">
        <v>18</v>
      </c>
      <c r="BB9" s="2">
        <v>28</v>
      </c>
      <c r="BC9" s="2">
        <v>5</v>
      </c>
      <c r="BD9" s="2">
        <v>0.1</v>
      </c>
      <c r="BE9" s="2">
        <v>0.2</v>
      </c>
      <c r="BF9" s="2">
        <v>0.4</v>
      </c>
      <c r="BG9" s="2">
        <v>0.7</v>
      </c>
      <c r="BH9" s="2">
        <v>1.3</v>
      </c>
      <c r="BI9" s="2">
        <v>1</v>
      </c>
      <c r="BJ9" s="2">
        <v>10</v>
      </c>
      <c r="BK9" s="2">
        <v>22</v>
      </c>
      <c r="BL9" s="2">
        <v>37</v>
      </c>
      <c r="BM9" s="2">
        <v>71</v>
      </c>
      <c r="BN9" s="2"/>
      <c r="BO9" s="2"/>
      <c r="BP9" s="2"/>
      <c r="BQ9" s="2"/>
      <c r="BR9" s="2"/>
      <c r="BS9" s="2"/>
      <c r="BT9" s="2">
        <v>1</v>
      </c>
      <c r="BU9" s="2">
        <v>4</v>
      </c>
      <c r="BV9" s="2">
        <v>13</v>
      </c>
      <c r="BW9" s="2">
        <v>24</v>
      </c>
      <c r="BX9" s="2">
        <v>50</v>
      </c>
      <c r="BY9" s="2">
        <v>1.5</v>
      </c>
      <c r="BZ9" s="2">
        <v>3.1</v>
      </c>
      <c r="CA9" s="2">
        <v>3</v>
      </c>
      <c r="CB9" s="2">
        <v>6.9768649539352194E-11</v>
      </c>
      <c r="CC9" s="2">
        <v>1.8</v>
      </c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10a</v>
      </c>
      <c r="J10" s="47">
        <f t="shared" ca="1" si="35"/>
        <v>5</v>
      </c>
      <c r="K10" s="19">
        <f t="shared" ca="1" si="36"/>
        <v>-12.2</v>
      </c>
      <c r="L10" s="116" t="str">
        <f t="shared" ca="1" si="1"/>
        <v>EW_sand_Ruled_67</v>
      </c>
      <c r="M10" s="105" t="str">
        <f t="shared" ca="1" si="2"/>
        <v>API sand</v>
      </c>
      <c r="N10" s="47">
        <f t="shared" ca="1" si="3"/>
        <v>10</v>
      </c>
      <c r="O10" s="63">
        <f t="shared" ca="1" si="4"/>
        <v>0</v>
      </c>
      <c r="P10" s="63">
        <f t="shared" ca="1" si="5"/>
        <v>0</v>
      </c>
      <c r="Q10" s="47">
        <f t="shared" ca="1" si="6"/>
        <v>38</v>
      </c>
      <c r="R10" s="47">
        <f t="shared" ca="1" si="7"/>
        <v>33</v>
      </c>
      <c r="S10" s="47">
        <f t="shared" ca="1" si="8"/>
        <v>0.8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57900</v>
      </c>
      <c r="Y10" s="47">
        <f t="shared" ca="1" si="14"/>
        <v>0</v>
      </c>
      <c r="Z10" s="47">
        <f t="shared" ca="1" si="15"/>
        <v>107.39999999999996</v>
      </c>
      <c r="AA10" s="47">
        <f t="shared" ca="1" si="16"/>
        <v>1</v>
      </c>
      <c r="AB10" s="47">
        <f t="shared" ca="1" si="17"/>
        <v>11040</v>
      </c>
      <c r="AC10" s="63">
        <f t="shared" ca="1" si="18"/>
        <v>106000</v>
      </c>
      <c r="AD10" s="63">
        <f t="shared" ca="1" si="19"/>
        <v>4848.484848484848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46.000000000000007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67</v>
      </c>
      <c r="AS10" s="33">
        <f t="shared" ca="1" si="34"/>
        <v>0.4</v>
      </c>
      <c r="AW10" s="2">
        <v>1.4</v>
      </c>
      <c r="AX10" s="2" t="s">
        <v>296</v>
      </c>
      <c r="AY10" s="130">
        <v>28</v>
      </c>
      <c r="AZ10" s="2">
        <v>19.5</v>
      </c>
      <c r="BA10" s="2">
        <v>11</v>
      </c>
      <c r="BB10" s="2">
        <v>34</v>
      </c>
      <c r="BC10" s="2">
        <v>4</v>
      </c>
      <c r="BD10" s="2">
        <v>4.5</v>
      </c>
      <c r="BE10" s="2">
        <v>5.6</v>
      </c>
      <c r="BF10" s="2">
        <v>5.8</v>
      </c>
      <c r="BG10" s="2">
        <v>5.9</v>
      </c>
      <c r="BH10" s="2">
        <v>6.8</v>
      </c>
      <c r="BI10" s="2">
        <v>136</v>
      </c>
      <c r="BJ10" s="2">
        <v>263</v>
      </c>
      <c r="BK10" s="2">
        <v>317</v>
      </c>
      <c r="BL10" s="2">
        <v>372</v>
      </c>
      <c r="BM10" s="2">
        <v>496</v>
      </c>
      <c r="BN10" s="2"/>
      <c r="BO10" s="2"/>
      <c r="BP10" s="2"/>
      <c r="BQ10" s="2"/>
      <c r="BR10" s="2"/>
      <c r="BS10" s="2"/>
      <c r="BT10" s="2">
        <v>32</v>
      </c>
      <c r="BU10" s="2">
        <v>223</v>
      </c>
      <c r="BV10" s="2">
        <v>315</v>
      </c>
      <c r="BW10" s="2">
        <v>406</v>
      </c>
      <c r="BX10" s="2">
        <v>594</v>
      </c>
      <c r="BY10" s="2">
        <v>48.8</v>
      </c>
      <c r="BZ10" s="2">
        <v>30</v>
      </c>
      <c r="CA10" s="2">
        <v>3</v>
      </c>
      <c r="CB10" s="2">
        <v>4.2650478049294696E-6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10c</v>
      </c>
      <c r="J11" s="47">
        <f t="shared" ca="1" si="35"/>
        <v>6</v>
      </c>
      <c r="K11" s="19">
        <f t="shared" ca="1" si="36"/>
        <v>-15.5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8.3999999999999986</v>
      </c>
      <c r="O11" s="63">
        <f t="shared" ca="1" si="4"/>
        <v>157</v>
      </c>
      <c r="P11" s="63">
        <f t="shared" ca="1" si="5"/>
        <v>-55.555555555555642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2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0.5</v>
      </c>
      <c r="X11" s="47">
        <f t="shared" ca="1" si="13"/>
        <v>22700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184000</v>
      </c>
      <c r="AD11" s="63">
        <f t="shared" ca="1" si="19"/>
        <v>-67777.777777777883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5.5</v>
      </c>
      <c r="AX11" s="2" t="s">
        <v>296</v>
      </c>
      <c r="AY11" s="130">
        <v>28</v>
      </c>
      <c r="AZ11" s="2">
        <v>19.5</v>
      </c>
      <c r="BA11" s="2">
        <v>11</v>
      </c>
      <c r="BB11" s="2">
        <v>34</v>
      </c>
      <c r="BC11" s="2">
        <v>4</v>
      </c>
      <c r="BD11" s="2">
        <v>5.7</v>
      </c>
      <c r="BE11" s="2">
        <v>6.8</v>
      </c>
      <c r="BF11" s="2">
        <v>7</v>
      </c>
      <c r="BG11" s="2">
        <v>7.1</v>
      </c>
      <c r="BH11" s="2">
        <v>8</v>
      </c>
      <c r="BI11" s="2">
        <v>200</v>
      </c>
      <c r="BJ11" s="2">
        <v>327</v>
      </c>
      <c r="BK11" s="2">
        <v>381</v>
      </c>
      <c r="BL11" s="2">
        <v>436</v>
      </c>
      <c r="BM11" s="2">
        <v>559</v>
      </c>
      <c r="BN11" s="2"/>
      <c r="BO11" s="2"/>
      <c r="BP11" s="2"/>
      <c r="BQ11" s="2"/>
      <c r="BR11" s="2"/>
      <c r="BS11" s="2"/>
      <c r="BT11" s="2">
        <v>120</v>
      </c>
      <c r="BU11" s="2">
        <v>311</v>
      </c>
      <c r="BV11" s="2">
        <v>403</v>
      </c>
      <c r="BW11" s="2">
        <v>494</v>
      </c>
      <c r="BX11" s="2">
        <v>682</v>
      </c>
      <c r="BY11" s="2">
        <v>48.8</v>
      </c>
      <c r="BZ11" s="2">
        <v>30</v>
      </c>
      <c r="CA11" s="2">
        <v>3</v>
      </c>
      <c r="CB11" s="2">
        <v>4.2650478049294696E-6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10c</v>
      </c>
      <c r="J12" s="47">
        <f t="shared" ca="1" si="35"/>
        <v>7</v>
      </c>
      <c r="K12" s="19">
        <f t="shared" ca="1" si="36"/>
        <v>-16.399999999999999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8.3999999999999986</v>
      </c>
      <c r="O12" s="63">
        <f t="shared" ca="1" si="4"/>
        <v>90</v>
      </c>
      <c r="P12" s="63">
        <f t="shared" ca="1" si="5"/>
        <v>87.777777777777573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1.9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0.5</v>
      </c>
      <c r="X12" s="47">
        <f t="shared" ca="1" si="13"/>
        <v>22700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107000</v>
      </c>
      <c r="AD12" s="63">
        <f t="shared" ca="1" si="19"/>
        <v>92222.222222222001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5.5</v>
      </c>
      <c r="AX12" s="2" t="s">
        <v>296</v>
      </c>
      <c r="AY12" s="130">
        <v>28</v>
      </c>
      <c r="AZ12" s="2">
        <v>19.5</v>
      </c>
      <c r="BA12" s="2">
        <v>11</v>
      </c>
      <c r="BB12" s="2">
        <v>34</v>
      </c>
      <c r="BC12" s="2">
        <v>4</v>
      </c>
      <c r="BD12" s="2">
        <v>3.7</v>
      </c>
      <c r="BE12" s="2">
        <v>5.6</v>
      </c>
      <c r="BF12" s="2">
        <v>5.8</v>
      </c>
      <c r="BG12" s="2">
        <v>6.1</v>
      </c>
      <c r="BH12" s="2">
        <v>7.8</v>
      </c>
      <c r="BI12" s="2">
        <v>117</v>
      </c>
      <c r="BJ12" s="2">
        <v>264</v>
      </c>
      <c r="BK12" s="2">
        <v>317</v>
      </c>
      <c r="BL12" s="2">
        <v>370</v>
      </c>
      <c r="BM12" s="2">
        <v>512</v>
      </c>
      <c r="BN12" s="2"/>
      <c r="BO12" s="2"/>
      <c r="BP12" s="2"/>
      <c r="BQ12" s="2"/>
      <c r="BR12" s="2"/>
      <c r="BS12" s="2"/>
      <c r="BT12" s="2">
        <v>21</v>
      </c>
      <c r="BU12" s="2">
        <v>227</v>
      </c>
      <c r="BV12" s="2">
        <v>314</v>
      </c>
      <c r="BW12" s="2">
        <v>402</v>
      </c>
      <c r="BX12" s="2">
        <v>603</v>
      </c>
      <c r="BY12" s="2">
        <v>44.6</v>
      </c>
      <c r="BZ12" s="2">
        <v>13.8</v>
      </c>
      <c r="CA12" s="2">
        <v>3</v>
      </c>
      <c r="CB12" s="2">
        <v>7.5505197389285596E-8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10b</v>
      </c>
      <c r="J13" s="47">
        <f t="shared" ca="1" si="35"/>
        <v>8</v>
      </c>
      <c r="K13" s="19">
        <f t="shared" ca="1" si="36"/>
        <v>-17.3</v>
      </c>
      <c r="L13" s="116" t="str">
        <f t="shared" ca="1" si="1"/>
        <v>EW_sand_Ruled_57</v>
      </c>
      <c r="M13" s="105" t="str">
        <f t="shared" ca="1" si="2"/>
        <v>API sand</v>
      </c>
      <c r="N13" s="47">
        <f t="shared" ca="1" si="3"/>
        <v>9.8999999999999986</v>
      </c>
      <c r="O13" s="63">
        <f t="shared" ca="1" si="4"/>
        <v>0</v>
      </c>
      <c r="P13" s="63">
        <f t="shared" ca="1" si="5"/>
        <v>0</v>
      </c>
      <c r="Q13" s="47">
        <f t="shared" ca="1" si="6"/>
        <v>37</v>
      </c>
      <c r="R13" s="47">
        <f t="shared" ca="1" si="7"/>
        <v>32</v>
      </c>
      <c r="S13" s="47">
        <f t="shared" ca="1" si="8"/>
        <v>0.7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46000</v>
      </c>
      <c r="Y13" s="47">
        <f t="shared" ca="1" si="14"/>
        <v>0</v>
      </c>
      <c r="Z13" s="47">
        <f t="shared" ca="1" si="15"/>
        <v>103.59999999999997</v>
      </c>
      <c r="AA13" s="47">
        <f t="shared" ca="1" si="16"/>
        <v>1</v>
      </c>
      <c r="AB13" s="47">
        <f t="shared" ca="1" si="17"/>
        <v>10560</v>
      </c>
      <c r="AC13" s="63">
        <f t="shared" ca="1" si="18"/>
        <v>119000</v>
      </c>
      <c r="AD13" s="63">
        <f t="shared" ca="1" si="19"/>
        <v>7142.8571428571504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44.000000000000007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57</v>
      </c>
      <c r="AS13" s="33">
        <f t="shared" ca="1" si="34"/>
        <v>0.4</v>
      </c>
      <c r="AW13" s="2">
        <v>12.2</v>
      </c>
      <c r="AX13" s="2" t="s">
        <v>296</v>
      </c>
      <c r="AY13" s="130">
        <v>28</v>
      </c>
      <c r="AZ13" s="2">
        <v>19.5</v>
      </c>
      <c r="BA13" s="2">
        <v>11</v>
      </c>
      <c r="BB13" s="2">
        <v>34</v>
      </c>
      <c r="BC13" s="2">
        <v>4</v>
      </c>
      <c r="BD13" s="2">
        <v>3.5</v>
      </c>
      <c r="BE13" s="2">
        <v>5.4</v>
      </c>
      <c r="BF13" s="2">
        <v>5.6</v>
      </c>
      <c r="BG13" s="2">
        <v>5.9</v>
      </c>
      <c r="BH13" s="2">
        <v>7.6</v>
      </c>
      <c r="BI13" s="2">
        <v>101</v>
      </c>
      <c r="BJ13" s="2">
        <v>248</v>
      </c>
      <c r="BK13" s="2">
        <v>300</v>
      </c>
      <c r="BL13" s="2">
        <v>354</v>
      </c>
      <c r="BM13" s="2">
        <v>496</v>
      </c>
      <c r="BN13" s="2"/>
      <c r="BO13" s="2"/>
      <c r="BP13" s="2"/>
      <c r="BQ13" s="2"/>
      <c r="BR13" s="2"/>
      <c r="BS13" s="2"/>
      <c r="BT13" s="2">
        <v>21</v>
      </c>
      <c r="BU13" s="2">
        <v>227</v>
      </c>
      <c r="BV13" s="2">
        <v>315</v>
      </c>
      <c r="BW13" s="2">
        <v>402</v>
      </c>
      <c r="BX13" s="2">
        <v>603</v>
      </c>
      <c r="BY13" s="2">
        <v>44.6</v>
      </c>
      <c r="BZ13" s="2">
        <v>13.8</v>
      </c>
      <c r="CA13" s="2">
        <v>3</v>
      </c>
      <c r="CB13" s="2">
        <v>7.5505197389285596E-8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11a</v>
      </c>
      <c r="J14" s="47">
        <f t="shared" ca="1" si="35"/>
        <v>9</v>
      </c>
      <c r="K14" s="19">
        <f t="shared" ca="1" si="36"/>
        <v>-18</v>
      </c>
      <c r="L14" s="116" t="str">
        <f t="shared" ca="1" si="1"/>
        <v>EW_sand_Ruled_95</v>
      </c>
      <c r="M14" s="105" t="str">
        <f t="shared" ca="1" si="2"/>
        <v>API sand</v>
      </c>
      <c r="N14" s="47">
        <f t="shared" ca="1" si="3"/>
        <v>9.6000000000000014</v>
      </c>
      <c r="O14" s="63">
        <f t="shared" ca="1" si="4"/>
        <v>0</v>
      </c>
      <c r="P14" s="63">
        <f t="shared" ca="1" si="5"/>
        <v>0</v>
      </c>
      <c r="Q14" s="47">
        <f t="shared" ca="1" si="6"/>
        <v>41</v>
      </c>
      <c r="R14" s="47">
        <f t="shared" ca="1" si="7"/>
        <v>36</v>
      </c>
      <c r="S14" s="47">
        <f t="shared" ca="1" si="8"/>
        <v>1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158000</v>
      </c>
      <c r="Y14" s="47">
        <f t="shared" ca="1" si="14"/>
        <v>0</v>
      </c>
      <c r="Z14" s="47">
        <f t="shared" ca="1" si="15"/>
        <v>114.99999999999996</v>
      </c>
      <c r="AA14" s="47">
        <f t="shared" ca="1" si="16"/>
        <v>1</v>
      </c>
      <c r="AB14" s="47">
        <f t="shared" ca="1" si="17"/>
        <v>12000</v>
      </c>
      <c r="AC14" s="63">
        <f t="shared" ca="1" si="18"/>
        <v>142000</v>
      </c>
      <c r="AD14" s="63">
        <f t="shared" ca="1" si="19"/>
        <v>6888.8888888888896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50.000000000000007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95</v>
      </c>
      <c r="AS14" s="33">
        <f t="shared" ca="1" si="34"/>
        <v>0.4</v>
      </c>
      <c r="AW14" s="2">
        <v>12.2</v>
      </c>
      <c r="AX14" s="2" t="s">
        <v>259</v>
      </c>
      <c r="AY14" s="130">
        <v>25.5</v>
      </c>
      <c r="AZ14" s="2">
        <v>20</v>
      </c>
      <c r="BA14" s="2"/>
      <c r="BB14" s="2">
        <v>14</v>
      </c>
      <c r="BC14" s="2"/>
      <c r="BD14" s="2">
        <v>8</v>
      </c>
      <c r="BE14" s="2">
        <v>11.8</v>
      </c>
      <c r="BF14" s="2">
        <v>12.5</v>
      </c>
      <c r="BG14" s="2">
        <v>13.1</v>
      </c>
      <c r="BH14" s="2">
        <v>16.399999999999999</v>
      </c>
      <c r="BI14" s="2"/>
      <c r="BJ14" s="2"/>
      <c r="BK14" s="2"/>
      <c r="BL14" s="2"/>
      <c r="BM14" s="2"/>
      <c r="BN14" s="2">
        <v>67</v>
      </c>
      <c r="BO14" s="2">
        <v>32</v>
      </c>
      <c r="BP14" s="2">
        <v>38</v>
      </c>
      <c r="BQ14" s="2">
        <v>41</v>
      </c>
      <c r="BR14" s="2">
        <v>44</v>
      </c>
      <c r="BS14" s="2">
        <v>49</v>
      </c>
      <c r="BT14" s="2">
        <v>12</v>
      </c>
      <c r="BU14" s="2">
        <v>79</v>
      </c>
      <c r="BV14" s="2">
        <v>106</v>
      </c>
      <c r="BW14" s="2">
        <v>132</v>
      </c>
      <c r="BX14" s="2">
        <v>199</v>
      </c>
      <c r="BY14" s="2">
        <v>57.9</v>
      </c>
      <c r="BZ14" s="2">
        <v>2.2999999999999998</v>
      </c>
      <c r="CA14" s="2">
        <v>0.8</v>
      </c>
      <c r="CB14" s="2">
        <v>4.99255002648766E-7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11a</v>
      </c>
      <c r="J15" s="47">
        <f t="shared" ca="1" si="35"/>
        <v>10</v>
      </c>
      <c r="K15" s="19">
        <f t="shared" ca="1" si="36"/>
        <v>-27</v>
      </c>
      <c r="L15" s="116" t="str">
        <f t="shared" ca="1" si="1"/>
        <v>EW_sand_Ruled_100</v>
      </c>
      <c r="M15" s="105" t="str">
        <f t="shared" ca="1" si="2"/>
        <v>API sand</v>
      </c>
      <c r="N15" s="47">
        <f t="shared" ca="1" si="3"/>
        <v>9.6000000000000014</v>
      </c>
      <c r="O15" s="63">
        <f t="shared" ca="1" si="4"/>
        <v>0</v>
      </c>
      <c r="P15" s="63">
        <f t="shared" ca="1" si="5"/>
        <v>0</v>
      </c>
      <c r="Q15" s="47">
        <f t="shared" ca="1" si="6"/>
        <v>42</v>
      </c>
      <c r="R15" s="47">
        <f t="shared" ca="1" si="7"/>
        <v>37</v>
      </c>
      <c r="S15" s="47">
        <f t="shared" ca="1" si="8"/>
        <v>1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200000</v>
      </c>
      <c r="Y15" s="47">
        <f t="shared" ca="1" si="14"/>
        <v>0</v>
      </c>
      <c r="Z15" s="47">
        <f t="shared" ca="1" si="15"/>
        <v>114.99999999999996</v>
      </c>
      <c r="AA15" s="47">
        <f t="shared" ca="1" si="16"/>
        <v>1</v>
      </c>
      <c r="AB15" s="47">
        <f t="shared" ca="1" si="17"/>
        <v>12000</v>
      </c>
      <c r="AC15" s="63">
        <f t="shared" ca="1" si="18"/>
        <v>204000</v>
      </c>
      <c r="AD15" s="63">
        <f t="shared" ca="1" si="19"/>
        <v>4000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50.000000000000007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100</v>
      </c>
      <c r="AS15" s="33">
        <f t="shared" ca="1" si="34"/>
        <v>0.4</v>
      </c>
      <c r="AW15" s="2">
        <v>15.5</v>
      </c>
      <c r="AX15" s="2" t="s">
        <v>259</v>
      </c>
      <c r="AY15" s="130">
        <v>25.5</v>
      </c>
      <c r="AZ15" s="2">
        <v>20</v>
      </c>
      <c r="BA15" s="2"/>
      <c r="BB15" s="2">
        <v>14</v>
      </c>
      <c r="BC15" s="2"/>
      <c r="BD15" s="2">
        <v>12.1</v>
      </c>
      <c r="BE15" s="2">
        <v>15.9</v>
      </c>
      <c r="BF15" s="2">
        <v>16.5</v>
      </c>
      <c r="BG15" s="2">
        <v>17.100000000000001</v>
      </c>
      <c r="BH15" s="2">
        <v>20.399999999999999</v>
      </c>
      <c r="BI15" s="2"/>
      <c r="BJ15" s="2"/>
      <c r="BK15" s="2"/>
      <c r="BL15" s="2"/>
      <c r="BM15" s="2"/>
      <c r="BN15" s="2">
        <v>67</v>
      </c>
      <c r="BO15" s="2">
        <v>32</v>
      </c>
      <c r="BP15" s="2">
        <v>38</v>
      </c>
      <c r="BQ15" s="2">
        <v>41</v>
      </c>
      <c r="BR15" s="2">
        <v>44</v>
      </c>
      <c r="BS15" s="2">
        <v>49</v>
      </c>
      <c r="BT15" s="2">
        <v>29</v>
      </c>
      <c r="BU15" s="2">
        <v>95</v>
      </c>
      <c r="BV15" s="2">
        <v>122</v>
      </c>
      <c r="BW15" s="2">
        <v>149</v>
      </c>
      <c r="BX15" s="2">
        <v>215</v>
      </c>
      <c r="BY15" s="2">
        <v>57.9</v>
      </c>
      <c r="BZ15" s="2">
        <v>2.2999999999999998</v>
      </c>
      <c r="CA15" s="2">
        <v>0.8</v>
      </c>
      <c r="CB15" s="2">
        <v>4.99255002648766E-7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21a</v>
      </c>
      <c r="J16" s="47">
        <f t="shared" ca="1" si="35"/>
        <v>11</v>
      </c>
      <c r="K16" s="19">
        <f t="shared" ca="1" si="36"/>
        <v>-36</v>
      </c>
      <c r="L16" s="116" t="str">
        <f t="shared" ca="1" si="1"/>
        <v>EW_sand_Ruled_97</v>
      </c>
      <c r="M16" s="105" t="str">
        <f t="shared" ca="1" si="2"/>
        <v>API sand</v>
      </c>
      <c r="N16" s="47">
        <f t="shared" ca="1" si="3"/>
        <v>9.8000000000000007</v>
      </c>
      <c r="O16" s="63">
        <f t="shared" ca="1" si="4"/>
        <v>0</v>
      </c>
      <c r="P16" s="63">
        <f t="shared" ca="1" si="5"/>
        <v>0</v>
      </c>
      <c r="Q16" s="47">
        <f t="shared" ca="1" si="6"/>
        <v>30</v>
      </c>
      <c r="R16" s="47">
        <f t="shared" ca="1" si="7"/>
        <v>25</v>
      </c>
      <c r="S16" s="47">
        <f t="shared" ca="1" si="8"/>
        <v>1.5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75000</v>
      </c>
      <c r="Y16" s="47">
        <f t="shared" ca="1" si="14"/>
        <v>0</v>
      </c>
      <c r="Z16" s="47">
        <f t="shared" ca="1" si="15"/>
        <v>80.999999999999972</v>
      </c>
      <c r="AA16" s="47">
        <f t="shared" ca="1" si="16"/>
        <v>1</v>
      </c>
      <c r="AB16" s="47">
        <f t="shared" ca="1" si="17"/>
        <v>4800</v>
      </c>
      <c r="AC16" s="63">
        <f t="shared" ca="1" si="18"/>
        <v>246000</v>
      </c>
      <c r="AD16" s="63">
        <f t="shared" ca="1" si="19"/>
        <v>-5750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20.000000000000007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97</v>
      </c>
      <c r="AS16" s="33">
        <f t="shared" ca="1" si="34"/>
        <v>0.2</v>
      </c>
      <c r="AW16" s="2">
        <v>15.5</v>
      </c>
      <c r="AX16" s="2" t="s">
        <v>287</v>
      </c>
      <c r="AY16" s="130">
        <v>36</v>
      </c>
      <c r="AZ16" s="2">
        <v>18.399999999999999</v>
      </c>
      <c r="BA16" s="2">
        <v>23</v>
      </c>
      <c r="BB16" s="2">
        <v>53</v>
      </c>
      <c r="BC16" s="2">
        <v>4</v>
      </c>
      <c r="BD16" s="2">
        <v>3</v>
      </c>
      <c r="BE16" s="2">
        <v>3.6</v>
      </c>
      <c r="BF16" s="2">
        <v>3.8</v>
      </c>
      <c r="BG16" s="2">
        <v>4.2</v>
      </c>
      <c r="BH16" s="2">
        <f>30+5.5</f>
        <v>35.5</v>
      </c>
      <c r="BI16" s="2">
        <v>75</v>
      </c>
      <c r="BJ16" s="2">
        <v>157</v>
      </c>
      <c r="BK16" s="2">
        <v>193</v>
      </c>
      <c r="BL16" s="2">
        <v>235</v>
      </c>
      <c r="BM16" s="2">
        <v>339</v>
      </c>
      <c r="BN16" s="2"/>
      <c r="BO16" s="2"/>
      <c r="BP16" s="2"/>
      <c r="BQ16" s="2"/>
      <c r="BR16" s="2"/>
      <c r="BS16" s="2"/>
      <c r="BT16" s="2">
        <v>76</v>
      </c>
      <c r="BU16" s="2">
        <v>129</v>
      </c>
      <c r="BV16" s="2">
        <v>184</v>
      </c>
      <c r="BW16" s="2">
        <v>242</v>
      </c>
      <c r="BX16" s="2">
        <v>370</v>
      </c>
      <c r="BY16" s="2">
        <v>22.7</v>
      </c>
      <c r="BZ16" s="2">
        <v>3.7</v>
      </c>
      <c r="CA16" s="2">
        <v>2</v>
      </c>
      <c r="CB16" s="2">
        <v>8.1181672061117694E-11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21a</v>
      </c>
      <c r="J17" s="47">
        <f t="shared" ca="1" si="35"/>
        <v>12</v>
      </c>
      <c r="K17" s="19">
        <f t="shared" ca="1" si="36"/>
        <v>-40</v>
      </c>
      <c r="L17" s="116" t="str">
        <f t="shared" ca="1" si="1"/>
        <v>EW_sand_Ruled_89</v>
      </c>
      <c r="M17" s="105" t="str">
        <f t="shared" ca="1" si="2"/>
        <v>API sand</v>
      </c>
      <c r="N17" s="47">
        <f t="shared" ca="1" si="3"/>
        <v>9.8000000000000007</v>
      </c>
      <c r="O17" s="63">
        <f t="shared" ca="1" si="4"/>
        <v>0</v>
      </c>
      <c r="P17" s="63">
        <f t="shared" ca="1" si="5"/>
        <v>0</v>
      </c>
      <c r="Q17" s="47">
        <f t="shared" ca="1" si="6"/>
        <v>30</v>
      </c>
      <c r="R17" s="47">
        <f t="shared" ca="1" si="7"/>
        <v>25</v>
      </c>
      <c r="S17" s="47">
        <f t="shared" ca="1" si="8"/>
        <v>1.3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75000</v>
      </c>
      <c r="Y17" s="47">
        <f t="shared" ca="1" si="14"/>
        <v>0</v>
      </c>
      <c r="Z17" s="47">
        <f t="shared" ca="1" si="15"/>
        <v>80.999999999999972</v>
      </c>
      <c r="AA17" s="47">
        <f t="shared" ca="1" si="16"/>
        <v>1</v>
      </c>
      <c r="AB17" s="47">
        <f t="shared" ca="1" si="17"/>
        <v>4800</v>
      </c>
      <c r="AC17" s="63">
        <f t="shared" ca="1" si="18"/>
        <v>230000</v>
      </c>
      <c r="AD17" s="63">
        <f t="shared" ca="1" si="19"/>
        <v>6666.6666666666506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20.000000000000007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89</v>
      </c>
      <c r="AS17" s="33">
        <f t="shared" ca="1" si="34"/>
        <v>0.2</v>
      </c>
      <c r="AW17" s="2">
        <v>16.399999999999999</v>
      </c>
      <c r="AX17" s="2" t="s">
        <v>287</v>
      </c>
      <c r="AY17" s="130">
        <v>36</v>
      </c>
      <c r="AZ17" s="2">
        <v>18.399999999999999</v>
      </c>
      <c r="BA17" s="2">
        <v>23</v>
      </c>
      <c r="BB17" s="2">
        <v>53</v>
      </c>
      <c r="BC17" s="2">
        <v>4</v>
      </c>
      <c r="BD17" s="2">
        <v>2.1</v>
      </c>
      <c r="BE17" s="2">
        <v>2.7</v>
      </c>
      <c r="BF17" s="2">
        <v>2.9</v>
      </c>
      <c r="BG17" s="2">
        <v>3.3</v>
      </c>
      <c r="BH17" s="2">
        <f>30+4.6</f>
        <v>34.6</v>
      </c>
      <c r="BI17" s="2">
        <v>25</v>
      </c>
      <c r="BJ17" s="2">
        <v>107</v>
      </c>
      <c r="BK17" s="2">
        <v>143</v>
      </c>
      <c r="BL17" s="2">
        <v>185</v>
      </c>
      <c r="BM17" s="2">
        <v>289</v>
      </c>
      <c r="BN17" s="2"/>
      <c r="BO17" s="2"/>
      <c r="BP17" s="2"/>
      <c r="BQ17" s="2"/>
      <c r="BR17" s="2"/>
      <c r="BS17" s="2"/>
      <c r="BT17" s="2">
        <v>16</v>
      </c>
      <c r="BU17" s="2">
        <v>69</v>
      </c>
      <c r="BV17" s="2">
        <v>123</v>
      </c>
      <c r="BW17" s="2">
        <v>181</v>
      </c>
      <c r="BX17" s="2">
        <v>310</v>
      </c>
      <c r="BY17" s="2">
        <v>22.7</v>
      </c>
      <c r="BZ17" s="2">
        <v>3.7</v>
      </c>
      <c r="CA17" s="2">
        <v>2</v>
      </c>
      <c r="CB17" s="2">
        <v>8.1181672061117694E-11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23c</v>
      </c>
      <c r="J18" s="47">
        <f t="shared" ca="1" si="35"/>
        <v>13</v>
      </c>
      <c r="K18" s="19">
        <f t="shared" ca="1" si="36"/>
        <v>-41.2</v>
      </c>
      <c r="L18" s="116" t="str">
        <f t="shared" ca="1" si="1"/>
        <v>EW_sand_Ruled_36</v>
      </c>
      <c r="M18" s="105" t="str">
        <f t="shared" ca="1" si="2"/>
        <v>API sand</v>
      </c>
      <c r="N18" s="47">
        <f t="shared" ca="1" si="3"/>
        <v>9.3000000000000007</v>
      </c>
      <c r="O18" s="63">
        <f t="shared" ca="1" si="4"/>
        <v>0</v>
      </c>
      <c r="P18" s="63">
        <f t="shared" ca="1" si="5"/>
        <v>0</v>
      </c>
      <c r="Q18" s="47">
        <f t="shared" ca="1" si="6"/>
        <v>26.5</v>
      </c>
      <c r="R18" s="47">
        <f t="shared" ca="1" si="7"/>
        <v>21.5</v>
      </c>
      <c r="S18" s="47">
        <f t="shared" ca="1" si="8"/>
        <v>0.5</v>
      </c>
      <c r="T18" s="47">
        <f t="shared" ca="1" si="9"/>
        <v>0</v>
      </c>
      <c r="U18" s="75">
        <f t="shared" ca="1" si="10"/>
        <v>0</v>
      </c>
      <c r="V18" s="75">
        <f t="shared" ca="1" si="11"/>
        <v>0</v>
      </c>
      <c r="W18" s="47">
        <f t="shared" ca="1" si="12"/>
        <v>0</v>
      </c>
      <c r="X18" s="47">
        <f t="shared" ca="1" si="13"/>
        <v>30800</v>
      </c>
      <c r="Y18" s="47">
        <f t="shared" ca="1" si="14"/>
        <v>0</v>
      </c>
      <c r="Z18" s="47">
        <f t="shared" ca="1" si="15"/>
        <v>69.799999999999983</v>
      </c>
      <c r="AA18" s="47">
        <f t="shared" ca="1" si="16"/>
        <v>1</v>
      </c>
      <c r="AB18" s="47">
        <f t="shared" ca="1" si="17"/>
        <v>3280</v>
      </c>
      <c r="AC18" s="63">
        <f t="shared" ca="1" si="18"/>
        <v>136000</v>
      </c>
      <c r="AD18" s="63">
        <f t="shared" ca="1" si="19"/>
        <v>3750.0000000000023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>
        <f t="shared" ca="1" si="25"/>
        <v>13.600000000000003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36</v>
      </c>
      <c r="AS18" s="33">
        <f t="shared" ca="1" si="34"/>
        <v>0.4</v>
      </c>
      <c r="AW18" s="2">
        <v>16.399999999999999</v>
      </c>
      <c r="AX18" s="2" t="s">
        <v>287</v>
      </c>
      <c r="AY18" s="130">
        <v>36</v>
      </c>
      <c r="AZ18" s="2">
        <v>18.399999999999999</v>
      </c>
      <c r="BA18" s="2">
        <v>23</v>
      </c>
      <c r="BB18" s="2">
        <v>53</v>
      </c>
      <c r="BC18" s="2">
        <v>4</v>
      </c>
      <c r="BD18" s="2">
        <v>2</v>
      </c>
      <c r="BE18" s="2">
        <v>2.4</v>
      </c>
      <c r="BF18" s="2">
        <v>2.6</v>
      </c>
      <c r="BG18" s="2">
        <v>2.8</v>
      </c>
      <c r="BH18" s="2">
        <v>3.1</v>
      </c>
      <c r="BI18" s="2">
        <v>22</v>
      </c>
      <c r="BJ18" s="2">
        <v>90</v>
      </c>
      <c r="BK18" s="2">
        <v>125</v>
      </c>
      <c r="BL18" s="2">
        <v>161</v>
      </c>
      <c r="BM18" s="2">
        <v>238</v>
      </c>
      <c r="BN18" s="2"/>
      <c r="BO18" s="2"/>
      <c r="BP18" s="2"/>
      <c r="BQ18" s="2"/>
      <c r="BR18" s="2"/>
      <c r="BS18" s="2"/>
      <c r="BT18" s="2">
        <v>16</v>
      </c>
      <c r="BU18" s="2">
        <v>55</v>
      </c>
      <c r="BV18" s="2">
        <v>107</v>
      </c>
      <c r="BW18" s="2">
        <v>159</v>
      </c>
      <c r="BX18" s="2">
        <v>264</v>
      </c>
      <c r="BY18" s="2">
        <v>22.7</v>
      </c>
      <c r="BZ18" s="2">
        <v>3.5</v>
      </c>
      <c r="CA18" s="2">
        <v>1.9</v>
      </c>
      <c r="CB18" s="2">
        <v>1.4628957200511599E-10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23d</v>
      </c>
      <c r="J19" s="47">
        <f t="shared" ca="1" si="35"/>
        <v>14</v>
      </c>
      <c r="K19" s="19">
        <f t="shared" ca="1" si="36"/>
        <v>-46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8.8999999999999986</v>
      </c>
      <c r="O19" s="63">
        <f t="shared" ca="1" si="4"/>
        <v>347</v>
      </c>
      <c r="P19" s="63">
        <f t="shared" ca="1" si="5"/>
        <v>2.5185185185185186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2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0.25</v>
      </c>
      <c r="X19" s="47">
        <f t="shared" ca="1" si="13"/>
        <v>34700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514000</v>
      </c>
      <c r="AD19" s="63">
        <f t="shared" ca="1" si="19"/>
        <v>4111.1111111111104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17.3</v>
      </c>
      <c r="AX19" s="2" t="s">
        <v>287</v>
      </c>
      <c r="AY19" s="130">
        <v>36</v>
      </c>
      <c r="AZ19" s="2">
        <v>18.399999999999999</v>
      </c>
      <c r="BA19" s="2">
        <v>23</v>
      </c>
      <c r="BB19" s="2">
        <v>53</v>
      </c>
      <c r="BC19" s="2">
        <v>4</v>
      </c>
      <c r="BD19" s="2">
        <v>3.5</v>
      </c>
      <c r="BE19" s="2">
        <v>3.9</v>
      </c>
      <c r="BF19" s="2">
        <v>4</v>
      </c>
      <c r="BG19" s="2">
        <v>4.2</v>
      </c>
      <c r="BH19" s="2">
        <v>4.5999999999999996</v>
      </c>
      <c r="BI19" s="2">
        <v>101</v>
      </c>
      <c r="BJ19" s="2">
        <v>169</v>
      </c>
      <c r="BK19" s="2">
        <v>204</v>
      </c>
      <c r="BL19" s="2">
        <v>240</v>
      </c>
      <c r="BM19" s="2">
        <v>316</v>
      </c>
      <c r="BN19" s="2"/>
      <c r="BO19" s="2"/>
      <c r="BP19" s="2"/>
      <c r="BQ19" s="2"/>
      <c r="BR19" s="2"/>
      <c r="BS19" s="2"/>
      <c r="BT19" s="2">
        <v>99</v>
      </c>
      <c r="BU19" s="2">
        <v>138</v>
      </c>
      <c r="BV19" s="2">
        <v>190</v>
      </c>
      <c r="BW19" s="2">
        <v>242</v>
      </c>
      <c r="BX19" s="2">
        <v>347</v>
      </c>
      <c r="BY19" s="2">
        <v>22.7</v>
      </c>
      <c r="BZ19" s="2">
        <v>3.5</v>
      </c>
      <c r="CA19" s="2">
        <v>1.9</v>
      </c>
      <c r="CB19" s="2">
        <v>1.4628957200511599E-10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23i</v>
      </c>
      <c r="J20" s="47">
        <f t="shared" ca="1" si="35"/>
        <v>15</v>
      </c>
      <c r="K20" s="19">
        <f t="shared" ca="1" si="36"/>
        <v>-73</v>
      </c>
      <c r="L20" s="116" t="str">
        <f t="shared" ca="1" si="1"/>
        <v>Cowden Clay</v>
      </c>
      <c r="M20" s="105" t="str">
        <f t="shared" ca="1" si="2"/>
        <v>API clay</v>
      </c>
      <c r="N20" s="47">
        <f t="shared" ca="1" si="3"/>
        <v>8.3000000000000007</v>
      </c>
      <c r="O20" s="63">
        <f t="shared" ca="1" si="4"/>
        <v>579</v>
      </c>
      <c r="P20" s="63">
        <f t="shared" ca="1" si="5"/>
        <v>6.2857142857142856</v>
      </c>
      <c r="Q20" s="47">
        <f t="shared" ca="1" si="6"/>
        <v>0</v>
      </c>
      <c r="R20" s="47" t="e">
        <f t="shared" ca="1" si="7"/>
        <v>#N/A</v>
      </c>
      <c r="S20" s="47">
        <f t="shared" ca="1" si="8"/>
        <v>1.9</v>
      </c>
      <c r="T20" s="47">
        <f t="shared" ca="1" si="9"/>
        <v>0</v>
      </c>
      <c r="U20" s="75">
        <f t="shared" ca="1" si="10"/>
        <v>1.7999999999999999E-2</v>
      </c>
      <c r="V20" s="75">
        <f t="shared" ca="1" si="11"/>
        <v>0</v>
      </c>
      <c r="W20" s="47">
        <f t="shared" ca="1" si="12"/>
        <v>0.25</v>
      </c>
      <c r="X20" s="47">
        <f t="shared" ca="1" si="13"/>
        <v>51700</v>
      </c>
      <c r="Y20" s="47">
        <f t="shared" ca="1" si="14"/>
        <v>0</v>
      </c>
      <c r="Z20" s="47" t="e">
        <f t="shared" ca="1" si="15"/>
        <v>#N/A</v>
      </c>
      <c r="AA20" s="47">
        <f t="shared" ca="1" si="16"/>
        <v>1</v>
      </c>
      <c r="AB20" s="47" t="e">
        <f t="shared" ca="1" si="17"/>
        <v>#N/A</v>
      </c>
      <c r="AC20" s="63">
        <f t="shared" ca="1" si="18"/>
        <v>894000</v>
      </c>
      <c r="AD20" s="63">
        <f t="shared" ca="1" si="19"/>
        <v>11428.571428571429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 t="e">
        <f t="shared" ca="1" si="25"/>
        <v>#N/A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0</v>
      </c>
      <c r="AS20" s="33">
        <f t="shared" ca="1" si="34"/>
        <v>0.4</v>
      </c>
      <c r="AW20" s="2">
        <v>17.3</v>
      </c>
      <c r="AX20" s="2" t="s">
        <v>261</v>
      </c>
      <c r="AY20" s="130">
        <v>24</v>
      </c>
      <c r="AZ20" s="2">
        <v>19.899999999999999</v>
      </c>
      <c r="BA20" s="2"/>
      <c r="BB20" s="2">
        <v>6</v>
      </c>
      <c r="BC20" s="2"/>
      <c r="BD20" s="2">
        <v>11.1</v>
      </c>
      <c r="BE20" s="2">
        <v>11.9</v>
      </c>
      <c r="BF20" s="2">
        <v>12.2</v>
      </c>
      <c r="BG20" s="2">
        <v>12.5</v>
      </c>
      <c r="BH20" s="2">
        <v>13.1</v>
      </c>
      <c r="BI20" s="2"/>
      <c r="BJ20" s="2"/>
      <c r="BK20" s="2"/>
      <c r="BL20" s="2"/>
      <c r="BM20" s="2"/>
      <c r="BN20" s="2">
        <v>57</v>
      </c>
      <c r="BO20" s="2">
        <v>31</v>
      </c>
      <c r="BP20" s="2">
        <v>37</v>
      </c>
      <c r="BQ20" s="2">
        <v>40</v>
      </c>
      <c r="BR20" s="2">
        <v>43</v>
      </c>
      <c r="BS20" s="2">
        <v>48</v>
      </c>
      <c r="BT20" s="2">
        <v>20</v>
      </c>
      <c r="BU20" s="2">
        <v>90</v>
      </c>
      <c r="BV20" s="2">
        <v>119</v>
      </c>
      <c r="BW20" s="2">
        <v>147</v>
      </c>
      <c r="BX20" s="2">
        <v>217</v>
      </c>
      <c r="BY20" s="2">
        <v>46</v>
      </c>
      <c r="BZ20" s="2">
        <v>1.7</v>
      </c>
      <c r="CA20" s="2">
        <v>0.7</v>
      </c>
      <c r="CB20" s="2">
        <v>3.3969384890701898E-8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18</v>
      </c>
      <c r="AX21" s="2" t="s">
        <v>261</v>
      </c>
      <c r="AY21" s="130">
        <v>24</v>
      </c>
      <c r="AZ21" s="2">
        <v>19.899999999999999</v>
      </c>
      <c r="BA21" s="2"/>
      <c r="BB21" s="2">
        <v>6</v>
      </c>
      <c r="BC21" s="2"/>
      <c r="BD21" s="2">
        <v>12.8</v>
      </c>
      <c r="BE21" s="2">
        <v>13.6</v>
      </c>
      <c r="BF21" s="2">
        <v>13.9</v>
      </c>
      <c r="BG21" s="2">
        <v>14.2</v>
      </c>
      <c r="BH21" s="2">
        <v>14.8</v>
      </c>
      <c r="BI21" s="2"/>
      <c r="BJ21" s="2"/>
      <c r="BK21" s="2"/>
      <c r="BL21" s="2"/>
      <c r="BM21" s="2"/>
      <c r="BN21" s="2">
        <v>57</v>
      </c>
      <c r="BO21" s="2">
        <v>31</v>
      </c>
      <c r="BP21" s="2">
        <v>37</v>
      </c>
      <c r="BQ21" s="2">
        <v>40</v>
      </c>
      <c r="BR21" s="2">
        <v>43</v>
      </c>
      <c r="BS21" s="2">
        <v>48</v>
      </c>
      <c r="BT21" s="2">
        <v>25</v>
      </c>
      <c r="BU21" s="2">
        <v>96</v>
      </c>
      <c r="BV21" s="2">
        <v>124</v>
      </c>
      <c r="BW21" s="2">
        <v>153</v>
      </c>
      <c r="BX21" s="2">
        <v>223</v>
      </c>
      <c r="BY21" s="2">
        <v>46</v>
      </c>
      <c r="BZ21" s="2">
        <v>1.7</v>
      </c>
      <c r="CA21" s="2">
        <v>0.7</v>
      </c>
      <c r="CB21" s="2">
        <v>3.3969384890701898E-8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18</v>
      </c>
      <c r="AX22" s="2" t="s">
        <v>293</v>
      </c>
      <c r="AY22" s="130">
        <v>25.8</v>
      </c>
      <c r="AZ22" s="2">
        <v>19.600000000000001</v>
      </c>
      <c r="BA22" s="2"/>
      <c r="BB22" s="2">
        <v>22</v>
      </c>
      <c r="BC22" s="2"/>
      <c r="BD22" s="2">
        <v>12.3</v>
      </c>
      <c r="BE22" s="2">
        <v>19.899999999999999</v>
      </c>
      <c r="BF22" s="2">
        <v>20.6</v>
      </c>
      <c r="BG22" s="2">
        <v>21.6</v>
      </c>
      <c r="BH22" s="2">
        <v>31.1</v>
      </c>
      <c r="BI22" s="2"/>
      <c r="BJ22" s="2"/>
      <c r="BK22" s="2"/>
      <c r="BL22" s="2"/>
      <c r="BM22" s="2"/>
      <c r="BN22" s="2">
        <v>95</v>
      </c>
      <c r="BO22" s="2">
        <v>35</v>
      </c>
      <c r="BP22" s="2">
        <v>41</v>
      </c>
      <c r="BQ22" s="2">
        <v>44</v>
      </c>
      <c r="BR22" s="2">
        <v>48</v>
      </c>
      <c r="BS22" s="2">
        <v>54</v>
      </c>
      <c r="BT22" s="2">
        <v>18</v>
      </c>
      <c r="BU22" s="2">
        <v>102</v>
      </c>
      <c r="BV22" s="2">
        <v>142</v>
      </c>
      <c r="BW22" s="2">
        <v>182</v>
      </c>
      <c r="BX22" s="2">
        <v>281</v>
      </c>
      <c r="BY22" s="2">
        <v>158</v>
      </c>
      <c r="BZ22" s="2">
        <v>3</v>
      </c>
      <c r="CA22" s="2">
        <v>1</v>
      </c>
      <c r="CB22" s="2">
        <v>1.3556543995268699E-5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27</v>
      </c>
      <c r="AX23" s="2" t="s">
        <v>293</v>
      </c>
      <c r="AY23" s="130">
        <v>25.8</v>
      </c>
      <c r="AZ23" s="2">
        <v>19.600000000000001</v>
      </c>
      <c r="BA23" s="2"/>
      <c r="BB23" s="2">
        <v>22</v>
      </c>
      <c r="BC23" s="2"/>
      <c r="BD23" s="2">
        <v>48</v>
      </c>
      <c r="BE23" s="2">
        <v>55.6</v>
      </c>
      <c r="BF23" s="2">
        <v>56.4</v>
      </c>
      <c r="BG23" s="2">
        <v>57.3</v>
      </c>
      <c r="BH23" s="2">
        <v>66.8</v>
      </c>
      <c r="BI23" s="2"/>
      <c r="BJ23" s="2"/>
      <c r="BK23" s="2"/>
      <c r="BL23" s="2"/>
      <c r="BM23" s="2"/>
      <c r="BN23" s="2">
        <v>95</v>
      </c>
      <c r="BO23" s="2">
        <v>35</v>
      </c>
      <c r="BP23" s="2">
        <v>41</v>
      </c>
      <c r="BQ23" s="2">
        <v>44</v>
      </c>
      <c r="BR23" s="2">
        <v>48</v>
      </c>
      <c r="BS23" s="2">
        <v>54</v>
      </c>
      <c r="BT23" s="2">
        <v>80</v>
      </c>
      <c r="BU23" s="2">
        <v>164</v>
      </c>
      <c r="BV23" s="2">
        <v>204</v>
      </c>
      <c r="BW23" s="2">
        <v>244</v>
      </c>
      <c r="BX23" s="2">
        <v>344</v>
      </c>
      <c r="BY23" s="2">
        <v>158</v>
      </c>
      <c r="BZ23" s="2">
        <v>3</v>
      </c>
      <c r="CA23" s="2">
        <v>1</v>
      </c>
      <c r="CB23" s="2">
        <v>1.3556543995268699E-5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27</v>
      </c>
      <c r="AX24" s="2" t="s">
        <v>293</v>
      </c>
      <c r="AY24" s="130">
        <v>25.8</v>
      </c>
      <c r="AZ24" s="2">
        <v>19.600000000000001</v>
      </c>
      <c r="BA24" s="2"/>
      <c r="BB24" s="2">
        <v>22</v>
      </c>
      <c r="BC24" s="2"/>
      <c r="BD24" s="2">
        <v>40.299999999999997</v>
      </c>
      <c r="BE24" s="2">
        <v>53.6</v>
      </c>
      <c r="BF24" s="2">
        <v>55.2</v>
      </c>
      <c r="BG24" s="2">
        <v>58.1</v>
      </c>
      <c r="BH24" s="2">
        <v>81.7</v>
      </c>
      <c r="BI24" s="2"/>
      <c r="BJ24" s="2"/>
      <c r="BK24" s="2"/>
      <c r="BL24" s="2"/>
      <c r="BM24" s="2"/>
      <c r="BN24" s="2">
        <v>100</v>
      </c>
      <c r="BO24" s="2">
        <v>36</v>
      </c>
      <c r="BP24" s="2">
        <v>42</v>
      </c>
      <c r="BQ24" s="2">
        <v>46</v>
      </c>
      <c r="BR24" s="2">
        <v>49</v>
      </c>
      <c r="BS24" s="2">
        <v>54</v>
      </c>
      <c r="BT24" s="2">
        <v>27</v>
      </c>
      <c r="BU24" s="2">
        <v>153</v>
      </c>
      <c r="BV24" s="2">
        <v>204</v>
      </c>
      <c r="BW24" s="2">
        <v>256</v>
      </c>
      <c r="BX24" s="2">
        <v>384</v>
      </c>
      <c r="BY24" s="2">
        <v>200</v>
      </c>
      <c r="BZ24" s="2">
        <v>3.1</v>
      </c>
      <c r="CA24" s="2">
        <v>1</v>
      </c>
      <c r="CB24" s="2">
        <v>1.09446986425495E-5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36</v>
      </c>
      <c r="AX25" s="2" t="s">
        <v>293</v>
      </c>
      <c r="AY25" s="130">
        <v>25.8</v>
      </c>
      <c r="AZ25" s="2">
        <v>19.600000000000001</v>
      </c>
      <c r="BA25" s="2"/>
      <c r="BB25" s="2">
        <v>22</v>
      </c>
      <c r="BC25" s="2"/>
      <c r="BD25" s="2">
        <v>57.1</v>
      </c>
      <c r="BE25" s="2">
        <v>70.3</v>
      </c>
      <c r="BF25" s="2">
        <v>71.900000000000006</v>
      </c>
      <c r="BG25" s="2">
        <v>74.8</v>
      </c>
      <c r="BH25" s="2">
        <v>98.4</v>
      </c>
      <c r="BI25" s="2"/>
      <c r="BJ25" s="2"/>
      <c r="BK25" s="2"/>
      <c r="BL25" s="2"/>
      <c r="BM25" s="2"/>
      <c r="BN25" s="2">
        <v>100</v>
      </c>
      <c r="BO25" s="2">
        <v>36</v>
      </c>
      <c r="BP25" s="2">
        <v>42</v>
      </c>
      <c r="BQ25" s="2">
        <v>46</v>
      </c>
      <c r="BR25" s="2">
        <v>49</v>
      </c>
      <c r="BS25" s="2">
        <v>54</v>
      </c>
      <c r="BT25" s="2">
        <v>62</v>
      </c>
      <c r="BU25" s="2">
        <v>188</v>
      </c>
      <c r="BV25" s="2">
        <v>240</v>
      </c>
      <c r="BW25" s="2">
        <v>291</v>
      </c>
      <c r="BX25" s="2">
        <v>420</v>
      </c>
      <c r="BY25" s="2">
        <v>200</v>
      </c>
      <c r="BZ25" s="2">
        <v>3.1</v>
      </c>
      <c r="CA25" s="2">
        <v>1</v>
      </c>
      <c r="CB25" s="2">
        <v>1.09446986425495E-5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36</v>
      </c>
      <c r="AX26" s="2" t="s">
        <v>271</v>
      </c>
      <c r="AY26" s="130">
        <v>24.7</v>
      </c>
      <c r="AZ26" s="2">
        <v>19.8</v>
      </c>
      <c r="BA26" s="2"/>
      <c r="BB26" s="2">
        <v>11</v>
      </c>
      <c r="BC26" s="2"/>
      <c r="BD26" s="2">
        <v>58.8</v>
      </c>
      <c r="BE26" s="2">
        <v>72</v>
      </c>
      <c r="BF26" s="2">
        <v>74.599999999999994</v>
      </c>
      <c r="BG26" s="2">
        <v>79.2</v>
      </c>
      <c r="BH26" s="2">
        <v>101.5</v>
      </c>
      <c r="BI26" s="2"/>
      <c r="BJ26" s="2"/>
      <c r="BK26" s="2"/>
      <c r="BL26" s="2"/>
      <c r="BM26" s="2"/>
      <c r="BN26" s="2">
        <v>97</v>
      </c>
      <c r="BO26" s="2">
        <v>26</v>
      </c>
      <c r="BP26" s="2">
        <v>30</v>
      </c>
      <c r="BQ26" s="2">
        <v>33</v>
      </c>
      <c r="BR26" s="2">
        <v>35</v>
      </c>
      <c r="BS26" s="2">
        <v>40</v>
      </c>
      <c r="BT26" s="2">
        <v>62</v>
      </c>
      <c r="BU26" s="2">
        <v>192</v>
      </c>
      <c r="BV26" s="2">
        <v>246</v>
      </c>
      <c r="BW26" s="2">
        <v>301</v>
      </c>
      <c r="BX26" s="2">
        <v>438</v>
      </c>
      <c r="BY26" s="2">
        <v>75</v>
      </c>
      <c r="BZ26" s="2">
        <v>6.3</v>
      </c>
      <c r="CA26" s="2">
        <v>1.5</v>
      </c>
      <c r="CB26" s="2">
        <v>8.0368468933540992E-6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40</v>
      </c>
      <c r="AX27" s="2" t="s">
        <v>271</v>
      </c>
      <c r="AY27" s="130">
        <v>24.7</v>
      </c>
      <c r="AZ27" s="2">
        <v>19.8</v>
      </c>
      <c r="BA27" s="2"/>
      <c r="BB27" s="2">
        <v>11</v>
      </c>
      <c r="BC27" s="2"/>
      <c r="BD27" s="2">
        <v>28.9</v>
      </c>
      <c r="BE27" s="2">
        <v>42.1</v>
      </c>
      <c r="BF27" s="2">
        <v>44.8</v>
      </c>
      <c r="BG27" s="2">
        <v>49.3</v>
      </c>
      <c r="BH27" s="2">
        <v>71.7</v>
      </c>
      <c r="BI27" s="2"/>
      <c r="BJ27" s="2"/>
      <c r="BK27" s="2"/>
      <c r="BL27" s="2"/>
      <c r="BM27" s="2"/>
      <c r="BN27" s="2">
        <v>97</v>
      </c>
      <c r="BO27" s="2">
        <v>26</v>
      </c>
      <c r="BP27" s="2">
        <v>30</v>
      </c>
      <c r="BQ27" s="2">
        <v>33</v>
      </c>
      <c r="BR27" s="2">
        <v>35</v>
      </c>
      <c r="BS27" s="2">
        <v>40</v>
      </c>
      <c r="BT27" s="2">
        <v>40</v>
      </c>
      <c r="BU27" s="2">
        <v>169</v>
      </c>
      <c r="BV27" s="2">
        <v>223</v>
      </c>
      <c r="BW27" s="2">
        <v>278</v>
      </c>
      <c r="BX27" s="2">
        <v>416</v>
      </c>
      <c r="BY27" s="2">
        <v>75</v>
      </c>
      <c r="BZ27" s="2">
        <v>6.3</v>
      </c>
      <c r="CA27" s="2">
        <v>1.5</v>
      </c>
      <c r="CB27" s="2">
        <v>8.0368468933540992E-6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40</v>
      </c>
      <c r="AX28" s="2" t="s">
        <v>271</v>
      </c>
      <c r="AY28" s="130">
        <v>24.7</v>
      </c>
      <c r="AZ28" s="2">
        <v>19.8</v>
      </c>
      <c r="BA28" s="2"/>
      <c r="BB28" s="2">
        <v>11</v>
      </c>
      <c r="BC28" s="2"/>
      <c r="BD28" s="2">
        <v>11.3</v>
      </c>
      <c r="BE28" s="2">
        <v>39.299999999999997</v>
      </c>
      <c r="BF28" s="2">
        <v>49.1</v>
      </c>
      <c r="BG28" s="2">
        <v>56.7</v>
      </c>
      <c r="BH28" s="2">
        <v>78.7</v>
      </c>
      <c r="BI28" s="2"/>
      <c r="BJ28" s="2"/>
      <c r="BK28" s="2"/>
      <c r="BL28" s="2"/>
      <c r="BM28" s="2"/>
      <c r="BN28" s="2">
        <v>89</v>
      </c>
      <c r="BO28" s="2">
        <v>26</v>
      </c>
      <c r="BP28" s="2">
        <v>30</v>
      </c>
      <c r="BQ28" s="2">
        <v>32</v>
      </c>
      <c r="BR28" s="2">
        <v>35</v>
      </c>
      <c r="BS28" s="2">
        <v>39</v>
      </c>
      <c r="BT28" s="2">
        <v>40</v>
      </c>
      <c r="BU28" s="2">
        <v>172</v>
      </c>
      <c r="BV28" s="2">
        <v>230</v>
      </c>
      <c r="BW28" s="2">
        <v>285</v>
      </c>
      <c r="BX28" s="2">
        <v>426</v>
      </c>
      <c r="BY28" s="2">
        <v>75</v>
      </c>
      <c r="BZ28" s="2">
        <v>4.8</v>
      </c>
      <c r="CA28" s="2">
        <v>1.3</v>
      </c>
      <c r="CB28" s="2">
        <v>2.8718734468749999E-6</v>
      </c>
      <c r="CC28" s="2"/>
    </row>
    <row r="29" spans="1:81" x14ac:dyDescent="0.25">
      <c r="A29" s="66"/>
      <c r="B29" s="66"/>
      <c r="C29" s="67"/>
      <c r="D29" s="35"/>
      <c r="AW29" s="2">
        <v>41.2</v>
      </c>
      <c r="AX29" s="2" t="s">
        <v>271</v>
      </c>
      <c r="AY29" s="130">
        <v>24.7</v>
      </c>
      <c r="AZ29" s="2">
        <v>19.8</v>
      </c>
      <c r="BA29" s="2"/>
      <c r="BB29" s="2">
        <v>11</v>
      </c>
      <c r="BC29" s="2"/>
      <c r="BD29" s="2">
        <v>6.4</v>
      </c>
      <c r="BE29" s="2">
        <v>34.5</v>
      </c>
      <c r="BF29" s="2">
        <v>44.2</v>
      </c>
      <c r="BG29" s="2">
        <v>51.9</v>
      </c>
      <c r="BH29" s="2">
        <v>73.8</v>
      </c>
      <c r="BI29" s="2"/>
      <c r="BJ29" s="2"/>
      <c r="BK29" s="2"/>
      <c r="BL29" s="2"/>
      <c r="BM29" s="2"/>
      <c r="BN29" s="2">
        <v>89</v>
      </c>
      <c r="BO29" s="2">
        <v>26</v>
      </c>
      <c r="BP29" s="2">
        <v>30</v>
      </c>
      <c r="BQ29" s="2">
        <v>32</v>
      </c>
      <c r="BR29" s="2">
        <v>35</v>
      </c>
      <c r="BS29" s="2">
        <v>39</v>
      </c>
      <c r="BT29" s="2">
        <v>48</v>
      </c>
      <c r="BU29" s="2">
        <v>181</v>
      </c>
      <c r="BV29" s="2">
        <v>238</v>
      </c>
      <c r="BW29" s="2">
        <v>294</v>
      </c>
      <c r="BX29" s="2">
        <v>434</v>
      </c>
      <c r="BY29" s="2">
        <v>75</v>
      </c>
      <c r="BZ29" s="2">
        <v>4.8</v>
      </c>
      <c r="CA29" s="2">
        <v>1.3</v>
      </c>
      <c r="CB29" s="2">
        <v>2.8718734468749999E-6</v>
      </c>
      <c r="CC29" s="2"/>
    </row>
    <row r="30" spans="1:81" x14ac:dyDescent="0.25">
      <c r="A30" s="66"/>
      <c r="B30" s="66"/>
      <c r="C30" s="67"/>
      <c r="D30" s="35"/>
      <c r="AW30" s="2">
        <v>41.2</v>
      </c>
      <c r="AX30" s="2" t="s">
        <v>302</v>
      </c>
      <c r="AY30" s="130">
        <v>27.7</v>
      </c>
      <c r="AZ30" s="2">
        <v>19.3</v>
      </c>
      <c r="BA30" s="2"/>
      <c r="BB30" s="2">
        <v>15</v>
      </c>
      <c r="BC30" s="2"/>
      <c r="BD30" s="2">
        <v>4.9000000000000004</v>
      </c>
      <c r="BE30" s="2">
        <v>5.6</v>
      </c>
      <c r="BF30" s="2">
        <v>5.8</v>
      </c>
      <c r="BG30" s="2">
        <v>6</v>
      </c>
      <c r="BH30" s="2">
        <v>6.9</v>
      </c>
      <c r="BI30" s="2"/>
      <c r="BJ30" s="2"/>
      <c r="BK30" s="2"/>
      <c r="BL30" s="2"/>
      <c r="BM30" s="2"/>
      <c r="BN30" s="2">
        <v>36</v>
      </c>
      <c r="BO30" s="2">
        <v>26</v>
      </c>
      <c r="BP30" s="2">
        <v>26.5</v>
      </c>
      <c r="BQ30" s="2">
        <v>27</v>
      </c>
      <c r="BR30" s="2">
        <v>29</v>
      </c>
      <c r="BS30" s="2">
        <v>33</v>
      </c>
      <c r="BT30" s="2">
        <v>41</v>
      </c>
      <c r="BU30" s="2">
        <v>102</v>
      </c>
      <c r="BV30" s="2">
        <v>136</v>
      </c>
      <c r="BW30" s="2">
        <v>171</v>
      </c>
      <c r="BX30" s="2">
        <v>255</v>
      </c>
      <c r="BY30" s="2">
        <v>30.8</v>
      </c>
      <c r="BZ30" s="2">
        <v>1</v>
      </c>
      <c r="CA30" s="2">
        <v>0.5</v>
      </c>
      <c r="CB30" s="2">
        <v>2.60566301857197E-10</v>
      </c>
      <c r="CC30" s="2"/>
    </row>
    <row r="31" spans="1:81" x14ac:dyDescent="0.25">
      <c r="A31" s="66"/>
      <c r="B31" s="66"/>
      <c r="C31" s="67"/>
      <c r="D31" s="35"/>
      <c r="AW31" s="2">
        <v>46</v>
      </c>
      <c r="AX31" s="2" t="s">
        <v>302</v>
      </c>
      <c r="AY31" s="130">
        <v>27.7</v>
      </c>
      <c r="AZ31" s="2">
        <v>19.3</v>
      </c>
      <c r="BA31" s="2"/>
      <c r="BB31" s="2">
        <v>15</v>
      </c>
      <c r="BC31" s="2"/>
      <c r="BD31" s="2">
        <v>7.6</v>
      </c>
      <c r="BE31" s="2">
        <v>8.3000000000000007</v>
      </c>
      <c r="BF31" s="2">
        <v>8.4</v>
      </c>
      <c r="BG31" s="2">
        <v>8.6</v>
      </c>
      <c r="BH31" s="2">
        <v>9.6</v>
      </c>
      <c r="BI31" s="2"/>
      <c r="BJ31" s="2"/>
      <c r="BK31" s="2"/>
      <c r="BL31" s="2"/>
      <c r="BM31" s="2"/>
      <c r="BN31" s="2">
        <v>36</v>
      </c>
      <c r="BO31" s="2">
        <v>26</v>
      </c>
      <c r="BP31" s="2">
        <v>26.5</v>
      </c>
      <c r="BQ31" s="2">
        <v>27</v>
      </c>
      <c r="BR31" s="2">
        <v>29</v>
      </c>
      <c r="BS31" s="2">
        <v>33</v>
      </c>
      <c r="BT31" s="2">
        <v>59</v>
      </c>
      <c r="BU31" s="2">
        <v>120</v>
      </c>
      <c r="BV31" s="2">
        <v>154</v>
      </c>
      <c r="BW31" s="2">
        <v>189</v>
      </c>
      <c r="BX31" s="2">
        <v>273</v>
      </c>
      <c r="BY31" s="2">
        <v>30.8</v>
      </c>
      <c r="BZ31" s="2">
        <v>1</v>
      </c>
      <c r="CA31" s="2">
        <v>0.5</v>
      </c>
      <c r="CB31" s="2">
        <v>2.60566301857197E-10</v>
      </c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46</v>
      </c>
      <c r="AX32" s="2" t="s">
        <v>273</v>
      </c>
      <c r="AY32" s="130">
        <v>32</v>
      </c>
      <c r="AZ32" s="2">
        <v>18.899999999999999</v>
      </c>
      <c r="BA32" s="2">
        <v>47</v>
      </c>
      <c r="BB32" s="2">
        <v>85</v>
      </c>
      <c r="BC32" s="2">
        <v>3</v>
      </c>
      <c r="BD32" s="2">
        <v>7.8</v>
      </c>
      <c r="BE32" s="2">
        <v>8.6</v>
      </c>
      <c r="BF32" s="2">
        <v>8.6999999999999993</v>
      </c>
      <c r="BG32" s="2">
        <v>8.8000000000000007</v>
      </c>
      <c r="BH32" s="2">
        <f>50+9.6</f>
        <v>59.6</v>
      </c>
      <c r="BI32" s="2">
        <v>255</v>
      </c>
      <c r="BJ32" s="2">
        <v>347</v>
      </c>
      <c r="BK32" s="2">
        <v>389</v>
      </c>
      <c r="BL32" s="2">
        <v>433</v>
      </c>
      <c r="BM32" s="2">
        <v>524</v>
      </c>
      <c r="BN32" s="2"/>
      <c r="BO32" s="2"/>
      <c r="BP32" s="2"/>
      <c r="BQ32" s="2"/>
      <c r="BR32" s="2"/>
      <c r="BS32" s="2"/>
      <c r="BT32" s="2">
        <v>253</v>
      </c>
      <c r="BU32" s="2">
        <v>429</v>
      </c>
      <c r="BV32" s="2">
        <v>514</v>
      </c>
      <c r="BW32" s="2">
        <v>599</v>
      </c>
      <c r="BX32" s="2">
        <v>775</v>
      </c>
      <c r="BY32" s="2">
        <v>34.700000000000003</v>
      </c>
      <c r="BZ32" s="2">
        <v>5.5</v>
      </c>
      <c r="CA32" s="2">
        <v>2</v>
      </c>
      <c r="CB32" s="2">
        <v>4.8265359618056703E-10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73</v>
      </c>
      <c r="AX33" s="2" t="s">
        <v>273</v>
      </c>
      <c r="AY33" s="130">
        <v>32</v>
      </c>
      <c r="AZ33" s="2">
        <v>18.899999999999999</v>
      </c>
      <c r="BA33" s="2">
        <v>47</v>
      </c>
      <c r="BB33" s="2">
        <v>85</v>
      </c>
      <c r="BC33" s="2">
        <v>3</v>
      </c>
      <c r="BD33" s="2">
        <v>9.1999999999999993</v>
      </c>
      <c r="BE33" s="2">
        <v>10</v>
      </c>
      <c r="BF33" s="2">
        <v>10.199999999999999</v>
      </c>
      <c r="BG33" s="2">
        <v>10.3</v>
      </c>
      <c r="BH33" s="2">
        <f>50+11</f>
        <v>61</v>
      </c>
      <c r="BI33" s="2">
        <v>324</v>
      </c>
      <c r="BJ33" s="2">
        <v>415</v>
      </c>
      <c r="BK33" s="2">
        <v>458</v>
      </c>
      <c r="BL33" s="2">
        <v>501</v>
      </c>
      <c r="BM33" s="2">
        <v>592</v>
      </c>
      <c r="BN33" s="2"/>
      <c r="BO33" s="2"/>
      <c r="BP33" s="2"/>
      <c r="BQ33" s="2"/>
      <c r="BR33" s="2"/>
      <c r="BS33" s="2"/>
      <c r="BT33" s="2">
        <v>364</v>
      </c>
      <c r="BU33" s="2">
        <v>540</v>
      </c>
      <c r="BV33" s="2">
        <v>625</v>
      </c>
      <c r="BW33" s="2">
        <v>710</v>
      </c>
      <c r="BX33" s="2">
        <v>886</v>
      </c>
      <c r="BY33" s="2">
        <v>34.700000000000003</v>
      </c>
      <c r="BZ33" s="2">
        <v>5.5</v>
      </c>
      <c r="CA33" s="2">
        <v>2</v>
      </c>
      <c r="CB33" s="2">
        <v>4.8265359618056703E-10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73</v>
      </c>
      <c r="AX34" s="2" t="s">
        <v>218</v>
      </c>
      <c r="AY34" s="130">
        <v>37</v>
      </c>
      <c r="AZ34" s="2">
        <v>18.3</v>
      </c>
      <c r="BA34" s="2">
        <v>59</v>
      </c>
      <c r="BB34" s="2">
        <v>77</v>
      </c>
      <c r="BC34" s="2">
        <v>3</v>
      </c>
      <c r="BD34" s="2">
        <v>2.7</v>
      </c>
      <c r="BE34" s="2">
        <v>11.5</v>
      </c>
      <c r="BF34" s="2">
        <v>13.9</v>
      </c>
      <c r="BG34" s="2">
        <v>29.8</v>
      </c>
      <c r="BH34" s="2">
        <v>79.099999999999994</v>
      </c>
      <c r="BI34" s="2">
        <v>493</v>
      </c>
      <c r="BJ34" s="2">
        <v>579</v>
      </c>
      <c r="BK34" s="2">
        <v>622</v>
      </c>
      <c r="BL34" s="2">
        <v>667</v>
      </c>
      <c r="BM34" s="2">
        <v>752</v>
      </c>
      <c r="BN34" s="2"/>
      <c r="BO34" s="2"/>
      <c r="BP34" s="2"/>
      <c r="BQ34" s="2"/>
      <c r="BR34" s="2"/>
      <c r="BS34" s="2"/>
      <c r="BT34" s="2">
        <v>635</v>
      </c>
      <c r="BU34" s="2">
        <v>807</v>
      </c>
      <c r="BV34" s="2">
        <v>894</v>
      </c>
      <c r="BW34" s="2">
        <v>981</v>
      </c>
      <c r="BX34" s="2">
        <v>1152</v>
      </c>
      <c r="BY34" s="2">
        <v>51.7</v>
      </c>
      <c r="BZ34" s="2">
        <v>5.4</v>
      </c>
      <c r="CA34" s="2">
        <v>1.9</v>
      </c>
      <c r="CB34" s="2">
        <v>4.1514108376754096E-12</v>
      </c>
      <c r="CC34" s="2">
        <v>1.8</v>
      </c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80</v>
      </c>
      <c r="AX35" s="2" t="s">
        <v>218</v>
      </c>
      <c r="AY35" s="130">
        <v>37</v>
      </c>
      <c r="AZ35" s="2">
        <v>18.3</v>
      </c>
      <c r="BA35" s="2">
        <v>59</v>
      </c>
      <c r="BB35" s="2">
        <v>77</v>
      </c>
      <c r="BC35" s="2">
        <v>3</v>
      </c>
      <c r="BD35" s="2">
        <v>3.7</v>
      </c>
      <c r="BE35" s="2">
        <v>12.5</v>
      </c>
      <c r="BF35" s="2">
        <v>14.9</v>
      </c>
      <c r="BG35" s="2">
        <v>30.8</v>
      </c>
      <c r="BH35" s="2">
        <v>80.099999999999994</v>
      </c>
      <c r="BI35" s="2">
        <v>537</v>
      </c>
      <c r="BJ35" s="2">
        <v>623</v>
      </c>
      <c r="BK35" s="2">
        <v>666</v>
      </c>
      <c r="BL35" s="2">
        <v>710</v>
      </c>
      <c r="BM35" s="2">
        <v>796</v>
      </c>
      <c r="BN35" s="2"/>
      <c r="BO35" s="2"/>
      <c r="BP35" s="2"/>
      <c r="BQ35" s="2"/>
      <c r="BR35" s="2"/>
      <c r="BS35" s="2"/>
      <c r="BT35" s="2">
        <v>715</v>
      </c>
      <c r="BU35" s="2">
        <v>887</v>
      </c>
      <c r="BV35" s="2">
        <v>974</v>
      </c>
      <c r="BW35" s="2">
        <v>1061</v>
      </c>
      <c r="BX35" s="2">
        <v>1233</v>
      </c>
      <c r="BY35" s="2">
        <v>51.7</v>
      </c>
      <c r="BZ35" s="2">
        <v>5.4</v>
      </c>
      <c r="CA35" s="2">
        <v>1.9</v>
      </c>
      <c r="CB35" s="2">
        <v>4.1514108376754096E-12</v>
      </c>
      <c r="CC35" s="2">
        <v>1.8</v>
      </c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297" priority="12">
      <formula>$L32="API sand"</formula>
    </cfRule>
  </conditionalFormatting>
  <conditionalFormatting sqref="R32:S36 AB32:AB35 AJ32:AL36 Z32:Z36 N32:N36">
    <cfRule type="expression" dxfId="2296" priority="11">
      <formula>$M32="API sand"</formula>
    </cfRule>
  </conditionalFormatting>
  <conditionalFormatting sqref="R32:T36 Z32:AB35 AK32:AL36 N32:N36">
    <cfRule type="expression" dxfId="2295" priority="10">
      <formula>$M32="API clay"</formula>
    </cfRule>
  </conditionalFormatting>
  <conditionalFormatting sqref="U32:W36 AM32:AP36 N32:P36">
    <cfRule type="expression" dxfId="2294" priority="7">
      <formula>$L32="Stiff clay w/o free water"</formula>
    </cfRule>
    <cfRule type="expression" dxfId="2293" priority="9">
      <formula>$L32="API clay"</formula>
    </cfRule>
  </conditionalFormatting>
  <conditionalFormatting sqref="U32:Y36 AM32:AP36 N32:P36">
    <cfRule type="expression" dxfId="2292" priority="8">
      <formula>$L32="Kirsch soft clay"</formula>
    </cfRule>
  </conditionalFormatting>
  <conditionalFormatting sqref="U32:Y36 AM32:AP36 N32:P36">
    <cfRule type="expression" dxfId="2291" priority="6">
      <formula>$L32="Kirsch stiff clay"</formula>
    </cfRule>
  </conditionalFormatting>
  <conditionalFormatting sqref="AM32:AP36 Q32:Q36 X32:Y36 N32:N36">
    <cfRule type="expression" dxfId="2290" priority="5">
      <formula>$L32="Kirsch sand"</formula>
    </cfRule>
  </conditionalFormatting>
  <conditionalFormatting sqref="AC32:AD36 AI32:AI36 AM32:AP36 N32:N36">
    <cfRule type="expression" dxfId="2289" priority="4">
      <formula>$L32="Modified Weak rock"</formula>
    </cfRule>
  </conditionalFormatting>
  <conditionalFormatting sqref="AM32:AP36 N32:P36 U32:V36">
    <cfRule type="expression" dxfId="2288" priority="3">
      <formula>$L32="Reese stiff clay"</formula>
    </cfRule>
  </conditionalFormatting>
  <conditionalFormatting sqref="AB36">
    <cfRule type="expression" dxfId="2287" priority="2">
      <formula>$M36="API sand"</formula>
    </cfRule>
  </conditionalFormatting>
  <conditionalFormatting sqref="Z36:AB36">
    <cfRule type="expression" dxfId="2286" priority="1">
      <formula>$M36="API clay"</formula>
    </cfRule>
  </conditionalFormatting>
  <conditionalFormatting sqref="AE37:AH37">
    <cfRule type="expression" dxfId="2285" priority="13">
      <formula>#REF!="Modified Weak rock"</formula>
    </cfRule>
  </conditionalFormatting>
  <dataValidations count="4">
    <dataValidation type="textLength" showInputMessage="1" showErrorMessage="1" sqref="M27:M31" xr:uid="{0BFE61C5-7B71-4B91-A6DD-7E5F0E73CBFA}">
      <formula1>0</formula1>
      <formula2>100</formula2>
    </dataValidation>
    <dataValidation showInputMessage="1" showErrorMessage="1" sqref="L6:M26" xr:uid="{941E7FAB-B29A-4F4A-8154-E65184D7A127}"/>
    <dataValidation type="list" showInputMessage="1" showErrorMessage="1" sqref="L32:L255" xr:uid="{8E77AF5E-8DF2-46AD-A152-40FD5CB32455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716179A1-EF4E-4CE2-A213-C0B022A89D9D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973B2-3FA6-4444-A1E9-9374E5BC2A68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Ak_Pisa_WTG48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10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EW_sand_Ruled_91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36</v>
      </c>
      <c r="R6" s="47">
        <f t="shared" ref="R6:R26" ca="1" si="7">IF(I6="","",IF(Q6&lt;&gt;0,Q6-5,NA()))</f>
        <v>31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5800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99.799999999999969</v>
      </c>
      <c r="AA6" s="47">
        <f t="shared" ref="AA6:AA26" ca="1" si="16">IF(I6="","",1)</f>
        <v>1</v>
      </c>
      <c r="AB6" s="47">
        <f t="shared" ref="AB6:AB26" ca="1" si="17">IF(I6="","",VLOOKUP(R6,$AE$39:$AG$59,3))</f>
        <v>10080</v>
      </c>
      <c r="AC6" s="63">
        <f t="shared" ref="AC6:AC26" ca="1" si="18">IF(I6="","",IF(OFFSET($BV$6,(ROW()-6)*2,0)=0,0,OFFSET($BV$6,(ROW()-6)*2,0)*1000))</f>
        <v>6000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24000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42.000000000000007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91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0.2</v>
      </c>
      <c r="BF6" s="2">
        <v>0.5</v>
      </c>
      <c r="BG6" s="2">
        <v>0.9</v>
      </c>
      <c r="BH6" s="2">
        <v>1.8</v>
      </c>
      <c r="BI6" s="2"/>
      <c r="BJ6" s="2"/>
      <c r="BK6" s="2"/>
      <c r="BL6" s="2"/>
      <c r="BM6" s="2"/>
      <c r="BN6" s="2">
        <v>91</v>
      </c>
      <c r="BO6" s="2">
        <v>27</v>
      </c>
      <c r="BP6" s="2">
        <v>36</v>
      </c>
      <c r="BQ6" s="2">
        <v>40</v>
      </c>
      <c r="BR6" s="2">
        <v>43</v>
      </c>
      <c r="BS6" s="2">
        <v>52</v>
      </c>
      <c r="BT6" s="2">
        <v>0</v>
      </c>
      <c r="BU6" s="2">
        <v>2</v>
      </c>
      <c r="BV6" s="2">
        <v>6</v>
      </c>
      <c r="BW6" s="2">
        <v>9</v>
      </c>
      <c r="BX6" s="2">
        <v>16</v>
      </c>
      <c r="BY6" s="2">
        <v>5.8</v>
      </c>
      <c r="BZ6" s="2">
        <v>1</v>
      </c>
      <c r="CA6" s="2">
        <v>0.5</v>
      </c>
      <c r="CB6" s="2">
        <v>5.1005910380642098E-5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-0.5</v>
      </c>
      <c r="L7" s="116" t="str">
        <f t="shared" ca="1" si="1"/>
        <v>EW_sand_Ruled_100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42</v>
      </c>
      <c r="R7" s="47">
        <f t="shared" ca="1" si="7"/>
        <v>37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40200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33000</v>
      </c>
      <c r="AD7" s="63">
        <f t="shared" ca="1" si="19"/>
        <v>10000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100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0.6</v>
      </c>
      <c r="BE7" s="2">
        <v>1.2</v>
      </c>
      <c r="BF7" s="2">
        <v>1.5</v>
      </c>
      <c r="BG7" s="2">
        <v>2</v>
      </c>
      <c r="BH7" s="2">
        <v>2.9</v>
      </c>
      <c r="BI7" s="2"/>
      <c r="BJ7" s="2"/>
      <c r="BK7" s="2"/>
      <c r="BL7" s="2"/>
      <c r="BM7" s="2"/>
      <c r="BN7" s="2">
        <v>91</v>
      </c>
      <c r="BO7" s="2">
        <v>27</v>
      </c>
      <c r="BP7" s="2">
        <v>36</v>
      </c>
      <c r="BQ7" s="2">
        <v>40</v>
      </c>
      <c r="BR7" s="2">
        <v>43</v>
      </c>
      <c r="BS7" s="2">
        <v>52</v>
      </c>
      <c r="BT7" s="2">
        <v>8</v>
      </c>
      <c r="BU7" s="2">
        <v>15</v>
      </c>
      <c r="BV7" s="2">
        <v>18</v>
      </c>
      <c r="BW7" s="2">
        <v>21</v>
      </c>
      <c r="BX7" s="2">
        <v>29</v>
      </c>
      <c r="BY7" s="2">
        <v>5.8</v>
      </c>
      <c r="BZ7" s="2">
        <v>1</v>
      </c>
      <c r="CA7" s="2">
        <v>0.5</v>
      </c>
      <c r="CB7" s="2">
        <v>5.1005910380642098E-5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-1.5</v>
      </c>
      <c r="L8" s="116" t="str">
        <f t="shared" ca="1" si="1"/>
        <v>EW_sand_Ruled_100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42</v>
      </c>
      <c r="R8" s="47">
        <f t="shared" ca="1" si="7"/>
        <v>37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48000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53000</v>
      </c>
      <c r="AD8" s="63">
        <f t="shared" ca="1" si="19"/>
        <v>909.09090909090901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100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7.8</v>
      </c>
      <c r="BE8" s="2">
        <v>8.1</v>
      </c>
      <c r="BF8" s="2">
        <v>8.1999999999999993</v>
      </c>
      <c r="BG8" s="2">
        <v>8.4</v>
      </c>
      <c r="BH8" s="2">
        <v>8.8000000000000007</v>
      </c>
      <c r="BI8" s="2"/>
      <c r="BJ8" s="2"/>
      <c r="BK8" s="2"/>
      <c r="BL8" s="2"/>
      <c r="BM8" s="2"/>
      <c r="BN8" s="2">
        <v>100</v>
      </c>
      <c r="BO8" s="2">
        <v>36</v>
      </c>
      <c r="BP8" s="2">
        <v>42</v>
      </c>
      <c r="BQ8" s="2">
        <v>45</v>
      </c>
      <c r="BR8" s="2">
        <v>49</v>
      </c>
      <c r="BS8" s="2">
        <v>54</v>
      </c>
      <c r="BT8" s="2">
        <v>1</v>
      </c>
      <c r="BU8" s="2">
        <v>23</v>
      </c>
      <c r="BV8" s="2">
        <v>33</v>
      </c>
      <c r="BW8" s="2">
        <v>42</v>
      </c>
      <c r="BX8" s="2">
        <v>64</v>
      </c>
      <c r="BY8" s="2">
        <v>40.200000000000003</v>
      </c>
      <c r="BZ8" s="2">
        <v>1</v>
      </c>
      <c r="CA8" s="2">
        <v>0.5</v>
      </c>
      <c r="CB8" s="2">
        <v>5.12475403208177E-4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10a</v>
      </c>
      <c r="J9" s="47">
        <f t="shared" ca="1" si="35"/>
        <v>4</v>
      </c>
      <c r="K9" s="19">
        <f t="shared" ca="1" si="36"/>
        <v>-2.6</v>
      </c>
      <c r="L9" s="116" t="str">
        <f t="shared" ca="1" si="1"/>
        <v>EW_sand_Ruled_76</v>
      </c>
      <c r="M9" s="105" t="str">
        <f t="shared" ca="1" si="2"/>
        <v>API sand</v>
      </c>
      <c r="N9" s="47">
        <f t="shared" ca="1" si="3"/>
        <v>10</v>
      </c>
      <c r="O9" s="63">
        <f t="shared" ca="1" si="4"/>
        <v>0</v>
      </c>
      <c r="P9" s="63">
        <f t="shared" ca="1" si="5"/>
        <v>0</v>
      </c>
      <c r="Q9" s="47">
        <f t="shared" ca="1" si="6"/>
        <v>40</v>
      </c>
      <c r="R9" s="47">
        <f t="shared" ca="1" si="7"/>
        <v>35</v>
      </c>
      <c r="S9" s="47">
        <f t="shared" ca="1" si="8"/>
        <v>1.6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57900</v>
      </c>
      <c r="Y9" s="47">
        <f t="shared" ca="1" si="14"/>
        <v>0</v>
      </c>
      <c r="Z9" s="47">
        <f t="shared" ca="1" si="15"/>
        <v>114.99999999999996</v>
      </c>
      <c r="AA9" s="47">
        <f t="shared" ca="1" si="16"/>
        <v>1</v>
      </c>
      <c r="AB9" s="47">
        <f t="shared" ca="1" si="17"/>
        <v>12000</v>
      </c>
      <c r="AC9" s="63">
        <f t="shared" ca="1" si="18"/>
        <v>57000</v>
      </c>
      <c r="AD9" s="63">
        <f t="shared" ca="1" si="19"/>
        <v>8529.4117647058829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50.000000000000007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76</v>
      </c>
      <c r="AS9" s="33">
        <f t="shared" ca="1" si="34"/>
        <v>0.4</v>
      </c>
      <c r="AW9" s="2">
        <v>1.5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11.6</v>
      </c>
      <c r="BE9" s="2">
        <v>11.9</v>
      </c>
      <c r="BF9" s="2">
        <v>12.1</v>
      </c>
      <c r="BG9" s="2">
        <v>12.3</v>
      </c>
      <c r="BH9" s="2">
        <v>12.7</v>
      </c>
      <c r="BI9" s="2"/>
      <c r="BJ9" s="2"/>
      <c r="BK9" s="2"/>
      <c r="BL9" s="2"/>
      <c r="BM9" s="2"/>
      <c r="BN9" s="2">
        <v>100</v>
      </c>
      <c r="BO9" s="2">
        <v>36</v>
      </c>
      <c r="BP9" s="2">
        <v>42</v>
      </c>
      <c r="BQ9" s="2">
        <v>45</v>
      </c>
      <c r="BR9" s="2">
        <v>49</v>
      </c>
      <c r="BS9" s="2">
        <v>54</v>
      </c>
      <c r="BT9" s="2">
        <v>12</v>
      </c>
      <c r="BU9" s="2">
        <v>34</v>
      </c>
      <c r="BV9" s="2">
        <v>43</v>
      </c>
      <c r="BW9" s="2">
        <v>53</v>
      </c>
      <c r="BX9" s="2">
        <v>75</v>
      </c>
      <c r="BY9" s="2">
        <v>40.200000000000003</v>
      </c>
      <c r="BZ9" s="2">
        <v>1</v>
      </c>
      <c r="CA9" s="2">
        <v>0.5</v>
      </c>
      <c r="CB9" s="2">
        <v>5.12475403208177E-4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10b</v>
      </c>
      <c r="J10" s="47">
        <f t="shared" ca="1" si="35"/>
        <v>5</v>
      </c>
      <c r="K10" s="19">
        <f t="shared" ca="1" si="36"/>
        <v>-6</v>
      </c>
      <c r="L10" s="116" t="str">
        <f t="shared" ca="1" si="1"/>
        <v>EW_sand_Ruled_84</v>
      </c>
      <c r="M10" s="105" t="str">
        <f t="shared" ca="1" si="2"/>
        <v>API sand</v>
      </c>
      <c r="N10" s="47">
        <f t="shared" ca="1" si="3"/>
        <v>9.8999999999999986</v>
      </c>
      <c r="O10" s="63">
        <f t="shared" ca="1" si="4"/>
        <v>0</v>
      </c>
      <c r="P10" s="63">
        <f t="shared" ca="1" si="5"/>
        <v>0</v>
      </c>
      <c r="Q10" s="47">
        <f t="shared" ca="1" si="6"/>
        <v>41</v>
      </c>
      <c r="R10" s="47">
        <f t="shared" ca="1" si="7"/>
        <v>36</v>
      </c>
      <c r="S10" s="47">
        <f t="shared" ca="1" si="8"/>
        <v>1.6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87700</v>
      </c>
      <c r="Y10" s="47">
        <f t="shared" ca="1" si="14"/>
        <v>0</v>
      </c>
      <c r="Z10" s="47">
        <f t="shared" ca="1" si="15"/>
        <v>114.99999999999996</v>
      </c>
      <c r="AA10" s="47">
        <f t="shared" ca="1" si="16"/>
        <v>1</v>
      </c>
      <c r="AB10" s="47">
        <f t="shared" ca="1" si="17"/>
        <v>12000</v>
      </c>
      <c r="AC10" s="63">
        <f t="shared" ca="1" si="18"/>
        <v>99000</v>
      </c>
      <c r="AD10" s="63">
        <f t="shared" ca="1" si="19"/>
        <v>-12000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50.000000000000007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84</v>
      </c>
      <c r="AS10" s="33">
        <f t="shared" ca="1" si="34"/>
        <v>0.4</v>
      </c>
      <c r="AW10" s="2">
        <v>1.5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13.9</v>
      </c>
      <c r="BE10" s="2">
        <v>15.2</v>
      </c>
      <c r="BF10" s="2">
        <v>15.6</v>
      </c>
      <c r="BG10" s="2">
        <v>16</v>
      </c>
      <c r="BH10" s="2">
        <v>17.2</v>
      </c>
      <c r="BI10" s="2"/>
      <c r="BJ10" s="2"/>
      <c r="BK10" s="2"/>
      <c r="BL10" s="2"/>
      <c r="BM10" s="2"/>
      <c r="BN10" s="2">
        <v>100</v>
      </c>
      <c r="BO10" s="2">
        <v>35</v>
      </c>
      <c r="BP10" s="2">
        <v>42</v>
      </c>
      <c r="BQ10" s="2">
        <v>45</v>
      </c>
      <c r="BR10" s="2">
        <v>48</v>
      </c>
      <c r="BS10" s="2">
        <v>54</v>
      </c>
      <c r="BT10" s="2">
        <v>9</v>
      </c>
      <c r="BU10" s="2">
        <v>40</v>
      </c>
      <c r="BV10" s="2">
        <v>53</v>
      </c>
      <c r="BW10" s="2">
        <v>66</v>
      </c>
      <c r="BX10" s="2">
        <v>97</v>
      </c>
      <c r="BY10" s="2">
        <v>48</v>
      </c>
      <c r="BZ10" s="2">
        <v>1</v>
      </c>
      <c r="CA10" s="2">
        <v>0.5</v>
      </c>
      <c r="CB10" s="2">
        <v>1.2061762029986901E-4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10b</v>
      </c>
      <c r="J11" s="47">
        <f t="shared" ca="1" si="35"/>
        <v>6</v>
      </c>
      <c r="K11" s="19">
        <f t="shared" ca="1" si="36"/>
        <v>-7</v>
      </c>
      <c r="L11" s="116" t="str">
        <f t="shared" ca="1" si="1"/>
        <v>EW_sand_Ruled_71</v>
      </c>
      <c r="M11" s="105" t="str">
        <f t="shared" ca="1" si="2"/>
        <v>API sand</v>
      </c>
      <c r="N11" s="47">
        <f t="shared" ca="1" si="3"/>
        <v>9.8999999999999986</v>
      </c>
      <c r="O11" s="63">
        <f t="shared" ca="1" si="4"/>
        <v>0</v>
      </c>
      <c r="P11" s="63">
        <f t="shared" ca="1" si="5"/>
        <v>0</v>
      </c>
      <c r="Q11" s="47">
        <f t="shared" ca="1" si="6"/>
        <v>39</v>
      </c>
      <c r="R11" s="47">
        <f t="shared" ca="1" si="7"/>
        <v>34</v>
      </c>
      <c r="S11" s="47">
        <f t="shared" ca="1" si="8"/>
        <v>1.1000000000000001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67200</v>
      </c>
      <c r="Y11" s="47">
        <f t="shared" ca="1" si="14"/>
        <v>0</v>
      </c>
      <c r="Z11" s="47">
        <f t="shared" ca="1" si="15"/>
        <v>111.19999999999996</v>
      </c>
      <c r="AA11" s="47">
        <f t="shared" ca="1" si="16"/>
        <v>1</v>
      </c>
      <c r="AB11" s="47">
        <f t="shared" ca="1" si="17"/>
        <v>11520</v>
      </c>
      <c r="AC11" s="63">
        <f t="shared" ca="1" si="18"/>
        <v>94000</v>
      </c>
      <c r="AD11" s="63">
        <f t="shared" ca="1" si="19"/>
        <v>3000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48.000000000000007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71</v>
      </c>
      <c r="AS11" s="33">
        <f t="shared" ca="1" si="34"/>
        <v>0.4</v>
      </c>
      <c r="AW11" s="2">
        <v>2.6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9.4</v>
      </c>
      <c r="BE11" s="2">
        <v>10.6</v>
      </c>
      <c r="BF11" s="2">
        <v>11.1</v>
      </c>
      <c r="BG11" s="2">
        <v>11.5</v>
      </c>
      <c r="BH11" s="2">
        <v>12.6</v>
      </c>
      <c r="BI11" s="2"/>
      <c r="BJ11" s="2"/>
      <c r="BK11" s="2"/>
      <c r="BL11" s="2"/>
      <c r="BM11" s="2"/>
      <c r="BN11" s="2">
        <v>100</v>
      </c>
      <c r="BO11" s="2">
        <v>35</v>
      </c>
      <c r="BP11" s="2">
        <v>42</v>
      </c>
      <c r="BQ11" s="2">
        <v>45</v>
      </c>
      <c r="BR11" s="2">
        <v>48</v>
      </c>
      <c r="BS11" s="2">
        <v>54</v>
      </c>
      <c r="BT11" s="2">
        <v>10</v>
      </c>
      <c r="BU11" s="2">
        <v>41</v>
      </c>
      <c r="BV11" s="2">
        <v>54</v>
      </c>
      <c r="BW11" s="2">
        <v>67</v>
      </c>
      <c r="BX11" s="2">
        <v>98</v>
      </c>
      <c r="BY11" s="2">
        <v>48</v>
      </c>
      <c r="BZ11" s="2">
        <v>1</v>
      </c>
      <c r="CA11" s="2">
        <v>0.5</v>
      </c>
      <c r="CB11" s="2">
        <v>1.2061762029986901E-4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10b</v>
      </c>
      <c r="J12" s="47">
        <f t="shared" ca="1" si="35"/>
        <v>7</v>
      </c>
      <c r="K12" s="19">
        <f t="shared" ca="1" si="36"/>
        <v>-12</v>
      </c>
      <c r="L12" s="116" t="str">
        <f t="shared" ca="1" si="1"/>
        <v>EW_sand_Ruled_76</v>
      </c>
      <c r="M12" s="105" t="str">
        <f t="shared" ca="1" si="2"/>
        <v>API sand</v>
      </c>
      <c r="N12" s="47">
        <f t="shared" ca="1" si="3"/>
        <v>9.8999999999999986</v>
      </c>
      <c r="O12" s="63">
        <f t="shared" ca="1" si="4"/>
        <v>0</v>
      </c>
      <c r="P12" s="63">
        <f t="shared" ca="1" si="5"/>
        <v>0</v>
      </c>
      <c r="Q12" s="47">
        <f t="shared" ca="1" si="6"/>
        <v>39</v>
      </c>
      <c r="R12" s="47">
        <f t="shared" ca="1" si="7"/>
        <v>34</v>
      </c>
      <c r="S12" s="47">
        <f t="shared" ca="1" si="8"/>
        <v>1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84900</v>
      </c>
      <c r="Y12" s="47">
        <f t="shared" ca="1" si="14"/>
        <v>0</v>
      </c>
      <c r="Z12" s="47">
        <f t="shared" ca="1" si="15"/>
        <v>111.19999999999996</v>
      </c>
      <c r="AA12" s="47">
        <f t="shared" ca="1" si="16"/>
        <v>1</v>
      </c>
      <c r="AB12" s="47">
        <f t="shared" ca="1" si="17"/>
        <v>11520</v>
      </c>
      <c r="AC12" s="63">
        <f t="shared" ca="1" si="18"/>
        <v>121000</v>
      </c>
      <c r="AD12" s="63">
        <f t="shared" ca="1" si="19"/>
        <v>500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48.000000000000007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76</v>
      </c>
      <c r="AS12" s="33">
        <f t="shared" ca="1" si="34"/>
        <v>0.4</v>
      </c>
      <c r="AW12" s="2">
        <v>2.6</v>
      </c>
      <c r="AX12" s="2" t="s">
        <v>259</v>
      </c>
      <c r="AY12" s="130">
        <v>25.5</v>
      </c>
      <c r="AZ12" s="2">
        <v>20</v>
      </c>
      <c r="BA12" s="2"/>
      <c r="BB12" s="2">
        <v>14</v>
      </c>
      <c r="BC12" s="2"/>
      <c r="BD12" s="2">
        <v>7.5</v>
      </c>
      <c r="BE12" s="2">
        <v>9</v>
      </c>
      <c r="BF12" s="2">
        <v>9.3000000000000007</v>
      </c>
      <c r="BG12" s="2">
        <v>10.3</v>
      </c>
      <c r="BH12" s="2">
        <v>16.100000000000001</v>
      </c>
      <c r="BI12" s="2"/>
      <c r="BJ12" s="2"/>
      <c r="BK12" s="2"/>
      <c r="BL12" s="2"/>
      <c r="BM12" s="2"/>
      <c r="BN12" s="2">
        <v>76</v>
      </c>
      <c r="BO12" s="2">
        <v>34</v>
      </c>
      <c r="BP12" s="2">
        <v>40</v>
      </c>
      <c r="BQ12" s="2">
        <v>43</v>
      </c>
      <c r="BR12" s="2">
        <v>46</v>
      </c>
      <c r="BS12" s="2">
        <v>52</v>
      </c>
      <c r="BT12" s="2">
        <v>2</v>
      </c>
      <c r="BU12" s="2">
        <v>39</v>
      </c>
      <c r="BV12" s="2">
        <v>57</v>
      </c>
      <c r="BW12" s="2">
        <v>74</v>
      </c>
      <c r="BX12" s="2">
        <v>116</v>
      </c>
      <c r="BY12" s="2">
        <v>57.9</v>
      </c>
      <c r="BZ12" s="2">
        <v>7.3</v>
      </c>
      <c r="CA12" s="2">
        <v>1.6</v>
      </c>
      <c r="CB12" s="2">
        <v>3.2637258685981598E-5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19b</v>
      </c>
      <c r="J13" s="47">
        <f t="shared" ca="1" si="35"/>
        <v>8</v>
      </c>
      <c r="K13" s="19">
        <f t="shared" ca="1" si="36"/>
        <v>-14</v>
      </c>
      <c r="L13" s="116" t="str">
        <f t="shared" ca="1" si="1"/>
        <v>EW_sand_Ruled_56</v>
      </c>
      <c r="M13" s="105" t="str">
        <f t="shared" ca="1" si="2"/>
        <v>API sand</v>
      </c>
      <c r="N13" s="47">
        <f t="shared" ca="1" si="3"/>
        <v>8.5</v>
      </c>
      <c r="O13" s="63">
        <f t="shared" ca="1" si="4"/>
        <v>0</v>
      </c>
      <c r="P13" s="63">
        <f t="shared" ca="1" si="5"/>
        <v>0</v>
      </c>
      <c r="Q13" s="47">
        <f t="shared" ca="1" si="6"/>
        <v>27</v>
      </c>
      <c r="R13" s="47">
        <f t="shared" ca="1" si="7"/>
        <v>22</v>
      </c>
      <c r="S13" s="47">
        <f t="shared" ca="1" si="8"/>
        <v>0.8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16800</v>
      </c>
      <c r="Y13" s="47">
        <f t="shared" ca="1" si="14"/>
        <v>0</v>
      </c>
      <c r="Z13" s="47">
        <f t="shared" ca="1" si="15"/>
        <v>72.59999999999998</v>
      </c>
      <c r="AA13" s="47">
        <f t="shared" ca="1" si="16"/>
        <v>1</v>
      </c>
      <c r="AB13" s="47">
        <f t="shared" ca="1" si="17"/>
        <v>3660</v>
      </c>
      <c r="AC13" s="63">
        <f t="shared" ca="1" si="18"/>
        <v>88000</v>
      </c>
      <c r="AD13" s="63">
        <f t="shared" ca="1" si="19"/>
        <v>2637.3626373626371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15.200000000000003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56</v>
      </c>
      <c r="AS13" s="33">
        <f t="shared" ca="1" si="34"/>
        <v>0.2</v>
      </c>
      <c r="AW13" s="2">
        <v>6</v>
      </c>
      <c r="AX13" s="2" t="s">
        <v>259</v>
      </c>
      <c r="AY13" s="130">
        <v>25.5</v>
      </c>
      <c r="AZ13" s="2">
        <v>20</v>
      </c>
      <c r="BA13" s="2"/>
      <c r="BB13" s="2">
        <v>14</v>
      </c>
      <c r="BC13" s="2"/>
      <c r="BD13" s="2">
        <v>15.6</v>
      </c>
      <c r="BE13" s="2">
        <v>17.100000000000001</v>
      </c>
      <c r="BF13" s="2">
        <v>17.399999999999999</v>
      </c>
      <c r="BG13" s="2">
        <v>18.399999999999999</v>
      </c>
      <c r="BH13" s="2">
        <v>24.3</v>
      </c>
      <c r="BI13" s="2"/>
      <c r="BJ13" s="2"/>
      <c r="BK13" s="2"/>
      <c r="BL13" s="2"/>
      <c r="BM13" s="2"/>
      <c r="BN13" s="2">
        <v>76</v>
      </c>
      <c r="BO13" s="2">
        <v>34</v>
      </c>
      <c r="BP13" s="2">
        <v>40</v>
      </c>
      <c r="BQ13" s="2">
        <v>43</v>
      </c>
      <c r="BR13" s="2">
        <v>46</v>
      </c>
      <c r="BS13" s="2">
        <v>52</v>
      </c>
      <c r="BT13" s="2">
        <v>32</v>
      </c>
      <c r="BU13" s="2">
        <v>69</v>
      </c>
      <c r="BV13" s="2">
        <v>86</v>
      </c>
      <c r="BW13" s="2">
        <v>103</v>
      </c>
      <c r="BX13" s="2">
        <v>145</v>
      </c>
      <c r="BY13" s="2">
        <v>57.9</v>
      </c>
      <c r="BZ13" s="2">
        <v>7.3</v>
      </c>
      <c r="CA13" s="2">
        <v>1.6</v>
      </c>
      <c r="CB13" s="2">
        <v>3.2637258685981598E-5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21a</v>
      </c>
      <c r="J14" s="47">
        <f t="shared" ca="1" si="35"/>
        <v>9</v>
      </c>
      <c r="K14" s="19">
        <f t="shared" ca="1" si="36"/>
        <v>-23.1</v>
      </c>
      <c r="L14" s="116" t="str">
        <f t="shared" ca="1" si="1"/>
        <v>EW_sand_Ruled_46</v>
      </c>
      <c r="M14" s="105" t="str">
        <f t="shared" ca="1" si="2"/>
        <v>API sand</v>
      </c>
      <c r="N14" s="47">
        <f t="shared" ca="1" si="3"/>
        <v>9.8000000000000007</v>
      </c>
      <c r="O14" s="63">
        <f t="shared" ca="1" si="4"/>
        <v>0</v>
      </c>
      <c r="P14" s="63">
        <f t="shared" ca="1" si="5"/>
        <v>0</v>
      </c>
      <c r="Q14" s="47">
        <f t="shared" ca="1" si="6"/>
        <v>27</v>
      </c>
      <c r="R14" s="47">
        <f t="shared" ca="1" si="7"/>
        <v>22</v>
      </c>
      <c r="S14" s="47">
        <f t="shared" ca="1" si="8"/>
        <v>0.7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40800</v>
      </c>
      <c r="Y14" s="47">
        <f t="shared" ca="1" si="14"/>
        <v>0</v>
      </c>
      <c r="Z14" s="47">
        <f t="shared" ca="1" si="15"/>
        <v>72.59999999999998</v>
      </c>
      <c r="AA14" s="47">
        <f t="shared" ca="1" si="16"/>
        <v>1</v>
      </c>
      <c r="AB14" s="47">
        <f t="shared" ca="1" si="17"/>
        <v>3660</v>
      </c>
      <c r="AC14" s="63">
        <f t="shared" ca="1" si="18"/>
        <v>130000</v>
      </c>
      <c r="AD14" s="63">
        <f t="shared" ca="1" si="19"/>
        <v>1230.7692307692309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15.200000000000003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46</v>
      </c>
      <c r="AS14" s="33">
        <f t="shared" ca="1" si="34"/>
        <v>0.2</v>
      </c>
      <c r="AW14" s="2">
        <v>6</v>
      </c>
      <c r="AX14" s="2" t="s">
        <v>261</v>
      </c>
      <c r="AY14" s="130">
        <v>24</v>
      </c>
      <c r="AZ14" s="2">
        <v>19.899999999999999</v>
      </c>
      <c r="BA14" s="2"/>
      <c r="BB14" s="2">
        <v>6</v>
      </c>
      <c r="BC14" s="2"/>
      <c r="BD14" s="2">
        <v>25.3</v>
      </c>
      <c r="BE14" s="2">
        <v>27</v>
      </c>
      <c r="BF14" s="2">
        <v>27.7</v>
      </c>
      <c r="BG14" s="2">
        <v>28.4</v>
      </c>
      <c r="BH14" s="2">
        <f>10+30.4</f>
        <v>40.4</v>
      </c>
      <c r="BI14" s="2"/>
      <c r="BJ14" s="2"/>
      <c r="BK14" s="2"/>
      <c r="BL14" s="2"/>
      <c r="BM14" s="2"/>
      <c r="BN14" s="2">
        <v>84</v>
      </c>
      <c r="BO14" s="2">
        <v>35</v>
      </c>
      <c r="BP14" s="2">
        <v>41</v>
      </c>
      <c r="BQ14" s="2">
        <v>44</v>
      </c>
      <c r="BR14" s="2">
        <v>48</v>
      </c>
      <c r="BS14" s="2">
        <v>54</v>
      </c>
      <c r="BT14" s="2">
        <v>23</v>
      </c>
      <c r="BU14" s="2">
        <v>77</v>
      </c>
      <c r="BV14" s="2">
        <v>99</v>
      </c>
      <c r="BW14" s="2">
        <v>121</v>
      </c>
      <c r="BX14" s="2">
        <v>175</v>
      </c>
      <c r="BY14" s="2">
        <v>87.7</v>
      </c>
      <c r="BZ14" s="2">
        <v>6.9</v>
      </c>
      <c r="CA14" s="2">
        <v>1.6</v>
      </c>
      <c r="CB14" s="2">
        <v>9.1633448640340002E-5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23d</v>
      </c>
      <c r="J15" s="47">
        <f t="shared" ca="1" si="35"/>
        <v>10</v>
      </c>
      <c r="K15" s="19">
        <f t="shared" ca="1" si="36"/>
        <v>-36.1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8.8999999999999986</v>
      </c>
      <c r="O15" s="63">
        <f t="shared" ca="1" si="4"/>
        <v>304</v>
      </c>
      <c r="P15" s="63">
        <f t="shared" ca="1" si="5"/>
        <v>5.8997722095671987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41300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434000</v>
      </c>
      <c r="AD15" s="63">
        <f t="shared" ca="1" si="19"/>
        <v>10592.255125284739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7</v>
      </c>
      <c r="AX15" s="2" t="s">
        <v>261</v>
      </c>
      <c r="AY15" s="130">
        <v>24</v>
      </c>
      <c r="AZ15" s="2">
        <v>19.899999999999999</v>
      </c>
      <c r="BA15" s="2"/>
      <c r="BB15" s="2">
        <v>6</v>
      </c>
      <c r="BC15" s="2"/>
      <c r="BD15" s="2">
        <v>11.9</v>
      </c>
      <c r="BE15" s="2">
        <v>13.7</v>
      </c>
      <c r="BF15" s="2">
        <v>14.3</v>
      </c>
      <c r="BG15" s="2">
        <v>15.1</v>
      </c>
      <c r="BH15" s="2">
        <f>10+17.1</f>
        <v>27.1</v>
      </c>
      <c r="BI15" s="2"/>
      <c r="BJ15" s="2"/>
      <c r="BK15" s="2"/>
      <c r="BL15" s="2"/>
      <c r="BM15" s="2"/>
      <c r="BN15" s="2">
        <v>84</v>
      </c>
      <c r="BO15" s="2">
        <v>35</v>
      </c>
      <c r="BP15" s="2">
        <v>41</v>
      </c>
      <c r="BQ15" s="2">
        <v>44</v>
      </c>
      <c r="BR15" s="2">
        <v>48</v>
      </c>
      <c r="BS15" s="2">
        <v>54</v>
      </c>
      <c r="BT15" s="2">
        <v>11</v>
      </c>
      <c r="BU15" s="2">
        <v>65</v>
      </c>
      <c r="BV15" s="2">
        <v>87</v>
      </c>
      <c r="BW15" s="2">
        <v>109</v>
      </c>
      <c r="BX15" s="2">
        <v>163</v>
      </c>
      <c r="BY15" s="2">
        <v>87.7</v>
      </c>
      <c r="BZ15" s="2">
        <v>6.9</v>
      </c>
      <c r="CA15" s="2">
        <v>1.6</v>
      </c>
      <c r="CB15" s="2">
        <v>9.1633448640340002E-5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/>
      </c>
      <c r="J16" s="47" t="str">
        <f t="shared" ca="1" si="35"/>
        <v/>
      </c>
      <c r="K16" s="19" t="str">
        <f t="shared" ca="1" si="36"/>
        <v/>
      </c>
      <c r="L16" s="116" t="str">
        <f t="shared" ca="1" si="1"/>
        <v/>
      </c>
      <c r="M16" s="105" t="str">
        <f t="shared" ca="1" si="2"/>
        <v/>
      </c>
      <c r="N16" s="47" t="str">
        <f t="shared" ca="1" si="3"/>
        <v/>
      </c>
      <c r="O16" s="63" t="str">
        <f t="shared" ca="1" si="4"/>
        <v/>
      </c>
      <c r="P16" s="63" t="str">
        <f t="shared" ca="1" si="5"/>
        <v/>
      </c>
      <c r="Q16" s="47" t="str">
        <f t="shared" ca="1" si="6"/>
        <v/>
      </c>
      <c r="R16" s="47" t="str">
        <f t="shared" ca="1" si="7"/>
        <v/>
      </c>
      <c r="S16" s="47" t="str">
        <f t="shared" ca="1" si="8"/>
        <v/>
      </c>
      <c r="T16" s="47" t="str">
        <f t="shared" ca="1" si="9"/>
        <v/>
      </c>
      <c r="U16" s="75" t="str">
        <f t="shared" ca="1" si="10"/>
        <v/>
      </c>
      <c r="V16" s="75" t="str">
        <f t="shared" ca="1" si="11"/>
        <v/>
      </c>
      <c r="W16" s="47" t="str">
        <f t="shared" ca="1" si="12"/>
        <v/>
      </c>
      <c r="X16" s="47" t="str">
        <f t="shared" ca="1" si="13"/>
        <v/>
      </c>
      <c r="Y16" s="47" t="str">
        <f t="shared" ca="1" si="14"/>
        <v/>
      </c>
      <c r="Z16" s="47" t="str">
        <f t="shared" ca="1" si="15"/>
        <v/>
      </c>
      <c r="AA16" s="47" t="str">
        <f t="shared" ca="1" si="16"/>
        <v/>
      </c>
      <c r="AB16" s="47" t="str">
        <f t="shared" ca="1" si="17"/>
        <v/>
      </c>
      <c r="AC16" s="63" t="str">
        <f t="shared" ca="1" si="18"/>
        <v/>
      </c>
      <c r="AD16" s="63" t="str">
        <f t="shared" ca="1" si="19"/>
        <v/>
      </c>
      <c r="AE16" s="63" t="str">
        <f t="shared" ca="1" si="20"/>
        <v/>
      </c>
      <c r="AF16" s="63" t="str">
        <f t="shared" ca="1" si="21"/>
        <v/>
      </c>
      <c r="AG16" s="63" t="str">
        <f t="shared" ca="1" si="22"/>
        <v/>
      </c>
      <c r="AH16" s="63" t="str">
        <f t="shared" ca="1" si="23"/>
        <v/>
      </c>
      <c r="AI16" s="63" t="str">
        <f t="shared" ca="1" si="24"/>
        <v/>
      </c>
      <c r="AJ16" s="47" t="str">
        <f t="shared" ca="1" si="25"/>
        <v/>
      </c>
      <c r="AK16" s="47" t="str">
        <f t="shared" ca="1" si="26"/>
        <v/>
      </c>
      <c r="AL16" s="47" t="str">
        <f t="shared" ca="1" si="27"/>
        <v/>
      </c>
      <c r="AM16" s="47" t="str">
        <f t="shared" ca="1" si="28"/>
        <v/>
      </c>
      <c r="AN16" s="47" t="str">
        <f t="shared" ca="1" si="29"/>
        <v/>
      </c>
      <c r="AO16" s="47" t="str">
        <f t="shared" ca="1" si="30"/>
        <v/>
      </c>
      <c r="AP16" s="47" t="str">
        <f t="shared" ca="1" si="31"/>
        <v/>
      </c>
      <c r="AQ16" s="47" t="str">
        <f t="shared" ca="1" si="32"/>
        <v/>
      </c>
      <c r="AR16" s="47" t="str">
        <f t="shared" ca="1" si="33"/>
        <v/>
      </c>
      <c r="AS16" s="33" t="str">
        <f t="shared" ca="1" si="34"/>
        <v/>
      </c>
      <c r="AW16" s="2">
        <v>7</v>
      </c>
      <c r="AX16" s="2" t="s">
        <v>261</v>
      </c>
      <c r="AY16" s="130">
        <v>24</v>
      </c>
      <c r="AZ16" s="2">
        <v>19.899999999999999</v>
      </c>
      <c r="BA16" s="2"/>
      <c r="BB16" s="2">
        <v>6</v>
      </c>
      <c r="BC16" s="2"/>
      <c r="BD16" s="2">
        <v>16.8</v>
      </c>
      <c r="BE16" s="2">
        <v>17.899999999999999</v>
      </c>
      <c r="BF16" s="2">
        <v>18</v>
      </c>
      <c r="BG16" s="2">
        <v>18.3</v>
      </c>
      <c r="BH16" s="2">
        <v>19.600000000000001</v>
      </c>
      <c r="BI16" s="2"/>
      <c r="BJ16" s="2"/>
      <c r="BK16" s="2"/>
      <c r="BL16" s="2"/>
      <c r="BM16" s="2"/>
      <c r="BN16" s="2">
        <v>71</v>
      </c>
      <c r="BO16" s="2">
        <v>33</v>
      </c>
      <c r="BP16" s="2">
        <v>39</v>
      </c>
      <c r="BQ16" s="2">
        <v>42</v>
      </c>
      <c r="BR16" s="2">
        <v>45</v>
      </c>
      <c r="BS16" s="2">
        <v>51</v>
      </c>
      <c r="BT16" s="2">
        <v>12</v>
      </c>
      <c r="BU16" s="2">
        <v>71</v>
      </c>
      <c r="BV16" s="2">
        <v>94</v>
      </c>
      <c r="BW16" s="2">
        <v>118</v>
      </c>
      <c r="BX16" s="2">
        <v>177</v>
      </c>
      <c r="BY16" s="2">
        <v>67.2</v>
      </c>
      <c r="BZ16" s="2">
        <v>3.8</v>
      </c>
      <c r="CA16" s="2">
        <v>1.1000000000000001</v>
      </c>
      <c r="CB16" s="2">
        <v>4.8533233078258797E-6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12</v>
      </c>
      <c r="AX17" s="2" t="s">
        <v>261</v>
      </c>
      <c r="AY17" s="130">
        <v>24</v>
      </c>
      <c r="AZ17" s="2">
        <v>19.899999999999999</v>
      </c>
      <c r="BA17" s="2"/>
      <c r="BB17" s="2">
        <v>6</v>
      </c>
      <c r="BC17" s="2"/>
      <c r="BD17" s="2">
        <v>13.9</v>
      </c>
      <c r="BE17" s="2">
        <v>15</v>
      </c>
      <c r="BF17" s="2">
        <v>15.2</v>
      </c>
      <c r="BG17" s="2">
        <v>15.4</v>
      </c>
      <c r="BH17" s="2">
        <v>16.8</v>
      </c>
      <c r="BI17" s="2"/>
      <c r="BJ17" s="2"/>
      <c r="BK17" s="2"/>
      <c r="BL17" s="2"/>
      <c r="BM17" s="2"/>
      <c r="BN17" s="2">
        <v>71</v>
      </c>
      <c r="BO17" s="2">
        <v>33</v>
      </c>
      <c r="BP17" s="2">
        <v>39</v>
      </c>
      <c r="BQ17" s="2">
        <v>42</v>
      </c>
      <c r="BR17" s="2">
        <v>45</v>
      </c>
      <c r="BS17" s="2">
        <v>51</v>
      </c>
      <c r="BT17" s="2">
        <v>26</v>
      </c>
      <c r="BU17" s="2">
        <v>85</v>
      </c>
      <c r="BV17" s="2">
        <v>109</v>
      </c>
      <c r="BW17" s="2">
        <v>133</v>
      </c>
      <c r="BX17" s="2">
        <v>191</v>
      </c>
      <c r="BY17" s="2">
        <v>67.2</v>
      </c>
      <c r="BZ17" s="2">
        <v>3.8</v>
      </c>
      <c r="CA17" s="2">
        <v>1.1000000000000001</v>
      </c>
      <c r="CB17" s="2">
        <v>4.8533233078258797E-6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12</v>
      </c>
      <c r="AX18" s="2" t="s">
        <v>261</v>
      </c>
      <c r="AY18" s="130">
        <v>24</v>
      </c>
      <c r="AZ18" s="2">
        <v>19.899999999999999</v>
      </c>
      <c r="BA18" s="2"/>
      <c r="BB18" s="2">
        <v>6</v>
      </c>
      <c r="BC18" s="2"/>
      <c r="BD18" s="2">
        <f>-5+20.5</f>
        <v>15.5</v>
      </c>
      <c r="BE18" s="2">
        <v>21.9</v>
      </c>
      <c r="BF18" s="2">
        <v>22.3</v>
      </c>
      <c r="BG18" s="2">
        <v>22.8</v>
      </c>
      <c r="BH18" s="2">
        <f>5+24.7</f>
        <v>29.7</v>
      </c>
      <c r="BI18" s="2"/>
      <c r="BJ18" s="2"/>
      <c r="BK18" s="2"/>
      <c r="BL18" s="2"/>
      <c r="BM18" s="2"/>
      <c r="BN18" s="2">
        <v>76</v>
      </c>
      <c r="BO18" s="2">
        <v>34</v>
      </c>
      <c r="BP18" s="2">
        <v>39</v>
      </c>
      <c r="BQ18" s="2">
        <v>43</v>
      </c>
      <c r="BR18" s="2">
        <v>46</v>
      </c>
      <c r="BS18" s="2">
        <v>51</v>
      </c>
      <c r="BT18" s="2">
        <v>22</v>
      </c>
      <c r="BU18" s="2">
        <v>92</v>
      </c>
      <c r="BV18" s="2">
        <v>121</v>
      </c>
      <c r="BW18" s="2">
        <v>149</v>
      </c>
      <c r="BX18" s="2">
        <v>219</v>
      </c>
      <c r="BY18" s="2">
        <v>84.9</v>
      </c>
      <c r="BZ18" s="2">
        <v>3.3</v>
      </c>
      <c r="CA18" s="2">
        <v>1</v>
      </c>
      <c r="CB18" s="2">
        <v>6.7984003715571501E-6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14</v>
      </c>
      <c r="AX19" s="2" t="s">
        <v>261</v>
      </c>
      <c r="AY19" s="130">
        <v>24</v>
      </c>
      <c r="AZ19" s="2">
        <v>19.899999999999999</v>
      </c>
      <c r="BA19" s="2"/>
      <c r="BB19" s="2">
        <v>6</v>
      </c>
      <c r="BC19" s="2"/>
      <c r="BD19" s="2">
        <f>-5+17.6</f>
        <v>12.600000000000001</v>
      </c>
      <c r="BE19" s="2">
        <v>18.899999999999999</v>
      </c>
      <c r="BF19" s="2">
        <v>19.3</v>
      </c>
      <c r="BG19" s="2">
        <v>19.8</v>
      </c>
      <c r="BH19" s="2">
        <f>5+21.7</f>
        <v>26.7</v>
      </c>
      <c r="BI19" s="2"/>
      <c r="BJ19" s="2"/>
      <c r="BK19" s="2"/>
      <c r="BL19" s="2"/>
      <c r="BM19" s="2"/>
      <c r="BN19" s="2">
        <v>76</v>
      </c>
      <c r="BO19" s="2">
        <v>34</v>
      </c>
      <c r="BP19" s="2">
        <v>39</v>
      </c>
      <c r="BQ19" s="2">
        <v>43</v>
      </c>
      <c r="BR19" s="2">
        <v>46</v>
      </c>
      <c r="BS19" s="2">
        <v>51</v>
      </c>
      <c r="BT19" s="2">
        <v>23</v>
      </c>
      <c r="BU19" s="2">
        <v>93</v>
      </c>
      <c r="BV19" s="2">
        <v>122</v>
      </c>
      <c r="BW19" s="2">
        <v>150</v>
      </c>
      <c r="BX19" s="2">
        <v>220</v>
      </c>
      <c r="BY19" s="2">
        <v>84.9</v>
      </c>
      <c r="BZ19" s="2">
        <v>3.3</v>
      </c>
      <c r="CA19" s="2">
        <v>1</v>
      </c>
      <c r="CB19" s="2">
        <v>6.7984003715571501E-6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14</v>
      </c>
      <c r="AX20" s="2" t="s">
        <v>291</v>
      </c>
      <c r="AY20" s="130">
        <v>35.4</v>
      </c>
      <c r="AZ20" s="2">
        <v>18.5</v>
      </c>
      <c r="BA20" s="2"/>
      <c r="BB20" s="2">
        <v>54</v>
      </c>
      <c r="BC20" s="2"/>
      <c r="BD20" s="2">
        <v>1.6</v>
      </c>
      <c r="BE20" s="2">
        <v>4.5999999999999996</v>
      </c>
      <c r="BF20" s="2">
        <v>5</v>
      </c>
      <c r="BG20" s="2">
        <v>5.8</v>
      </c>
      <c r="BH20" s="2">
        <v>12.1</v>
      </c>
      <c r="BI20" s="2"/>
      <c r="BJ20" s="2"/>
      <c r="BK20" s="2"/>
      <c r="BL20" s="2"/>
      <c r="BM20" s="2"/>
      <c r="BN20" s="2">
        <v>56</v>
      </c>
      <c r="BO20" s="2">
        <v>26</v>
      </c>
      <c r="BP20" s="2">
        <v>27</v>
      </c>
      <c r="BQ20" s="2">
        <v>28</v>
      </c>
      <c r="BR20" s="2">
        <v>30</v>
      </c>
      <c r="BS20" s="2">
        <v>34</v>
      </c>
      <c r="BT20" s="2">
        <v>14</v>
      </c>
      <c r="BU20" s="2">
        <v>65</v>
      </c>
      <c r="BV20" s="2">
        <v>88</v>
      </c>
      <c r="BW20" s="2">
        <v>112</v>
      </c>
      <c r="BX20" s="2">
        <v>172</v>
      </c>
      <c r="BY20" s="2">
        <v>16.8</v>
      </c>
      <c r="BZ20" s="2">
        <v>2.1</v>
      </c>
      <c r="CA20" s="2">
        <v>0.8</v>
      </c>
      <c r="CB20" s="2">
        <v>7.5093388199403201E-10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23.1</v>
      </c>
      <c r="AX21" s="2" t="s">
        <v>291</v>
      </c>
      <c r="AY21" s="130">
        <v>35.4</v>
      </c>
      <c r="AZ21" s="2">
        <v>18.5</v>
      </c>
      <c r="BA21" s="2"/>
      <c r="BB21" s="2">
        <v>54</v>
      </c>
      <c r="BC21" s="2"/>
      <c r="BD21" s="2">
        <v>5.7</v>
      </c>
      <c r="BE21" s="2">
        <v>8.6</v>
      </c>
      <c r="BF21" s="2">
        <v>9.1</v>
      </c>
      <c r="BG21" s="2">
        <v>9.9</v>
      </c>
      <c r="BH21" s="2">
        <v>16.2</v>
      </c>
      <c r="BI21" s="2"/>
      <c r="BJ21" s="2"/>
      <c r="BK21" s="2"/>
      <c r="BL21" s="2"/>
      <c r="BM21" s="2"/>
      <c r="BN21" s="2">
        <v>56</v>
      </c>
      <c r="BO21" s="2">
        <v>26</v>
      </c>
      <c r="BP21" s="2">
        <v>27</v>
      </c>
      <c r="BQ21" s="2">
        <v>28</v>
      </c>
      <c r="BR21" s="2">
        <v>30</v>
      </c>
      <c r="BS21" s="2">
        <v>34</v>
      </c>
      <c r="BT21" s="2">
        <v>38</v>
      </c>
      <c r="BU21" s="2">
        <v>89</v>
      </c>
      <c r="BV21" s="2">
        <v>112</v>
      </c>
      <c r="BW21" s="2">
        <v>136</v>
      </c>
      <c r="BX21" s="2">
        <v>196</v>
      </c>
      <c r="BY21" s="2">
        <v>16.8</v>
      </c>
      <c r="BZ21" s="2">
        <v>2.1</v>
      </c>
      <c r="CA21" s="2">
        <v>0.8</v>
      </c>
      <c r="CB21" s="2">
        <v>7.5093388199403201E-10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23.1</v>
      </c>
      <c r="AX22" s="2" t="s">
        <v>271</v>
      </c>
      <c r="AY22" s="130">
        <v>24.7</v>
      </c>
      <c r="AZ22" s="2">
        <v>19.8</v>
      </c>
      <c r="BA22" s="2"/>
      <c r="BB22" s="2">
        <v>11</v>
      </c>
      <c r="BC22" s="2"/>
      <c r="BD22" s="2">
        <v>2.5</v>
      </c>
      <c r="BE22" s="2">
        <v>7.3</v>
      </c>
      <c r="BF22" s="2">
        <v>11.6</v>
      </c>
      <c r="BG22" s="2">
        <v>25</v>
      </c>
      <c r="BH22" s="2">
        <v>66.5</v>
      </c>
      <c r="BI22" s="2"/>
      <c r="BJ22" s="2"/>
      <c r="BK22" s="2"/>
      <c r="BL22" s="2"/>
      <c r="BM22" s="2"/>
      <c r="BN22" s="2">
        <v>46</v>
      </c>
      <c r="BO22" s="2">
        <v>26</v>
      </c>
      <c r="BP22" s="2">
        <v>27</v>
      </c>
      <c r="BQ22" s="2">
        <v>29</v>
      </c>
      <c r="BR22" s="2">
        <v>31</v>
      </c>
      <c r="BS22" s="2">
        <v>35</v>
      </c>
      <c r="BT22" s="2">
        <v>23</v>
      </c>
      <c r="BU22" s="2">
        <v>97</v>
      </c>
      <c r="BV22" s="2">
        <v>130</v>
      </c>
      <c r="BW22" s="2">
        <v>162</v>
      </c>
      <c r="BX22" s="2">
        <v>242</v>
      </c>
      <c r="BY22" s="2">
        <v>40.799999999999997</v>
      </c>
      <c r="BZ22" s="2">
        <v>1.9</v>
      </c>
      <c r="CA22" s="2">
        <v>0.7</v>
      </c>
      <c r="CB22" s="2">
        <v>1.2170836151697599E-12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36.1</v>
      </c>
      <c r="AX23" s="2" t="s">
        <v>271</v>
      </c>
      <c r="AY23" s="130">
        <v>24.7</v>
      </c>
      <c r="AZ23" s="2">
        <v>19.8</v>
      </c>
      <c r="BA23" s="2"/>
      <c r="BB23" s="2">
        <v>11</v>
      </c>
      <c r="BC23" s="2"/>
      <c r="BD23" s="2">
        <v>1.3</v>
      </c>
      <c r="BE23" s="2">
        <v>6</v>
      </c>
      <c r="BF23" s="2">
        <v>10.3</v>
      </c>
      <c r="BG23" s="2">
        <v>23.7</v>
      </c>
      <c r="BH23" s="2">
        <v>65.2</v>
      </c>
      <c r="BI23" s="2"/>
      <c r="BJ23" s="2"/>
      <c r="BK23" s="2"/>
      <c r="BL23" s="2"/>
      <c r="BM23" s="2"/>
      <c r="BN23" s="2">
        <v>46</v>
      </c>
      <c r="BO23" s="2">
        <v>26</v>
      </c>
      <c r="BP23" s="2">
        <v>27</v>
      </c>
      <c r="BQ23" s="2">
        <v>29</v>
      </c>
      <c r="BR23" s="2">
        <v>31</v>
      </c>
      <c r="BS23" s="2">
        <v>35</v>
      </c>
      <c r="BT23" s="2">
        <v>39</v>
      </c>
      <c r="BU23" s="2">
        <v>114</v>
      </c>
      <c r="BV23" s="2">
        <v>146</v>
      </c>
      <c r="BW23" s="2">
        <v>178</v>
      </c>
      <c r="BX23" s="2">
        <v>258</v>
      </c>
      <c r="BY23" s="2">
        <v>40.799999999999997</v>
      </c>
      <c r="BZ23" s="2">
        <v>1.9</v>
      </c>
      <c r="CA23" s="2">
        <v>0.7</v>
      </c>
      <c r="CB23" s="2">
        <v>1.2170836151697599E-12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36.1</v>
      </c>
      <c r="AX24" s="2" t="s">
        <v>273</v>
      </c>
      <c r="AY24" s="130">
        <v>32</v>
      </c>
      <c r="AZ24" s="2">
        <v>18.899999999999999</v>
      </c>
      <c r="BA24" s="2">
        <v>47</v>
      </c>
      <c r="BB24" s="2">
        <v>85</v>
      </c>
      <c r="BC24" s="2">
        <v>3</v>
      </c>
      <c r="BD24" s="2">
        <v>1.3</v>
      </c>
      <c r="BE24" s="2">
        <v>4.7</v>
      </c>
      <c r="BF24" s="2">
        <v>7.7</v>
      </c>
      <c r="BG24" s="2">
        <v>20.7</v>
      </c>
      <c r="BH24" s="2">
        <v>61.2</v>
      </c>
      <c r="BI24" s="2">
        <v>218</v>
      </c>
      <c r="BJ24" s="2">
        <v>304</v>
      </c>
      <c r="BK24" s="2">
        <v>347</v>
      </c>
      <c r="BL24" s="2">
        <v>391</v>
      </c>
      <c r="BM24" s="2">
        <v>477</v>
      </c>
      <c r="BN24" s="2"/>
      <c r="BO24" s="2"/>
      <c r="BP24" s="2"/>
      <c r="BQ24" s="2"/>
      <c r="BR24" s="2"/>
      <c r="BS24" s="2"/>
      <c r="BT24" s="2">
        <v>174</v>
      </c>
      <c r="BU24" s="2">
        <v>347</v>
      </c>
      <c r="BV24" s="2">
        <v>434</v>
      </c>
      <c r="BW24" s="2">
        <v>521</v>
      </c>
      <c r="BX24" s="2">
        <v>694</v>
      </c>
      <c r="BY24" s="2">
        <v>41.3</v>
      </c>
      <c r="BZ24" s="2">
        <v>5.3</v>
      </c>
      <c r="CA24" s="2">
        <v>3</v>
      </c>
      <c r="CB24" s="2">
        <v>4.2350876798794901E-12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80</v>
      </c>
      <c r="AX25" s="2" t="s">
        <v>273</v>
      </c>
      <c r="AY25" s="130">
        <v>32</v>
      </c>
      <c r="AZ25" s="2">
        <v>18.899999999999999</v>
      </c>
      <c r="BA25" s="2">
        <v>47</v>
      </c>
      <c r="BB25" s="2">
        <v>85</v>
      </c>
      <c r="BC25" s="2">
        <v>3</v>
      </c>
      <c r="BD25" s="2">
        <v>7.3</v>
      </c>
      <c r="BE25" s="2">
        <v>9.6999999999999993</v>
      </c>
      <c r="BF25" s="2">
        <v>13.7</v>
      </c>
      <c r="BG25" s="2">
        <v>26.7</v>
      </c>
      <c r="BH25" s="2">
        <v>67.099999999999994</v>
      </c>
      <c r="BI25" s="2">
        <v>477</v>
      </c>
      <c r="BJ25" s="2">
        <v>563</v>
      </c>
      <c r="BK25" s="2">
        <v>606</v>
      </c>
      <c r="BL25" s="2">
        <v>651</v>
      </c>
      <c r="BM25" s="2">
        <v>736</v>
      </c>
      <c r="BN25" s="2"/>
      <c r="BO25" s="2"/>
      <c r="BP25" s="2"/>
      <c r="BQ25" s="2"/>
      <c r="BR25" s="2"/>
      <c r="BS25" s="2"/>
      <c r="BT25" s="2">
        <v>640</v>
      </c>
      <c r="BU25" s="2">
        <v>812</v>
      </c>
      <c r="BV25" s="2">
        <v>899</v>
      </c>
      <c r="BW25" s="2">
        <v>986</v>
      </c>
      <c r="BX25" s="2">
        <v>1159</v>
      </c>
      <c r="BY25" s="2">
        <v>41.3</v>
      </c>
      <c r="BZ25" s="2">
        <v>5.3</v>
      </c>
      <c r="CA25" s="2">
        <v>3</v>
      </c>
      <c r="CB25" s="2">
        <v>4.2350876798794901E-12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/>
      <c r="AX26" s="2"/>
      <c r="AY26" s="130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/>
      <c r="AX27" s="2"/>
      <c r="AY27" s="130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284" priority="12">
      <formula>$L32="API sand"</formula>
    </cfRule>
  </conditionalFormatting>
  <conditionalFormatting sqref="R32:S36 AB32:AB35 AJ32:AL36 Z32:Z36 N32:N36">
    <cfRule type="expression" dxfId="2283" priority="11">
      <formula>$M32="API sand"</formula>
    </cfRule>
  </conditionalFormatting>
  <conditionalFormatting sqref="R32:T36 Z32:AB35 AK32:AL36 N32:N36">
    <cfRule type="expression" dxfId="2282" priority="10">
      <formula>$M32="API clay"</formula>
    </cfRule>
  </conditionalFormatting>
  <conditionalFormatting sqref="U32:W36 AM32:AP36 N32:P36">
    <cfRule type="expression" dxfId="2281" priority="7">
      <formula>$L32="Stiff clay w/o free water"</formula>
    </cfRule>
    <cfRule type="expression" dxfId="2280" priority="9">
      <formula>$L32="API clay"</formula>
    </cfRule>
  </conditionalFormatting>
  <conditionalFormatting sqref="U32:Y36 AM32:AP36 N32:P36">
    <cfRule type="expression" dxfId="2279" priority="8">
      <formula>$L32="Kirsch soft clay"</formula>
    </cfRule>
  </conditionalFormatting>
  <conditionalFormatting sqref="U32:Y36 AM32:AP36 N32:P36">
    <cfRule type="expression" dxfId="2278" priority="6">
      <formula>$L32="Kirsch stiff clay"</formula>
    </cfRule>
  </conditionalFormatting>
  <conditionalFormatting sqref="AM32:AP36 Q32:Q36 X32:Y36 N32:N36">
    <cfRule type="expression" dxfId="2277" priority="5">
      <formula>$L32="Kirsch sand"</formula>
    </cfRule>
  </conditionalFormatting>
  <conditionalFormatting sqref="AC32:AD36 AI32:AI36 AM32:AP36 N32:N36">
    <cfRule type="expression" dxfId="2276" priority="4">
      <formula>$L32="Modified Weak rock"</formula>
    </cfRule>
  </conditionalFormatting>
  <conditionalFormatting sqref="AM32:AP36 N32:P36 U32:V36">
    <cfRule type="expression" dxfId="2275" priority="3">
      <formula>$L32="Reese stiff clay"</formula>
    </cfRule>
  </conditionalFormatting>
  <conditionalFormatting sqref="AB36">
    <cfRule type="expression" dxfId="2274" priority="2">
      <formula>$M36="API sand"</formula>
    </cfRule>
  </conditionalFormatting>
  <conditionalFormatting sqref="Z36:AB36">
    <cfRule type="expression" dxfId="2273" priority="1">
      <formula>$M36="API clay"</formula>
    </cfRule>
  </conditionalFormatting>
  <conditionalFormatting sqref="AE37:AH37">
    <cfRule type="expression" dxfId="2272" priority="13">
      <formula>#REF!="Modified Weak rock"</formula>
    </cfRule>
  </conditionalFormatting>
  <dataValidations count="4">
    <dataValidation type="list" showInputMessage="1" showErrorMessage="1" sqref="M32:M36" xr:uid="{FC887AC5-1D3A-4CA0-8B1B-EF8C5CC703CD}">
      <formula1>"',API sand,API clay"</formula1>
    </dataValidation>
    <dataValidation type="list" showInputMessage="1" showErrorMessage="1" sqref="L32:L255" xr:uid="{2840D189-DA7F-4F9D-B811-BE605593B918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C5EE8C38-6C94-4565-B2A3-215CCA0859D8}"/>
    <dataValidation type="textLength" showInputMessage="1" showErrorMessage="1" sqref="M27:M31" xr:uid="{F846EFB0-AD44-49C2-869F-6523189B8908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6282F-9D85-4386-A576-10898C8EB252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Ak_Pisa_WTG49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EW_sand_Ruled_81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34</v>
      </c>
      <c r="R6" s="47">
        <f t="shared" ref="R6:R26" ca="1" si="7">IF(I6="","",IF(Q6&lt;&gt;0,Q6-5,NA()))</f>
        <v>29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2700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92.999999999999972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8640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24000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36.000000000000007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81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0.4</v>
      </c>
      <c r="BG6" s="2">
        <v>0.8</v>
      </c>
      <c r="BH6" s="2">
        <v>1.6</v>
      </c>
      <c r="BI6" s="2"/>
      <c r="BJ6" s="2"/>
      <c r="BK6" s="2"/>
      <c r="BL6" s="2"/>
      <c r="BM6" s="2"/>
      <c r="BN6" s="2">
        <v>81</v>
      </c>
      <c r="BO6" s="2">
        <v>25</v>
      </c>
      <c r="BP6" s="2">
        <v>34</v>
      </c>
      <c r="BQ6" s="2">
        <v>37</v>
      </c>
      <c r="BR6" s="2">
        <v>40</v>
      </c>
      <c r="BS6" s="2">
        <v>49</v>
      </c>
      <c r="BT6" s="2">
        <v>0</v>
      </c>
      <c r="BU6" s="2">
        <v>2</v>
      </c>
      <c r="BV6" s="2">
        <v>5</v>
      </c>
      <c r="BW6" s="2">
        <v>9</v>
      </c>
      <c r="BX6" s="2">
        <v>15</v>
      </c>
      <c r="BY6" s="2">
        <v>2.7</v>
      </c>
      <c r="BZ6" s="2">
        <v>1</v>
      </c>
      <c r="CA6" s="2">
        <v>0.5</v>
      </c>
      <c r="CB6" s="2">
        <v>5.2857079908371404E-4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-0.5</v>
      </c>
      <c r="L7" s="116" t="str">
        <f t="shared" ca="1" si="1"/>
        <v>EW_sand_Ruled_100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43</v>
      </c>
      <c r="R7" s="47">
        <f t="shared" ca="1" si="7"/>
        <v>38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45000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34000</v>
      </c>
      <c r="AD7" s="63">
        <f t="shared" ca="1" si="19"/>
        <v>12800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100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0.5</v>
      </c>
      <c r="BE7" s="2">
        <v>1</v>
      </c>
      <c r="BF7" s="2">
        <v>1.3</v>
      </c>
      <c r="BG7" s="2">
        <v>1.7</v>
      </c>
      <c r="BH7" s="2">
        <v>2.5</v>
      </c>
      <c r="BI7" s="2"/>
      <c r="BJ7" s="2"/>
      <c r="BK7" s="2"/>
      <c r="BL7" s="2"/>
      <c r="BM7" s="2"/>
      <c r="BN7" s="2">
        <v>81</v>
      </c>
      <c r="BO7" s="2">
        <v>25</v>
      </c>
      <c r="BP7" s="2">
        <v>34</v>
      </c>
      <c r="BQ7" s="2">
        <v>37</v>
      </c>
      <c r="BR7" s="2">
        <v>40</v>
      </c>
      <c r="BS7" s="2">
        <v>49</v>
      </c>
      <c r="BT7" s="2">
        <v>7</v>
      </c>
      <c r="BU7" s="2">
        <v>14</v>
      </c>
      <c r="BV7" s="2">
        <v>17</v>
      </c>
      <c r="BW7" s="2">
        <v>20</v>
      </c>
      <c r="BX7" s="2">
        <v>27</v>
      </c>
      <c r="BY7" s="2">
        <v>2.7</v>
      </c>
      <c r="BZ7" s="2">
        <v>1</v>
      </c>
      <c r="CA7" s="2">
        <v>0.5</v>
      </c>
      <c r="CB7" s="2">
        <v>5.2857079908371404E-4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-1.75</v>
      </c>
      <c r="L8" s="116" t="str">
        <f t="shared" ca="1" si="1"/>
        <v>EW_sand_Ruled_88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40</v>
      </c>
      <c r="R8" s="47">
        <f t="shared" ca="1" si="7"/>
        <v>35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43200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59000</v>
      </c>
      <c r="AD8" s="63">
        <f t="shared" ca="1" si="19"/>
        <v>-2702.7027027027025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88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7.5</v>
      </c>
      <c r="BE8" s="2">
        <v>8.9</v>
      </c>
      <c r="BF8" s="2">
        <v>9.4</v>
      </c>
      <c r="BG8" s="2">
        <v>9.8000000000000007</v>
      </c>
      <c r="BH8" s="2">
        <v>10.9</v>
      </c>
      <c r="BI8" s="2"/>
      <c r="BJ8" s="2"/>
      <c r="BK8" s="2"/>
      <c r="BL8" s="2"/>
      <c r="BM8" s="2"/>
      <c r="BN8" s="2">
        <v>100</v>
      </c>
      <c r="BO8" s="2">
        <v>37</v>
      </c>
      <c r="BP8" s="2">
        <v>43</v>
      </c>
      <c r="BQ8" s="2">
        <v>46</v>
      </c>
      <c r="BR8" s="2">
        <v>50</v>
      </c>
      <c r="BS8" s="2">
        <v>54</v>
      </c>
      <c r="BT8" s="2">
        <v>0</v>
      </c>
      <c r="BU8" s="2">
        <v>24</v>
      </c>
      <c r="BV8" s="2">
        <v>34</v>
      </c>
      <c r="BW8" s="2">
        <v>44</v>
      </c>
      <c r="BX8" s="2">
        <v>69</v>
      </c>
      <c r="BY8" s="2">
        <v>45</v>
      </c>
      <c r="BZ8" s="2">
        <v>1</v>
      </c>
      <c r="CA8" s="2">
        <v>0.5</v>
      </c>
      <c r="CB8" s="2">
        <v>5.2857079908371404E-4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02a</v>
      </c>
      <c r="J9" s="47">
        <f t="shared" ca="1" si="35"/>
        <v>4</v>
      </c>
      <c r="K9" s="19">
        <f t="shared" ca="1" si="36"/>
        <v>-3.6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10.199999999999999</v>
      </c>
      <c r="O9" s="63">
        <f t="shared" ca="1" si="4"/>
        <v>112</v>
      </c>
      <c r="P9" s="63">
        <f t="shared" ca="1" si="5"/>
        <v>-400.00000000000051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13600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110000</v>
      </c>
      <c r="AD9" s="63">
        <f t="shared" ca="1" si="19"/>
        <v>-375000.00000000052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1.75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13.8</v>
      </c>
      <c r="BE9" s="2">
        <v>15.1</v>
      </c>
      <c r="BF9" s="2">
        <v>15.6</v>
      </c>
      <c r="BG9" s="2">
        <v>16</v>
      </c>
      <c r="BH9" s="2">
        <v>17.100000000000001</v>
      </c>
      <c r="BI9" s="2"/>
      <c r="BJ9" s="2"/>
      <c r="BK9" s="2"/>
      <c r="BL9" s="2"/>
      <c r="BM9" s="2"/>
      <c r="BN9" s="2">
        <v>100</v>
      </c>
      <c r="BO9" s="2">
        <v>37</v>
      </c>
      <c r="BP9" s="2">
        <v>43</v>
      </c>
      <c r="BQ9" s="2">
        <v>46</v>
      </c>
      <c r="BR9" s="2">
        <v>50</v>
      </c>
      <c r="BS9" s="2">
        <v>54</v>
      </c>
      <c r="BT9" s="2">
        <v>15</v>
      </c>
      <c r="BU9" s="2">
        <v>39</v>
      </c>
      <c r="BV9" s="2">
        <v>50</v>
      </c>
      <c r="BW9" s="2">
        <v>60</v>
      </c>
      <c r="BX9" s="2">
        <v>84</v>
      </c>
      <c r="BY9" s="2">
        <v>45</v>
      </c>
      <c r="BZ9" s="2">
        <v>1</v>
      </c>
      <c r="CA9" s="2">
        <v>0.5</v>
      </c>
      <c r="CB9" s="2">
        <v>5.2857079908371404E-4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10a</v>
      </c>
      <c r="J10" s="47">
        <f t="shared" ca="1" si="35"/>
        <v>5</v>
      </c>
      <c r="K10" s="19">
        <f t="shared" ca="1" si="36"/>
        <v>-3.8</v>
      </c>
      <c r="L10" s="116" t="str">
        <f t="shared" ca="1" si="1"/>
        <v>EW_sand_Ruled_75</v>
      </c>
      <c r="M10" s="105" t="str">
        <f t="shared" ca="1" si="2"/>
        <v>API sand</v>
      </c>
      <c r="N10" s="47">
        <f t="shared" ca="1" si="3"/>
        <v>10</v>
      </c>
      <c r="O10" s="63">
        <f t="shared" ca="1" si="4"/>
        <v>0</v>
      </c>
      <c r="P10" s="63">
        <f t="shared" ca="1" si="5"/>
        <v>0</v>
      </c>
      <c r="Q10" s="47">
        <f t="shared" ca="1" si="6"/>
        <v>40</v>
      </c>
      <c r="R10" s="47">
        <f t="shared" ca="1" si="7"/>
        <v>35</v>
      </c>
      <c r="S10" s="47">
        <f t="shared" ca="1" si="8"/>
        <v>1.4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60200</v>
      </c>
      <c r="Y10" s="47">
        <f t="shared" ca="1" si="14"/>
        <v>0</v>
      </c>
      <c r="Z10" s="47">
        <f t="shared" ca="1" si="15"/>
        <v>114.99999999999996</v>
      </c>
      <c r="AA10" s="47">
        <f t="shared" ca="1" si="16"/>
        <v>1</v>
      </c>
      <c r="AB10" s="47">
        <f t="shared" ca="1" si="17"/>
        <v>12000</v>
      </c>
      <c r="AC10" s="63">
        <f t="shared" ca="1" si="18"/>
        <v>67000</v>
      </c>
      <c r="AD10" s="63">
        <f t="shared" ca="1" si="19"/>
        <v>6666.6666666666661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50.000000000000007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75</v>
      </c>
      <c r="AS10" s="33">
        <f t="shared" ca="1" si="34"/>
        <v>0.4</v>
      </c>
      <c r="AW10" s="2">
        <v>1.75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16.3</v>
      </c>
      <c r="BE10" s="2">
        <v>17.399999999999999</v>
      </c>
      <c r="BF10" s="2">
        <v>17.7</v>
      </c>
      <c r="BG10" s="2">
        <v>18</v>
      </c>
      <c r="BH10" s="2">
        <v>18.899999999999999</v>
      </c>
      <c r="BI10" s="2"/>
      <c r="BJ10" s="2"/>
      <c r="BK10" s="2"/>
      <c r="BL10" s="2"/>
      <c r="BM10" s="2"/>
      <c r="BN10" s="2">
        <v>88</v>
      </c>
      <c r="BO10" s="2">
        <v>33</v>
      </c>
      <c r="BP10" s="2">
        <v>40</v>
      </c>
      <c r="BQ10" s="2">
        <v>44</v>
      </c>
      <c r="BR10" s="2">
        <v>47</v>
      </c>
      <c r="BS10" s="2">
        <v>54</v>
      </c>
      <c r="BT10" s="2">
        <v>13</v>
      </c>
      <c r="BU10" s="2">
        <v>45</v>
      </c>
      <c r="BV10" s="2">
        <v>59</v>
      </c>
      <c r="BW10" s="2">
        <v>72</v>
      </c>
      <c r="BX10" s="2">
        <v>105</v>
      </c>
      <c r="BY10" s="2">
        <v>43.2</v>
      </c>
      <c r="BZ10" s="2">
        <v>1</v>
      </c>
      <c r="CA10" s="2">
        <v>0.5</v>
      </c>
      <c r="CB10" s="2">
        <v>5.6431148004685001E-5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10b</v>
      </c>
      <c r="J11" s="47">
        <f t="shared" ca="1" si="35"/>
        <v>6</v>
      </c>
      <c r="K11" s="19">
        <f t="shared" ca="1" si="36"/>
        <v>-8</v>
      </c>
      <c r="L11" s="116" t="str">
        <f t="shared" ca="1" si="1"/>
        <v>EW_sand_Ruled_77</v>
      </c>
      <c r="M11" s="105" t="str">
        <f t="shared" ca="1" si="2"/>
        <v>API sand</v>
      </c>
      <c r="N11" s="47">
        <f t="shared" ca="1" si="3"/>
        <v>9.8999999999999986</v>
      </c>
      <c r="O11" s="63">
        <f t="shared" ca="1" si="4"/>
        <v>0</v>
      </c>
      <c r="P11" s="63">
        <f t="shared" ca="1" si="5"/>
        <v>0</v>
      </c>
      <c r="Q11" s="47">
        <f t="shared" ca="1" si="6"/>
        <v>40</v>
      </c>
      <c r="R11" s="47">
        <f t="shared" ca="1" si="7"/>
        <v>35</v>
      </c>
      <c r="S11" s="47">
        <f t="shared" ca="1" si="8"/>
        <v>1.2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78900</v>
      </c>
      <c r="Y11" s="47">
        <f t="shared" ca="1" si="14"/>
        <v>0</v>
      </c>
      <c r="Z11" s="47">
        <f t="shared" ca="1" si="15"/>
        <v>114.99999999999996</v>
      </c>
      <c r="AA11" s="47">
        <f t="shared" ca="1" si="16"/>
        <v>1</v>
      </c>
      <c r="AB11" s="47">
        <f t="shared" ca="1" si="17"/>
        <v>12000</v>
      </c>
      <c r="AC11" s="63">
        <f t="shared" ca="1" si="18"/>
        <v>100000</v>
      </c>
      <c r="AD11" s="63">
        <f t="shared" ca="1" si="19"/>
        <v>3958.3333333333326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50.000000000000007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77</v>
      </c>
      <c r="AS11" s="33">
        <f t="shared" ca="1" si="34"/>
        <v>0.4</v>
      </c>
      <c r="AW11" s="2">
        <v>3.6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4.0999999999999996</v>
      </c>
      <c r="BE11" s="2">
        <v>5.2</v>
      </c>
      <c r="BF11" s="2">
        <v>5.4</v>
      </c>
      <c r="BG11" s="2">
        <v>5.7</v>
      </c>
      <c r="BH11" s="2">
        <v>6.7</v>
      </c>
      <c r="BI11" s="2"/>
      <c r="BJ11" s="2"/>
      <c r="BK11" s="2"/>
      <c r="BL11" s="2"/>
      <c r="BM11" s="2"/>
      <c r="BN11" s="2">
        <v>88</v>
      </c>
      <c r="BO11" s="2">
        <v>33</v>
      </c>
      <c r="BP11" s="2">
        <v>40</v>
      </c>
      <c r="BQ11" s="2">
        <v>44</v>
      </c>
      <c r="BR11" s="2">
        <v>47</v>
      </c>
      <c r="BS11" s="2">
        <v>54</v>
      </c>
      <c r="BT11" s="2">
        <v>8</v>
      </c>
      <c r="BU11" s="2">
        <v>40</v>
      </c>
      <c r="BV11" s="2">
        <v>54</v>
      </c>
      <c r="BW11" s="2">
        <v>67</v>
      </c>
      <c r="BX11" s="2">
        <v>100</v>
      </c>
      <c r="BY11" s="2">
        <v>43.2</v>
      </c>
      <c r="BZ11" s="2">
        <v>1</v>
      </c>
      <c r="CA11" s="2">
        <v>0.5</v>
      </c>
      <c r="CB11" s="2">
        <v>5.6431148004685001E-5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19a</v>
      </c>
      <c r="J12" s="47">
        <f t="shared" ca="1" si="35"/>
        <v>7</v>
      </c>
      <c r="K12" s="19">
        <f t="shared" ca="1" si="36"/>
        <v>-12.8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9</v>
      </c>
      <c r="O12" s="63">
        <f t="shared" ca="1" si="4"/>
        <v>180</v>
      </c>
      <c r="P12" s="63">
        <f t="shared" ca="1" si="5"/>
        <v>24.583333333333336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0.5</v>
      </c>
      <c r="X12" s="47">
        <f t="shared" ca="1" si="13"/>
        <v>24000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286000</v>
      </c>
      <c r="AD12" s="63">
        <f t="shared" ca="1" si="19"/>
        <v>41805.555555555555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3.6</v>
      </c>
      <c r="AX12" s="2" t="s">
        <v>255</v>
      </c>
      <c r="AY12" s="130">
        <v>23.1</v>
      </c>
      <c r="AZ12" s="2">
        <v>20.2</v>
      </c>
      <c r="BA12" s="2">
        <v>18</v>
      </c>
      <c r="BB12" s="2">
        <v>28</v>
      </c>
      <c r="BC12" s="2">
        <v>5</v>
      </c>
      <c r="BD12" s="2">
        <v>2.2999999999999998</v>
      </c>
      <c r="BE12" s="2">
        <v>2.4</v>
      </c>
      <c r="BF12" s="2">
        <v>2.4</v>
      </c>
      <c r="BG12" s="2">
        <v>2.5</v>
      </c>
      <c r="BH12" s="2">
        <f>20+2.6</f>
        <v>22.6</v>
      </c>
      <c r="BI12" s="2">
        <v>85</v>
      </c>
      <c r="BJ12" s="2">
        <v>112</v>
      </c>
      <c r="BK12" s="2">
        <v>131</v>
      </c>
      <c r="BL12" s="2">
        <v>151</v>
      </c>
      <c r="BM12" s="2">
        <v>192</v>
      </c>
      <c r="BN12" s="2"/>
      <c r="BO12" s="2"/>
      <c r="BP12" s="2"/>
      <c r="BQ12" s="2"/>
      <c r="BR12" s="2"/>
      <c r="BS12" s="2"/>
      <c r="BT12" s="2">
        <v>78</v>
      </c>
      <c r="BU12" s="2">
        <v>84</v>
      </c>
      <c r="BV12" s="2">
        <v>110</v>
      </c>
      <c r="BW12" s="2">
        <v>135</v>
      </c>
      <c r="BX12" s="2">
        <v>185</v>
      </c>
      <c r="BY12" s="2">
        <v>13.6</v>
      </c>
      <c r="BZ12" s="2">
        <v>9.1</v>
      </c>
      <c r="CA12" s="2">
        <v>3</v>
      </c>
      <c r="CB12" s="2">
        <v>4.03283254712296E-9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19b</v>
      </c>
      <c r="J13" s="47">
        <f t="shared" ca="1" si="35"/>
        <v>8</v>
      </c>
      <c r="K13" s="19">
        <f t="shared" ca="1" si="36"/>
        <v>-20</v>
      </c>
      <c r="L13" s="116" t="str">
        <f t="shared" ca="1" si="1"/>
        <v>EW_sand_Ruled_64</v>
      </c>
      <c r="M13" s="105" t="str">
        <f t="shared" ca="1" si="2"/>
        <v>API sand</v>
      </c>
      <c r="N13" s="47">
        <f t="shared" ca="1" si="3"/>
        <v>8.5</v>
      </c>
      <c r="O13" s="63">
        <f t="shared" ca="1" si="4"/>
        <v>0</v>
      </c>
      <c r="P13" s="63">
        <f t="shared" ca="1" si="5"/>
        <v>0</v>
      </c>
      <c r="Q13" s="47">
        <f t="shared" ca="1" si="6"/>
        <v>27</v>
      </c>
      <c r="R13" s="47">
        <f t="shared" ca="1" si="7"/>
        <v>22</v>
      </c>
      <c r="S13" s="47">
        <f t="shared" ca="1" si="8"/>
        <v>1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22700</v>
      </c>
      <c r="Y13" s="47">
        <f t="shared" ca="1" si="14"/>
        <v>0</v>
      </c>
      <c r="Z13" s="47">
        <f t="shared" ca="1" si="15"/>
        <v>72.59999999999998</v>
      </c>
      <c r="AA13" s="47">
        <f t="shared" ca="1" si="16"/>
        <v>1</v>
      </c>
      <c r="AB13" s="47">
        <f t="shared" ca="1" si="17"/>
        <v>3660</v>
      </c>
      <c r="AC13" s="63">
        <f t="shared" ca="1" si="18"/>
        <v>93000</v>
      </c>
      <c r="AD13" s="63">
        <f t="shared" ca="1" si="19"/>
        <v>33000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15.200000000000003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64</v>
      </c>
      <c r="AS13" s="33">
        <f t="shared" ca="1" si="34"/>
        <v>0.2</v>
      </c>
      <c r="AW13" s="2">
        <v>3.8</v>
      </c>
      <c r="AX13" s="2" t="s">
        <v>255</v>
      </c>
      <c r="AY13" s="130">
        <v>23.1</v>
      </c>
      <c r="AZ13" s="2">
        <v>20.2</v>
      </c>
      <c r="BA13" s="2">
        <v>18</v>
      </c>
      <c r="BB13" s="2">
        <v>28</v>
      </c>
      <c r="BC13" s="2">
        <v>5</v>
      </c>
      <c r="BD13" s="2">
        <v>0.9</v>
      </c>
      <c r="BE13" s="2">
        <v>0.9</v>
      </c>
      <c r="BF13" s="2">
        <v>1</v>
      </c>
      <c r="BG13" s="2">
        <v>1.1000000000000001</v>
      </c>
      <c r="BH13" s="2">
        <f>20+1.2</f>
        <v>21.2</v>
      </c>
      <c r="BI13" s="2">
        <v>5</v>
      </c>
      <c r="BJ13" s="2">
        <v>32</v>
      </c>
      <c r="BK13" s="2">
        <v>50</v>
      </c>
      <c r="BL13" s="2">
        <v>71</v>
      </c>
      <c r="BM13" s="2">
        <v>111</v>
      </c>
      <c r="BN13" s="2"/>
      <c r="BO13" s="2"/>
      <c r="BP13" s="2"/>
      <c r="BQ13" s="2"/>
      <c r="BR13" s="2"/>
      <c r="BS13" s="2"/>
      <c r="BT13" s="2">
        <v>3</v>
      </c>
      <c r="BU13" s="2">
        <v>9</v>
      </c>
      <c r="BV13" s="2">
        <v>35</v>
      </c>
      <c r="BW13" s="2">
        <v>60</v>
      </c>
      <c r="BX13" s="2">
        <v>110</v>
      </c>
      <c r="BY13" s="2">
        <v>13.6</v>
      </c>
      <c r="BZ13" s="2">
        <v>9.1</v>
      </c>
      <c r="CA13" s="2">
        <v>3</v>
      </c>
      <c r="CB13" s="2">
        <v>4.03283254712296E-9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19b</v>
      </c>
      <c r="J14" s="47">
        <f t="shared" ca="1" si="35"/>
        <v>9</v>
      </c>
      <c r="K14" s="19">
        <f t="shared" ca="1" si="36"/>
        <v>-22</v>
      </c>
      <c r="L14" s="116" t="str">
        <f t="shared" ca="1" si="1"/>
        <v>EW_sand_Ruled_64</v>
      </c>
      <c r="M14" s="105" t="str">
        <f t="shared" ca="1" si="2"/>
        <v>API sand</v>
      </c>
      <c r="N14" s="47">
        <f t="shared" ca="1" si="3"/>
        <v>8.5</v>
      </c>
      <c r="O14" s="63">
        <f t="shared" ca="1" si="4"/>
        <v>0</v>
      </c>
      <c r="P14" s="63">
        <f t="shared" ca="1" si="5"/>
        <v>0</v>
      </c>
      <c r="Q14" s="47">
        <f t="shared" ca="1" si="6"/>
        <v>26</v>
      </c>
      <c r="R14" s="47">
        <f t="shared" ca="1" si="7"/>
        <v>21</v>
      </c>
      <c r="S14" s="47">
        <f t="shared" ca="1" si="8"/>
        <v>0.9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17800</v>
      </c>
      <c r="Y14" s="47">
        <f t="shared" ca="1" si="14"/>
        <v>0</v>
      </c>
      <c r="Z14" s="47">
        <f t="shared" ca="1" si="15"/>
        <v>69.799999999999983</v>
      </c>
      <c r="AA14" s="47">
        <f t="shared" ca="1" si="16"/>
        <v>1</v>
      </c>
      <c r="AB14" s="47">
        <f t="shared" ca="1" si="17"/>
        <v>3280</v>
      </c>
      <c r="AC14" s="63">
        <f t="shared" ca="1" si="18"/>
        <v>124000</v>
      </c>
      <c r="AD14" s="63">
        <f t="shared" ca="1" si="19"/>
        <v>2089.5522388059703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13.600000000000003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64</v>
      </c>
      <c r="AS14" s="33">
        <f t="shared" ca="1" si="34"/>
        <v>0.2</v>
      </c>
      <c r="AW14" s="2">
        <v>3.8</v>
      </c>
      <c r="AX14" s="2" t="s">
        <v>259</v>
      </c>
      <c r="AY14" s="130">
        <v>25.5</v>
      </c>
      <c r="AZ14" s="2">
        <v>20</v>
      </c>
      <c r="BA14" s="2"/>
      <c r="BB14" s="2">
        <v>14</v>
      </c>
      <c r="BC14" s="2"/>
      <c r="BD14" s="2">
        <v>8.3000000000000007</v>
      </c>
      <c r="BE14" s="2">
        <v>11.2</v>
      </c>
      <c r="BF14" s="2">
        <v>11.6</v>
      </c>
      <c r="BG14" s="2">
        <v>12</v>
      </c>
      <c r="BH14" s="2">
        <v>14.5</v>
      </c>
      <c r="BI14" s="2"/>
      <c r="BJ14" s="2"/>
      <c r="BK14" s="2"/>
      <c r="BL14" s="2"/>
      <c r="BM14" s="2"/>
      <c r="BN14" s="2">
        <v>75</v>
      </c>
      <c r="BO14" s="2">
        <v>34</v>
      </c>
      <c r="BP14" s="2">
        <v>40</v>
      </c>
      <c r="BQ14" s="2">
        <v>43</v>
      </c>
      <c r="BR14" s="2">
        <v>46</v>
      </c>
      <c r="BS14" s="2">
        <v>52</v>
      </c>
      <c r="BT14" s="2">
        <v>3</v>
      </c>
      <c r="BU14" s="2">
        <v>48</v>
      </c>
      <c r="BV14" s="2">
        <v>67</v>
      </c>
      <c r="BW14" s="2">
        <v>87</v>
      </c>
      <c r="BX14" s="2">
        <v>134</v>
      </c>
      <c r="BY14" s="2">
        <v>60.2</v>
      </c>
      <c r="BZ14" s="2">
        <v>5.8</v>
      </c>
      <c r="CA14" s="2">
        <v>1.4</v>
      </c>
      <c r="CB14" s="2">
        <v>1.4238936778713399E-5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21a</v>
      </c>
      <c r="J15" s="47">
        <f t="shared" ca="1" si="35"/>
        <v>10</v>
      </c>
      <c r="K15" s="19">
        <f t="shared" ca="1" si="36"/>
        <v>-28.7</v>
      </c>
      <c r="L15" s="116" t="str">
        <f t="shared" ca="1" si="1"/>
        <v>EW_sand_Ruled_52</v>
      </c>
      <c r="M15" s="105" t="str">
        <f t="shared" ca="1" si="2"/>
        <v>API sand</v>
      </c>
      <c r="N15" s="47">
        <f t="shared" ca="1" si="3"/>
        <v>9.8000000000000007</v>
      </c>
      <c r="O15" s="63">
        <f t="shared" ca="1" si="4"/>
        <v>0</v>
      </c>
      <c r="P15" s="63">
        <f t="shared" ca="1" si="5"/>
        <v>0</v>
      </c>
      <c r="Q15" s="47">
        <f t="shared" ca="1" si="6"/>
        <v>27</v>
      </c>
      <c r="R15" s="47">
        <f t="shared" ca="1" si="7"/>
        <v>22</v>
      </c>
      <c r="S15" s="47">
        <f t="shared" ca="1" si="8"/>
        <v>0.8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23000</v>
      </c>
      <c r="Y15" s="47">
        <f t="shared" ca="1" si="14"/>
        <v>0</v>
      </c>
      <c r="Z15" s="47">
        <f t="shared" ca="1" si="15"/>
        <v>72.59999999999998</v>
      </c>
      <c r="AA15" s="47">
        <f t="shared" ca="1" si="16"/>
        <v>1</v>
      </c>
      <c r="AB15" s="47">
        <f t="shared" ca="1" si="17"/>
        <v>3660</v>
      </c>
      <c r="AC15" s="63">
        <f t="shared" ca="1" si="18"/>
        <v>148000</v>
      </c>
      <c r="AD15" s="63">
        <f t="shared" ca="1" si="19"/>
        <v>1652.8925619834713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15.200000000000003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52</v>
      </c>
      <c r="AS15" s="33">
        <f t="shared" ca="1" si="34"/>
        <v>0.2</v>
      </c>
      <c r="AW15" s="2">
        <v>8</v>
      </c>
      <c r="AX15" s="2" t="s">
        <v>259</v>
      </c>
      <c r="AY15" s="130">
        <v>25.5</v>
      </c>
      <c r="AZ15" s="2">
        <v>20</v>
      </c>
      <c r="BA15" s="2"/>
      <c r="BB15" s="2">
        <v>14</v>
      </c>
      <c r="BC15" s="2"/>
      <c r="BD15" s="2">
        <v>13.9</v>
      </c>
      <c r="BE15" s="2">
        <v>16.8</v>
      </c>
      <c r="BF15" s="2">
        <v>17.2</v>
      </c>
      <c r="BG15" s="2">
        <v>17.600000000000001</v>
      </c>
      <c r="BH15" s="2">
        <f>5+20.1</f>
        <v>25.1</v>
      </c>
      <c r="BI15" s="2"/>
      <c r="BJ15" s="2"/>
      <c r="BK15" s="2"/>
      <c r="BL15" s="2"/>
      <c r="BM15" s="2"/>
      <c r="BN15" s="2">
        <v>75</v>
      </c>
      <c r="BO15" s="2">
        <v>34</v>
      </c>
      <c r="BP15" s="2">
        <v>40</v>
      </c>
      <c r="BQ15" s="2">
        <v>43</v>
      </c>
      <c r="BR15" s="2">
        <v>46</v>
      </c>
      <c r="BS15" s="2">
        <v>52</v>
      </c>
      <c r="BT15" s="2">
        <v>31</v>
      </c>
      <c r="BU15" s="2">
        <v>76</v>
      </c>
      <c r="BV15" s="2">
        <v>95</v>
      </c>
      <c r="BW15" s="2">
        <v>115</v>
      </c>
      <c r="BX15" s="2">
        <v>162</v>
      </c>
      <c r="BY15" s="2">
        <v>60.2</v>
      </c>
      <c r="BZ15" s="2">
        <v>5.8</v>
      </c>
      <c r="CA15" s="2">
        <v>1.4</v>
      </c>
      <c r="CB15" s="2">
        <v>1.4238936778713399E-5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23d</v>
      </c>
      <c r="J16" s="47">
        <f t="shared" ca="1" si="35"/>
        <v>11</v>
      </c>
      <c r="K16" s="19">
        <f t="shared" ca="1" si="36"/>
        <v>-40.799999999999997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8.8999999999999986</v>
      </c>
      <c r="O16" s="63">
        <f t="shared" ca="1" si="4"/>
        <v>330</v>
      </c>
      <c r="P16" s="63">
        <f t="shared" ca="1" si="5"/>
        <v>5.9948979591836729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1.6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39400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482000</v>
      </c>
      <c r="AD16" s="63">
        <f t="shared" ca="1" si="19"/>
        <v>10841.836734693876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8</v>
      </c>
      <c r="AX16" s="2" t="s">
        <v>261</v>
      </c>
      <c r="AY16" s="130">
        <v>24</v>
      </c>
      <c r="AZ16" s="2">
        <v>19.899999999999999</v>
      </c>
      <c r="BA16" s="2"/>
      <c r="BB16" s="2">
        <v>6</v>
      </c>
      <c r="BC16" s="2"/>
      <c r="BD16" s="2">
        <f>-5+15.3</f>
        <v>10.3</v>
      </c>
      <c r="BE16" s="2">
        <v>18.600000000000001</v>
      </c>
      <c r="BF16" s="2">
        <v>19.100000000000001</v>
      </c>
      <c r="BG16" s="2">
        <v>19.8</v>
      </c>
      <c r="BH16" s="2">
        <f>5+25.1</f>
        <v>30.1</v>
      </c>
      <c r="BI16" s="2"/>
      <c r="BJ16" s="2"/>
      <c r="BK16" s="2"/>
      <c r="BL16" s="2"/>
      <c r="BM16" s="2"/>
      <c r="BN16" s="2">
        <v>77</v>
      </c>
      <c r="BO16" s="2">
        <v>34</v>
      </c>
      <c r="BP16" s="2">
        <v>40</v>
      </c>
      <c r="BQ16" s="2">
        <v>43</v>
      </c>
      <c r="BR16" s="2">
        <v>46</v>
      </c>
      <c r="BS16" s="2">
        <v>52</v>
      </c>
      <c r="BT16" s="2">
        <v>11</v>
      </c>
      <c r="BU16" s="2">
        <v>74</v>
      </c>
      <c r="BV16" s="2">
        <v>100</v>
      </c>
      <c r="BW16" s="2">
        <v>126</v>
      </c>
      <c r="BX16" s="2">
        <v>190</v>
      </c>
      <c r="BY16" s="2">
        <v>78.900000000000006</v>
      </c>
      <c r="BZ16" s="2">
        <v>4.2</v>
      </c>
      <c r="CA16" s="2">
        <v>1.2</v>
      </c>
      <c r="CB16" s="2">
        <v>8.7840612234154899E-6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12.8</v>
      </c>
      <c r="AX17" s="2" t="s">
        <v>261</v>
      </c>
      <c r="AY17" s="130">
        <v>24</v>
      </c>
      <c r="AZ17" s="2">
        <v>19.899999999999999</v>
      </c>
      <c r="BA17" s="2"/>
      <c r="BB17" s="2">
        <v>6</v>
      </c>
      <c r="BC17" s="2"/>
      <c r="BD17" s="2">
        <f>-5+16.7</f>
        <v>11.7</v>
      </c>
      <c r="BE17" s="2">
        <v>20</v>
      </c>
      <c r="BF17" s="2">
        <v>20.5</v>
      </c>
      <c r="BG17" s="2">
        <v>21.3</v>
      </c>
      <c r="BH17" s="2">
        <v>26.6</v>
      </c>
      <c r="BI17" s="2"/>
      <c r="BJ17" s="2"/>
      <c r="BK17" s="2"/>
      <c r="BL17" s="2"/>
      <c r="BM17" s="2"/>
      <c r="BN17" s="2">
        <v>77</v>
      </c>
      <c r="BO17" s="2">
        <v>34</v>
      </c>
      <c r="BP17" s="2">
        <v>40</v>
      </c>
      <c r="BQ17" s="2">
        <v>43</v>
      </c>
      <c r="BR17" s="2">
        <v>46</v>
      </c>
      <c r="BS17" s="2">
        <v>52</v>
      </c>
      <c r="BT17" s="2">
        <v>30</v>
      </c>
      <c r="BU17" s="2">
        <v>93</v>
      </c>
      <c r="BV17" s="2">
        <v>119</v>
      </c>
      <c r="BW17" s="2">
        <v>145</v>
      </c>
      <c r="BX17" s="2">
        <v>209</v>
      </c>
      <c r="BY17" s="2">
        <v>78.900000000000006</v>
      </c>
      <c r="BZ17" s="2">
        <v>4.2</v>
      </c>
      <c r="CA17" s="2">
        <v>1.2</v>
      </c>
      <c r="CB17" s="2">
        <v>8.7840612234154899E-6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12.8</v>
      </c>
      <c r="AX18" s="2" t="s">
        <v>304</v>
      </c>
      <c r="AY18" s="130">
        <v>25</v>
      </c>
      <c r="AZ18" s="2">
        <v>19</v>
      </c>
      <c r="BA18" s="2"/>
      <c r="BB18" s="2"/>
      <c r="BC18" s="2">
        <v>4</v>
      </c>
      <c r="BD18" s="2">
        <v>2.7</v>
      </c>
      <c r="BE18" s="2">
        <v>4.2</v>
      </c>
      <c r="BF18" s="2">
        <v>4.4000000000000004</v>
      </c>
      <c r="BG18" s="2">
        <v>4.7</v>
      </c>
      <c r="BH18" s="2">
        <v>7.4</v>
      </c>
      <c r="BI18" s="2">
        <v>49</v>
      </c>
      <c r="BJ18" s="2">
        <v>180</v>
      </c>
      <c r="BK18" s="2">
        <v>230</v>
      </c>
      <c r="BL18" s="2">
        <v>283</v>
      </c>
      <c r="BM18" s="2">
        <v>458</v>
      </c>
      <c r="BN18" s="2"/>
      <c r="BO18" s="2"/>
      <c r="BP18" s="2"/>
      <c r="BQ18" s="2"/>
      <c r="BR18" s="2"/>
      <c r="BS18" s="2"/>
      <c r="BT18" s="2">
        <v>12</v>
      </c>
      <c r="BU18" s="2">
        <v>202</v>
      </c>
      <c r="BV18" s="2">
        <v>286</v>
      </c>
      <c r="BW18" s="2">
        <v>372</v>
      </c>
      <c r="BX18" s="2">
        <v>654</v>
      </c>
      <c r="BY18" s="2">
        <v>24</v>
      </c>
      <c r="BZ18" s="2">
        <v>9.6</v>
      </c>
      <c r="CA18" s="2">
        <v>3</v>
      </c>
      <c r="CB18" s="2">
        <v>8.8157673579139502E-10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20</v>
      </c>
      <c r="AX19" s="2" t="s">
        <v>304</v>
      </c>
      <c r="AY19" s="130">
        <v>25</v>
      </c>
      <c r="AZ19" s="2">
        <v>19</v>
      </c>
      <c r="BA19" s="2"/>
      <c r="BB19" s="2"/>
      <c r="BC19" s="2">
        <v>4</v>
      </c>
      <c r="BD19" s="2">
        <v>6.1</v>
      </c>
      <c r="BE19" s="2">
        <v>7.6</v>
      </c>
      <c r="BF19" s="2">
        <v>7.8</v>
      </c>
      <c r="BG19" s="2">
        <v>8.1</v>
      </c>
      <c r="BH19" s="2">
        <v>10.8</v>
      </c>
      <c r="BI19" s="2">
        <v>226</v>
      </c>
      <c r="BJ19" s="2">
        <v>357</v>
      </c>
      <c r="BK19" s="2">
        <v>407</v>
      </c>
      <c r="BL19" s="2">
        <v>460</v>
      </c>
      <c r="BM19" s="2">
        <v>635</v>
      </c>
      <c r="BN19" s="2"/>
      <c r="BO19" s="2"/>
      <c r="BP19" s="2"/>
      <c r="BQ19" s="2"/>
      <c r="BR19" s="2"/>
      <c r="BS19" s="2"/>
      <c r="BT19" s="2">
        <v>313</v>
      </c>
      <c r="BU19" s="2">
        <v>503</v>
      </c>
      <c r="BV19" s="2">
        <v>587</v>
      </c>
      <c r="BW19" s="2">
        <v>673</v>
      </c>
      <c r="BX19" s="2">
        <v>954</v>
      </c>
      <c r="BY19" s="2">
        <v>24</v>
      </c>
      <c r="BZ19" s="2">
        <v>9.6</v>
      </c>
      <c r="CA19" s="2">
        <v>3</v>
      </c>
      <c r="CB19" s="2">
        <v>8.8157673579139502E-10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20</v>
      </c>
      <c r="AX20" s="2" t="s">
        <v>291</v>
      </c>
      <c r="AY20" s="130">
        <v>35.4</v>
      </c>
      <c r="AZ20" s="2">
        <v>18.5</v>
      </c>
      <c r="BA20" s="2"/>
      <c r="BB20" s="2">
        <v>54</v>
      </c>
      <c r="BC20" s="2"/>
      <c r="BD20" s="2">
        <v>0.7</v>
      </c>
      <c r="BE20" s="2">
        <v>3.4</v>
      </c>
      <c r="BF20" s="2">
        <v>4.2</v>
      </c>
      <c r="BG20" s="2">
        <v>8.6</v>
      </c>
      <c r="BH20" s="2">
        <v>26.3</v>
      </c>
      <c r="BI20" s="2"/>
      <c r="BJ20" s="2"/>
      <c r="BK20" s="2"/>
      <c r="BL20" s="2"/>
      <c r="BM20" s="2"/>
      <c r="BN20" s="2">
        <v>64</v>
      </c>
      <c r="BO20" s="2">
        <v>26</v>
      </c>
      <c r="BP20" s="2">
        <v>27</v>
      </c>
      <c r="BQ20" s="2">
        <v>29</v>
      </c>
      <c r="BR20" s="2">
        <v>31</v>
      </c>
      <c r="BS20" s="2">
        <v>37</v>
      </c>
      <c r="BT20" s="2">
        <v>20</v>
      </c>
      <c r="BU20" s="2">
        <v>64</v>
      </c>
      <c r="BV20" s="2">
        <v>93</v>
      </c>
      <c r="BW20" s="2">
        <v>123</v>
      </c>
      <c r="BX20" s="2">
        <v>197</v>
      </c>
      <c r="BY20" s="2">
        <v>22.7</v>
      </c>
      <c r="BZ20" s="2">
        <v>2.8</v>
      </c>
      <c r="CA20" s="2">
        <v>1</v>
      </c>
      <c r="CB20" s="2">
        <v>4.2401868711555597E-9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22</v>
      </c>
      <c r="AX21" s="2" t="s">
        <v>291</v>
      </c>
      <c r="AY21" s="130">
        <v>35.4</v>
      </c>
      <c r="AZ21" s="2">
        <v>18.5</v>
      </c>
      <c r="BA21" s="2"/>
      <c r="BB21" s="2">
        <v>54</v>
      </c>
      <c r="BC21" s="2"/>
      <c r="BD21" s="2">
        <v>16.8</v>
      </c>
      <c r="BE21" s="2">
        <v>19.5</v>
      </c>
      <c r="BF21" s="2">
        <v>20.3</v>
      </c>
      <c r="BG21" s="2">
        <v>24.7</v>
      </c>
      <c r="BH21" s="2">
        <v>42.4</v>
      </c>
      <c r="BI21" s="2"/>
      <c r="BJ21" s="2"/>
      <c r="BK21" s="2"/>
      <c r="BL21" s="2"/>
      <c r="BM21" s="2"/>
      <c r="BN21" s="2">
        <v>64</v>
      </c>
      <c r="BO21" s="2">
        <v>26</v>
      </c>
      <c r="BP21" s="2">
        <v>27</v>
      </c>
      <c r="BQ21" s="2">
        <v>29</v>
      </c>
      <c r="BR21" s="2">
        <v>31</v>
      </c>
      <c r="BS21" s="2">
        <v>37</v>
      </c>
      <c r="BT21" s="2">
        <v>85</v>
      </c>
      <c r="BU21" s="2">
        <v>129</v>
      </c>
      <c r="BV21" s="2">
        <v>159</v>
      </c>
      <c r="BW21" s="2">
        <v>188</v>
      </c>
      <c r="BX21" s="2">
        <v>262</v>
      </c>
      <c r="BY21" s="2">
        <v>22.7</v>
      </c>
      <c r="BZ21" s="2">
        <v>2.8</v>
      </c>
      <c r="CA21" s="2">
        <v>1</v>
      </c>
      <c r="CB21" s="2">
        <v>4.2401868711555597E-9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22</v>
      </c>
      <c r="AX22" s="2" t="s">
        <v>291</v>
      </c>
      <c r="AY22" s="130">
        <v>35.4</v>
      </c>
      <c r="AZ22" s="2">
        <v>18.5</v>
      </c>
      <c r="BA22" s="2"/>
      <c r="BB22" s="2">
        <v>54</v>
      </c>
      <c r="BC22" s="2"/>
      <c r="BD22" s="2">
        <v>0.8</v>
      </c>
      <c r="BE22" s="2">
        <v>7.5</v>
      </c>
      <c r="BF22" s="2">
        <v>11</v>
      </c>
      <c r="BG22" s="2">
        <v>24.8</v>
      </c>
      <c r="BH22" s="2">
        <v>67.5</v>
      </c>
      <c r="BI22" s="2"/>
      <c r="BJ22" s="2"/>
      <c r="BK22" s="2"/>
      <c r="BL22" s="2"/>
      <c r="BM22" s="2"/>
      <c r="BN22" s="2">
        <v>64</v>
      </c>
      <c r="BO22" s="2">
        <v>26</v>
      </c>
      <c r="BP22" s="2">
        <v>26</v>
      </c>
      <c r="BQ22" s="2">
        <v>29</v>
      </c>
      <c r="BR22" s="2">
        <v>31</v>
      </c>
      <c r="BS22" s="2">
        <v>35</v>
      </c>
      <c r="BT22" s="2">
        <v>22</v>
      </c>
      <c r="BU22" s="2">
        <v>93</v>
      </c>
      <c r="BV22" s="2">
        <v>124</v>
      </c>
      <c r="BW22" s="2">
        <v>155</v>
      </c>
      <c r="BX22" s="2">
        <v>231</v>
      </c>
      <c r="BY22" s="2">
        <v>17.8</v>
      </c>
      <c r="BZ22" s="2">
        <v>2.5</v>
      </c>
      <c r="CA22" s="2">
        <v>0.9</v>
      </c>
      <c r="CB22" s="2">
        <v>3.74752649036681E-12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28.7</v>
      </c>
      <c r="AX23" s="2" t="s">
        <v>291</v>
      </c>
      <c r="AY23" s="130">
        <v>35.4</v>
      </c>
      <c r="AZ23" s="2">
        <v>18.5</v>
      </c>
      <c r="BA23" s="2"/>
      <c r="BB23" s="2">
        <v>54</v>
      </c>
      <c r="BC23" s="2"/>
      <c r="BD23" s="2">
        <v>2.5</v>
      </c>
      <c r="BE23" s="2">
        <v>9.3000000000000007</v>
      </c>
      <c r="BF23" s="2">
        <v>12.7</v>
      </c>
      <c r="BG23" s="2">
        <v>26.5</v>
      </c>
      <c r="BH23" s="2">
        <v>69.2</v>
      </c>
      <c r="BI23" s="2"/>
      <c r="BJ23" s="2"/>
      <c r="BK23" s="2"/>
      <c r="BL23" s="2"/>
      <c r="BM23" s="2"/>
      <c r="BN23" s="2">
        <v>64</v>
      </c>
      <c r="BO23" s="2">
        <v>26</v>
      </c>
      <c r="BP23" s="2">
        <v>26</v>
      </c>
      <c r="BQ23" s="2">
        <v>29</v>
      </c>
      <c r="BR23" s="2">
        <v>31</v>
      </c>
      <c r="BS23" s="2">
        <v>35</v>
      </c>
      <c r="BT23" s="2">
        <v>35</v>
      </c>
      <c r="BU23" s="2">
        <v>107</v>
      </c>
      <c r="BV23" s="2">
        <v>138</v>
      </c>
      <c r="BW23" s="2">
        <v>169</v>
      </c>
      <c r="BX23" s="2">
        <v>245</v>
      </c>
      <c r="BY23" s="2">
        <v>17.8</v>
      </c>
      <c r="BZ23" s="2">
        <v>2.5</v>
      </c>
      <c r="CA23" s="2">
        <v>0.9</v>
      </c>
      <c r="CB23" s="2">
        <v>3.74752649036681E-12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28.7</v>
      </c>
      <c r="AX24" s="2" t="s">
        <v>271</v>
      </c>
      <c r="AY24" s="130">
        <v>24.7</v>
      </c>
      <c r="AZ24" s="2">
        <v>19.8</v>
      </c>
      <c r="BA24" s="2"/>
      <c r="BB24" s="2">
        <v>11</v>
      </c>
      <c r="BC24" s="2"/>
      <c r="BD24" s="2">
        <v>1</v>
      </c>
      <c r="BE24" s="2">
        <v>9.4</v>
      </c>
      <c r="BF24" s="2">
        <v>15</v>
      </c>
      <c r="BG24" s="2">
        <v>31</v>
      </c>
      <c r="BH24" s="2">
        <v>80.5</v>
      </c>
      <c r="BI24" s="2"/>
      <c r="BJ24" s="2"/>
      <c r="BK24" s="2"/>
      <c r="BL24" s="2"/>
      <c r="BM24" s="2"/>
      <c r="BN24" s="2">
        <v>52</v>
      </c>
      <c r="BO24" s="2">
        <v>26</v>
      </c>
      <c r="BP24" s="2">
        <v>27</v>
      </c>
      <c r="BQ24" s="2">
        <v>29</v>
      </c>
      <c r="BR24" s="2">
        <v>31</v>
      </c>
      <c r="BS24" s="2">
        <v>35</v>
      </c>
      <c r="BT24" s="2">
        <v>28</v>
      </c>
      <c r="BU24" s="2">
        <v>111</v>
      </c>
      <c r="BV24" s="2">
        <v>148</v>
      </c>
      <c r="BW24" s="2">
        <v>185</v>
      </c>
      <c r="BX24" s="2">
        <v>277</v>
      </c>
      <c r="BY24" s="2">
        <v>23</v>
      </c>
      <c r="BZ24" s="2">
        <v>2.2000000000000002</v>
      </c>
      <c r="CA24" s="2">
        <v>0.8</v>
      </c>
      <c r="CB24" s="2">
        <v>1.53700357885455E-12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40.799999999999997</v>
      </c>
      <c r="AX25" s="2" t="s">
        <v>271</v>
      </c>
      <c r="AY25" s="130">
        <v>24.7</v>
      </c>
      <c r="AZ25" s="2">
        <v>19.8</v>
      </c>
      <c r="BA25" s="2"/>
      <c r="BB25" s="2">
        <v>11</v>
      </c>
      <c r="BC25" s="2"/>
      <c r="BD25" s="2">
        <v>1.6</v>
      </c>
      <c r="BE25" s="2">
        <v>10</v>
      </c>
      <c r="BF25" s="2">
        <v>15.6</v>
      </c>
      <c r="BG25" s="2">
        <v>31.6</v>
      </c>
      <c r="BH25" s="2">
        <v>81.099999999999994</v>
      </c>
      <c r="BI25" s="2"/>
      <c r="BJ25" s="2"/>
      <c r="BK25" s="2"/>
      <c r="BL25" s="2"/>
      <c r="BM25" s="2"/>
      <c r="BN25" s="2">
        <v>52</v>
      </c>
      <c r="BO25" s="2">
        <v>26</v>
      </c>
      <c r="BP25" s="2">
        <v>27</v>
      </c>
      <c r="BQ25" s="2">
        <v>29</v>
      </c>
      <c r="BR25" s="2">
        <v>31</v>
      </c>
      <c r="BS25" s="2">
        <v>35</v>
      </c>
      <c r="BT25" s="2">
        <v>49</v>
      </c>
      <c r="BU25" s="2">
        <v>131</v>
      </c>
      <c r="BV25" s="2">
        <v>168</v>
      </c>
      <c r="BW25" s="2">
        <v>206</v>
      </c>
      <c r="BX25" s="2">
        <v>298</v>
      </c>
      <c r="BY25" s="2">
        <v>23</v>
      </c>
      <c r="BZ25" s="2">
        <v>2.2000000000000002</v>
      </c>
      <c r="CA25" s="2">
        <v>0.8</v>
      </c>
      <c r="CB25" s="2">
        <v>1.53700357885455E-12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40.799999999999997</v>
      </c>
      <c r="AX26" s="2" t="s">
        <v>273</v>
      </c>
      <c r="AY26" s="130">
        <v>32</v>
      </c>
      <c r="AZ26" s="2">
        <v>18.899999999999999</v>
      </c>
      <c r="BA26" s="2">
        <v>47</v>
      </c>
      <c r="BB26" s="2">
        <v>85</v>
      </c>
      <c r="BC26" s="2">
        <v>3</v>
      </c>
      <c r="BD26" s="2">
        <v>1.5</v>
      </c>
      <c r="BE26" s="2">
        <v>6</v>
      </c>
      <c r="BF26" s="2">
        <v>8.3000000000000007</v>
      </c>
      <c r="BG26" s="2">
        <v>21.8</v>
      </c>
      <c r="BH26" s="2">
        <v>63.5</v>
      </c>
      <c r="BI26" s="2">
        <v>244</v>
      </c>
      <c r="BJ26" s="2">
        <v>330</v>
      </c>
      <c r="BK26" s="2">
        <v>373</v>
      </c>
      <c r="BL26" s="2">
        <v>417</v>
      </c>
      <c r="BM26" s="2">
        <v>503</v>
      </c>
      <c r="BN26" s="2"/>
      <c r="BO26" s="2"/>
      <c r="BP26" s="2"/>
      <c r="BQ26" s="2"/>
      <c r="BR26" s="2"/>
      <c r="BS26" s="2"/>
      <c r="BT26" s="2">
        <v>222</v>
      </c>
      <c r="BU26" s="2">
        <v>395</v>
      </c>
      <c r="BV26" s="2">
        <v>482</v>
      </c>
      <c r="BW26" s="2">
        <v>569</v>
      </c>
      <c r="BX26" s="2">
        <v>741</v>
      </c>
      <c r="BY26" s="2">
        <v>39.4</v>
      </c>
      <c r="BZ26" s="2">
        <v>4.9000000000000004</v>
      </c>
      <c r="CA26" s="2">
        <v>1.6</v>
      </c>
      <c r="CB26" s="2">
        <v>4.1549580130230701E-12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80</v>
      </c>
      <c r="AX27" s="2" t="s">
        <v>273</v>
      </c>
      <c r="AY27" s="130">
        <v>32</v>
      </c>
      <c r="AZ27" s="2">
        <v>18.899999999999999</v>
      </c>
      <c r="BA27" s="2">
        <v>47</v>
      </c>
      <c r="BB27" s="2">
        <v>85</v>
      </c>
      <c r="BC27" s="2">
        <v>3</v>
      </c>
      <c r="BD27" s="2">
        <v>6.9</v>
      </c>
      <c r="BE27" s="2">
        <v>11</v>
      </c>
      <c r="BF27" s="2">
        <v>13.7</v>
      </c>
      <c r="BG27" s="2">
        <v>27.2</v>
      </c>
      <c r="BH27" s="2">
        <v>68.900000000000006</v>
      </c>
      <c r="BI27" s="2">
        <v>479</v>
      </c>
      <c r="BJ27" s="2">
        <v>565</v>
      </c>
      <c r="BK27" s="2">
        <v>608</v>
      </c>
      <c r="BL27" s="2">
        <v>652</v>
      </c>
      <c r="BM27" s="2">
        <v>738</v>
      </c>
      <c r="BN27" s="2"/>
      <c r="BO27" s="2"/>
      <c r="BP27" s="2"/>
      <c r="BQ27" s="2"/>
      <c r="BR27" s="2"/>
      <c r="BS27" s="2"/>
      <c r="BT27" s="2">
        <v>648</v>
      </c>
      <c r="BU27" s="2">
        <v>820</v>
      </c>
      <c r="BV27" s="2">
        <v>907</v>
      </c>
      <c r="BW27" s="2">
        <v>994</v>
      </c>
      <c r="BX27" s="2">
        <v>1167</v>
      </c>
      <c r="BY27" s="2">
        <v>39.4</v>
      </c>
      <c r="BZ27" s="2">
        <v>4.9000000000000004</v>
      </c>
      <c r="CA27" s="2">
        <v>1.6</v>
      </c>
      <c r="CB27" s="2">
        <v>4.1549580130230701E-12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271" priority="12">
      <formula>$L32="API sand"</formula>
    </cfRule>
  </conditionalFormatting>
  <conditionalFormatting sqref="R32:S36 AB32:AB35 AJ32:AL36 Z32:Z36 N32:N36">
    <cfRule type="expression" dxfId="2270" priority="11">
      <formula>$M32="API sand"</formula>
    </cfRule>
  </conditionalFormatting>
  <conditionalFormatting sqref="R32:T36 Z32:AB35 AK32:AL36 N32:N36">
    <cfRule type="expression" dxfId="2269" priority="10">
      <formula>$M32="API clay"</formula>
    </cfRule>
  </conditionalFormatting>
  <conditionalFormatting sqref="U32:W36 AM32:AP36 N32:P36">
    <cfRule type="expression" dxfId="2268" priority="7">
      <formula>$L32="Stiff clay w/o free water"</formula>
    </cfRule>
    <cfRule type="expression" dxfId="2267" priority="9">
      <formula>$L32="API clay"</formula>
    </cfRule>
  </conditionalFormatting>
  <conditionalFormatting sqref="U32:Y36 AM32:AP36 N32:P36">
    <cfRule type="expression" dxfId="2266" priority="8">
      <formula>$L32="Kirsch soft clay"</formula>
    </cfRule>
  </conditionalFormatting>
  <conditionalFormatting sqref="U32:Y36 AM32:AP36 N32:P36">
    <cfRule type="expression" dxfId="2265" priority="6">
      <formula>$L32="Kirsch stiff clay"</formula>
    </cfRule>
  </conditionalFormatting>
  <conditionalFormatting sqref="AM32:AP36 Q32:Q36 X32:Y36 N32:N36">
    <cfRule type="expression" dxfId="2264" priority="5">
      <formula>$L32="Kirsch sand"</formula>
    </cfRule>
  </conditionalFormatting>
  <conditionalFormatting sqref="AC32:AD36 AI32:AI36 AM32:AP36 N32:N36">
    <cfRule type="expression" dxfId="2263" priority="4">
      <formula>$L32="Modified Weak rock"</formula>
    </cfRule>
  </conditionalFormatting>
  <conditionalFormatting sqref="AM32:AP36 N32:P36 U32:V36">
    <cfRule type="expression" dxfId="2262" priority="3">
      <formula>$L32="Reese stiff clay"</formula>
    </cfRule>
  </conditionalFormatting>
  <conditionalFormatting sqref="AB36">
    <cfRule type="expression" dxfId="2261" priority="2">
      <formula>$M36="API sand"</formula>
    </cfRule>
  </conditionalFormatting>
  <conditionalFormatting sqref="Z36:AB36">
    <cfRule type="expression" dxfId="2260" priority="1">
      <formula>$M36="API clay"</formula>
    </cfRule>
  </conditionalFormatting>
  <conditionalFormatting sqref="AE37:AH37">
    <cfRule type="expression" dxfId="2259" priority="13">
      <formula>#REF!="Modified Weak rock"</formula>
    </cfRule>
  </conditionalFormatting>
  <dataValidations count="4">
    <dataValidation type="textLength" showInputMessage="1" showErrorMessage="1" sqref="M27:M31" xr:uid="{F2A0D77B-7A93-4BBD-86E5-5AF8754479B2}">
      <formula1>0</formula1>
      <formula2>100</formula2>
    </dataValidation>
    <dataValidation showInputMessage="1" showErrorMessage="1" sqref="L6:M26" xr:uid="{40EE8891-22EC-4055-99F8-C00531D999AE}"/>
    <dataValidation type="list" showInputMessage="1" showErrorMessage="1" sqref="L32:L255" xr:uid="{0DBA3B52-DDB9-49F8-B906-97071D3F3156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0386F717-3E22-4624-9C7A-A19973248264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34148-B5EF-4927-A6FC-D7F30BDD4A07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Ak_Pisa_WTG51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16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EW_sand_Ruled_92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38</v>
      </c>
      <c r="R6" s="47">
        <f t="shared" ref="R6:R26" ca="1" si="7">IF(I6="","",IF(Q6&lt;&gt;0,Q6-5,NA()))</f>
        <v>33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14000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107.39999999999996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11040</v>
      </c>
      <c r="AC6" s="63">
        <f t="shared" ref="AC6:AC26" ca="1" si="18">IF(I6="","",IF(OFFSET($BV$6,(ROW()-6)*2,0)=0,0,OFFSET($BV$6,(ROW()-6)*2,0)*1000))</f>
        <v>11000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21000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46.000000000000007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92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1.1000000000000001</v>
      </c>
      <c r="BF6" s="2">
        <v>2</v>
      </c>
      <c r="BG6" s="2">
        <v>2.9</v>
      </c>
      <c r="BH6" s="2">
        <v>5.0999999999999996</v>
      </c>
      <c r="BI6" s="2"/>
      <c r="BJ6" s="2"/>
      <c r="BK6" s="2"/>
      <c r="BL6" s="2"/>
      <c r="BM6" s="2"/>
      <c r="BN6" s="2">
        <v>92</v>
      </c>
      <c r="BO6" s="2">
        <v>28</v>
      </c>
      <c r="BP6" s="2">
        <v>38</v>
      </c>
      <c r="BQ6" s="2">
        <v>42</v>
      </c>
      <c r="BR6" s="2">
        <v>45</v>
      </c>
      <c r="BS6" s="2">
        <v>53</v>
      </c>
      <c r="BT6" s="2">
        <v>0</v>
      </c>
      <c r="BU6" s="2">
        <v>6</v>
      </c>
      <c r="BV6" s="2">
        <v>11</v>
      </c>
      <c r="BW6" s="2">
        <v>17</v>
      </c>
      <c r="BX6" s="2">
        <v>30</v>
      </c>
      <c r="BY6" s="2">
        <v>14</v>
      </c>
      <c r="BZ6" s="2">
        <v>1</v>
      </c>
      <c r="CA6" s="2">
        <v>0.5</v>
      </c>
      <c r="CB6" s="2">
        <v>5.8675540989630802E-5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-1</v>
      </c>
      <c r="L7" s="116" t="str">
        <f t="shared" ca="1" si="1"/>
        <v>EW_sand_Ruled_91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41</v>
      </c>
      <c r="R7" s="47">
        <f t="shared" ca="1" si="7"/>
        <v>36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42000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42000</v>
      </c>
      <c r="AD7" s="63">
        <f t="shared" ca="1" si="19"/>
        <v>9411.7647058823513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91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2.4</v>
      </c>
      <c r="BE7" s="2">
        <v>4.8</v>
      </c>
      <c r="BF7" s="2">
        <v>5.8</v>
      </c>
      <c r="BG7" s="2">
        <v>6.6</v>
      </c>
      <c r="BH7" s="2">
        <v>8.9</v>
      </c>
      <c r="BI7" s="2"/>
      <c r="BJ7" s="2"/>
      <c r="BK7" s="2"/>
      <c r="BL7" s="2"/>
      <c r="BM7" s="2"/>
      <c r="BN7" s="2">
        <v>92</v>
      </c>
      <c r="BO7" s="2">
        <v>28</v>
      </c>
      <c r="BP7" s="2">
        <v>38</v>
      </c>
      <c r="BQ7" s="2">
        <v>42</v>
      </c>
      <c r="BR7" s="2">
        <v>45</v>
      </c>
      <c r="BS7" s="2">
        <v>53</v>
      </c>
      <c r="BT7" s="2">
        <v>14</v>
      </c>
      <c r="BU7" s="2">
        <v>27</v>
      </c>
      <c r="BV7" s="2">
        <v>32</v>
      </c>
      <c r="BW7" s="2">
        <v>38</v>
      </c>
      <c r="BX7" s="2">
        <v>51</v>
      </c>
      <c r="BY7" s="2">
        <v>14</v>
      </c>
      <c r="BZ7" s="2">
        <v>1</v>
      </c>
      <c r="CA7" s="2">
        <v>0.5</v>
      </c>
      <c r="CB7" s="2">
        <v>5.8675540989630802E-5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09b</v>
      </c>
      <c r="J8" s="47">
        <f t="shared" ca="1" si="35"/>
        <v>3</v>
      </c>
      <c r="K8" s="19">
        <f t="shared" ca="1" si="36"/>
        <v>-4.4000000000000004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9.5</v>
      </c>
      <c r="O8" s="63">
        <f t="shared" ca="1" si="4"/>
        <v>119</v>
      </c>
      <c r="P8" s="63">
        <f t="shared" ca="1" si="5"/>
        <v>-32.500000000000043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25100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127000</v>
      </c>
      <c r="AD8" s="63">
        <f t="shared" ca="1" si="19"/>
        <v>-35000.000000000051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1.2</v>
      </c>
      <c r="BE8" s="2">
        <v>7.3</v>
      </c>
      <c r="BF8" s="2">
        <v>8.4</v>
      </c>
      <c r="BG8" s="2">
        <v>9.1999999999999993</v>
      </c>
      <c r="BH8" s="2">
        <v>13.8</v>
      </c>
      <c r="BI8" s="2"/>
      <c r="BJ8" s="2"/>
      <c r="BK8" s="2"/>
      <c r="BL8" s="2"/>
      <c r="BM8" s="2"/>
      <c r="BN8" s="2">
        <v>91</v>
      </c>
      <c r="BO8" s="2">
        <v>34</v>
      </c>
      <c r="BP8" s="2">
        <v>41</v>
      </c>
      <c r="BQ8" s="2">
        <v>44</v>
      </c>
      <c r="BR8" s="2">
        <v>47</v>
      </c>
      <c r="BS8" s="2">
        <v>53</v>
      </c>
      <c r="BT8" s="2">
        <v>1</v>
      </c>
      <c r="BU8" s="2">
        <v>28</v>
      </c>
      <c r="BV8" s="2">
        <v>42</v>
      </c>
      <c r="BW8" s="2">
        <v>55</v>
      </c>
      <c r="BX8" s="2">
        <v>89</v>
      </c>
      <c r="BY8" s="2">
        <v>42</v>
      </c>
      <c r="BZ8" s="2">
        <v>1</v>
      </c>
      <c r="CA8" s="2">
        <v>0.5</v>
      </c>
      <c r="CB8" s="2">
        <v>7.7611539743407804E-5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10a</v>
      </c>
      <c r="J9" s="47">
        <f t="shared" ca="1" si="35"/>
        <v>4</v>
      </c>
      <c r="K9" s="19">
        <f t="shared" ca="1" si="36"/>
        <v>-4.8</v>
      </c>
      <c r="L9" s="116" t="str">
        <f t="shared" ca="1" si="1"/>
        <v>EW_sand_Ruled_73</v>
      </c>
      <c r="M9" s="105" t="str">
        <f t="shared" ca="1" si="2"/>
        <v>API sand</v>
      </c>
      <c r="N9" s="47">
        <f t="shared" ca="1" si="3"/>
        <v>10</v>
      </c>
      <c r="O9" s="63">
        <f t="shared" ca="1" si="4"/>
        <v>0</v>
      </c>
      <c r="P9" s="63">
        <f t="shared" ca="1" si="5"/>
        <v>0</v>
      </c>
      <c r="Q9" s="47">
        <f t="shared" ca="1" si="6"/>
        <v>39</v>
      </c>
      <c r="R9" s="47">
        <f t="shared" ca="1" si="7"/>
        <v>34</v>
      </c>
      <c r="S9" s="47">
        <f t="shared" ca="1" si="8"/>
        <v>1.4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54900</v>
      </c>
      <c r="Y9" s="47">
        <f t="shared" ca="1" si="14"/>
        <v>0</v>
      </c>
      <c r="Z9" s="47">
        <f t="shared" ca="1" si="15"/>
        <v>111.19999999999996</v>
      </c>
      <c r="AA9" s="47">
        <f t="shared" ca="1" si="16"/>
        <v>1</v>
      </c>
      <c r="AB9" s="47">
        <f t="shared" ca="1" si="17"/>
        <v>11520</v>
      </c>
      <c r="AC9" s="63">
        <f t="shared" ca="1" si="18"/>
        <v>73000</v>
      </c>
      <c r="AD9" s="63">
        <f t="shared" ca="1" si="19"/>
        <v>5909.0909090909081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48.000000000000007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73</v>
      </c>
      <c r="AS9" s="33">
        <f t="shared" ca="1" si="34"/>
        <v>0.4</v>
      </c>
      <c r="AW9" s="2">
        <v>4.4000000000000004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8.6</v>
      </c>
      <c r="BE9" s="2">
        <v>14.8</v>
      </c>
      <c r="BF9" s="2">
        <v>15.8</v>
      </c>
      <c r="BG9" s="2">
        <v>16.600000000000001</v>
      </c>
      <c r="BH9" s="2">
        <v>21.2</v>
      </c>
      <c r="BI9" s="2"/>
      <c r="BJ9" s="2"/>
      <c r="BK9" s="2"/>
      <c r="BL9" s="2"/>
      <c r="BM9" s="2"/>
      <c r="BN9" s="2">
        <v>91</v>
      </c>
      <c r="BO9" s="2">
        <v>34</v>
      </c>
      <c r="BP9" s="2">
        <v>41</v>
      </c>
      <c r="BQ9" s="2">
        <v>44</v>
      </c>
      <c r="BR9" s="2">
        <v>47</v>
      </c>
      <c r="BS9" s="2">
        <v>53</v>
      </c>
      <c r="BT9" s="2">
        <v>33</v>
      </c>
      <c r="BU9" s="2">
        <v>60</v>
      </c>
      <c r="BV9" s="2">
        <v>74</v>
      </c>
      <c r="BW9" s="2">
        <v>88</v>
      </c>
      <c r="BX9" s="2">
        <v>121</v>
      </c>
      <c r="BY9" s="2">
        <v>42</v>
      </c>
      <c r="BZ9" s="2">
        <v>1</v>
      </c>
      <c r="CA9" s="2">
        <v>0.5</v>
      </c>
      <c r="CB9" s="2">
        <v>7.7611539743407804E-5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10b</v>
      </c>
      <c r="J10" s="47">
        <f t="shared" ca="1" si="35"/>
        <v>5</v>
      </c>
      <c r="K10" s="19">
        <f t="shared" ca="1" si="36"/>
        <v>-7</v>
      </c>
      <c r="L10" s="116" t="str">
        <f t="shared" ca="1" si="1"/>
        <v>EW_sand_Ruled_82</v>
      </c>
      <c r="M10" s="105" t="str">
        <f t="shared" ca="1" si="2"/>
        <v>API sand</v>
      </c>
      <c r="N10" s="47">
        <f t="shared" ca="1" si="3"/>
        <v>9.8999999999999986</v>
      </c>
      <c r="O10" s="63">
        <f t="shared" ca="1" si="4"/>
        <v>0</v>
      </c>
      <c r="P10" s="63">
        <f t="shared" ca="1" si="5"/>
        <v>0</v>
      </c>
      <c r="Q10" s="47">
        <f t="shared" ca="1" si="6"/>
        <v>41</v>
      </c>
      <c r="R10" s="47">
        <f t="shared" ca="1" si="7"/>
        <v>36</v>
      </c>
      <c r="S10" s="47">
        <f t="shared" ca="1" si="8"/>
        <v>1.3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92000</v>
      </c>
      <c r="Y10" s="47">
        <f t="shared" ca="1" si="14"/>
        <v>0</v>
      </c>
      <c r="Z10" s="47">
        <f t="shared" ca="1" si="15"/>
        <v>114.99999999999996</v>
      </c>
      <c r="AA10" s="47">
        <f t="shared" ca="1" si="16"/>
        <v>1</v>
      </c>
      <c r="AB10" s="47">
        <f t="shared" ca="1" si="17"/>
        <v>12000</v>
      </c>
      <c r="AC10" s="63">
        <f t="shared" ca="1" si="18"/>
        <v>101000</v>
      </c>
      <c r="AD10" s="63">
        <f t="shared" ca="1" si="19"/>
        <v>3260.8695652173915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50.000000000000007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82</v>
      </c>
      <c r="AS10" s="33">
        <f t="shared" ca="1" si="34"/>
        <v>0.4</v>
      </c>
      <c r="AW10" s="2">
        <v>4.4000000000000004</v>
      </c>
      <c r="AX10" s="2" t="s">
        <v>296</v>
      </c>
      <c r="AY10" s="130">
        <v>28</v>
      </c>
      <c r="AZ10" s="2">
        <v>19.5</v>
      </c>
      <c r="BA10" s="2">
        <v>11</v>
      </c>
      <c r="BB10" s="2">
        <v>34</v>
      </c>
      <c r="BC10" s="2">
        <v>4</v>
      </c>
      <c r="BD10" s="2">
        <v>2.5</v>
      </c>
      <c r="BE10" s="2">
        <v>2.7</v>
      </c>
      <c r="BF10" s="2">
        <v>2.8</v>
      </c>
      <c r="BG10" s="2">
        <v>3.7</v>
      </c>
      <c r="BH10" s="2">
        <v>5.5</v>
      </c>
      <c r="BI10" s="2">
        <v>55</v>
      </c>
      <c r="BJ10" s="2">
        <v>119</v>
      </c>
      <c r="BK10" s="2">
        <v>149</v>
      </c>
      <c r="BL10" s="2">
        <v>205</v>
      </c>
      <c r="BM10" s="2">
        <v>323</v>
      </c>
      <c r="BN10" s="2"/>
      <c r="BO10" s="2"/>
      <c r="BP10" s="2"/>
      <c r="BQ10" s="2"/>
      <c r="BR10" s="2"/>
      <c r="BS10" s="2"/>
      <c r="BT10" s="2">
        <v>18</v>
      </c>
      <c r="BU10" s="2">
        <v>85</v>
      </c>
      <c r="BV10" s="2">
        <v>127</v>
      </c>
      <c r="BW10" s="2">
        <v>191</v>
      </c>
      <c r="BX10" s="2">
        <v>325</v>
      </c>
      <c r="BY10" s="2">
        <v>25.1</v>
      </c>
      <c r="BZ10" s="2">
        <v>13.6</v>
      </c>
      <c r="CA10" s="2">
        <v>3</v>
      </c>
      <c r="CB10" s="2">
        <v>5.5946091311279198E-8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10c</v>
      </c>
      <c r="J11" s="47">
        <f t="shared" ca="1" si="35"/>
        <v>6</v>
      </c>
      <c r="K11" s="19">
        <f t="shared" ca="1" si="36"/>
        <v>-11.6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8.3999999999999986</v>
      </c>
      <c r="O11" s="63">
        <f t="shared" ca="1" si="4"/>
        <v>132</v>
      </c>
      <c r="P11" s="63">
        <f t="shared" ca="1" si="5"/>
        <v>9.9999999999999964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0.5</v>
      </c>
      <c r="X11" s="47">
        <f t="shared" ca="1" si="13"/>
        <v>26800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147000</v>
      </c>
      <c r="AD11" s="63">
        <f t="shared" ca="1" si="19"/>
        <v>11111.111111111108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4.8</v>
      </c>
      <c r="AX11" s="2" t="s">
        <v>296</v>
      </c>
      <c r="AY11" s="130">
        <v>28</v>
      </c>
      <c r="AZ11" s="2">
        <v>19.5</v>
      </c>
      <c r="BA11" s="2">
        <v>11</v>
      </c>
      <c r="BB11" s="2">
        <v>34</v>
      </c>
      <c r="BC11" s="2">
        <v>4</v>
      </c>
      <c r="BD11" s="2">
        <v>2.2999999999999998</v>
      </c>
      <c r="BE11" s="2">
        <v>2.4</v>
      </c>
      <c r="BF11" s="2">
        <v>2.5</v>
      </c>
      <c r="BG11" s="2">
        <v>3.4</v>
      </c>
      <c r="BH11" s="2">
        <v>5.2</v>
      </c>
      <c r="BI11" s="2">
        <v>42</v>
      </c>
      <c r="BJ11" s="2">
        <v>106</v>
      </c>
      <c r="BK11" s="2">
        <v>135</v>
      </c>
      <c r="BL11" s="2">
        <v>191</v>
      </c>
      <c r="BM11" s="2">
        <v>310</v>
      </c>
      <c r="BN11" s="2"/>
      <c r="BO11" s="2"/>
      <c r="BP11" s="2"/>
      <c r="BQ11" s="2"/>
      <c r="BR11" s="2"/>
      <c r="BS11" s="2"/>
      <c r="BT11" s="2">
        <v>4</v>
      </c>
      <c r="BU11" s="2">
        <v>71</v>
      </c>
      <c r="BV11" s="2">
        <v>113</v>
      </c>
      <c r="BW11" s="2">
        <v>178</v>
      </c>
      <c r="BX11" s="2">
        <v>311</v>
      </c>
      <c r="BY11" s="2">
        <v>25.1</v>
      </c>
      <c r="BZ11" s="2">
        <v>13.6</v>
      </c>
      <c r="CA11" s="2">
        <v>3</v>
      </c>
      <c r="CB11" s="2">
        <v>5.5946091311279198E-8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17a</v>
      </c>
      <c r="J12" s="47">
        <f t="shared" ca="1" si="35"/>
        <v>7</v>
      </c>
      <c r="K12" s="19">
        <f t="shared" ca="1" si="36"/>
        <v>-13.4</v>
      </c>
      <c r="L12" s="116" t="str">
        <f t="shared" ca="1" si="1"/>
        <v>EW_sand_Ruled_11</v>
      </c>
      <c r="M12" s="105" t="str">
        <f t="shared" ca="1" si="2"/>
        <v>API sand</v>
      </c>
      <c r="N12" s="47">
        <f t="shared" ca="1" si="3"/>
        <v>8.6999999999999993</v>
      </c>
      <c r="O12" s="63">
        <f t="shared" ca="1" si="4"/>
        <v>0</v>
      </c>
      <c r="P12" s="63">
        <f t="shared" ca="1" si="5"/>
        <v>0</v>
      </c>
      <c r="Q12" s="47">
        <f t="shared" ca="1" si="6"/>
        <v>25.5</v>
      </c>
      <c r="R12" s="47">
        <f t="shared" ca="1" si="7"/>
        <v>20.5</v>
      </c>
      <c r="S12" s="47">
        <f t="shared" ca="1" si="8"/>
        <v>0.7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13500</v>
      </c>
      <c r="Y12" s="47">
        <f t="shared" ca="1" si="14"/>
        <v>0</v>
      </c>
      <c r="Z12" s="47">
        <f t="shared" ca="1" si="15"/>
        <v>66.999999999999986</v>
      </c>
      <c r="AA12" s="47">
        <f t="shared" ca="1" si="16"/>
        <v>1</v>
      </c>
      <c r="AB12" s="47">
        <f t="shared" ca="1" si="17"/>
        <v>2900</v>
      </c>
      <c r="AC12" s="63">
        <f t="shared" ca="1" si="18"/>
        <v>78000</v>
      </c>
      <c r="AD12" s="63">
        <f t="shared" ca="1" si="19"/>
        <v>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12.000000000000004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11</v>
      </c>
      <c r="AS12" s="33">
        <f t="shared" ca="1" si="34"/>
        <v>0.2</v>
      </c>
      <c r="AW12" s="2">
        <v>4.8</v>
      </c>
      <c r="AX12" s="2" t="s">
        <v>259</v>
      </c>
      <c r="AY12" s="130">
        <v>25.5</v>
      </c>
      <c r="AZ12" s="2">
        <v>20</v>
      </c>
      <c r="BA12" s="2"/>
      <c r="BB12" s="2">
        <v>14</v>
      </c>
      <c r="BC12" s="2"/>
      <c r="BD12" s="2">
        <v>7.8</v>
      </c>
      <c r="BE12" s="2">
        <v>11.1</v>
      </c>
      <c r="BF12" s="2">
        <v>11.8</v>
      </c>
      <c r="BG12" s="2">
        <v>12.6</v>
      </c>
      <c r="BH12" s="2">
        <v>16.2</v>
      </c>
      <c r="BI12" s="2"/>
      <c r="BJ12" s="2"/>
      <c r="BK12" s="2"/>
      <c r="BL12" s="2"/>
      <c r="BM12" s="2"/>
      <c r="BN12" s="2">
        <v>73</v>
      </c>
      <c r="BO12" s="2">
        <v>33</v>
      </c>
      <c r="BP12" s="2">
        <v>39</v>
      </c>
      <c r="BQ12" s="2">
        <v>42</v>
      </c>
      <c r="BR12" s="2">
        <v>46</v>
      </c>
      <c r="BS12" s="2">
        <v>51</v>
      </c>
      <c r="BT12" s="2">
        <v>8</v>
      </c>
      <c r="BU12" s="2">
        <v>54</v>
      </c>
      <c r="BV12" s="2">
        <v>73</v>
      </c>
      <c r="BW12" s="2">
        <v>92</v>
      </c>
      <c r="BX12" s="2">
        <v>138</v>
      </c>
      <c r="BY12" s="2">
        <v>54.9</v>
      </c>
      <c r="BZ12" s="2">
        <v>5.5</v>
      </c>
      <c r="CA12" s="2">
        <v>1.4</v>
      </c>
      <c r="CB12" s="2">
        <v>1.6984014825193101E-5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17a</v>
      </c>
      <c r="J13" s="47">
        <f t="shared" ca="1" si="35"/>
        <v>8</v>
      </c>
      <c r="K13" s="19">
        <f t="shared" ca="1" si="36"/>
        <v>-14</v>
      </c>
      <c r="L13" s="116" t="str">
        <f t="shared" ca="1" si="1"/>
        <v>EW_sand_Ruled_8</v>
      </c>
      <c r="M13" s="105" t="str">
        <f t="shared" ca="1" si="2"/>
        <v>API sand</v>
      </c>
      <c r="N13" s="47">
        <f t="shared" ca="1" si="3"/>
        <v>8.6999999999999993</v>
      </c>
      <c r="O13" s="63">
        <f t="shared" ca="1" si="4"/>
        <v>0</v>
      </c>
      <c r="P13" s="63">
        <f t="shared" ca="1" si="5"/>
        <v>0</v>
      </c>
      <c r="Q13" s="47">
        <f t="shared" ca="1" si="6"/>
        <v>25.5</v>
      </c>
      <c r="R13" s="47">
        <f t="shared" ca="1" si="7"/>
        <v>20.5</v>
      </c>
      <c r="S13" s="47">
        <f t="shared" ca="1" si="8"/>
        <v>0.6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12700</v>
      </c>
      <c r="Y13" s="47">
        <f t="shared" ca="1" si="14"/>
        <v>0</v>
      </c>
      <c r="Z13" s="47">
        <f t="shared" ca="1" si="15"/>
        <v>66.999999999999986</v>
      </c>
      <c r="AA13" s="47">
        <f t="shared" ca="1" si="16"/>
        <v>1</v>
      </c>
      <c r="AB13" s="47">
        <f t="shared" ca="1" si="17"/>
        <v>2900</v>
      </c>
      <c r="AC13" s="63">
        <f t="shared" ca="1" si="18"/>
        <v>77000</v>
      </c>
      <c r="AD13" s="63">
        <f t="shared" ca="1" si="19"/>
        <v>4000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12.000000000000004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8</v>
      </c>
      <c r="AS13" s="33">
        <f t="shared" ca="1" si="34"/>
        <v>0.2</v>
      </c>
      <c r="AW13" s="2">
        <v>7</v>
      </c>
      <c r="AX13" s="2" t="s">
        <v>259</v>
      </c>
      <c r="AY13" s="130">
        <v>25.5</v>
      </c>
      <c r="AZ13" s="2">
        <v>20</v>
      </c>
      <c r="BA13" s="2"/>
      <c r="BB13" s="2">
        <v>14</v>
      </c>
      <c r="BC13" s="2"/>
      <c r="BD13" s="2">
        <v>10.7</v>
      </c>
      <c r="BE13" s="2">
        <v>14</v>
      </c>
      <c r="BF13" s="2">
        <v>14.7</v>
      </c>
      <c r="BG13" s="2">
        <v>15.5</v>
      </c>
      <c r="BH13" s="2">
        <v>19.2</v>
      </c>
      <c r="BI13" s="2"/>
      <c r="BJ13" s="2"/>
      <c r="BK13" s="2"/>
      <c r="BL13" s="2"/>
      <c r="BM13" s="2"/>
      <c r="BN13" s="2">
        <v>73</v>
      </c>
      <c r="BO13" s="2">
        <v>33</v>
      </c>
      <c r="BP13" s="2">
        <v>39</v>
      </c>
      <c r="BQ13" s="2">
        <v>42</v>
      </c>
      <c r="BR13" s="2">
        <v>46</v>
      </c>
      <c r="BS13" s="2">
        <v>51</v>
      </c>
      <c r="BT13" s="2">
        <v>21</v>
      </c>
      <c r="BU13" s="2">
        <v>68</v>
      </c>
      <c r="BV13" s="2">
        <v>86</v>
      </c>
      <c r="BW13" s="2">
        <v>105</v>
      </c>
      <c r="BX13" s="2">
        <v>152</v>
      </c>
      <c r="BY13" s="2">
        <v>54.9</v>
      </c>
      <c r="BZ13" s="2">
        <v>5.5</v>
      </c>
      <c r="CA13" s="2">
        <v>1.4</v>
      </c>
      <c r="CB13" s="2">
        <v>1.6984014825193101E-5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17c</v>
      </c>
      <c r="J14" s="47">
        <f t="shared" ca="1" si="35"/>
        <v>9</v>
      </c>
      <c r="K14" s="19">
        <f t="shared" ca="1" si="36"/>
        <v>-15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8.6999999999999993</v>
      </c>
      <c r="O14" s="63">
        <f t="shared" ca="1" si="4"/>
        <v>76</v>
      </c>
      <c r="P14" s="63">
        <f t="shared" ca="1" si="5"/>
        <v>106.28571428571429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0.5</v>
      </c>
      <c r="X14" s="47">
        <f t="shared" ca="1" si="13"/>
        <v>18500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132000</v>
      </c>
      <c r="AD14" s="63">
        <f t="shared" ca="1" si="19"/>
        <v>130000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7</v>
      </c>
      <c r="AX14" s="2" t="s">
        <v>261</v>
      </c>
      <c r="AY14" s="130">
        <v>24</v>
      </c>
      <c r="AZ14" s="2">
        <v>19.899999999999999</v>
      </c>
      <c r="BA14" s="2"/>
      <c r="BB14" s="2">
        <v>6</v>
      </c>
      <c r="BC14" s="2"/>
      <c r="BD14" s="2">
        <v>9.1</v>
      </c>
      <c r="BE14" s="2">
        <v>20.399999999999999</v>
      </c>
      <c r="BF14" s="2">
        <v>24</v>
      </c>
      <c r="BG14" s="2">
        <v>27.6</v>
      </c>
      <c r="BH14" s="2">
        <v>38.9</v>
      </c>
      <c r="BI14" s="2"/>
      <c r="BJ14" s="2"/>
      <c r="BK14" s="2"/>
      <c r="BL14" s="2"/>
      <c r="BM14" s="2"/>
      <c r="BN14" s="2">
        <v>82</v>
      </c>
      <c r="BO14" s="2">
        <v>35</v>
      </c>
      <c r="BP14" s="2">
        <v>41</v>
      </c>
      <c r="BQ14" s="2">
        <v>44</v>
      </c>
      <c r="BR14" s="2">
        <v>47</v>
      </c>
      <c r="BS14" s="2">
        <v>53</v>
      </c>
      <c r="BT14" s="2">
        <v>12</v>
      </c>
      <c r="BU14" s="2">
        <v>76</v>
      </c>
      <c r="BV14" s="2">
        <v>101</v>
      </c>
      <c r="BW14" s="2">
        <v>127</v>
      </c>
      <c r="BX14" s="2">
        <v>190</v>
      </c>
      <c r="BY14" s="2">
        <v>92</v>
      </c>
      <c r="BZ14" s="2">
        <v>4.9000000000000004</v>
      </c>
      <c r="CA14" s="2">
        <v>1.3</v>
      </c>
      <c r="CB14" s="2">
        <v>1.6345636986627799E-5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19b</v>
      </c>
      <c r="J15" s="47">
        <f t="shared" ca="1" si="35"/>
        <v>10</v>
      </c>
      <c r="K15" s="19">
        <f t="shared" ca="1" si="36"/>
        <v>-18.5</v>
      </c>
      <c r="L15" s="116" t="str">
        <f t="shared" ca="1" si="1"/>
        <v>EW_sand_Ruled_77</v>
      </c>
      <c r="M15" s="105" t="str">
        <f t="shared" ca="1" si="2"/>
        <v>API sand</v>
      </c>
      <c r="N15" s="47">
        <f t="shared" ca="1" si="3"/>
        <v>8.5</v>
      </c>
      <c r="O15" s="63">
        <f t="shared" ca="1" si="4"/>
        <v>0</v>
      </c>
      <c r="P15" s="63">
        <f t="shared" ca="1" si="5"/>
        <v>0</v>
      </c>
      <c r="Q15" s="47">
        <f t="shared" ca="1" si="6"/>
        <v>28</v>
      </c>
      <c r="R15" s="47">
        <f t="shared" ca="1" si="7"/>
        <v>23</v>
      </c>
      <c r="S15" s="47">
        <f t="shared" ca="1" si="8"/>
        <v>1.3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29300</v>
      </c>
      <c r="Y15" s="47">
        <f t="shared" ca="1" si="14"/>
        <v>0</v>
      </c>
      <c r="Z15" s="47">
        <f t="shared" ca="1" si="15"/>
        <v>75.399999999999977</v>
      </c>
      <c r="AA15" s="47">
        <f t="shared" ca="1" si="16"/>
        <v>1</v>
      </c>
      <c r="AB15" s="47">
        <f t="shared" ca="1" si="17"/>
        <v>4040</v>
      </c>
      <c r="AC15" s="63">
        <f t="shared" ca="1" si="18"/>
        <v>155000</v>
      </c>
      <c r="AD15" s="63">
        <f t="shared" ca="1" si="19"/>
        <v>-16400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16.800000000000004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77</v>
      </c>
      <c r="AS15" s="33">
        <f t="shared" ca="1" si="34"/>
        <v>0.2</v>
      </c>
      <c r="AW15" s="2">
        <v>11.6</v>
      </c>
      <c r="AX15" s="2" t="s">
        <v>261</v>
      </c>
      <c r="AY15" s="130">
        <v>24</v>
      </c>
      <c r="AZ15" s="2">
        <v>19.899999999999999</v>
      </c>
      <c r="BA15" s="2"/>
      <c r="BB15" s="2">
        <v>6</v>
      </c>
      <c r="BC15" s="2"/>
      <c r="BD15" s="2">
        <v>6.4</v>
      </c>
      <c r="BE15" s="2">
        <v>17.7</v>
      </c>
      <c r="BF15" s="2">
        <v>21.3</v>
      </c>
      <c r="BG15" s="2">
        <v>24.8</v>
      </c>
      <c r="BH15" s="2">
        <v>36.200000000000003</v>
      </c>
      <c r="BI15" s="2"/>
      <c r="BJ15" s="2"/>
      <c r="BK15" s="2"/>
      <c r="BL15" s="2"/>
      <c r="BM15" s="2"/>
      <c r="BN15" s="2">
        <v>82</v>
      </c>
      <c r="BO15" s="2">
        <v>35</v>
      </c>
      <c r="BP15" s="2">
        <v>41</v>
      </c>
      <c r="BQ15" s="2">
        <v>44</v>
      </c>
      <c r="BR15" s="2">
        <v>47</v>
      </c>
      <c r="BS15" s="2">
        <v>53</v>
      </c>
      <c r="BT15" s="2">
        <v>28</v>
      </c>
      <c r="BU15" s="2">
        <v>91</v>
      </c>
      <c r="BV15" s="2">
        <v>116</v>
      </c>
      <c r="BW15" s="2">
        <v>142</v>
      </c>
      <c r="BX15" s="2">
        <v>205</v>
      </c>
      <c r="BY15" s="2">
        <v>92</v>
      </c>
      <c r="BZ15" s="2">
        <v>4.9000000000000004</v>
      </c>
      <c r="CA15" s="2">
        <v>1.3</v>
      </c>
      <c r="CB15" s="2">
        <v>1.6345636986627799E-5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19b</v>
      </c>
      <c r="J16" s="47">
        <f t="shared" ca="1" si="35"/>
        <v>11</v>
      </c>
      <c r="K16" s="19">
        <f t="shared" ca="1" si="36"/>
        <v>-21</v>
      </c>
      <c r="L16" s="116" t="str">
        <f t="shared" ca="1" si="1"/>
        <v>EW_sand_Ruled_66</v>
      </c>
      <c r="M16" s="105" t="str">
        <f t="shared" ca="1" si="2"/>
        <v>API sand</v>
      </c>
      <c r="N16" s="47">
        <f t="shared" ca="1" si="3"/>
        <v>8.5</v>
      </c>
      <c r="O16" s="63">
        <f t="shared" ca="1" si="4"/>
        <v>0</v>
      </c>
      <c r="P16" s="63">
        <f t="shared" ca="1" si="5"/>
        <v>0</v>
      </c>
      <c r="Q16" s="47">
        <f t="shared" ca="1" si="6"/>
        <v>27</v>
      </c>
      <c r="R16" s="47">
        <f t="shared" ca="1" si="7"/>
        <v>22</v>
      </c>
      <c r="S16" s="47">
        <f t="shared" ca="1" si="8"/>
        <v>0.8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34200</v>
      </c>
      <c r="Y16" s="47">
        <f t="shared" ca="1" si="14"/>
        <v>0</v>
      </c>
      <c r="Z16" s="47">
        <f t="shared" ca="1" si="15"/>
        <v>72.59999999999998</v>
      </c>
      <c r="AA16" s="47">
        <f t="shared" ca="1" si="16"/>
        <v>1</v>
      </c>
      <c r="AB16" s="47">
        <f t="shared" ca="1" si="17"/>
        <v>3660</v>
      </c>
      <c r="AC16" s="63">
        <f t="shared" ca="1" si="18"/>
        <v>114000</v>
      </c>
      <c r="AD16" s="63">
        <f t="shared" ca="1" si="19"/>
        <v>3300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15.200000000000003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66</v>
      </c>
      <c r="AS16" s="33">
        <f t="shared" ca="1" si="34"/>
        <v>0.2</v>
      </c>
      <c r="AW16" s="2">
        <v>11.6</v>
      </c>
      <c r="AX16" s="2" t="s">
        <v>287</v>
      </c>
      <c r="AY16" s="130">
        <v>36</v>
      </c>
      <c r="AZ16" s="2">
        <v>18.399999999999999</v>
      </c>
      <c r="BA16" s="2">
        <v>23</v>
      </c>
      <c r="BB16" s="2">
        <v>53</v>
      </c>
      <c r="BC16" s="2">
        <v>4</v>
      </c>
      <c r="BD16" s="2">
        <v>3</v>
      </c>
      <c r="BE16" s="2">
        <v>3.2</v>
      </c>
      <c r="BF16" s="2">
        <v>3.3</v>
      </c>
      <c r="BG16" s="2">
        <v>3.4</v>
      </c>
      <c r="BH16" s="2">
        <v>3.5</v>
      </c>
      <c r="BI16" s="2">
        <v>52</v>
      </c>
      <c r="BJ16" s="2">
        <v>132</v>
      </c>
      <c r="BK16" s="2">
        <v>168</v>
      </c>
      <c r="BL16" s="2">
        <v>206</v>
      </c>
      <c r="BM16" s="2">
        <v>286</v>
      </c>
      <c r="BN16" s="2"/>
      <c r="BO16" s="2"/>
      <c r="BP16" s="2"/>
      <c r="BQ16" s="2"/>
      <c r="BR16" s="2"/>
      <c r="BS16" s="2"/>
      <c r="BT16" s="2">
        <v>11</v>
      </c>
      <c r="BU16" s="2">
        <v>92</v>
      </c>
      <c r="BV16" s="2">
        <v>147</v>
      </c>
      <c r="BW16" s="2">
        <v>202</v>
      </c>
      <c r="BX16" s="2">
        <v>310</v>
      </c>
      <c r="BY16" s="2">
        <v>26.8</v>
      </c>
      <c r="BZ16" s="2">
        <v>5.3</v>
      </c>
      <c r="CA16" s="2">
        <v>3</v>
      </c>
      <c r="CB16" s="2">
        <v>6.7827125930144598E-10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21a</v>
      </c>
      <c r="J17" s="47">
        <f t="shared" ca="1" si="35"/>
        <v>12</v>
      </c>
      <c r="K17" s="19">
        <f t="shared" ca="1" si="36"/>
        <v>-41</v>
      </c>
      <c r="L17" s="116" t="str">
        <f t="shared" ca="1" si="1"/>
        <v>EW_sand_Ruled_69</v>
      </c>
      <c r="M17" s="105" t="str">
        <f t="shared" ca="1" si="2"/>
        <v>API sand</v>
      </c>
      <c r="N17" s="47">
        <f t="shared" ca="1" si="3"/>
        <v>9.8000000000000007</v>
      </c>
      <c r="O17" s="63">
        <f t="shared" ca="1" si="4"/>
        <v>0</v>
      </c>
      <c r="P17" s="63">
        <f t="shared" ca="1" si="5"/>
        <v>0</v>
      </c>
      <c r="Q17" s="47">
        <f t="shared" ca="1" si="6"/>
        <v>28</v>
      </c>
      <c r="R17" s="47">
        <f t="shared" ca="1" si="7"/>
        <v>23</v>
      </c>
      <c r="S17" s="47">
        <f t="shared" ca="1" si="8"/>
        <v>1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37000</v>
      </c>
      <c r="Y17" s="47">
        <f t="shared" ca="1" si="14"/>
        <v>0</v>
      </c>
      <c r="Z17" s="47">
        <f t="shared" ca="1" si="15"/>
        <v>75.399999999999977</v>
      </c>
      <c r="AA17" s="47">
        <f t="shared" ca="1" si="16"/>
        <v>1</v>
      </c>
      <c r="AB17" s="47">
        <f t="shared" ca="1" si="17"/>
        <v>4040</v>
      </c>
      <c r="AC17" s="63">
        <f t="shared" ca="1" si="18"/>
        <v>185000</v>
      </c>
      <c r="AD17" s="63">
        <f t="shared" ca="1" si="19"/>
        <v>8333.3333333333339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16.800000000000004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69</v>
      </c>
      <c r="AS17" s="33">
        <f t="shared" ca="1" si="34"/>
        <v>0.2</v>
      </c>
      <c r="AW17" s="2">
        <v>13.4</v>
      </c>
      <c r="AX17" s="2" t="s">
        <v>287</v>
      </c>
      <c r="AY17" s="130">
        <v>36</v>
      </c>
      <c r="AZ17" s="2">
        <v>18.399999999999999</v>
      </c>
      <c r="BA17" s="2">
        <v>23</v>
      </c>
      <c r="BB17" s="2">
        <v>53</v>
      </c>
      <c r="BC17" s="2">
        <v>4</v>
      </c>
      <c r="BD17" s="2">
        <v>3.4</v>
      </c>
      <c r="BE17" s="2">
        <v>3.5</v>
      </c>
      <c r="BF17" s="2">
        <v>3.6</v>
      </c>
      <c r="BG17" s="2">
        <v>3.7</v>
      </c>
      <c r="BH17" s="2">
        <v>3.8</v>
      </c>
      <c r="BI17" s="2">
        <v>70</v>
      </c>
      <c r="BJ17" s="2">
        <v>150</v>
      </c>
      <c r="BK17" s="2">
        <v>187</v>
      </c>
      <c r="BL17" s="2">
        <v>225</v>
      </c>
      <c r="BM17" s="2">
        <v>304</v>
      </c>
      <c r="BN17" s="2"/>
      <c r="BO17" s="2"/>
      <c r="BP17" s="2"/>
      <c r="BQ17" s="2"/>
      <c r="BR17" s="2"/>
      <c r="BS17" s="2"/>
      <c r="BT17" s="2">
        <v>31</v>
      </c>
      <c r="BU17" s="2">
        <v>112</v>
      </c>
      <c r="BV17" s="2">
        <v>167</v>
      </c>
      <c r="BW17" s="2">
        <v>222</v>
      </c>
      <c r="BX17" s="2">
        <v>330</v>
      </c>
      <c r="BY17" s="2">
        <v>26.8</v>
      </c>
      <c r="BZ17" s="2">
        <v>5.3</v>
      </c>
      <c r="CA17" s="2">
        <v>3</v>
      </c>
      <c r="CB17" s="2">
        <v>6.7827125930144598E-10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21a</v>
      </c>
      <c r="J18" s="47">
        <f t="shared" ca="1" si="35"/>
        <v>13</v>
      </c>
      <c r="K18" s="19">
        <f t="shared" ca="1" si="36"/>
        <v>-44</v>
      </c>
      <c r="L18" s="116" t="str">
        <f t="shared" ca="1" si="1"/>
        <v>EW_sand_Ruled_42</v>
      </c>
      <c r="M18" s="105" t="str">
        <f t="shared" ca="1" si="2"/>
        <v>API sand</v>
      </c>
      <c r="N18" s="47">
        <f t="shared" ca="1" si="3"/>
        <v>9.8000000000000007</v>
      </c>
      <c r="O18" s="63">
        <f t="shared" ca="1" si="4"/>
        <v>0</v>
      </c>
      <c r="P18" s="63">
        <f t="shared" ca="1" si="5"/>
        <v>0</v>
      </c>
      <c r="Q18" s="47">
        <f t="shared" ca="1" si="6"/>
        <v>26</v>
      </c>
      <c r="R18" s="47">
        <f t="shared" ca="1" si="7"/>
        <v>21</v>
      </c>
      <c r="S18" s="47">
        <f t="shared" ca="1" si="8"/>
        <v>0.6</v>
      </c>
      <c r="T18" s="47">
        <f t="shared" ca="1" si="9"/>
        <v>0</v>
      </c>
      <c r="U18" s="75">
        <f t="shared" ca="1" si="10"/>
        <v>0</v>
      </c>
      <c r="V18" s="75">
        <f t="shared" ca="1" si="11"/>
        <v>0</v>
      </c>
      <c r="W18" s="47">
        <f t="shared" ca="1" si="12"/>
        <v>0</v>
      </c>
      <c r="X18" s="47">
        <f t="shared" ca="1" si="13"/>
        <v>37000</v>
      </c>
      <c r="Y18" s="47">
        <f t="shared" ca="1" si="14"/>
        <v>0</v>
      </c>
      <c r="Z18" s="47">
        <f t="shared" ca="1" si="15"/>
        <v>69.799999999999983</v>
      </c>
      <c r="AA18" s="47">
        <f t="shared" ca="1" si="16"/>
        <v>1</v>
      </c>
      <c r="AB18" s="47">
        <f t="shared" ca="1" si="17"/>
        <v>3280</v>
      </c>
      <c r="AC18" s="63">
        <f t="shared" ca="1" si="18"/>
        <v>174000</v>
      </c>
      <c r="AD18" s="63">
        <f t="shared" ca="1" si="19"/>
        <v>-4750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>
        <f t="shared" ca="1" si="25"/>
        <v>13.600000000000003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42</v>
      </c>
      <c r="AS18" s="33">
        <f t="shared" ca="1" si="34"/>
        <v>0.2</v>
      </c>
      <c r="AW18" s="2">
        <v>13.4</v>
      </c>
      <c r="AX18" s="2" t="s">
        <v>290</v>
      </c>
      <c r="AY18" s="130">
        <v>34.799999999999997</v>
      </c>
      <c r="AZ18" s="2">
        <v>18.7</v>
      </c>
      <c r="BA18" s="2"/>
      <c r="BB18" s="2">
        <v>4</v>
      </c>
      <c r="BC18" s="2"/>
      <c r="BD18" s="2">
        <v>0.5</v>
      </c>
      <c r="BE18" s="2">
        <v>2.2999999999999998</v>
      </c>
      <c r="BF18" s="2">
        <v>3.4</v>
      </c>
      <c r="BG18" s="2">
        <v>4.5</v>
      </c>
      <c r="BH18" s="2">
        <f>20+7.8</f>
        <v>27.8</v>
      </c>
      <c r="BI18" s="2"/>
      <c r="BJ18" s="2"/>
      <c r="BK18" s="2"/>
      <c r="BL18" s="2"/>
      <c r="BM18" s="2"/>
      <c r="BN18" s="2">
        <v>11</v>
      </c>
      <c r="BO18" s="2">
        <v>25</v>
      </c>
      <c r="BP18" s="2">
        <v>25.5</v>
      </c>
      <c r="BQ18" s="2">
        <v>26</v>
      </c>
      <c r="BR18" s="2">
        <v>29</v>
      </c>
      <c r="BS18" s="2">
        <v>32</v>
      </c>
      <c r="BT18" s="2">
        <v>14</v>
      </c>
      <c r="BU18" s="2">
        <v>59</v>
      </c>
      <c r="BV18" s="2">
        <v>78</v>
      </c>
      <c r="BW18" s="2">
        <v>96</v>
      </c>
      <c r="BX18" s="2">
        <v>141</v>
      </c>
      <c r="BY18" s="2">
        <v>13.5</v>
      </c>
      <c r="BZ18" s="2">
        <v>1.6</v>
      </c>
      <c r="CA18" s="2">
        <v>0.7</v>
      </c>
      <c r="CB18" s="2">
        <v>1.48755209990845E-10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21a</v>
      </c>
      <c r="J19" s="47">
        <f t="shared" ca="1" si="35"/>
        <v>14</v>
      </c>
      <c r="K19" s="19">
        <f t="shared" ca="1" si="36"/>
        <v>-48</v>
      </c>
      <c r="L19" s="116" t="str">
        <f t="shared" ca="1" si="1"/>
        <v>EW_sand_Ruled_89</v>
      </c>
      <c r="M19" s="105" t="str">
        <f t="shared" ca="1" si="2"/>
        <v>API sand</v>
      </c>
      <c r="N19" s="47">
        <f t="shared" ca="1" si="3"/>
        <v>9.8000000000000007</v>
      </c>
      <c r="O19" s="63">
        <f t="shared" ca="1" si="4"/>
        <v>0</v>
      </c>
      <c r="P19" s="63">
        <f t="shared" ca="1" si="5"/>
        <v>0</v>
      </c>
      <c r="Q19" s="47">
        <f t="shared" ca="1" si="6"/>
        <v>30</v>
      </c>
      <c r="R19" s="47">
        <f t="shared" ca="1" si="7"/>
        <v>25</v>
      </c>
      <c r="S19" s="47">
        <f t="shared" ca="1" si="8"/>
        <v>1.2</v>
      </c>
      <c r="T19" s="47">
        <f t="shared" ca="1" si="9"/>
        <v>0</v>
      </c>
      <c r="U19" s="75">
        <f t="shared" ca="1" si="10"/>
        <v>0</v>
      </c>
      <c r="V19" s="75">
        <f t="shared" ca="1" si="11"/>
        <v>0</v>
      </c>
      <c r="W19" s="47">
        <f t="shared" ca="1" si="12"/>
        <v>0</v>
      </c>
      <c r="X19" s="47">
        <f t="shared" ca="1" si="13"/>
        <v>70000</v>
      </c>
      <c r="Y19" s="47">
        <f t="shared" ca="1" si="14"/>
        <v>0</v>
      </c>
      <c r="Z19" s="47">
        <f t="shared" ca="1" si="15"/>
        <v>80.999999999999972</v>
      </c>
      <c r="AA19" s="47">
        <f t="shared" ca="1" si="16"/>
        <v>1</v>
      </c>
      <c r="AB19" s="47">
        <f t="shared" ca="1" si="17"/>
        <v>4800</v>
      </c>
      <c r="AC19" s="63">
        <f t="shared" ca="1" si="18"/>
        <v>250000</v>
      </c>
      <c r="AD19" s="63">
        <f t="shared" ca="1" si="19"/>
        <v>-142.85714285714286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>
        <f t="shared" ca="1" si="25"/>
        <v>20.000000000000007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89</v>
      </c>
      <c r="AS19" s="33">
        <f t="shared" ca="1" si="34"/>
        <v>0.2</v>
      </c>
      <c r="AW19" s="2">
        <v>14</v>
      </c>
      <c r="AX19" s="2" t="s">
        <v>290</v>
      </c>
      <c r="AY19" s="130">
        <v>34.799999999999997</v>
      </c>
      <c r="AZ19" s="2">
        <v>18.7</v>
      </c>
      <c r="BA19" s="2"/>
      <c r="BB19" s="2">
        <v>4</v>
      </c>
      <c r="BC19" s="2"/>
      <c r="BD19" s="2">
        <v>0.5</v>
      </c>
      <c r="BE19" s="2">
        <v>2.2999999999999998</v>
      </c>
      <c r="BF19" s="2">
        <v>3.4</v>
      </c>
      <c r="BG19" s="2">
        <v>4.5</v>
      </c>
      <c r="BH19" s="2">
        <f>20+7.8</f>
        <v>27.8</v>
      </c>
      <c r="BI19" s="2"/>
      <c r="BJ19" s="2"/>
      <c r="BK19" s="2"/>
      <c r="BL19" s="2"/>
      <c r="BM19" s="2"/>
      <c r="BN19" s="2">
        <v>11</v>
      </c>
      <c r="BO19" s="2">
        <v>25</v>
      </c>
      <c r="BP19" s="2">
        <v>25.5</v>
      </c>
      <c r="BQ19" s="2">
        <v>26</v>
      </c>
      <c r="BR19" s="2">
        <v>29</v>
      </c>
      <c r="BS19" s="2">
        <v>32</v>
      </c>
      <c r="BT19" s="2">
        <v>15</v>
      </c>
      <c r="BU19" s="2">
        <v>60</v>
      </c>
      <c r="BV19" s="2">
        <v>78</v>
      </c>
      <c r="BW19" s="2">
        <v>97</v>
      </c>
      <c r="BX19" s="2">
        <v>142</v>
      </c>
      <c r="BY19" s="2">
        <v>13.5</v>
      </c>
      <c r="BZ19" s="2">
        <v>1.6</v>
      </c>
      <c r="CA19" s="2">
        <v>0.7</v>
      </c>
      <c r="CB19" s="2">
        <v>1.48755209990845E-10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23c</v>
      </c>
      <c r="J20" s="47">
        <f t="shared" ca="1" si="35"/>
        <v>15</v>
      </c>
      <c r="K20" s="19">
        <f t="shared" ca="1" si="36"/>
        <v>-55</v>
      </c>
      <c r="L20" s="116" t="str">
        <f t="shared" ca="1" si="1"/>
        <v>EW_sand_Ruled_70</v>
      </c>
      <c r="M20" s="105" t="str">
        <f t="shared" ca="1" si="2"/>
        <v>API sand</v>
      </c>
      <c r="N20" s="47">
        <f t="shared" ca="1" si="3"/>
        <v>9.3000000000000007</v>
      </c>
      <c r="O20" s="63">
        <f t="shared" ca="1" si="4"/>
        <v>0</v>
      </c>
      <c r="P20" s="63">
        <f t="shared" ca="1" si="5"/>
        <v>0</v>
      </c>
      <c r="Q20" s="47">
        <f t="shared" ca="1" si="6"/>
        <v>28</v>
      </c>
      <c r="R20" s="47">
        <f t="shared" ca="1" si="7"/>
        <v>23</v>
      </c>
      <c r="S20" s="47">
        <f t="shared" ca="1" si="8"/>
        <v>0.8</v>
      </c>
      <c r="T20" s="47">
        <f t="shared" ca="1" si="9"/>
        <v>0</v>
      </c>
      <c r="U20" s="75">
        <f t="shared" ca="1" si="10"/>
        <v>0</v>
      </c>
      <c r="V20" s="75">
        <f t="shared" ca="1" si="11"/>
        <v>0</v>
      </c>
      <c r="W20" s="47">
        <f t="shared" ca="1" si="12"/>
        <v>0</v>
      </c>
      <c r="X20" s="47">
        <f t="shared" ca="1" si="13"/>
        <v>62300</v>
      </c>
      <c r="Y20" s="47">
        <f t="shared" ca="1" si="14"/>
        <v>0</v>
      </c>
      <c r="Z20" s="47">
        <f t="shared" ca="1" si="15"/>
        <v>75.399999999999977</v>
      </c>
      <c r="AA20" s="47">
        <f t="shared" ca="1" si="16"/>
        <v>1</v>
      </c>
      <c r="AB20" s="47">
        <f t="shared" ca="1" si="17"/>
        <v>4040</v>
      </c>
      <c r="AC20" s="63">
        <f t="shared" ca="1" si="18"/>
        <v>244000</v>
      </c>
      <c r="AD20" s="63">
        <f t="shared" ca="1" si="19"/>
        <v>-3647.0588235294117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>
        <f t="shared" ca="1" si="25"/>
        <v>16.800000000000004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70</v>
      </c>
      <c r="AS20" s="33">
        <f t="shared" ca="1" si="34"/>
        <v>0.4</v>
      </c>
      <c r="AW20" s="2">
        <v>14</v>
      </c>
      <c r="AX20" s="2" t="s">
        <v>290</v>
      </c>
      <c r="AY20" s="130">
        <v>34.799999999999997</v>
      </c>
      <c r="AZ20" s="2">
        <v>18.7</v>
      </c>
      <c r="BA20" s="2"/>
      <c r="BB20" s="2">
        <v>4</v>
      </c>
      <c r="BC20" s="2"/>
      <c r="BD20" s="2">
        <v>0.5</v>
      </c>
      <c r="BE20" s="2">
        <v>1.9</v>
      </c>
      <c r="BF20" s="2">
        <v>3</v>
      </c>
      <c r="BG20" s="2">
        <v>4.0999999999999996</v>
      </c>
      <c r="BH20" s="2">
        <f>20+7.3</f>
        <v>27.3</v>
      </c>
      <c r="BI20" s="2"/>
      <c r="BJ20" s="2"/>
      <c r="BK20" s="2"/>
      <c r="BL20" s="2"/>
      <c r="BM20" s="2"/>
      <c r="BN20" s="2">
        <v>8</v>
      </c>
      <c r="BO20" s="2">
        <v>25</v>
      </c>
      <c r="BP20" s="2">
        <v>25.5</v>
      </c>
      <c r="BQ20" s="2">
        <v>26</v>
      </c>
      <c r="BR20" s="2">
        <v>28</v>
      </c>
      <c r="BS20" s="2">
        <v>32</v>
      </c>
      <c r="BT20" s="2">
        <v>14</v>
      </c>
      <c r="BU20" s="2">
        <v>58</v>
      </c>
      <c r="BV20" s="2">
        <v>77</v>
      </c>
      <c r="BW20" s="2">
        <v>95</v>
      </c>
      <c r="BX20" s="2">
        <v>141</v>
      </c>
      <c r="BY20" s="2">
        <v>12.7</v>
      </c>
      <c r="BZ20" s="2">
        <v>1.4</v>
      </c>
      <c r="CA20" s="2">
        <v>0.6</v>
      </c>
      <c r="CB20" s="2">
        <v>1.09071339679995E-10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>23d</v>
      </c>
      <c r="J21" s="47">
        <f t="shared" ca="1" si="35"/>
        <v>16</v>
      </c>
      <c r="K21" s="19">
        <f ca="1">IF(OFFSET($AW$6,(ROW()-6)*2,0)=0,"",-OFFSET($AW$6,(ROW()-6)*2,0))</f>
        <v>-63.5</v>
      </c>
      <c r="L21" s="116" t="str">
        <f t="shared" ca="1" si="1"/>
        <v>Cowden Clay</v>
      </c>
      <c r="M21" s="105" t="str">
        <f t="shared" ca="1" si="2"/>
        <v>API clay</v>
      </c>
      <c r="N21" s="47">
        <f t="shared" ca="1" si="3"/>
        <v>8.8999999999999986</v>
      </c>
      <c r="O21" s="63">
        <f t="shared" ca="1" si="4"/>
        <v>319</v>
      </c>
      <c r="P21" s="63">
        <f t="shared" ca="1" si="5"/>
        <v>9.8787878787878789</v>
      </c>
      <c r="Q21" s="47">
        <f t="shared" ca="1" si="6"/>
        <v>0</v>
      </c>
      <c r="R21" s="47" t="e">
        <f t="shared" ca="1" si="7"/>
        <v>#N/A</v>
      </c>
      <c r="S21" s="47">
        <f t="shared" ca="1" si="8"/>
        <v>1.6</v>
      </c>
      <c r="T21" s="47">
        <f t="shared" ca="1" si="9"/>
        <v>0</v>
      </c>
      <c r="U21" s="75">
        <f t="shared" ca="1" si="10"/>
        <v>1.7999999999999999E-2</v>
      </c>
      <c r="V21" s="75">
        <f t="shared" ca="1" si="11"/>
        <v>0</v>
      </c>
      <c r="W21" s="47">
        <f t="shared" ca="1" si="12"/>
        <v>0.25</v>
      </c>
      <c r="X21" s="47">
        <f t="shared" ca="1" si="13"/>
        <v>36600</v>
      </c>
      <c r="Y21" s="47">
        <f t="shared" ca="1" si="14"/>
        <v>0</v>
      </c>
      <c r="Z21" s="47" t="e">
        <f t="shared" ca="1" si="15"/>
        <v>#N/A</v>
      </c>
      <c r="AA21" s="47">
        <f t="shared" ca="1" si="16"/>
        <v>1</v>
      </c>
      <c r="AB21" s="47" t="e">
        <f t="shared" ca="1" si="17"/>
        <v>#N/A</v>
      </c>
      <c r="AC21" s="63">
        <f t="shared" ca="1" si="18"/>
        <v>506000</v>
      </c>
      <c r="AD21" s="63">
        <f t="shared" ca="1" si="19"/>
        <v>15333.333333333334</v>
      </c>
      <c r="AE21" s="63">
        <f t="shared" ca="1" si="20"/>
        <v>0.3</v>
      </c>
      <c r="AF21" s="63">
        <f t="shared" ca="1" si="21"/>
        <v>0</v>
      </c>
      <c r="AG21" s="63">
        <f t="shared" ca="1" si="22"/>
        <v>0</v>
      </c>
      <c r="AH21" s="63">
        <f t="shared" ca="1" si="23"/>
        <v>0</v>
      </c>
      <c r="AI21" s="63">
        <f t="shared" ca="1" si="24"/>
        <v>0</v>
      </c>
      <c r="AJ21" s="47" t="e">
        <f t="shared" ca="1" si="25"/>
        <v>#N/A</v>
      </c>
      <c r="AK21" s="47">
        <f t="shared" ca="1" si="26"/>
        <v>1</v>
      </c>
      <c r="AL21" s="47">
        <f t="shared" ca="1" si="27"/>
        <v>1</v>
      </c>
      <c r="AM21" s="47">
        <f t="shared" ca="1" si="28"/>
        <v>1</v>
      </c>
      <c r="AN21" s="47">
        <f t="shared" ca="1" si="29"/>
        <v>1</v>
      </c>
      <c r="AO21" s="47">
        <f t="shared" ca="1" si="30"/>
        <v>1</v>
      </c>
      <c r="AP21" s="47">
        <f t="shared" ca="1" si="31"/>
        <v>1</v>
      </c>
      <c r="AQ21" s="47">
        <f t="shared" ca="1" si="32"/>
        <v>0</v>
      </c>
      <c r="AR21" s="47">
        <f t="shared" ca="1" si="33"/>
        <v>0</v>
      </c>
      <c r="AS21" s="33">
        <f t="shared" ca="1" si="34"/>
        <v>0.4</v>
      </c>
      <c r="AW21" s="2">
        <v>15</v>
      </c>
      <c r="AX21" s="2" t="s">
        <v>290</v>
      </c>
      <c r="AY21" s="130">
        <v>34.799999999999997</v>
      </c>
      <c r="AZ21" s="2">
        <v>18.7</v>
      </c>
      <c r="BA21" s="2"/>
      <c r="BB21" s="2">
        <v>4</v>
      </c>
      <c r="BC21" s="2"/>
      <c r="BD21" s="2">
        <v>1</v>
      </c>
      <c r="BE21" s="2">
        <v>2.5</v>
      </c>
      <c r="BF21" s="2">
        <v>3.6</v>
      </c>
      <c r="BG21" s="2">
        <v>4.5999999999999996</v>
      </c>
      <c r="BH21" s="2">
        <f>20+7.8</f>
        <v>27.8</v>
      </c>
      <c r="BI21" s="2"/>
      <c r="BJ21" s="2"/>
      <c r="BK21" s="2"/>
      <c r="BL21" s="2"/>
      <c r="BM21" s="2"/>
      <c r="BN21" s="2">
        <v>8</v>
      </c>
      <c r="BO21" s="2">
        <v>25</v>
      </c>
      <c r="BP21" s="2">
        <v>25.5</v>
      </c>
      <c r="BQ21" s="2">
        <v>26</v>
      </c>
      <c r="BR21" s="2">
        <v>28</v>
      </c>
      <c r="BS21" s="2">
        <v>32</v>
      </c>
      <c r="BT21" s="2">
        <v>18</v>
      </c>
      <c r="BU21" s="2">
        <v>62</v>
      </c>
      <c r="BV21" s="2">
        <v>81</v>
      </c>
      <c r="BW21" s="2">
        <v>100</v>
      </c>
      <c r="BX21" s="2">
        <v>145</v>
      </c>
      <c r="BY21" s="2">
        <v>12.7</v>
      </c>
      <c r="BZ21" s="2">
        <v>1.4</v>
      </c>
      <c r="CA21" s="2">
        <v>0.6</v>
      </c>
      <c r="CB21" s="2">
        <v>1.09071339679995E-10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15</v>
      </c>
      <c r="AX22" s="2" t="s">
        <v>301</v>
      </c>
      <c r="AY22" s="130">
        <v>32.5</v>
      </c>
      <c r="AZ22" s="2">
        <v>18.7</v>
      </c>
      <c r="BA22" s="2">
        <v>21</v>
      </c>
      <c r="BB22" s="2">
        <v>82</v>
      </c>
      <c r="BC22" s="2">
        <v>7</v>
      </c>
      <c r="BD22" s="2">
        <v>0.5</v>
      </c>
      <c r="BE22" s="2">
        <v>2.2999999999999998</v>
      </c>
      <c r="BF22" s="2">
        <v>3.2</v>
      </c>
      <c r="BG22" s="2">
        <v>4</v>
      </c>
      <c r="BH22" s="2">
        <v>9.3000000000000007</v>
      </c>
      <c r="BI22" s="2">
        <v>21</v>
      </c>
      <c r="BJ22" s="2">
        <v>76</v>
      </c>
      <c r="BK22" s="2">
        <v>160</v>
      </c>
      <c r="BL22" s="2">
        <v>244</v>
      </c>
      <c r="BM22" s="2">
        <v>562</v>
      </c>
      <c r="BN22" s="2"/>
      <c r="BO22" s="2"/>
      <c r="BP22" s="2"/>
      <c r="BQ22" s="2"/>
      <c r="BR22" s="2"/>
      <c r="BS22" s="2"/>
      <c r="BT22" s="2">
        <v>15</v>
      </c>
      <c r="BU22" s="2">
        <v>100</v>
      </c>
      <c r="BV22" s="2">
        <v>132</v>
      </c>
      <c r="BW22" s="2">
        <v>269</v>
      </c>
      <c r="BX22" s="2">
        <v>716</v>
      </c>
      <c r="BY22" s="2">
        <v>18.5</v>
      </c>
      <c r="BZ22" s="2">
        <v>9.1999999999999993</v>
      </c>
      <c r="CA22" s="2">
        <v>3</v>
      </c>
      <c r="CB22" s="2">
        <v>1.0286660929058899E-9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18.5</v>
      </c>
      <c r="AX23" s="2" t="s">
        <v>301</v>
      </c>
      <c r="AY23" s="130">
        <v>32.5</v>
      </c>
      <c r="AZ23" s="2">
        <v>18.7</v>
      </c>
      <c r="BA23" s="2">
        <v>21</v>
      </c>
      <c r="BB23" s="2">
        <v>82</v>
      </c>
      <c r="BC23" s="2">
        <v>7</v>
      </c>
      <c r="BD23" s="2">
        <v>7.3</v>
      </c>
      <c r="BE23" s="2">
        <v>9.1</v>
      </c>
      <c r="BF23" s="2">
        <v>9.9</v>
      </c>
      <c r="BG23" s="2">
        <v>10.8</v>
      </c>
      <c r="BH23" s="2">
        <v>16</v>
      </c>
      <c r="BI23" s="2">
        <v>393</v>
      </c>
      <c r="BJ23" s="2">
        <v>448</v>
      </c>
      <c r="BK23" s="2">
        <v>532</v>
      </c>
      <c r="BL23" s="2">
        <v>617</v>
      </c>
      <c r="BM23" s="2">
        <v>935</v>
      </c>
      <c r="BN23" s="2"/>
      <c r="BO23" s="2"/>
      <c r="BP23" s="2"/>
      <c r="BQ23" s="2"/>
      <c r="BR23" s="2"/>
      <c r="BS23" s="2"/>
      <c r="BT23" s="2">
        <v>469</v>
      </c>
      <c r="BU23" s="2">
        <v>555</v>
      </c>
      <c r="BV23" s="2">
        <v>587</v>
      </c>
      <c r="BW23" s="2">
        <v>724</v>
      </c>
      <c r="BX23" s="2">
        <v>1170</v>
      </c>
      <c r="BY23" s="2">
        <v>18.5</v>
      </c>
      <c r="BZ23" s="2">
        <v>9.1999999999999993</v>
      </c>
      <c r="CA23" s="2">
        <v>3</v>
      </c>
      <c r="CB23" s="2">
        <v>1.0286660929058899E-9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18.5</v>
      </c>
      <c r="AX24" s="2" t="s">
        <v>291</v>
      </c>
      <c r="AY24" s="130">
        <v>35.4</v>
      </c>
      <c r="AZ24" s="2">
        <v>18.5</v>
      </c>
      <c r="BA24" s="2"/>
      <c r="BB24" s="2">
        <v>54</v>
      </c>
      <c r="BC24" s="2"/>
      <c r="BD24" s="2">
        <v>25</v>
      </c>
      <c r="BE24" s="2">
        <v>29.4</v>
      </c>
      <c r="BF24" s="2">
        <v>30.3</v>
      </c>
      <c r="BG24" s="2">
        <v>33.200000000000003</v>
      </c>
      <c r="BH24" s="2">
        <v>47.5</v>
      </c>
      <c r="BI24" s="2"/>
      <c r="BJ24" s="2"/>
      <c r="BK24" s="2"/>
      <c r="BL24" s="2"/>
      <c r="BM24" s="2"/>
      <c r="BN24" s="2">
        <v>77</v>
      </c>
      <c r="BO24" s="2">
        <v>26</v>
      </c>
      <c r="BP24" s="2">
        <v>28</v>
      </c>
      <c r="BQ24" s="2">
        <v>31</v>
      </c>
      <c r="BR24" s="2">
        <v>33</v>
      </c>
      <c r="BS24" s="2">
        <v>38</v>
      </c>
      <c r="BT24" s="2">
        <v>62</v>
      </c>
      <c r="BU24" s="2">
        <v>124</v>
      </c>
      <c r="BV24" s="2">
        <v>155</v>
      </c>
      <c r="BW24" s="2">
        <v>187</v>
      </c>
      <c r="BX24" s="2">
        <v>268</v>
      </c>
      <c r="BY24" s="2">
        <v>29.3</v>
      </c>
      <c r="BZ24" s="2">
        <v>4.8</v>
      </c>
      <c r="CA24" s="2">
        <v>1.3</v>
      </c>
      <c r="CB24" s="2">
        <v>8.3833420482833699E-7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21</v>
      </c>
      <c r="AX25" s="2" t="s">
        <v>291</v>
      </c>
      <c r="AY25" s="130">
        <v>35.4</v>
      </c>
      <c r="AZ25" s="2">
        <v>18.5</v>
      </c>
      <c r="BA25" s="2"/>
      <c r="BB25" s="2">
        <v>54</v>
      </c>
      <c r="BC25" s="2"/>
      <c r="BD25" s="2">
        <v>1.4</v>
      </c>
      <c r="BE25" s="2">
        <v>5.8</v>
      </c>
      <c r="BF25" s="2">
        <v>6.7</v>
      </c>
      <c r="BG25" s="2">
        <v>9.6</v>
      </c>
      <c r="BH25" s="2">
        <v>23.9</v>
      </c>
      <c r="BI25" s="2"/>
      <c r="BJ25" s="2"/>
      <c r="BK25" s="2"/>
      <c r="BL25" s="2"/>
      <c r="BM25" s="2"/>
      <c r="BN25" s="2">
        <v>77</v>
      </c>
      <c r="BO25" s="2">
        <v>26</v>
      </c>
      <c r="BP25" s="2">
        <v>28</v>
      </c>
      <c r="BQ25" s="2">
        <v>31</v>
      </c>
      <c r="BR25" s="2">
        <v>33</v>
      </c>
      <c r="BS25" s="2">
        <v>38</v>
      </c>
      <c r="BT25" s="2">
        <v>20</v>
      </c>
      <c r="BU25" s="2">
        <v>82</v>
      </c>
      <c r="BV25" s="2">
        <v>114</v>
      </c>
      <c r="BW25" s="2">
        <v>146</v>
      </c>
      <c r="BX25" s="2">
        <v>227</v>
      </c>
      <c r="BY25" s="2">
        <v>29.3</v>
      </c>
      <c r="BZ25" s="2">
        <v>4.8</v>
      </c>
      <c r="CA25" s="2">
        <v>1.3</v>
      </c>
      <c r="CB25" s="2">
        <v>8.3833420482833699E-7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21</v>
      </c>
      <c r="AX26" s="2" t="s">
        <v>291</v>
      </c>
      <c r="AY26" s="130">
        <v>35.4</v>
      </c>
      <c r="AZ26" s="2">
        <v>18.5</v>
      </c>
      <c r="BA26" s="2"/>
      <c r="BB26" s="2">
        <v>54</v>
      </c>
      <c r="BC26" s="2"/>
      <c r="BD26" s="2">
        <v>0.7</v>
      </c>
      <c r="BE26" s="2">
        <v>7.2</v>
      </c>
      <c r="BF26" s="2">
        <v>8</v>
      </c>
      <c r="BG26" s="2">
        <v>9.3000000000000007</v>
      </c>
      <c r="BH26" s="2">
        <v>26.6</v>
      </c>
      <c r="BI26" s="2"/>
      <c r="BJ26" s="2"/>
      <c r="BK26" s="2"/>
      <c r="BL26" s="2"/>
      <c r="BM26" s="2"/>
      <c r="BN26" s="2">
        <v>66</v>
      </c>
      <c r="BO26" s="2">
        <v>26</v>
      </c>
      <c r="BP26" s="2">
        <v>27</v>
      </c>
      <c r="BQ26" s="2">
        <v>29</v>
      </c>
      <c r="BR26" s="2">
        <v>31</v>
      </c>
      <c r="BS26" s="2">
        <v>36</v>
      </c>
      <c r="BT26" s="2">
        <v>21</v>
      </c>
      <c r="BU26" s="2">
        <v>81</v>
      </c>
      <c r="BV26" s="2">
        <v>114</v>
      </c>
      <c r="BW26" s="2">
        <v>147</v>
      </c>
      <c r="BX26" s="2">
        <v>234</v>
      </c>
      <c r="BY26" s="2">
        <v>34.200000000000003</v>
      </c>
      <c r="BZ26" s="2">
        <v>2.4</v>
      </c>
      <c r="CA26" s="2">
        <v>0.8</v>
      </c>
      <c r="CB26" s="2">
        <v>1.00904414094763E-9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41</v>
      </c>
      <c r="AX27" s="2" t="s">
        <v>291</v>
      </c>
      <c r="AY27" s="130">
        <v>35.4</v>
      </c>
      <c r="AZ27" s="2">
        <v>18.5</v>
      </c>
      <c r="BA27" s="2"/>
      <c r="BB27" s="2">
        <v>54</v>
      </c>
      <c r="BC27" s="2"/>
      <c r="BD27" s="2">
        <v>13.2</v>
      </c>
      <c r="BE27" s="2">
        <v>19.7</v>
      </c>
      <c r="BF27" s="2">
        <v>20.399999999999999</v>
      </c>
      <c r="BG27" s="2">
        <v>21.7</v>
      </c>
      <c r="BH27" s="2">
        <v>39</v>
      </c>
      <c r="BI27" s="2"/>
      <c r="BJ27" s="2"/>
      <c r="BK27" s="2"/>
      <c r="BL27" s="2"/>
      <c r="BM27" s="2"/>
      <c r="BN27" s="2">
        <v>66</v>
      </c>
      <c r="BO27" s="2">
        <v>26</v>
      </c>
      <c r="BP27" s="2">
        <v>27</v>
      </c>
      <c r="BQ27" s="2">
        <v>29</v>
      </c>
      <c r="BR27" s="2">
        <v>31</v>
      </c>
      <c r="BS27" s="2">
        <v>36</v>
      </c>
      <c r="BT27" s="2">
        <v>87</v>
      </c>
      <c r="BU27" s="2">
        <v>147</v>
      </c>
      <c r="BV27" s="2">
        <v>180</v>
      </c>
      <c r="BW27" s="2">
        <v>213</v>
      </c>
      <c r="BX27" s="2">
        <v>300</v>
      </c>
      <c r="BY27" s="2">
        <v>34.200000000000003</v>
      </c>
      <c r="BZ27" s="2">
        <v>2.4</v>
      </c>
      <c r="CA27" s="2">
        <v>0.8</v>
      </c>
      <c r="CB27" s="2">
        <v>1.00904414094763E-9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41</v>
      </c>
      <c r="AX28" s="2" t="s">
        <v>271</v>
      </c>
      <c r="AY28" s="130">
        <v>24.7</v>
      </c>
      <c r="AZ28" s="2">
        <v>19.8</v>
      </c>
      <c r="BA28" s="2"/>
      <c r="BB28" s="2">
        <v>11</v>
      </c>
      <c r="BC28" s="2"/>
      <c r="BD28" s="2">
        <v>11.8</v>
      </c>
      <c r="BE28" s="2">
        <v>20.5</v>
      </c>
      <c r="BF28" s="2">
        <v>23.3</v>
      </c>
      <c r="BG28" s="2">
        <v>26.2</v>
      </c>
      <c r="BH28" s="2">
        <v>35.200000000000003</v>
      </c>
      <c r="BI28" s="2"/>
      <c r="BJ28" s="2"/>
      <c r="BK28" s="2"/>
      <c r="BL28" s="2"/>
      <c r="BM28" s="2"/>
      <c r="BN28" s="2">
        <v>69</v>
      </c>
      <c r="BO28" s="2">
        <v>26</v>
      </c>
      <c r="BP28" s="2">
        <v>28</v>
      </c>
      <c r="BQ28" s="2">
        <v>30</v>
      </c>
      <c r="BR28" s="2">
        <v>33</v>
      </c>
      <c r="BS28" s="2">
        <v>37</v>
      </c>
      <c r="BT28" s="2">
        <v>41</v>
      </c>
      <c r="BU28" s="2">
        <v>140</v>
      </c>
      <c r="BV28" s="2">
        <v>185</v>
      </c>
      <c r="BW28" s="2">
        <v>230</v>
      </c>
      <c r="BX28" s="2">
        <v>342</v>
      </c>
      <c r="BY28" s="2">
        <v>37</v>
      </c>
      <c r="BZ28" s="2">
        <v>3</v>
      </c>
      <c r="CA28" s="2">
        <v>1</v>
      </c>
      <c r="CB28" s="2">
        <v>1.71837567641676E-10</v>
      </c>
      <c r="CC28" s="2"/>
    </row>
    <row r="29" spans="1:81" x14ac:dyDescent="0.25">
      <c r="A29" s="66"/>
      <c r="B29" s="66"/>
      <c r="C29" s="67"/>
      <c r="D29" s="35"/>
      <c r="AW29" s="2">
        <v>44</v>
      </c>
      <c r="AX29" s="2" t="s">
        <v>271</v>
      </c>
      <c r="AY29" s="130">
        <v>24.7</v>
      </c>
      <c r="AZ29" s="2">
        <v>19.8</v>
      </c>
      <c r="BA29" s="2"/>
      <c r="BB29" s="2">
        <v>11</v>
      </c>
      <c r="BC29" s="2"/>
      <c r="BD29" s="2">
        <v>24.2</v>
      </c>
      <c r="BE29" s="2">
        <v>32.9</v>
      </c>
      <c r="BF29" s="2">
        <v>35.700000000000003</v>
      </c>
      <c r="BG29" s="2">
        <v>38.6</v>
      </c>
      <c r="BH29" s="2">
        <v>47.5</v>
      </c>
      <c r="BI29" s="2"/>
      <c r="BJ29" s="2"/>
      <c r="BK29" s="2"/>
      <c r="BL29" s="2"/>
      <c r="BM29" s="2"/>
      <c r="BN29" s="2">
        <v>69</v>
      </c>
      <c r="BO29" s="2">
        <v>26</v>
      </c>
      <c r="BP29" s="2">
        <v>28</v>
      </c>
      <c r="BQ29" s="2">
        <v>30</v>
      </c>
      <c r="BR29" s="2">
        <v>33</v>
      </c>
      <c r="BS29" s="2">
        <v>37</v>
      </c>
      <c r="BT29" s="2">
        <v>65</v>
      </c>
      <c r="BU29" s="2">
        <v>165</v>
      </c>
      <c r="BV29" s="2">
        <v>210</v>
      </c>
      <c r="BW29" s="2">
        <v>255</v>
      </c>
      <c r="BX29" s="2">
        <v>367</v>
      </c>
      <c r="BY29" s="2">
        <v>37</v>
      </c>
      <c r="BZ29" s="2">
        <v>3</v>
      </c>
      <c r="CA29" s="2">
        <v>1</v>
      </c>
      <c r="CB29" s="2">
        <v>1.71837567641676E-10</v>
      </c>
      <c r="CC29" s="2"/>
    </row>
    <row r="30" spans="1:81" x14ac:dyDescent="0.25">
      <c r="A30" s="66"/>
      <c r="B30" s="66"/>
      <c r="C30" s="67"/>
      <c r="D30" s="35"/>
      <c r="AW30" s="2">
        <v>44</v>
      </c>
      <c r="AX30" s="2" t="s">
        <v>271</v>
      </c>
      <c r="AY30" s="130">
        <v>24.7</v>
      </c>
      <c r="AZ30" s="2">
        <v>19.8</v>
      </c>
      <c r="BA30" s="2"/>
      <c r="BB30" s="2">
        <v>11</v>
      </c>
      <c r="BC30" s="2"/>
      <c r="BD30" s="2">
        <v>12.8</v>
      </c>
      <c r="BE30" s="2">
        <v>14.5</v>
      </c>
      <c r="BF30" s="2">
        <v>14.9</v>
      </c>
      <c r="BG30" s="2">
        <v>19.5</v>
      </c>
      <c r="BH30" s="2">
        <v>37</v>
      </c>
      <c r="BI30" s="2"/>
      <c r="BJ30" s="2"/>
      <c r="BK30" s="2"/>
      <c r="BL30" s="2"/>
      <c r="BM30" s="2"/>
      <c r="BN30" s="2">
        <v>42</v>
      </c>
      <c r="BO30" s="2">
        <v>26</v>
      </c>
      <c r="BP30" s="2">
        <v>26</v>
      </c>
      <c r="BQ30" s="2">
        <v>28</v>
      </c>
      <c r="BR30" s="2">
        <v>30</v>
      </c>
      <c r="BS30" s="2">
        <v>35</v>
      </c>
      <c r="BT30" s="2">
        <v>66</v>
      </c>
      <c r="BU30" s="2">
        <v>136</v>
      </c>
      <c r="BV30" s="2">
        <v>174</v>
      </c>
      <c r="BW30" s="2">
        <v>212</v>
      </c>
      <c r="BX30" s="2">
        <v>312</v>
      </c>
      <c r="BY30" s="2">
        <v>37</v>
      </c>
      <c r="BZ30" s="2">
        <v>1.2</v>
      </c>
      <c r="CA30" s="2">
        <v>0.6</v>
      </c>
      <c r="CB30" s="2">
        <v>4.8242025436481398E-11</v>
      </c>
      <c r="CC30" s="2"/>
    </row>
    <row r="31" spans="1:81" x14ac:dyDescent="0.25">
      <c r="A31" s="66"/>
      <c r="B31" s="66"/>
      <c r="C31" s="67"/>
      <c r="D31" s="35"/>
      <c r="AW31" s="2">
        <v>48</v>
      </c>
      <c r="AX31" s="2" t="s">
        <v>271</v>
      </c>
      <c r="AY31" s="130">
        <v>24.7</v>
      </c>
      <c r="AZ31" s="2">
        <v>19.8</v>
      </c>
      <c r="BA31" s="2"/>
      <c r="BB31" s="2">
        <v>11</v>
      </c>
      <c r="BC31" s="2"/>
      <c r="BD31" s="2">
        <v>7.1</v>
      </c>
      <c r="BE31" s="2">
        <v>8.8000000000000007</v>
      </c>
      <c r="BF31" s="2">
        <v>9.1999999999999993</v>
      </c>
      <c r="BG31" s="2">
        <v>13.8</v>
      </c>
      <c r="BH31" s="2">
        <v>31.3</v>
      </c>
      <c r="BI31" s="2"/>
      <c r="BJ31" s="2"/>
      <c r="BK31" s="2"/>
      <c r="BL31" s="2"/>
      <c r="BM31" s="2"/>
      <c r="BN31" s="2">
        <v>42</v>
      </c>
      <c r="BO31" s="2">
        <v>26</v>
      </c>
      <c r="BP31" s="2">
        <v>26</v>
      </c>
      <c r="BQ31" s="2">
        <v>28</v>
      </c>
      <c r="BR31" s="2">
        <v>30</v>
      </c>
      <c r="BS31" s="2">
        <v>35</v>
      </c>
      <c r="BT31" s="2">
        <v>48</v>
      </c>
      <c r="BU31" s="2">
        <v>117</v>
      </c>
      <c r="BV31" s="2">
        <v>155</v>
      </c>
      <c r="BW31" s="2">
        <v>194</v>
      </c>
      <c r="BX31" s="2">
        <v>293</v>
      </c>
      <c r="BY31" s="2">
        <v>37</v>
      </c>
      <c r="BZ31" s="2">
        <v>1.2</v>
      </c>
      <c r="CA31" s="2">
        <v>0.6</v>
      </c>
      <c r="CB31" s="2">
        <v>4.8242025436481398E-11</v>
      </c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48</v>
      </c>
      <c r="AX32" s="2" t="s">
        <v>271</v>
      </c>
      <c r="AY32" s="130">
        <v>24.7</v>
      </c>
      <c r="AZ32" s="2">
        <v>19.8</v>
      </c>
      <c r="BA32" s="2"/>
      <c r="BB32" s="2">
        <v>11</v>
      </c>
      <c r="BC32" s="2"/>
      <c r="BD32" s="2">
        <v>45.8</v>
      </c>
      <c r="BE32" s="2">
        <v>57.7</v>
      </c>
      <c r="BF32" s="2">
        <v>59.9</v>
      </c>
      <c r="BG32" s="2">
        <v>62.4</v>
      </c>
      <c r="BH32" s="2">
        <v>76</v>
      </c>
      <c r="BI32" s="2"/>
      <c r="BJ32" s="2"/>
      <c r="BK32" s="2"/>
      <c r="BL32" s="2"/>
      <c r="BM32" s="2"/>
      <c r="BN32" s="2">
        <v>89</v>
      </c>
      <c r="BO32" s="2">
        <v>26</v>
      </c>
      <c r="BP32" s="2">
        <v>30</v>
      </c>
      <c r="BQ32" s="2">
        <v>32</v>
      </c>
      <c r="BR32" s="2">
        <v>34</v>
      </c>
      <c r="BS32" s="2">
        <v>39</v>
      </c>
      <c r="BT32" s="2">
        <v>55</v>
      </c>
      <c r="BU32" s="2">
        <v>192</v>
      </c>
      <c r="BV32" s="2">
        <v>250</v>
      </c>
      <c r="BW32" s="2">
        <v>308</v>
      </c>
      <c r="BX32" s="2">
        <v>453</v>
      </c>
      <c r="BY32" s="2">
        <v>70</v>
      </c>
      <c r="BZ32" s="2">
        <v>4.2</v>
      </c>
      <c r="CA32" s="2">
        <v>1.2</v>
      </c>
      <c r="CB32" s="2">
        <v>5.1822461167255601E-7</v>
      </c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55</v>
      </c>
      <c r="AX33" s="2" t="s">
        <v>271</v>
      </c>
      <c r="AY33" s="130">
        <v>24.7</v>
      </c>
      <c r="AZ33" s="2">
        <v>19.8</v>
      </c>
      <c r="BA33" s="2"/>
      <c r="BB33" s="2">
        <v>11</v>
      </c>
      <c r="BC33" s="2"/>
      <c r="BD33" s="2">
        <v>32.5</v>
      </c>
      <c r="BE33" s="2">
        <v>44.4</v>
      </c>
      <c r="BF33" s="2">
        <v>46.6</v>
      </c>
      <c r="BG33" s="2">
        <v>49.1</v>
      </c>
      <c r="BH33" s="2">
        <v>62.7</v>
      </c>
      <c r="BI33" s="2"/>
      <c r="BJ33" s="2"/>
      <c r="BK33" s="2"/>
      <c r="BL33" s="2"/>
      <c r="BM33" s="2"/>
      <c r="BN33" s="2">
        <v>89</v>
      </c>
      <c r="BO33" s="2">
        <v>26</v>
      </c>
      <c r="BP33" s="2">
        <v>30</v>
      </c>
      <c r="BQ33" s="2">
        <v>32</v>
      </c>
      <c r="BR33" s="2">
        <v>34</v>
      </c>
      <c r="BS33" s="2">
        <v>39</v>
      </c>
      <c r="BT33" s="2">
        <v>55</v>
      </c>
      <c r="BU33" s="2">
        <v>191</v>
      </c>
      <c r="BV33" s="2">
        <v>249</v>
      </c>
      <c r="BW33" s="2">
        <v>307</v>
      </c>
      <c r="BX33" s="2">
        <v>452</v>
      </c>
      <c r="BY33" s="2">
        <v>70</v>
      </c>
      <c r="BZ33" s="2">
        <v>4.2</v>
      </c>
      <c r="CA33" s="2">
        <v>1.2</v>
      </c>
      <c r="CB33" s="2">
        <v>5.1822461167255601E-7</v>
      </c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55</v>
      </c>
      <c r="AX34" s="2" t="s">
        <v>302</v>
      </c>
      <c r="AY34" s="130">
        <v>27.7</v>
      </c>
      <c r="AZ34" s="2">
        <v>19.3</v>
      </c>
      <c r="BA34" s="2"/>
      <c r="BB34" s="2">
        <v>15</v>
      </c>
      <c r="BC34" s="2"/>
      <c r="BD34" s="2">
        <v>33.200000000000003</v>
      </c>
      <c r="BE34" s="2">
        <v>41.1</v>
      </c>
      <c r="BF34" s="2">
        <v>42.1</v>
      </c>
      <c r="BG34" s="2">
        <v>42.9</v>
      </c>
      <c r="BH34" s="2">
        <v>50.2</v>
      </c>
      <c r="BI34" s="2"/>
      <c r="BJ34" s="2"/>
      <c r="BK34" s="2"/>
      <c r="BL34" s="2"/>
      <c r="BM34" s="2"/>
      <c r="BN34" s="2">
        <v>70</v>
      </c>
      <c r="BO34" s="2">
        <v>26</v>
      </c>
      <c r="BP34" s="2">
        <v>28</v>
      </c>
      <c r="BQ34" s="2">
        <v>30</v>
      </c>
      <c r="BR34" s="2">
        <v>33</v>
      </c>
      <c r="BS34" s="2">
        <v>37</v>
      </c>
      <c r="BT34" s="2">
        <v>94</v>
      </c>
      <c r="BU34" s="2">
        <v>191</v>
      </c>
      <c r="BV34" s="2">
        <v>244</v>
      </c>
      <c r="BW34" s="2">
        <v>298</v>
      </c>
      <c r="BX34" s="2">
        <v>430</v>
      </c>
      <c r="BY34" s="2">
        <v>62.3</v>
      </c>
      <c r="BZ34" s="2">
        <v>2.2000000000000002</v>
      </c>
      <c r="CA34" s="2">
        <v>0.8</v>
      </c>
      <c r="CB34" s="2">
        <v>1.9916639734516899E-8</v>
      </c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63.5</v>
      </c>
      <c r="AX35" s="2" t="s">
        <v>302</v>
      </c>
      <c r="AY35" s="130">
        <v>27.7</v>
      </c>
      <c r="AZ35" s="2">
        <v>19.3</v>
      </c>
      <c r="BA35" s="2"/>
      <c r="BB35" s="2">
        <v>15</v>
      </c>
      <c r="BC35" s="2"/>
      <c r="BD35" s="2">
        <v>10.6</v>
      </c>
      <c r="BE35" s="2">
        <v>18.600000000000001</v>
      </c>
      <c r="BF35" s="2">
        <v>19.5</v>
      </c>
      <c r="BG35" s="2">
        <v>20.399999999999999</v>
      </c>
      <c r="BH35" s="2">
        <v>27.7</v>
      </c>
      <c r="BI35" s="2"/>
      <c r="BJ35" s="2"/>
      <c r="BK35" s="2"/>
      <c r="BL35" s="2"/>
      <c r="BM35" s="2"/>
      <c r="BN35" s="2">
        <v>70</v>
      </c>
      <c r="BO35" s="2">
        <v>26</v>
      </c>
      <c r="BP35" s="2">
        <v>28</v>
      </c>
      <c r="BQ35" s="2">
        <v>30</v>
      </c>
      <c r="BR35" s="2">
        <v>33</v>
      </c>
      <c r="BS35" s="2">
        <v>37</v>
      </c>
      <c r="BT35" s="2">
        <v>63</v>
      </c>
      <c r="BU35" s="2">
        <v>160</v>
      </c>
      <c r="BV35" s="2">
        <v>213</v>
      </c>
      <c r="BW35" s="2">
        <v>266</v>
      </c>
      <c r="BX35" s="2">
        <v>399</v>
      </c>
      <c r="BY35" s="2">
        <v>62.3</v>
      </c>
      <c r="BZ35" s="2">
        <v>2.2000000000000002</v>
      </c>
      <c r="CA35" s="2">
        <v>0.8</v>
      </c>
      <c r="CB35" s="2">
        <v>1.9916639734516899E-8</v>
      </c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>
        <v>63.5</v>
      </c>
      <c r="AX36" s="2" t="s">
        <v>273</v>
      </c>
      <c r="AY36" s="130">
        <v>32</v>
      </c>
      <c r="AZ36" s="2">
        <v>18.899999999999999</v>
      </c>
      <c r="BA36" s="2">
        <v>47</v>
      </c>
      <c r="BB36" s="2">
        <v>85</v>
      </c>
      <c r="BC36" s="2">
        <v>3</v>
      </c>
      <c r="BD36" s="2">
        <v>6.7</v>
      </c>
      <c r="BE36" s="2">
        <v>8.3000000000000007</v>
      </c>
      <c r="BF36" s="2">
        <v>8.5</v>
      </c>
      <c r="BG36" s="2">
        <v>8.6</v>
      </c>
      <c r="BH36" s="2">
        <f>50+10</f>
        <v>60</v>
      </c>
      <c r="BI36" s="2">
        <v>209</v>
      </c>
      <c r="BJ36" s="2">
        <v>319</v>
      </c>
      <c r="BK36" s="2">
        <v>362</v>
      </c>
      <c r="BL36" s="2">
        <v>406</v>
      </c>
      <c r="BM36" s="2">
        <v>510</v>
      </c>
      <c r="BN36" s="2"/>
      <c r="BO36" s="2"/>
      <c r="BP36" s="2"/>
      <c r="BQ36" s="2"/>
      <c r="BR36" s="2"/>
      <c r="BS36" s="2"/>
      <c r="BT36" s="2">
        <v>219</v>
      </c>
      <c r="BU36" s="2">
        <v>419</v>
      </c>
      <c r="BV36" s="2">
        <v>506</v>
      </c>
      <c r="BW36" s="2">
        <v>591</v>
      </c>
      <c r="BX36" s="2">
        <v>785</v>
      </c>
      <c r="BY36" s="2">
        <v>36.6</v>
      </c>
      <c r="BZ36" s="2">
        <v>4.2</v>
      </c>
      <c r="CA36" s="2">
        <v>1.6</v>
      </c>
      <c r="CB36" s="2">
        <v>1.21701117005739E-10</v>
      </c>
      <c r="CC36" s="2">
        <v>1.8</v>
      </c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>
        <v>80</v>
      </c>
      <c r="AX37" s="2" t="s">
        <v>273</v>
      </c>
      <c r="AY37" s="130">
        <v>32</v>
      </c>
      <c r="AZ37" s="2">
        <v>18.899999999999999</v>
      </c>
      <c r="BA37" s="2">
        <v>47</v>
      </c>
      <c r="BB37" s="2">
        <v>85</v>
      </c>
      <c r="BC37" s="2">
        <v>3</v>
      </c>
      <c r="BD37" s="2">
        <v>10.199999999999999</v>
      </c>
      <c r="BE37" s="2">
        <v>11.8</v>
      </c>
      <c r="BF37" s="2">
        <v>12</v>
      </c>
      <c r="BG37" s="2">
        <v>12.1</v>
      </c>
      <c r="BH37" s="2">
        <f>50+13.5</f>
        <v>63.5</v>
      </c>
      <c r="BI37" s="2">
        <v>372</v>
      </c>
      <c r="BJ37" s="2">
        <v>482</v>
      </c>
      <c r="BK37" s="2">
        <v>525</v>
      </c>
      <c r="BL37" s="2">
        <v>569</v>
      </c>
      <c r="BM37" s="2">
        <v>673</v>
      </c>
      <c r="BN37" s="2"/>
      <c r="BO37" s="2"/>
      <c r="BP37" s="2"/>
      <c r="BQ37" s="2"/>
      <c r="BR37" s="2"/>
      <c r="BS37" s="2"/>
      <c r="BT37" s="2">
        <v>472</v>
      </c>
      <c r="BU37" s="2">
        <v>673</v>
      </c>
      <c r="BV37" s="2">
        <v>759</v>
      </c>
      <c r="BW37" s="2">
        <v>845</v>
      </c>
      <c r="BX37" s="2">
        <v>1038</v>
      </c>
      <c r="BY37" s="2">
        <v>36.6</v>
      </c>
      <c r="BZ37" s="2">
        <v>4.2</v>
      </c>
      <c r="CA37" s="2">
        <v>1.6</v>
      </c>
      <c r="CB37" s="2">
        <v>1.21701117005739E-10</v>
      </c>
      <c r="CC37" s="2">
        <v>1.8</v>
      </c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258" priority="12">
      <formula>$L32="API sand"</formula>
    </cfRule>
  </conditionalFormatting>
  <conditionalFormatting sqref="R32:S36 AB32:AB35 AJ32:AL36 Z32:Z36 N32:N36">
    <cfRule type="expression" dxfId="2257" priority="11">
      <formula>$M32="API sand"</formula>
    </cfRule>
  </conditionalFormatting>
  <conditionalFormatting sqref="R32:T36 Z32:AB35 AK32:AL36 N32:N36">
    <cfRule type="expression" dxfId="2256" priority="10">
      <formula>$M32="API clay"</formula>
    </cfRule>
  </conditionalFormatting>
  <conditionalFormatting sqref="U32:W36 AM32:AP36 N32:P36">
    <cfRule type="expression" dxfId="2255" priority="7">
      <formula>$L32="Stiff clay w/o free water"</formula>
    </cfRule>
    <cfRule type="expression" dxfId="2254" priority="9">
      <formula>$L32="API clay"</formula>
    </cfRule>
  </conditionalFormatting>
  <conditionalFormatting sqref="U32:Y36 AM32:AP36 N32:P36">
    <cfRule type="expression" dxfId="2253" priority="8">
      <formula>$L32="Kirsch soft clay"</formula>
    </cfRule>
  </conditionalFormatting>
  <conditionalFormatting sqref="U32:Y36 AM32:AP36 N32:P36">
    <cfRule type="expression" dxfId="2252" priority="6">
      <formula>$L32="Kirsch stiff clay"</formula>
    </cfRule>
  </conditionalFormatting>
  <conditionalFormatting sqref="AM32:AP36 Q32:Q36 X32:Y36 N32:N36">
    <cfRule type="expression" dxfId="2251" priority="5">
      <formula>$L32="Kirsch sand"</formula>
    </cfRule>
  </conditionalFormatting>
  <conditionalFormatting sqref="AC32:AD36 AI32:AI36 AM32:AP36 N32:N36">
    <cfRule type="expression" dxfId="2250" priority="4">
      <formula>$L32="Modified Weak rock"</formula>
    </cfRule>
  </conditionalFormatting>
  <conditionalFormatting sqref="AM32:AP36 N32:P36 U32:V36">
    <cfRule type="expression" dxfId="2249" priority="3">
      <formula>$L32="Reese stiff clay"</formula>
    </cfRule>
  </conditionalFormatting>
  <conditionalFormatting sqref="AB36">
    <cfRule type="expression" dxfId="2248" priority="2">
      <formula>$M36="API sand"</formula>
    </cfRule>
  </conditionalFormatting>
  <conditionalFormatting sqref="Z36:AB36">
    <cfRule type="expression" dxfId="2247" priority="1">
      <formula>$M36="API clay"</formula>
    </cfRule>
  </conditionalFormatting>
  <conditionalFormatting sqref="AE37:AH37">
    <cfRule type="expression" dxfId="2246" priority="13">
      <formula>#REF!="Modified Weak rock"</formula>
    </cfRule>
  </conditionalFormatting>
  <dataValidations count="4">
    <dataValidation type="list" showInputMessage="1" showErrorMessage="1" sqref="M32:M36" xr:uid="{8417AF2D-0173-48CD-BF2C-D2C1CC5E01A1}">
      <formula1>"',API sand,API clay"</formula1>
    </dataValidation>
    <dataValidation type="list" showInputMessage="1" showErrorMessage="1" sqref="L32:L255" xr:uid="{AA796E04-C033-4D02-876C-BB3CF2220D6E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8963CEC4-DEC4-4B14-8242-CD3FB058CF13}"/>
    <dataValidation type="textLength" showInputMessage="1" showErrorMessage="1" sqref="M27:M31" xr:uid="{EDE03BC5-3224-4334-84F2-E865EFC6D070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B4714-A4C9-4012-AA0C-CD3AB8F8E137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Ak_Pisa_WTG52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EW_sand_Ruled_95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39</v>
      </c>
      <c r="R6" s="47">
        <f t="shared" ref="R6:R26" ca="1" si="7">IF(I6="","",IF(Q6&lt;&gt;0,Q6-5,NA()))</f>
        <v>34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15100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111.19999999999996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11520</v>
      </c>
      <c r="AC6" s="63">
        <f t="shared" ref="AC6:AC26" ca="1" si="18">IF(I6="","",IF(OFFSET($BV$6,(ROW()-6)*2,0)=0,0,OFFSET($BV$6,(ROW()-6)*2,0)*1000))</f>
        <v>11000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21000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95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1.1000000000000001</v>
      </c>
      <c r="BF6" s="2">
        <v>2.2000000000000002</v>
      </c>
      <c r="BG6" s="2">
        <v>3</v>
      </c>
      <c r="BH6" s="2">
        <v>5.3</v>
      </c>
      <c r="BI6" s="2"/>
      <c r="BJ6" s="2"/>
      <c r="BK6" s="2"/>
      <c r="BL6" s="2"/>
      <c r="BM6" s="2"/>
      <c r="BN6" s="2">
        <v>95</v>
      </c>
      <c r="BO6" s="2">
        <v>29</v>
      </c>
      <c r="BP6" s="2">
        <v>39</v>
      </c>
      <c r="BQ6" s="2">
        <v>42</v>
      </c>
      <c r="BR6" s="2">
        <v>46</v>
      </c>
      <c r="BS6" s="2">
        <v>54</v>
      </c>
      <c r="BT6" s="2">
        <v>0</v>
      </c>
      <c r="BU6" s="2">
        <v>6</v>
      </c>
      <c r="BV6" s="2">
        <v>11</v>
      </c>
      <c r="BW6" s="2">
        <v>17</v>
      </c>
      <c r="BX6" s="2">
        <v>30</v>
      </c>
      <c r="BY6" s="2">
        <v>15.1</v>
      </c>
      <c r="BZ6" s="2">
        <v>1</v>
      </c>
      <c r="CA6" s="2">
        <v>0.5</v>
      </c>
      <c r="CB6" s="2">
        <v>1.6807076901860201E-4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-1</v>
      </c>
      <c r="L7" s="116" t="str">
        <f t="shared" ca="1" si="1"/>
        <v>EW_sand_Ruled_87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40</v>
      </c>
      <c r="R7" s="47">
        <f t="shared" ca="1" si="7"/>
        <v>35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31500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40000</v>
      </c>
      <c r="AD7" s="63">
        <f t="shared" ca="1" si="19"/>
        <v>-4000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87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2.2000000000000002</v>
      </c>
      <c r="BE7" s="2">
        <v>5.2</v>
      </c>
      <c r="BF7" s="2">
        <v>6.3</v>
      </c>
      <c r="BG7" s="2">
        <v>7.1</v>
      </c>
      <c r="BH7" s="2">
        <v>9.3000000000000007</v>
      </c>
      <c r="BI7" s="2"/>
      <c r="BJ7" s="2"/>
      <c r="BK7" s="2"/>
      <c r="BL7" s="2"/>
      <c r="BM7" s="2"/>
      <c r="BN7" s="2">
        <v>95</v>
      </c>
      <c r="BO7" s="2">
        <v>29</v>
      </c>
      <c r="BP7" s="2">
        <v>39</v>
      </c>
      <c r="BQ7" s="2">
        <v>42</v>
      </c>
      <c r="BR7" s="2">
        <v>46</v>
      </c>
      <c r="BS7" s="2">
        <v>54</v>
      </c>
      <c r="BT7" s="2">
        <v>14</v>
      </c>
      <c r="BU7" s="2">
        <v>27</v>
      </c>
      <c r="BV7" s="2">
        <v>32</v>
      </c>
      <c r="BW7" s="2">
        <v>38</v>
      </c>
      <c r="BX7" s="2">
        <v>51</v>
      </c>
      <c r="BY7" s="2">
        <v>15.1</v>
      </c>
      <c r="BZ7" s="2">
        <v>1</v>
      </c>
      <c r="CA7" s="2">
        <v>0.5</v>
      </c>
      <c r="CB7" s="2">
        <v>1.6807076901860201E-4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02a</v>
      </c>
      <c r="J8" s="47">
        <f t="shared" ca="1" si="35"/>
        <v>3</v>
      </c>
      <c r="K8" s="19">
        <f t="shared" ca="1" si="36"/>
        <v>-1.5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10.199999999999999</v>
      </c>
      <c r="O8" s="63">
        <f t="shared" ca="1" si="4"/>
        <v>4</v>
      </c>
      <c r="P8" s="63">
        <f t="shared" ca="1" si="5"/>
        <v>716.66666666666652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15300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36000</v>
      </c>
      <c r="AD8" s="63">
        <f t="shared" ca="1" si="19"/>
        <v>734999.99999999988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9.1999999999999993</v>
      </c>
      <c r="BE8" s="2">
        <v>9.6</v>
      </c>
      <c r="BF8" s="2">
        <v>9.8000000000000007</v>
      </c>
      <c r="BG8" s="2">
        <v>10</v>
      </c>
      <c r="BH8" s="2">
        <v>10.4</v>
      </c>
      <c r="BI8" s="2"/>
      <c r="BJ8" s="2"/>
      <c r="BK8" s="2"/>
      <c r="BL8" s="2"/>
      <c r="BM8" s="2"/>
      <c r="BN8" s="2">
        <v>87</v>
      </c>
      <c r="BO8" s="2">
        <v>34</v>
      </c>
      <c r="BP8" s="2">
        <v>40</v>
      </c>
      <c r="BQ8" s="2">
        <v>44</v>
      </c>
      <c r="BR8" s="2">
        <v>47</v>
      </c>
      <c r="BS8" s="2">
        <v>53</v>
      </c>
      <c r="BT8" s="2">
        <v>8</v>
      </c>
      <c r="BU8" s="2">
        <v>30</v>
      </c>
      <c r="BV8" s="2">
        <v>40</v>
      </c>
      <c r="BW8" s="2">
        <v>49</v>
      </c>
      <c r="BX8" s="2">
        <v>72</v>
      </c>
      <c r="BY8" s="2">
        <v>31.5</v>
      </c>
      <c r="BZ8" s="2">
        <v>1</v>
      </c>
      <c r="CA8" s="2">
        <v>0.5</v>
      </c>
      <c r="CB8" s="2">
        <v>4.1180210566260699E-5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02b</v>
      </c>
      <c r="J9" s="47">
        <f t="shared" ca="1" si="35"/>
        <v>4</v>
      </c>
      <c r="K9" s="19">
        <f t="shared" ca="1" si="36"/>
        <v>-2.1</v>
      </c>
      <c r="L9" s="116" t="str">
        <f t="shared" ca="1" si="1"/>
        <v>EW_sand_Ruled_86</v>
      </c>
      <c r="M9" s="105" t="str">
        <f t="shared" ca="1" si="2"/>
        <v>API sand</v>
      </c>
      <c r="N9" s="47">
        <f t="shared" ca="1" si="3"/>
        <v>9.3999999999999986</v>
      </c>
      <c r="O9" s="63">
        <f t="shared" ca="1" si="4"/>
        <v>0</v>
      </c>
      <c r="P9" s="63">
        <f t="shared" ca="1" si="5"/>
        <v>0</v>
      </c>
      <c r="Q9" s="47">
        <f t="shared" ca="1" si="6"/>
        <v>40</v>
      </c>
      <c r="R9" s="47">
        <f t="shared" ca="1" si="7"/>
        <v>35</v>
      </c>
      <c r="S9" s="47">
        <f t="shared" ca="1" si="8"/>
        <v>1.4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79000</v>
      </c>
      <c r="Y9" s="47">
        <f t="shared" ca="1" si="14"/>
        <v>0</v>
      </c>
      <c r="Z9" s="47">
        <f t="shared" ca="1" si="15"/>
        <v>114.99999999999996</v>
      </c>
      <c r="AA9" s="47">
        <f t="shared" ca="1" si="16"/>
        <v>1</v>
      </c>
      <c r="AB9" s="47">
        <f t="shared" ca="1" si="17"/>
        <v>12000</v>
      </c>
      <c r="AC9" s="63">
        <f t="shared" ca="1" si="18"/>
        <v>58000</v>
      </c>
      <c r="AD9" s="63">
        <f t="shared" ca="1" si="19"/>
        <v>6732.6732673267334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50.000000000000007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86</v>
      </c>
      <c r="AS9" s="33">
        <f t="shared" ca="1" si="34"/>
        <v>0.4</v>
      </c>
      <c r="AW9" s="2">
        <v>1.5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5.4</v>
      </c>
      <c r="BE9" s="2">
        <v>5.8</v>
      </c>
      <c r="BF9" s="2">
        <v>6</v>
      </c>
      <c r="BG9" s="2">
        <v>6.2</v>
      </c>
      <c r="BH9" s="2">
        <v>6.6</v>
      </c>
      <c r="BI9" s="2"/>
      <c r="BJ9" s="2"/>
      <c r="BK9" s="2"/>
      <c r="BL9" s="2"/>
      <c r="BM9" s="2"/>
      <c r="BN9" s="2">
        <v>87</v>
      </c>
      <c r="BO9" s="2">
        <v>34</v>
      </c>
      <c r="BP9" s="2">
        <v>40</v>
      </c>
      <c r="BQ9" s="2">
        <v>44</v>
      </c>
      <c r="BR9" s="2">
        <v>47</v>
      </c>
      <c r="BS9" s="2">
        <v>53</v>
      </c>
      <c r="BT9" s="2">
        <v>6</v>
      </c>
      <c r="BU9" s="2">
        <v>29</v>
      </c>
      <c r="BV9" s="2">
        <v>38</v>
      </c>
      <c r="BW9" s="2">
        <v>48</v>
      </c>
      <c r="BX9" s="2">
        <v>70</v>
      </c>
      <c r="BY9" s="2">
        <v>31.5</v>
      </c>
      <c r="BZ9" s="2">
        <v>1</v>
      </c>
      <c r="CA9" s="2">
        <v>0.5</v>
      </c>
      <c r="CB9" s="2">
        <v>4.1180210566260699E-5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10c</v>
      </c>
      <c r="J10" s="47">
        <f t="shared" ca="1" si="35"/>
        <v>5</v>
      </c>
      <c r="K10" s="19">
        <f t="shared" ca="1" si="36"/>
        <v>-12.2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8.3999999999999986</v>
      </c>
      <c r="O10" s="63">
        <f t="shared" ca="1" si="4"/>
        <v>232</v>
      </c>
      <c r="P10" s="63">
        <f t="shared" ca="1" si="5"/>
        <v>-11.842105263157892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0.5</v>
      </c>
      <c r="X10" s="47">
        <f t="shared" ca="1" si="13"/>
        <v>38000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269000</v>
      </c>
      <c r="AD10" s="63">
        <f t="shared" ca="1" si="19"/>
        <v>-11578.947368421052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1.5</v>
      </c>
      <c r="AX10" s="2" t="s">
        <v>255</v>
      </c>
      <c r="AY10" s="130">
        <v>23.1</v>
      </c>
      <c r="AZ10" s="2">
        <v>20.2</v>
      </c>
      <c r="BA10" s="2">
        <v>18</v>
      </c>
      <c r="BB10" s="2">
        <v>28</v>
      </c>
      <c r="BC10" s="2">
        <v>5</v>
      </c>
      <c r="BD10" s="2">
        <v>0.25</v>
      </c>
      <c r="BE10" s="2">
        <v>0.5</v>
      </c>
      <c r="BF10" s="2">
        <v>1</v>
      </c>
      <c r="BG10" s="2">
        <v>1.4</v>
      </c>
      <c r="BH10" s="2">
        <v>4.2</v>
      </c>
      <c r="BI10" s="2">
        <v>2</v>
      </c>
      <c r="BJ10" s="2">
        <v>4</v>
      </c>
      <c r="BK10" s="2">
        <v>6</v>
      </c>
      <c r="BL10" s="2">
        <v>86</v>
      </c>
      <c r="BM10" s="2">
        <v>273</v>
      </c>
      <c r="BN10" s="2"/>
      <c r="BO10" s="2"/>
      <c r="BP10" s="2"/>
      <c r="BQ10" s="2"/>
      <c r="BR10" s="2"/>
      <c r="BS10" s="2"/>
      <c r="BT10" s="2">
        <v>1</v>
      </c>
      <c r="BU10" s="2">
        <v>20</v>
      </c>
      <c r="BV10" s="2">
        <v>36</v>
      </c>
      <c r="BW10" s="2">
        <v>74</v>
      </c>
      <c r="BX10" s="2">
        <v>319</v>
      </c>
      <c r="BY10" s="2">
        <v>15.3</v>
      </c>
      <c r="BZ10" s="2">
        <v>21.6</v>
      </c>
      <c r="CA10" s="2">
        <v>3</v>
      </c>
      <c r="CB10" s="2">
        <v>3.15497204291037E-8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11a</v>
      </c>
      <c r="J11" s="47">
        <f t="shared" ca="1" si="35"/>
        <v>6</v>
      </c>
      <c r="K11" s="19">
        <f t="shared" ca="1" si="36"/>
        <v>-16</v>
      </c>
      <c r="L11" s="116" t="str">
        <f t="shared" ca="1" si="1"/>
        <v>EW_sand_Ruled_68</v>
      </c>
      <c r="M11" s="105" t="str">
        <f t="shared" ca="1" si="2"/>
        <v>API sand</v>
      </c>
      <c r="N11" s="47">
        <f t="shared" ca="1" si="3"/>
        <v>9.6000000000000014</v>
      </c>
      <c r="O11" s="63">
        <f t="shared" ca="1" si="4"/>
        <v>0</v>
      </c>
      <c r="P11" s="63">
        <f t="shared" ca="1" si="5"/>
        <v>0</v>
      </c>
      <c r="Q11" s="47">
        <f t="shared" ca="1" si="6"/>
        <v>37</v>
      </c>
      <c r="R11" s="47">
        <f t="shared" ca="1" si="7"/>
        <v>32</v>
      </c>
      <c r="S11" s="47">
        <f t="shared" ca="1" si="8"/>
        <v>0.7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46700</v>
      </c>
      <c r="Y11" s="47">
        <f t="shared" ca="1" si="14"/>
        <v>0</v>
      </c>
      <c r="Z11" s="47">
        <f t="shared" ca="1" si="15"/>
        <v>103.59999999999997</v>
      </c>
      <c r="AA11" s="47">
        <f t="shared" ca="1" si="16"/>
        <v>1</v>
      </c>
      <c r="AB11" s="47">
        <f t="shared" ca="1" si="17"/>
        <v>10560</v>
      </c>
      <c r="AC11" s="63">
        <f t="shared" ca="1" si="18"/>
        <v>107000</v>
      </c>
      <c r="AD11" s="63">
        <f t="shared" ca="1" si="19"/>
        <v>10624.999999999991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44.000000000000007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68</v>
      </c>
      <c r="AS11" s="33">
        <f t="shared" ca="1" si="34"/>
        <v>0.4</v>
      </c>
      <c r="AW11" s="2">
        <v>2.1</v>
      </c>
      <c r="AX11" s="2" t="s">
        <v>255</v>
      </c>
      <c r="AY11" s="130">
        <v>23.1</v>
      </c>
      <c r="AZ11" s="2">
        <v>20.2</v>
      </c>
      <c r="BA11" s="2">
        <v>18</v>
      </c>
      <c r="BB11" s="2">
        <v>28</v>
      </c>
      <c r="BC11" s="2">
        <v>5</v>
      </c>
      <c r="BD11" s="2">
        <v>3</v>
      </c>
      <c r="BE11" s="2">
        <v>7.8</v>
      </c>
      <c r="BF11" s="2">
        <v>7.9</v>
      </c>
      <c r="BG11" s="2">
        <v>9.1</v>
      </c>
      <c r="BH11" s="2">
        <v>12</v>
      </c>
      <c r="BI11" s="2">
        <v>432</v>
      </c>
      <c r="BJ11" s="2">
        <v>434</v>
      </c>
      <c r="BK11" s="2">
        <v>436</v>
      </c>
      <c r="BL11" s="2">
        <v>516</v>
      </c>
      <c r="BM11" s="2">
        <v>703</v>
      </c>
      <c r="BN11" s="2"/>
      <c r="BO11" s="2"/>
      <c r="BP11" s="2"/>
      <c r="BQ11" s="2"/>
      <c r="BR11" s="2"/>
      <c r="BS11" s="2"/>
      <c r="BT11" s="2">
        <v>1</v>
      </c>
      <c r="BU11" s="2">
        <v>30</v>
      </c>
      <c r="BV11" s="2">
        <v>477</v>
      </c>
      <c r="BW11" s="2">
        <v>587</v>
      </c>
      <c r="BX11" s="2">
        <v>833</v>
      </c>
      <c r="BY11" s="2">
        <v>15.3</v>
      </c>
      <c r="BZ11" s="2">
        <v>21.6</v>
      </c>
      <c r="CA11" s="2">
        <v>3</v>
      </c>
      <c r="CB11" s="2">
        <v>3.15497204291037E-8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11a</v>
      </c>
      <c r="J12" s="47">
        <f t="shared" ca="1" si="35"/>
        <v>7</v>
      </c>
      <c r="K12" s="19">
        <f t="shared" ca="1" si="36"/>
        <v>-17.600000000000001</v>
      </c>
      <c r="L12" s="116" t="str">
        <f t="shared" ca="1" si="1"/>
        <v>EW_sand_Ruled_72</v>
      </c>
      <c r="M12" s="105" t="str">
        <f t="shared" ca="1" si="2"/>
        <v>API sand</v>
      </c>
      <c r="N12" s="47">
        <f t="shared" ca="1" si="3"/>
        <v>9.6000000000000014</v>
      </c>
      <c r="O12" s="63">
        <f t="shared" ca="1" si="4"/>
        <v>0</v>
      </c>
      <c r="P12" s="63">
        <f t="shared" ca="1" si="5"/>
        <v>0</v>
      </c>
      <c r="Q12" s="47">
        <f t="shared" ca="1" si="6"/>
        <v>38</v>
      </c>
      <c r="R12" s="47">
        <f t="shared" ca="1" si="7"/>
        <v>33</v>
      </c>
      <c r="S12" s="47">
        <f t="shared" ca="1" si="8"/>
        <v>0.8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63600</v>
      </c>
      <c r="Y12" s="47">
        <f t="shared" ca="1" si="14"/>
        <v>0</v>
      </c>
      <c r="Z12" s="47">
        <f t="shared" ca="1" si="15"/>
        <v>107.39999999999996</v>
      </c>
      <c r="AA12" s="47">
        <f t="shared" ca="1" si="16"/>
        <v>1</v>
      </c>
      <c r="AB12" s="47">
        <f t="shared" ca="1" si="17"/>
        <v>11040</v>
      </c>
      <c r="AC12" s="63">
        <f t="shared" ca="1" si="18"/>
        <v>130000</v>
      </c>
      <c r="AD12" s="63">
        <f t="shared" ca="1" si="19"/>
        <v>-2500.0000000000036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46.000000000000007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72</v>
      </c>
      <c r="AS12" s="33">
        <f t="shared" ca="1" si="34"/>
        <v>0.4</v>
      </c>
      <c r="AW12" s="2">
        <v>2.1</v>
      </c>
      <c r="AX12" s="2" t="s">
        <v>257</v>
      </c>
      <c r="AY12" s="130">
        <v>29.7</v>
      </c>
      <c r="AZ12" s="2">
        <v>19.399999999999999</v>
      </c>
      <c r="BA12" s="2"/>
      <c r="BB12" s="2">
        <v>24</v>
      </c>
      <c r="BC12" s="2"/>
      <c r="BD12" s="2">
        <v>4.7</v>
      </c>
      <c r="BE12" s="2">
        <v>10.199999999999999</v>
      </c>
      <c r="BF12" s="2">
        <v>10.7</v>
      </c>
      <c r="BG12" s="2">
        <v>11.2</v>
      </c>
      <c r="BH12" s="2">
        <v>16.2</v>
      </c>
      <c r="BI12" s="2"/>
      <c r="BJ12" s="2"/>
      <c r="BK12" s="2"/>
      <c r="BL12" s="2"/>
      <c r="BM12" s="2"/>
      <c r="BN12" s="2">
        <v>86</v>
      </c>
      <c r="BO12" s="2">
        <v>34</v>
      </c>
      <c r="BP12" s="2">
        <v>40</v>
      </c>
      <c r="BQ12" s="2">
        <v>44</v>
      </c>
      <c r="BR12" s="2">
        <v>47</v>
      </c>
      <c r="BS12" s="2">
        <v>53</v>
      </c>
      <c r="BT12" s="2">
        <v>2</v>
      </c>
      <c r="BU12" s="2">
        <v>36</v>
      </c>
      <c r="BV12" s="2">
        <v>58</v>
      </c>
      <c r="BW12" s="2">
        <v>80</v>
      </c>
      <c r="BX12" s="2">
        <v>134</v>
      </c>
      <c r="BY12" s="2">
        <v>79</v>
      </c>
      <c r="BZ12" s="2">
        <v>5.6</v>
      </c>
      <c r="CA12" s="2">
        <v>1.4</v>
      </c>
      <c r="CB12" s="2">
        <v>6.2316401781508299E-6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21c</v>
      </c>
      <c r="J13" s="47">
        <f t="shared" ca="1" si="35"/>
        <v>8</v>
      </c>
      <c r="K13" s="19">
        <f t="shared" ca="1" si="36"/>
        <v>-19.2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9.3000000000000007</v>
      </c>
      <c r="O13" s="63">
        <f t="shared" ca="1" si="4"/>
        <v>111</v>
      </c>
      <c r="P13" s="63">
        <f t="shared" ca="1" si="5"/>
        <v>19.886363636363633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2.5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0.5</v>
      </c>
      <c r="X13" s="47">
        <f t="shared" ca="1" si="13"/>
        <v>19600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147000</v>
      </c>
      <c r="AD13" s="63">
        <f t="shared" ca="1" si="19"/>
        <v>24659.090909090908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12.2</v>
      </c>
      <c r="AX13" s="2" t="s">
        <v>257</v>
      </c>
      <c r="AY13" s="130">
        <v>29.7</v>
      </c>
      <c r="AZ13" s="2">
        <v>19.399999999999999</v>
      </c>
      <c r="BA13" s="2"/>
      <c r="BB13" s="2">
        <v>24</v>
      </c>
      <c r="BC13" s="2"/>
      <c r="BD13" s="2">
        <v>20.5</v>
      </c>
      <c r="BE13" s="2">
        <v>26</v>
      </c>
      <c r="BF13" s="2">
        <v>26.5</v>
      </c>
      <c r="BG13" s="2">
        <v>26.9</v>
      </c>
      <c r="BH13" s="2">
        <v>32</v>
      </c>
      <c r="BI13" s="2"/>
      <c r="BJ13" s="2"/>
      <c r="BK13" s="2"/>
      <c r="BL13" s="2"/>
      <c r="BM13" s="2"/>
      <c r="BN13" s="2">
        <v>86</v>
      </c>
      <c r="BO13" s="2">
        <v>34</v>
      </c>
      <c r="BP13" s="2">
        <v>40</v>
      </c>
      <c r="BQ13" s="2">
        <v>44</v>
      </c>
      <c r="BR13" s="2">
        <v>47</v>
      </c>
      <c r="BS13" s="2">
        <v>53</v>
      </c>
      <c r="BT13" s="2">
        <v>70</v>
      </c>
      <c r="BU13" s="2">
        <v>104</v>
      </c>
      <c r="BV13" s="2">
        <v>126</v>
      </c>
      <c r="BW13" s="2">
        <v>148</v>
      </c>
      <c r="BX13" s="2">
        <v>203</v>
      </c>
      <c r="BY13" s="2">
        <v>79</v>
      </c>
      <c r="BZ13" s="2">
        <v>5.6</v>
      </c>
      <c r="CA13" s="2">
        <v>1.4</v>
      </c>
      <c r="CB13" s="2">
        <v>6.2316401781508299E-6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23d</v>
      </c>
      <c r="J14" s="47">
        <f t="shared" ca="1" si="35"/>
        <v>9</v>
      </c>
      <c r="K14" s="19">
        <f t="shared" ca="1" si="36"/>
        <v>-28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8.8999999999999986</v>
      </c>
      <c r="O14" s="63">
        <f t="shared" ca="1" si="4"/>
        <v>273</v>
      </c>
      <c r="P14" s="63">
        <f t="shared" ca="1" si="5"/>
        <v>1.25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2.4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26200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381000</v>
      </c>
      <c r="AD14" s="63">
        <f t="shared" ca="1" si="19"/>
        <v>2833.3333333333335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12.2</v>
      </c>
      <c r="AX14" s="2" t="s">
        <v>287</v>
      </c>
      <c r="AY14" s="130">
        <v>36</v>
      </c>
      <c r="AZ14" s="2">
        <v>18.399999999999999</v>
      </c>
      <c r="BA14" s="2">
        <v>23</v>
      </c>
      <c r="BB14" s="2">
        <v>53</v>
      </c>
      <c r="BC14" s="2">
        <v>4</v>
      </c>
      <c r="BD14" s="2">
        <v>4</v>
      </c>
      <c r="BE14" s="2">
        <v>5.2</v>
      </c>
      <c r="BF14" s="2">
        <v>5.4</v>
      </c>
      <c r="BG14" s="2">
        <v>5.6</v>
      </c>
      <c r="BH14" s="2">
        <v>6.7</v>
      </c>
      <c r="BI14" s="2">
        <v>105</v>
      </c>
      <c r="BJ14" s="2">
        <v>232</v>
      </c>
      <c r="BK14" s="2">
        <v>285</v>
      </c>
      <c r="BL14" s="2">
        <v>339</v>
      </c>
      <c r="BM14" s="2">
        <v>465</v>
      </c>
      <c r="BN14" s="2"/>
      <c r="BO14" s="2"/>
      <c r="BP14" s="2"/>
      <c r="BQ14" s="2"/>
      <c r="BR14" s="2"/>
      <c r="BS14" s="2"/>
      <c r="BT14" s="2">
        <v>59</v>
      </c>
      <c r="BU14" s="2">
        <v>183</v>
      </c>
      <c r="BV14" s="2">
        <v>269</v>
      </c>
      <c r="BW14" s="2">
        <v>355</v>
      </c>
      <c r="BX14" s="2">
        <v>538</v>
      </c>
      <c r="BY14" s="2">
        <v>38</v>
      </c>
      <c r="BZ14" s="2">
        <v>7.1</v>
      </c>
      <c r="CA14" s="2">
        <v>3</v>
      </c>
      <c r="CB14" s="2">
        <v>3.3586914179000199E-9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23d</v>
      </c>
      <c r="J15" s="47">
        <f t="shared" ca="1" si="35"/>
        <v>10</v>
      </c>
      <c r="K15" s="19">
        <f t="shared" ca="1" si="36"/>
        <v>-40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8.8999999999999986</v>
      </c>
      <c r="O15" s="63">
        <f t="shared" ca="1" si="4"/>
        <v>314</v>
      </c>
      <c r="P15" s="63">
        <f t="shared" ca="1" si="5"/>
        <v>3.967741935483871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1.8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33700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455000</v>
      </c>
      <c r="AD15" s="63">
        <f t="shared" ca="1" si="19"/>
        <v>7387.0967741935483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16</v>
      </c>
      <c r="AX15" s="2" t="s">
        <v>287</v>
      </c>
      <c r="AY15" s="130">
        <v>36</v>
      </c>
      <c r="AZ15" s="2">
        <v>18.399999999999999</v>
      </c>
      <c r="BA15" s="2">
        <v>23</v>
      </c>
      <c r="BB15" s="2">
        <v>53</v>
      </c>
      <c r="BC15" s="2">
        <v>4</v>
      </c>
      <c r="BD15" s="2">
        <v>3.3</v>
      </c>
      <c r="BE15" s="2">
        <v>4.4000000000000004</v>
      </c>
      <c r="BF15" s="2">
        <v>4.5999999999999996</v>
      </c>
      <c r="BG15" s="2">
        <v>4.8</v>
      </c>
      <c r="BH15" s="2">
        <v>6</v>
      </c>
      <c r="BI15" s="2">
        <v>60</v>
      </c>
      <c r="BJ15" s="2">
        <v>187</v>
      </c>
      <c r="BK15" s="2">
        <v>240</v>
      </c>
      <c r="BL15" s="2">
        <v>293</v>
      </c>
      <c r="BM15" s="2">
        <v>419</v>
      </c>
      <c r="BN15" s="2"/>
      <c r="BO15" s="2"/>
      <c r="BP15" s="2"/>
      <c r="BQ15" s="2"/>
      <c r="BR15" s="2"/>
      <c r="BS15" s="2"/>
      <c r="BT15" s="2">
        <v>16</v>
      </c>
      <c r="BU15" s="2">
        <v>139</v>
      </c>
      <c r="BV15" s="2">
        <v>225</v>
      </c>
      <c r="BW15" s="2">
        <v>312</v>
      </c>
      <c r="BX15" s="2">
        <v>494</v>
      </c>
      <c r="BY15" s="2">
        <v>38</v>
      </c>
      <c r="BZ15" s="2">
        <v>7.1</v>
      </c>
      <c r="CA15" s="2">
        <v>3</v>
      </c>
      <c r="CB15" s="2">
        <v>3.3586914179000199E-9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23i</v>
      </c>
      <c r="J16" s="47">
        <f t="shared" ca="1" si="35"/>
        <v>11</v>
      </c>
      <c r="K16" s="19">
        <f t="shared" ca="1" si="36"/>
        <v>-71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8.3000000000000007</v>
      </c>
      <c r="O16" s="63">
        <f t="shared" ca="1" si="4"/>
        <v>565</v>
      </c>
      <c r="P16" s="63">
        <f t="shared" ca="1" si="5"/>
        <v>6.5555555555555554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2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51200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867000</v>
      </c>
      <c r="AD16" s="63">
        <f t="shared" ca="1" si="19"/>
        <v>11777.777777777779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16</v>
      </c>
      <c r="AX16" s="2" t="s">
        <v>293</v>
      </c>
      <c r="AY16" s="130">
        <v>25.8</v>
      </c>
      <c r="AZ16" s="2">
        <v>19.600000000000001</v>
      </c>
      <c r="BA16" s="2"/>
      <c r="BB16" s="2">
        <v>22</v>
      </c>
      <c r="BC16" s="2"/>
      <c r="BD16" s="2">
        <f>-5+8</f>
        <v>3</v>
      </c>
      <c r="BE16" s="2">
        <v>9.1</v>
      </c>
      <c r="BF16" s="2">
        <v>9.4</v>
      </c>
      <c r="BG16" s="2">
        <v>9.8000000000000007</v>
      </c>
      <c r="BH16" s="2">
        <f>10+11.2</f>
        <v>21.2</v>
      </c>
      <c r="BI16" s="2"/>
      <c r="BJ16" s="2"/>
      <c r="BK16" s="2"/>
      <c r="BL16" s="2"/>
      <c r="BM16" s="2"/>
      <c r="BN16" s="2">
        <v>68</v>
      </c>
      <c r="BO16" s="2">
        <v>31</v>
      </c>
      <c r="BP16" s="2">
        <v>37</v>
      </c>
      <c r="BQ16" s="2">
        <v>40</v>
      </c>
      <c r="BR16" s="2">
        <v>43</v>
      </c>
      <c r="BS16" s="2">
        <v>48</v>
      </c>
      <c r="BT16" s="2">
        <v>16</v>
      </c>
      <c r="BU16" s="2">
        <v>80</v>
      </c>
      <c r="BV16" s="2">
        <v>107</v>
      </c>
      <c r="BW16" s="2">
        <v>134</v>
      </c>
      <c r="BX16" s="2">
        <v>201</v>
      </c>
      <c r="BY16" s="2">
        <v>46.7</v>
      </c>
      <c r="BZ16" s="2">
        <v>1.9</v>
      </c>
      <c r="CA16" s="2">
        <v>0.7</v>
      </c>
      <c r="CB16" s="2">
        <v>2.6053283336657301E-7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17.600000000000001</v>
      </c>
      <c r="AX17" s="2" t="s">
        <v>293</v>
      </c>
      <c r="AY17" s="130">
        <v>25.8</v>
      </c>
      <c r="AZ17" s="2">
        <v>19.600000000000001</v>
      </c>
      <c r="BA17" s="2"/>
      <c r="BB17" s="2">
        <v>22</v>
      </c>
      <c r="BC17" s="2"/>
      <c r="BD17" s="2">
        <f>-5+14.3</f>
        <v>9.3000000000000007</v>
      </c>
      <c r="BE17" s="2">
        <v>15.3</v>
      </c>
      <c r="BF17" s="2">
        <v>15.7</v>
      </c>
      <c r="BG17" s="2">
        <v>16.100000000000001</v>
      </c>
      <c r="BH17" s="2">
        <f>10+17.5</f>
        <v>27.5</v>
      </c>
      <c r="BI17" s="2"/>
      <c r="BJ17" s="2"/>
      <c r="BK17" s="2"/>
      <c r="BL17" s="2"/>
      <c r="BM17" s="2"/>
      <c r="BN17" s="2">
        <v>68</v>
      </c>
      <c r="BO17" s="2">
        <v>31</v>
      </c>
      <c r="BP17" s="2">
        <v>37</v>
      </c>
      <c r="BQ17" s="2">
        <v>40</v>
      </c>
      <c r="BR17" s="2">
        <v>43</v>
      </c>
      <c r="BS17" s="2">
        <v>48</v>
      </c>
      <c r="BT17" s="2">
        <v>33</v>
      </c>
      <c r="BU17" s="2">
        <v>97</v>
      </c>
      <c r="BV17" s="2">
        <v>124</v>
      </c>
      <c r="BW17" s="2">
        <v>151</v>
      </c>
      <c r="BX17" s="2">
        <v>218</v>
      </c>
      <c r="BY17" s="2">
        <v>46.7</v>
      </c>
      <c r="BZ17" s="2">
        <v>1.9</v>
      </c>
      <c r="CA17" s="2">
        <v>0.7</v>
      </c>
      <c r="CB17" s="2">
        <v>2.6053283336657301E-7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17.600000000000001</v>
      </c>
      <c r="AX18" s="2" t="s">
        <v>293</v>
      </c>
      <c r="AY18" s="130">
        <v>25.8</v>
      </c>
      <c r="AZ18" s="2">
        <v>19.600000000000001</v>
      </c>
      <c r="BA18" s="2"/>
      <c r="BB18" s="2">
        <v>22</v>
      </c>
      <c r="BC18" s="2"/>
      <c r="BD18" s="2">
        <f>-5+14.5</f>
        <v>9.5</v>
      </c>
      <c r="BE18" s="2">
        <v>17.2</v>
      </c>
      <c r="BF18" s="2">
        <v>18</v>
      </c>
      <c r="BG18" s="2">
        <v>19</v>
      </c>
      <c r="BH18" s="2">
        <f>10+22.3</f>
        <v>32.299999999999997</v>
      </c>
      <c r="BI18" s="2"/>
      <c r="BJ18" s="2"/>
      <c r="BK18" s="2"/>
      <c r="BL18" s="2"/>
      <c r="BM18" s="2"/>
      <c r="BN18" s="2">
        <v>72</v>
      </c>
      <c r="BO18" s="2">
        <v>32</v>
      </c>
      <c r="BP18" s="2">
        <v>38</v>
      </c>
      <c r="BQ18" s="2">
        <v>41</v>
      </c>
      <c r="BR18" s="2">
        <v>44</v>
      </c>
      <c r="BS18" s="2">
        <v>49</v>
      </c>
      <c r="BT18" s="2">
        <v>25</v>
      </c>
      <c r="BU18" s="2">
        <v>100</v>
      </c>
      <c r="BV18" s="2">
        <v>130</v>
      </c>
      <c r="BW18" s="2">
        <v>160</v>
      </c>
      <c r="BX18" s="2">
        <v>234</v>
      </c>
      <c r="BY18" s="2">
        <v>63.6</v>
      </c>
      <c r="BZ18" s="2">
        <v>2</v>
      </c>
      <c r="CA18" s="2">
        <v>0.8</v>
      </c>
      <c r="CB18" s="2">
        <v>2.17467844598225E-7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19.2</v>
      </c>
      <c r="AX19" s="2" t="s">
        <v>293</v>
      </c>
      <c r="AY19" s="130">
        <v>25.8</v>
      </c>
      <c r="AZ19" s="2">
        <v>19.600000000000001</v>
      </c>
      <c r="BA19" s="2"/>
      <c r="BB19" s="2">
        <v>22</v>
      </c>
      <c r="BC19" s="2"/>
      <c r="BD19" s="2">
        <f>-5+10.9</f>
        <v>5.9</v>
      </c>
      <c r="BE19" s="2">
        <v>13.6</v>
      </c>
      <c r="BF19" s="2">
        <v>14.4</v>
      </c>
      <c r="BG19" s="2">
        <v>15.4</v>
      </c>
      <c r="BH19" s="2">
        <f>10+18.7</f>
        <v>28.7</v>
      </c>
      <c r="BI19" s="2"/>
      <c r="BJ19" s="2"/>
      <c r="BK19" s="2"/>
      <c r="BL19" s="2"/>
      <c r="BM19" s="2"/>
      <c r="BN19" s="2">
        <v>72</v>
      </c>
      <c r="BO19" s="2">
        <v>32</v>
      </c>
      <c r="BP19" s="2">
        <v>38</v>
      </c>
      <c r="BQ19" s="2">
        <v>41</v>
      </c>
      <c r="BR19" s="2">
        <v>44</v>
      </c>
      <c r="BS19" s="2">
        <v>49</v>
      </c>
      <c r="BT19" s="2">
        <v>21</v>
      </c>
      <c r="BU19" s="2">
        <v>96</v>
      </c>
      <c r="BV19" s="2">
        <v>126</v>
      </c>
      <c r="BW19" s="2">
        <v>156</v>
      </c>
      <c r="BX19" s="2">
        <v>230</v>
      </c>
      <c r="BY19" s="2">
        <v>63.6</v>
      </c>
      <c r="BZ19" s="2">
        <v>2</v>
      </c>
      <c r="CA19" s="2">
        <v>0.8</v>
      </c>
      <c r="CB19" s="2">
        <v>2.17467844598225E-7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19.2</v>
      </c>
      <c r="AX20" s="2" t="s">
        <v>216</v>
      </c>
      <c r="AY20" s="130">
        <v>31.7</v>
      </c>
      <c r="AZ20" s="2">
        <v>19.3</v>
      </c>
      <c r="BA20" s="2">
        <v>20</v>
      </c>
      <c r="BB20" s="2">
        <v>45</v>
      </c>
      <c r="BC20" s="2">
        <v>4</v>
      </c>
      <c r="BD20" s="2">
        <v>1.8</v>
      </c>
      <c r="BE20" s="2">
        <v>3.1</v>
      </c>
      <c r="BF20" s="2">
        <v>3.3</v>
      </c>
      <c r="BG20" s="2">
        <v>3.9</v>
      </c>
      <c r="BH20" s="2">
        <v>11.3</v>
      </c>
      <c r="BI20" s="2">
        <v>26</v>
      </c>
      <c r="BJ20" s="2">
        <v>111</v>
      </c>
      <c r="BK20" s="2">
        <v>159</v>
      </c>
      <c r="BL20" s="2">
        <v>220</v>
      </c>
      <c r="BM20" s="2">
        <v>628</v>
      </c>
      <c r="BN20" s="2"/>
      <c r="BO20" s="2"/>
      <c r="BP20" s="2"/>
      <c r="BQ20" s="2"/>
      <c r="BR20" s="2"/>
      <c r="BS20" s="2"/>
      <c r="BT20" s="2">
        <v>19</v>
      </c>
      <c r="BU20" s="2">
        <v>68</v>
      </c>
      <c r="BV20" s="2">
        <v>147</v>
      </c>
      <c r="BW20" s="2">
        <v>238</v>
      </c>
      <c r="BX20" s="2">
        <v>772</v>
      </c>
      <c r="BY20" s="2">
        <v>19.600000000000001</v>
      </c>
      <c r="BZ20" s="2">
        <v>6.4</v>
      </c>
      <c r="CA20" s="2">
        <v>2.5</v>
      </c>
      <c r="CB20" s="2">
        <v>8.5349443388160399E-11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28</v>
      </c>
      <c r="AX21" s="2" t="s">
        <v>216</v>
      </c>
      <c r="AY21" s="130">
        <v>31.7</v>
      </c>
      <c r="AZ21" s="2">
        <v>19.3</v>
      </c>
      <c r="BA21" s="2">
        <v>20</v>
      </c>
      <c r="BB21" s="2">
        <v>45</v>
      </c>
      <c r="BC21" s="2">
        <v>4</v>
      </c>
      <c r="BD21" s="2">
        <v>5.0999999999999996</v>
      </c>
      <c r="BE21" s="2">
        <v>6.4</v>
      </c>
      <c r="BF21" s="2">
        <v>6.6</v>
      </c>
      <c r="BG21" s="2">
        <v>7.3</v>
      </c>
      <c r="BH21" s="2">
        <v>14.6</v>
      </c>
      <c r="BI21" s="2">
        <v>201</v>
      </c>
      <c r="BJ21" s="2">
        <v>286</v>
      </c>
      <c r="BK21" s="2">
        <v>334</v>
      </c>
      <c r="BL21" s="2">
        <v>395</v>
      </c>
      <c r="BM21" s="2">
        <v>803</v>
      </c>
      <c r="BN21" s="2"/>
      <c r="BO21" s="2"/>
      <c r="BP21" s="2"/>
      <c r="BQ21" s="2"/>
      <c r="BR21" s="2"/>
      <c r="BS21" s="2"/>
      <c r="BT21" s="2">
        <v>236</v>
      </c>
      <c r="BU21" s="2">
        <v>285</v>
      </c>
      <c r="BV21" s="2">
        <v>364</v>
      </c>
      <c r="BW21" s="2">
        <v>456</v>
      </c>
      <c r="BX21" s="2">
        <v>989</v>
      </c>
      <c r="BY21" s="2">
        <v>19.600000000000001</v>
      </c>
      <c r="BZ21" s="2">
        <v>6.4</v>
      </c>
      <c r="CA21" s="2">
        <v>2.5</v>
      </c>
      <c r="CB21" s="2">
        <v>8.5349443388160399E-11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28</v>
      </c>
      <c r="AX22" s="2" t="s">
        <v>273</v>
      </c>
      <c r="AY22" s="130">
        <v>32</v>
      </c>
      <c r="AZ22" s="2">
        <v>18.899999999999999</v>
      </c>
      <c r="BA22" s="2">
        <v>47</v>
      </c>
      <c r="BB22" s="2">
        <v>85</v>
      </c>
      <c r="BC22" s="2">
        <v>3</v>
      </c>
      <c r="BD22" s="2">
        <v>5.8</v>
      </c>
      <c r="BE22" s="2">
        <v>6.7</v>
      </c>
      <c r="BF22" s="2">
        <v>6.9</v>
      </c>
      <c r="BG22" s="2">
        <v>7.2</v>
      </c>
      <c r="BH22" s="2">
        <v>10.1</v>
      </c>
      <c r="BI22" s="2">
        <v>178</v>
      </c>
      <c r="BJ22" s="2">
        <v>273</v>
      </c>
      <c r="BK22" s="2">
        <v>316</v>
      </c>
      <c r="BL22" s="2">
        <v>362</v>
      </c>
      <c r="BM22" s="2">
        <v>523</v>
      </c>
      <c r="BN22" s="2"/>
      <c r="BO22" s="2"/>
      <c r="BP22" s="2"/>
      <c r="BQ22" s="2"/>
      <c r="BR22" s="2"/>
      <c r="BS22" s="2"/>
      <c r="BT22" s="2">
        <v>115</v>
      </c>
      <c r="BU22" s="2">
        <v>295</v>
      </c>
      <c r="BV22" s="2">
        <v>381</v>
      </c>
      <c r="BW22" s="2">
        <v>469</v>
      </c>
      <c r="BX22" s="2">
        <v>733</v>
      </c>
      <c r="BY22" s="2">
        <v>26.2</v>
      </c>
      <c r="BZ22" s="2">
        <v>6.5</v>
      </c>
      <c r="CA22" s="2">
        <v>2.4</v>
      </c>
      <c r="CB22" s="2">
        <v>5.26182952515143E-10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40</v>
      </c>
      <c r="AX23" s="2" t="s">
        <v>273</v>
      </c>
      <c r="AY23" s="130">
        <v>32</v>
      </c>
      <c r="AZ23" s="2">
        <v>18.899999999999999</v>
      </c>
      <c r="BA23" s="2">
        <v>47</v>
      </c>
      <c r="BB23" s="2">
        <v>85</v>
      </c>
      <c r="BC23" s="2">
        <v>3</v>
      </c>
      <c r="BD23" s="2">
        <v>6.3</v>
      </c>
      <c r="BE23" s="2">
        <v>7.2</v>
      </c>
      <c r="BF23" s="2">
        <v>7.3</v>
      </c>
      <c r="BG23" s="2">
        <v>7.6</v>
      </c>
      <c r="BH23" s="2">
        <v>10.6</v>
      </c>
      <c r="BI23" s="2">
        <v>193</v>
      </c>
      <c r="BJ23" s="2">
        <v>288</v>
      </c>
      <c r="BK23" s="2">
        <v>331</v>
      </c>
      <c r="BL23" s="2">
        <v>377</v>
      </c>
      <c r="BM23" s="2">
        <v>538</v>
      </c>
      <c r="BN23" s="2"/>
      <c r="BO23" s="2"/>
      <c r="BP23" s="2"/>
      <c r="BQ23" s="2"/>
      <c r="BR23" s="2"/>
      <c r="BS23" s="2"/>
      <c r="BT23" s="2">
        <v>149</v>
      </c>
      <c r="BU23" s="2">
        <v>329</v>
      </c>
      <c r="BV23" s="2">
        <v>415</v>
      </c>
      <c r="BW23" s="2">
        <v>504</v>
      </c>
      <c r="BX23" s="2">
        <v>767</v>
      </c>
      <c r="BY23" s="2">
        <v>26.2</v>
      </c>
      <c r="BZ23" s="2">
        <v>6.5</v>
      </c>
      <c r="CA23" s="2">
        <v>2.4</v>
      </c>
      <c r="CB23" s="2">
        <v>5.26182952515143E-10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40</v>
      </c>
      <c r="AX24" s="2" t="s">
        <v>273</v>
      </c>
      <c r="AY24" s="130">
        <v>32</v>
      </c>
      <c r="AZ24" s="2">
        <v>18.899999999999999</v>
      </c>
      <c r="BA24" s="2">
        <v>47</v>
      </c>
      <c r="BB24" s="2">
        <v>85</v>
      </c>
      <c r="BC24" s="2">
        <v>3</v>
      </c>
      <c r="BD24" s="2">
        <v>1.5</v>
      </c>
      <c r="BE24" s="2">
        <v>7.7</v>
      </c>
      <c r="BF24" s="2">
        <v>7.9</v>
      </c>
      <c r="BG24" s="2">
        <v>19</v>
      </c>
      <c r="BH24" s="2">
        <v>53.4</v>
      </c>
      <c r="BI24" s="2">
        <v>228</v>
      </c>
      <c r="BJ24" s="2">
        <v>314</v>
      </c>
      <c r="BK24" s="2">
        <v>357</v>
      </c>
      <c r="BL24" s="2">
        <v>401</v>
      </c>
      <c r="BM24" s="2">
        <v>487</v>
      </c>
      <c r="BN24" s="2"/>
      <c r="BO24" s="2"/>
      <c r="BP24" s="2"/>
      <c r="BQ24" s="2"/>
      <c r="BR24" s="2"/>
      <c r="BS24" s="2"/>
      <c r="BT24" s="2">
        <v>197</v>
      </c>
      <c r="BU24" s="2">
        <v>369</v>
      </c>
      <c r="BV24" s="2">
        <v>455</v>
      </c>
      <c r="BW24" s="2">
        <v>542</v>
      </c>
      <c r="BX24" s="2">
        <v>714</v>
      </c>
      <c r="BY24" s="2">
        <v>33.700000000000003</v>
      </c>
      <c r="BZ24" s="2">
        <v>5</v>
      </c>
      <c r="CA24" s="2">
        <v>1.8</v>
      </c>
      <c r="CB24" s="2">
        <v>3.6114649318482102E-12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71</v>
      </c>
      <c r="AX25" s="2" t="s">
        <v>273</v>
      </c>
      <c r="AY25" s="130">
        <v>32</v>
      </c>
      <c r="AZ25" s="2">
        <v>18.899999999999999</v>
      </c>
      <c r="BA25" s="2">
        <v>47</v>
      </c>
      <c r="BB25" s="2">
        <v>85</v>
      </c>
      <c r="BC25" s="2">
        <v>3</v>
      </c>
      <c r="BD25" s="2">
        <v>4.5</v>
      </c>
      <c r="BE25" s="2">
        <v>10.7</v>
      </c>
      <c r="BF25" s="2">
        <v>10.9</v>
      </c>
      <c r="BG25" s="2">
        <v>22.1</v>
      </c>
      <c r="BH25" s="2">
        <v>56.4</v>
      </c>
      <c r="BI25" s="2">
        <v>351</v>
      </c>
      <c r="BJ25" s="2">
        <v>437</v>
      </c>
      <c r="BK25" s="2">
        <v>480</v>
      </c>
      <c r="BL25" s="2">
        <v>524</v>
      </c>
      <c r="BM25" s="2">
        <v>610</v>
      </c>
      <c r="BN25" s="2"/>
      <c r="BO25" s="2"/>
      <c r="BP25" s="2"/>
      <c r="BQ25" s="2"/>
      <c r="BR25" s="2"/>
      <c r="BS25" s="2"/>
      <c r="BT25" s="2">
        <v>425</v>
      </c>
      <c r="BU25" s="2">
        <v>598</v>
      </c>
      <c r="BV25" s="2">
        <v>684</v>
      </c>
      <c r="BW25" s="2">
        <v>771</v>
      </c>
      <c r="BX25" s="2">
        <v>943</v>
      </c>
      <c r="BY25" s="2">
        <v>33.700000000000003</v>
      </c>
      <c r="BZ25" s="2">
        <v>5</v>
      </c>
      <c r="CA25" s="2">
        <v>1.8</v>
      </c>
      <c r="CB25" s="2">
        <v>3.6114649318482102E-12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71</v>
      </c>
      <c r="AX26" s="2" t="s">
        <v>218</v>
      </c>
      <c r="AY26" s="130">
        <v>37</v>
      </c>
      <c r="AZ26" s="2">
        <v>18.3</v>
      </c>
      <c r="BA26" s="2">
        <v>59</v>
      </c>
      <c r="BB26" s="2">
        <v>77</v>
      </c>
      <c r="BC26" s="2">
        <v>3</v>
      </c>
      <c r="BD26" s="2">
        <v>2.6</v>
      </c>
      <c r="BE26" s="2">
        <v>11.4</v>
      </c>
      <c r="BF26" s="2">
        <v>13.5</v>
      </c>
      <c r="BG26" s="2">
        <v>29.6</v>
      </c>
      <c r="BH26" s="2">
        <v>79.5</v>
      </c>
      <c r="BI26" s="2">
        <v>480</v>
      </c>
      <c r="BJ26" s="2">
        <v>565</v>
      </c>
      <c r="BK26" s="2">
        <v>609</v>
      </c>
      <c r="BL26" s="2">
        <v>653</v>
      </c>
      <c r="BM26" s="2">
        <v>739</v>
      </c>
      <c r="BN26" s="2"/>
      <c r="BO26" s="2"/>
      <c r="BP26" s="2"/>
      <c r="BQ26" s="2"/>
      <c r="BR26" s="2"/>
      <c r="BS26" s="2"/>
      <c r="BT26" s="2">
        <v>608</v>
      </c>
      <c r="BU26" s="2">
        <v>780</v>
      </c>
      <c r="BV26" s="2">
        <v>867</v>
      </c>
      <c r="BW26" s="2">
        <v>953</v>
      </c>
      <c r="BX26" s="2">
        <v>1125</v>
      </c>
      <c r="BY26" s="2">
        <v>51.2</v>
      </c>
      <c r="BZ26" s="2">
        <v>5.6</v>
      </c>
      <c r="CA26" s="2">
        <v>2</v>
      </c>
      <c r="CB26" s="2">
        <v>4.1450066920507503E-12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80</v>
      </c>
      <c r="AX27" s="2" t="s">
        <v>218</v>
      </c>
      <c r="AY27" s="130">
        <v>37</v>
      </c>
      <c r="AZ27" s="2">
        <v>18.3</v>
      </c>
      <c r="BA27" s="2">
        <v>59</v>
      </c>
      <c r="BB27" s="2">
        <v>77</v>
      </c>
      <c r="BC27" s="2">
        <v>3</v>
      </c>
      <c r="BD27" s="2">
        <v>3.9</v>
      </c>
      <c r="BE27" s="2">
        <v>12.7</v>
      </c>
      <c r="BF27" s="2">
        <v>14.9</v>
      </c>
      <c r="BG27" s="2">
        <v>30.9</v>
      </c>
      <c r="BH27" s="2">
        <v>80.8</v>
      </c>
      <c r="BI27" s="2">
        <v>538</v>
      </c>
      <c r="BJ27" s="2">
        <v>624</v>
      </c>
      <c r="BK27" s="2">
        <v>667</v>
      </c>
      <c r="BL27" s="2">
        <v>711</v>
      </c>
      <c r="BM27" s="2">
        <v>797</v>
      </c>
      <c r="BN27" s="2"/>
      <c r="BO27" s="2"/>
      <c r="BP27" s="2"/>
      <c r="BQ27" s="2"/>
      <c r="BR27" s="2"/>
      <c r="BS27" s="2"/>
      <c r="BT27" s="2">
        <v>715</v>
      </c>
      <c r="BU27" s="2">
        <v>886</v>
      </c>
      <c r="BV27" s="2">
        <v>973</v>
      </c>
      <c r="BW27" s="2">
        <v>1060</v>
      </c>
      <c r="BX27" s="2">
        <v>1232</v>
      </c>
      <c r="BY27" s="2">
        <v>51.2</v>
      </c>
      <c r="BZ27" s="2">
        <v>5.6</v>
      </c>
      <c r="CA27" s="2">
        <v>2</v>
      </c>
      <c r="CB27" s="2">
        <v>4.1450066920507503E-12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245" priority="12">
      <formula>$L32="API sand"</formula>
    </cfRule>
  </conditionalFormatting>
  <conditionalFormatting sqref="R32:S36 AB32:AB35 AJ32:AL36 Z32:Z36 N32:N36">
    <cfRule type="expression" dxfId="2244" priority="11">
      <formula>$M32="API sand"</formula>
    </cfRule>
  </conditionalFormatting>
  <conditionalFormatting sqref="R32:T36 Z32:AB35 AK32:AL36 N32:N36">
    <cfRule type="expression" dxfId="2243" priority="10">
      <formula>$M32="API clay"</formula>
    </cfRule>
  </conditionalFormatting>
  <conditionalFormatting sqref="U32:W36 AM32:AP36 N32:P36">
    <cfRule type="expression" dxfId="2242" priority="7">
      <formula>$L32="Stiff clay w/o free water"</formula>
    </cfRule>
    <cfRule type="expression" dxfId="2241" priority="9">
      <formula>$L32="API clay"</formula>
    </cfRule>
  </conditionalFormatting>
  <conditionalFormatting sqref="U32:Y36 AM32:AP36 N32:P36">
    <cfRule type="expression" dxfId="2240" priority="8">
      <formula>$L32="Kirsch soft clay"</formula>
    </cfRule>
  </conditionalFormatting>
  <conditionalFormatting sqref="U32:Y36 AM32:AP36 N32:P36">
    <cfRule type="expression" dxfId="2239" priority="6">
      <formula>$L32="Kirsch stiff clay"</formula>
    </cfRule>
  </conditionalFormatting>
  <conditionalFormatting sqref="AM32:AP36 Q32:Q36 X32:Y36 N32:N36">
    <cfRule type="expression" dxfId="2238" priority="5">
      <formula>$L32="Kirsch sand"</formula>
    </cfRule>
  </conditionalFormatting>
  <conditionalFormatting sqref="AC32:AD36 AI32:AI36 AM32:AP36 N32:N36">
    <cfRule type="expression" dxfId="2237" priority="4">
      <formula>$L32="Modified Weak rock"</formula>
    </cfRule>
  </conditionalFormatting>
  <conditionalFormatting sqref="AM32:AP36 N32:P36 U32:V36">
    <cfRule type="expression" dxfId="2236" priority="3">
      <formula>$L32="Reese stiff clay"</formula>
    </cfRule>
  </conditionalFormatting>
  <conditionalFormatting sqref="AB36">
    <cfRule type="expression" dxfId="2235" priority="2">
      <formula>$M36="API sand"</formula>
    </cfRule>
  </conditionalFormatting>
  <conditionalFormatting sqref="Z36:AB36">
    <cfRule type="expression" dxfId="2234" priority="1">
      <formula>$M36="API clay"</formula>
    </cfRule>
  </conditionalFormatting>
  <conditionalFormatting sqref="AE37:AH37">
    <cfRule type="expression" dxfId="2233" priority="13">
      <formula>#REF!="Modified Weak rock"</formula>
    </cfRule>
  </conditionalFormatting>
  <dataValidations count="4">
    <dataValidation type="textLength" showInputMessage="1" showErrorMessage="1" sqref="M27:M31" xr:uid="{F09BA0A8-A556-4E95-9299-3AF80027C021}">
      <formula1>0</formula1>
      <formula2>100</formula2>
    </dataValidation>
    <dataValidation showInputMessage="1" showErrorMessage="1" sqref="L6:M26" xr:uid="{085A15C4-61C6-4962-93A7-45D8296DD173}"/>
    <dataValidation type="list" showInputMessage="1" showErrorMessage="1" sqref="L32:L255" xr:uid="{BBC25196-672F-433E-863B-33508D75FBD5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31B72704-3AE2-4919-9E62-C82D6C556A0B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847F5-B496-4E4A-AB49-B0984B208BF8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Ak_Pisa_WTG53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8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EW_sand_Ruled_72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34</v>
      </c>
      <c r="R6" s="47">
        <f t="shared" ref="R6:R26" ca="1" si="7">IF(I6="","",IF(Q6&lt;&gt;0,Q6-5,NA()))</f>
        <v>29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3900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92.999999999999972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8640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27142.857142857145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36.000000000000007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72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0.6</v>
      </c>
      <c r="BG6" s="2">
        <v>1.3</v>
      </c>
      <c r="BH6" s="2">
        <v>3</v>
      </c>
      <c r="BI6" s="2"/>
      <c r="BJ6" s="2"/>
      <c r="BK6" s="2"/>
      <c r="BL6" s="2"/>
      <c r="BM6" s="2"/>
      <c r="BN6" s="2">
        <v>72</v>
      </c>
      <c r="BO6" s="2">
        <v>28</v>
      </c>
      <c r="BP6" s="2">
        <v>34</v>
      </c>
      <c r="BQ6" s="2">
        <v>37</v>
      </c>
      <c r="BR6" s="2">
        <v>40</v>
      </c>
      <c r="BS6" s="2">
        <v>46</v>
      </c>
      <c r="BT6" s="2">
        <v>0</v>
      </c>
      <c r="BU6" s="2">
        <v>1</v>
      </c>
      <c r="BV6" s="2">
        <v>5</v>
      </c>
      <c r="BW6" s="2">
        <v>9</v>
      </c>
      <c r="BX6" s="2">
        <v>18</v>
      </c>
      <c r="BY6" s="2">
        <v>3.9</v>
      </c>
      <c r="BZ6" s="2">
        <v>1</v>
      </c>
      <c r="CA6" s="2">
        <v>0.5</v>
      </c>
      <c r="CB6" s="2">
        <v>3.19360700017146E-6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11a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-0.7</v>
      </c>
      <c r="L7" s="116" t="str">
        <f t="shared" ca="1" si="1"/>
        <v>EW_sand_Ruled_72</v>
      </c>
      <c r="M7" s="105" t="str">
        <f t="shared" ca="1" si="2"/>
        <v>API sand</v>
      </c>
      <c r="N7" s="47">
        <f t="shared" ca="1" si="3"/>
        <v>9.6000000000000014</v>
      </c>
      <c r="O7" s="63">
        <f t="shared" ca="1" si="4"/>
        <v>0</v>
      </c>
      <c r="P7" s="63">
        <f t="shared" ca="1" si="5"/>
        <v>0</v>
      </c>
      <c r="Q7" s="47">
        <f t="shared" ca="1" si="6"/>
        <v>40</v>
      </c>
      <c r="R7" s="47">
        <f t="shared" ca="1" si="7"/>
        <v>35</v>
      </c>
      <c r="S7" s="47">
        <f t="shared" ca="1" si="8"/>
        <v>2.5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28300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31000</v>
      </c>
      <c r="AD7" s="63">
        <f t="shared" ca="1" si="19"/>
        <v>12307.692307692307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72</v>
      </c>
      <c r="AS7" s="33">
        <f t="shared" ca="1" si="34"/>
        <v>0.4</v>
      </c>
      <c r="AW7" s="2">
        <v>0.7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1.1000000000000001</v>
      </c>
      <c r="BE7" s="2">
        <v>2.4</v>
      </c>
      <c r="BF7" s="2">
        <v>2.9</v>
      </c>
      <c r="BG7" s="2">
        <v>3.6</v>
      </c>
      <c r="BH7" s="2">
        <v>5.4</v>
      </c>
      <c r="BI7" s="2"/>
      <c r="BJ7" s="2"/>
      <c r="BK7" s="2"/>
      <c r="BL7" s="2"/>
      <c r="BM7" s="2"/>
      <c r="BN7" s="2">
        <v>72</v>
      </c>
      <c r="BO7" s="2">
        <v>28</v>
      </c>
      <c r="BP7" s="2">
        <v>34</v>
      </c>
      <c r="BQ7" s="2">
        <v>37</v>
      </c>
      <c r="BR7" s="2">
        <v>40</v>
      </c>
      <c r="BS7" s="2">
        <v>46</v>
      </c>
      <c r="BT7" s="2">
        <v>12</v>
      </c>
      <c r="BU7" s="2">
        <v>20</v>
      </c>
      <c r="BV7" s="2">
        <v>24</v>
      </c>
      <c r="BW7" s="2">
        <v>28</v>
      </c>
      <c r="BX7" s="2">
        <v>37</v>
      </c>
      <c r="BY7" s="2">
        <v>3.9</v>
      </c>
      <c r="BZ7" s="2">
        <v>1</v>
      </c>
      <c r="CA7" s="2">
        <v>0.5</v>
      </c>
      <c r="CB7" s="2">
        <v>3.19360700017146E-6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11a</v>
      </c>
      <c r="J8" s="47">
        <f t="shared" ca="1" si="35"/>
        <v>3</v>
      </c>
      <c r="K8" s="19">
        <f t="shared" ca="1" si="36"/>
        <v>-2</v>
      </c>
      <c r="L8" s="116" t="str">
        <f t="shared" ca="1" si="1"/>
        <v>EW_sand_Ruled_63</v>
      </c>
      <c r="M8" s="105" t="str">
        <f t="shared" ca="1" si="2"/>
        <v>API sand</v>
      </c>
      <c r="N8" s="47">
        <f t="shared" ca="1" si="3"/>
        <v>9.6000000000000014</v>
      </c>
      <c r="O8" s="63">
        <f t="shared" ca="1" si="4"/>
        <v>0</v>
      </c>
      <c r="P8" s="63">
        <f t="shared" ca="1" si="5"/>
        <v>0</v>
      </c>
      <c r="Q8" s="47">
        <f t="shared" ca="1" si="6"/>
        <v>38</v>
      </c>
      <c r="R8" s="47">
        <f t="shared" ca="1" si="7"/>
        <v>33</v>
      </c>
      <c r="S8" s="47">
        <f t="shared" ca="1" si="8"/>
        <v>1.6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27400</v>
      </c>
      <c r="Y8" s="47">
        <f t="shared" ca="1" si="14"/>
        <v>0</v>
      </c>
      <c r="Z8" s="47">
        <f t="shared" ca="1" si="15"/>
        <v>107.39999999999996</v>
      </c>
      <c r="AA8" s="47">
        <f t="shared" ca="1" si="16"/>
        <v>1</v>
      </c>
      <c r="AB8" s="47">
        <f t="shared" ca="1" si="17"/>
        <v>11040</v>
      </c>
      <c r="AC8" s="63">
        <f t="shared" ca="1" si="18"/>
        <v>49000</v>
      </c>
      <c r="AD8" s="63">
        <f t="shared" ca="1" si="19"/>
        <v>2500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46.000000000000007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63</v>
      </c>
      <c r="AS8" s="33">
        <f t="shared" ca="1" si="34"/>
        <v>0.4</v>
      </c>
      <c r="AW8" s="2">
        <v>0.7</v>
      </c>
      <c r="AX8" s="2" t="s">
        <v>293</v>
      </c>
      <c r="AY8" s="130">
        <v>25.8</v>
      </c>
      <c r="AZ8" s="2">
        <v>19.600000000000001</v>
      </c>
      <c r="BA8" s="2"/>
      <c r="BB8" s="2">
        <v>22</v>
      </c>
      <c r="BC8" s="2"/>
      <c r="BD8" s="2">
        <v>2.7</v>
      </c>
      <c r="BE8" s="2">
        <v>3.9</v>
      </c>
      <c r="BF8" s="2">
        <v>4.3</v>
      </c>
      <c r="BG8" s="2">
        <v>4.9000000000000004</v>
      </c>
      <c r="BH8" s="2">
        <f>15+6.6</f>
        <v>21.6</v>
      </c>
      <c r="BI8" s="2"/>
      <c r="BJ8" s="2"/>
      <c r="BK8" s="2"/>
      <c r="BL8" s="2"/>
      <c r="BM8" s="2"/>
      <c r="BN8" s="2">
        <v>72</v>
      </c>
      <c r="BO8" s="2">
        <v>34</v>
      </c>
      <c r="BP8" s="2">
        <v>40</v>
      </c>
      <c r="BQ8" s="2">
        <v>43</v>
      </c>
      <c r="BR8" s="2">
        <v>46</v>
      </c>
      <c r="BS8" s="2">
        <v>52</v>
      </c>
      <c r="BT8" s="2">
        <v>0</v>
      </c>
      <c r="BU8" s="2">
        <v>21</v>
      </c>
      <c r="BV8" s="2">
        <v>31</v>
      </c>
      <c r="BW8" s="2">
        <v>40</v>
      </c>
      <c r="BX8" s="2">
        <v>63</v>
      </c>
      <c r="BY8" s="2">
        <v>28.3</v>
      </c>
      <c r="BZ8" s="2">
        <v>14.7</v>
      </c>
      <c r="CA8" s="2">
        <v>2.5</v>
      </c>
      <c r="CB8" s="2">
        <v>1.03931921039723E-4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11a</v>
      </c>
      <c r="J9" s="47">
        <f t="shared" ca="1" si="35"/>
        <v>4</v>
      </c>
      <c r="K9" s="19">
        <f t="shared" ca="1" si="36"/>
        <v>-4</v>
      </c>
      <c r="L9" s="116" t="str">
        <f t="shared" ca="1" si="1"/>
        <v>EW_sand_Ruled_64</v>
      </c>
      <c r="M9" s="105" t="str">
        <f t="shared" ca="1" si="2"/>
        <v>API sand</v>
      </c>
      <c r="N9" s="47">
        <f t="shared" ca="1" si="3"/>
        <v>9.6000000000000014</v>
      </c>
      <c r="O9" s="63">
        <f t="shared" ca="1" si="4"/>
        <v>0</v>
      </c>
      <c r="P9" s="63">
        <f t="shared" ca="1" si="5"/>
        <v>0</v>
      </c>
      <c r="Q9" s="47">
        <f t="shared" ca="1" si="6"/>
        <v>37</v>
      </c>
      <c r="R9" s="47">
        <f t="shared" ca="1" si="7"/>
        <v>32</v>
      </c>
      <c r="S9" s="47">
        <f t="shared" ca="1" si="8"/>
        <v>1.2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32400</v>
      </c>
      <c r="Y9" s="47">
        <f t="shared" ca="1" si="14"/>
        <v>0</v>
      </c>
      <c r="Z9" s="47">
        <f t="shared" ca="1" si="15"/>
        <v>103.59999999999997</v>
      </c>
      <c r="AA9" s="47">
        <f t="shared" ca="1" si="16"/>
        <v>1</v>
      </c>
      <c r="AB9" s="47">
        <f t="shared" ca="1" si="17"/>
        <v>10560</v>
      </c>
      <c r="AC9" s="63">
        <f t="shared" ca="1" si="18"/>
        <v>60000</v>
      </c>
      <c r="AD9" s="63">
        <f t="shared" ca="1" si="19"/>
        <v>6000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44.000000000000007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64</v>
      </c>
      <c r="AS9" s="33">
        <f t="shared" ca="1" si="34"/>
        <v>0.4</v>
      </c>
      <c r="AW9" s="2">
        <v>2</v>
      </c>
      <c r="AX9" s="2" t="s">
        <v>293</v>
      </c>
      <c r="AY9" s="130">
        <v>25.8</v>
      </c>
      <c r="AZ9" s="2">
        <v>19.600000000000001</v>
      </c>
      <c r="BA9" s="2"/>
      <c r="BB9" s="2">
        <v>22</v>
      </c>
      <c r="BC9" s="2"/>
      <c r="BD9" s="2">
        <v>8</v>
      </c>
      <c r="BE9" s="2">
        <v>9.1999999999999993</v>
      </c>
      <c r="BF9" s="2">
        <v>9.6</v>
      </c>
      <c r="BG9" s="2">
        <v>10.199999999999999</v>
      </c>
      <c r="BH9" s="2">
        <f>15+11.9</f>
        <v>26.9</v>
      </c>
      <c r="BI9" s="2"/>
      <c r="BJ9" s="2"/>
      <c r="BK9" s="2"/>
      <c r="BL9" s="2"/>
      <c r="BM9" s="2"/>
      <c r="BN9" s="2">
        <v>72</v>
      </c>
      <c r="BO9" s="2">
        <v>34</v>
      </c>
      <c r="BP9" s="2">
        <v>40</v>
      </c>
      <c r="BQ9" s="2">
        <v>43</v>
      </c>
      <c r="BR9" s="2">
        <v>46</v>
      </c>
      <c r="BS9" s="2">
        <v>52</v>
      </c>
      <c r="BT9" s="2">
        <v>16</v>
      </c>
      <c r="BU9" s="2">
        <v>37</v>
      </c>
      <c r="BV9" s="2">
        <v>47</v>
      </c>
      <c r="BW9" s="2">
        <v>56</v>
      </c>
      <c r="BX9" s="2">
        <v>79</v>
      </c>
      <c r="BY9" s="2">
        <v>28.3</v>
      </c>
      <c r="BZ9" s="2">
        <v>14.7</v>
      </c>
      <c r="CA9" s="2">
        <v>2.5</v>
      </c>
      <c r="CB9" s="2">
        <v>1.03931921039723E-4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11b</v>
      </c>
      <c r="J10" s="47">
        <f t="shared" ca="1" si="35"/>
        <v>5</v>
      </c>
      <c r="K10" s="19">
        <f t="shared" ca="1" si="36"/>
        <v>-6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9.5</v>
      </c>
      <c r="O10" s="63">
        <f t="shared" ca="1" si="4"/>
        <v>202</v>
      </c>
      <c r="P10" s="63">
        <f t="shared" ca="1" si="5"/>
        <v>27.333333333333332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0.5</v>
      </c>
      <c r="X10" s="47">
        <f t="shared" ca="1" si="13"/>
        <v>46900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248000</v>
      </c>
      <c r="AD10" s="63">
        <f t="shared" ca="1" si="19"/>
        <v>35666.666666666664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2</v>
      </c>
      <c r="AX10" s="2" t="s">
        <v>293</v>
      </c>
      <c r="AY10" s="130">
        <v>25.8</v>
      </c>
      <c r="AZ10" s="2">
        <v>19.600000000000001</v>
      </c>
      <c r="BA10" s="2"/>
      <c r="BB10" s="2">
        <v>22</v>
      </c>
      <c r="BC10" s="2"/>
      <c r="BD10" s="2">
        <v>7.6</v>
      </c>
      <c r="BE10" s="2">
        <v>7.9</v>
      </c>
      <c r="BF10" s="2">
        <v>8</v>
      </c>
      <c r="BG10" s="2">
        <v>8.1999999999999993</v>
      </c>
      <c r="BH10" s="2">
        <v>8.6</v>
      </c>
      <c r="BI10" s="2"/>
      <c r="BJ10" s="2"/>
      <c r="BK10" s="2"/>
      <c r="BL10" s="2"/>
      <c r="BM10" s="2"/>
      <c r="BN10" s="2">
        <v>63</v>
      </c>
      <c r="BO10" s="2">
        <v>32</v>
      </c>
      <c r="BP10" s="2">
        <v>38</v>
      </c>
      <c r="BQ10" s="2">
        <v>41</v>
      </c>
      <c r="BR10" s="2">
        <v>44</v>
      </c>
      <c r="BS10" s="2">
        <v>49</v>
      </c>
      <c r="BT10" s="2">
        <v>7</v>
      </c>
      <c r="BU10" s="2">
        <v>37</v>
      </c>
      <c r="BV10" s="2">
        <v>49</v>
      </c>
      <c r="BW10" s="2">
        <v>62</v>
      </c>
      <c r="BX10" s="2">
        <v>92</v>
      </c>
      <c r="BY10" s="2">
        <v>27.4</v>
      </c>
      <c r="BZ10" s="2">
        <v>6.6</v>
      </c>
      <c r="CA10" s="2">
        <v>1.6</v>
      </c>
      <c r="CB10" s="2">
        <v>6.5971776127557904E-6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21a</v>
      </c>
      <c r="J11" s="47">
        <f t="shared" ca="1" si="35"/>
        <v>6</v>
      </c>
      <c r="K11" s="19">
        <f t="shared" ca="1" si="36"/>
        <v>-12</v>
      </c>
      <c r="L11" s="116" t="str">
        <f t="shared" ca="1" si="1"/>
        <v>EW_sand_Ruled_66</v>
      </c>
      <c r="M11" s="105" t="str">
        <f t="shared" ca="1" si="2"/>
        <v>API sand</v>
      </c>
      <c r="N11" s="47">
        <f t="shared" ca="1" si="3"/>
        <v>9.8000000000000007</v>
      </c>
      <c r="O11" s="63">
        <f t="shared" ca="1" si="4"/>
        <v>0</v>
      </c>
      <c r="P11" s="63">
        <f t="shared" ca="1" si="5"/>
        <v>0</v>
      </c>
      <c r="Q11" s="47">
        <f t="shared" ca="1" si="6"/>
        <v>28</v>
      </c>
      <c r="R11" s="47">
        <f t="shared" ca="1" si="7"/>
        <v>23</v>
      </c>
      <c r="S11" s="47">
        <f t="shared" ca="1" si="8"/>
        <v>1.2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35500</v>
      </c>
      <c r="Y11" s="47">
        <f t="shared" ca="1" si="14"/>
        <v>0</v>
      </c>
      <c r="Z11" s="47">
        <f t="shared" ca="1" si="15"/>
        <v>75.399999999999977</v>
      </c>
      <c r="AA11" s="47">
        <f t="shared" ca="1" si="16"/>
        <v>1</v>
      </c>
      <c r="AB11" s="47">
        <f t="shared" ca="1" si="17"/>
        <v>4040</v>
      </c>
      <c r="AC11" s="63">
        <f t="shared" ca="1" si="18"/>
        <v>91000</v>
      </c>
      <c r="AD11" s="63">
        <f t="shared" ca="1" si="19"/>
        <v>6083.333333333333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16.800000000000004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66</v>
      </c>
      <c r="AS11" s="33">
        <f t="shared" ca="1" si="34"/>
        <v>0.2</v>
      </c>
      <c r="AW11" s="2">
        <v>4</v>
      </c>
      <c r="AX11" s="2" t="s">
        <v>293</v>
      </c>
      <c r="AY11" s="130">
        <v>25.8</v>
      </c>
      <c r="AZ11" s="2">
        <v>19.600000000000001</v>
      </c>
      <c r="BA11" s="2"/>
      <c r="BB11" s="2">
        <v>22</v>
      </c>
      <c r="BC11" s="2"/>
      <c r="BD11" s="2">
        <v>5.2</v>
      </c>
      <c r="BE11" s="2">
        <v>5.5</v>
      </c>
      <c r="BF11" s="2">
        <v>5.6</v>
      </c>
      <c r="BG11" s="2">
        <v>5.7</v>
      </c>
      <c r="BH11" s="2">
        <v>6.2</v>
      </c>
      <c r="BI11" s="2"/>
      <c r="BJ11" s="2"/>
      <c r="BK11" s="2"/>
      <c r="BL11" s="2"/>
      <c r="BM11" s="2"/>
      <c r="BN11" s="2">
        <v>63</v>
      </c>
      <c r="BO11" s="2">
        <v>32</v>
      </c>
      <c r="BP11" s="2">
        <v>38</v>
      </c>
      <c r="BQ11" s="2">
        <v>41</v>
      </c>
      <c r="BR11" s="2">
        <v>44</v>
      </c>
      <c r="BS11" s="2">
        <v>49</v>
      </c>
      <c r="BT11" s="2">
        <v>12</v>
      </c>
      <c r="BU11" s="2">
        <v>42</v>
      </c>
      <c r="BV11" s="2">
        <v>54</v>
      </c>
      <c r="BW11" s="2">
        <v>67</v>
      </c>
      <c r="BX11" s="2">
        <v>97</v>
      </c>
      <c r="BY11" s="2">
        <v>27.4</v>
      </c>
      <c r="BZ11" s="2">
        <v>6.6</v>
      </c>
      <c r="CA11" s="2">
        <v>1.6</v>
      </c>
      <c r="CB11" s="2">
        <v>6.5971776127557904E-6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21a</v>
      </c>
      <c r="J12" s="47">
        <f t="shared" ca="1" si="35"/>
        <v>7</v>
      </c>
      <c r="K12" s="19">
        <f t="shared" ca="1" si="36"/>
        <v>-24</v>
      </c>
      <c r="L12" s="116" t="str">
        <f t="shared" ca="1" si="1"/>
        <v>EW_sand_Ruled_64</v>
      </c>
      <c r="M12" s="105" t="str">
        <f t="shared" ca="1" si="2"/>
        <v>API sand</v>
      </c>
      <c r="N12" s="47">
        <f t="shared" ca="1" si="3"/>
        <v>9.8000000000000007</v>
      </c>
      <c r="O12" s="63">
        <f t="shared" ca="1" si="4"/>
        <v>0</v>
      </c>
      <c r="P12" s="63">
        <f t="shared" ca="1" si="5"/>
        <v>0</v>
      </c>
      <c r="Q12" s="47">
        <f t="shared" ca="1" si="6"/>
        <v>28</v>
      </c>
      <c r="R12" s="47">
        <f t="shared" ca="1" si="7"/>
        <v>23</v>
      </c>
      <c r="S12" s="47">
        <f t="shared" ca="1" si="8"/>
        <v>1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37900</v>
      </c>
      <c r="Y12" s="47">
        <f t="shared" ca="1" si="14"/>
        <v>0</v>
      </c>
      <c r="Z12" s="47">
        <f t="shared" ca="1" si="15"/>
        <v>75.399999999999977</v>
      </c>
      <c r="AA12" s="47">
        <f t="shared" ca="1" si="16"/>
        <v>1</v>
      </c>
      <c r="AB12" s="47">
        <f t="shared" ca="1" si="17"/>
        <v>4040</v>
      </c>
      <c r="AC12" s="63">
        <f t="shared" ca="1" si="18"/>
        <v>142000</v>
      </c>
      <c r="AD12" s="63">
        <f t="shared" ca="1" si="19"/>
        <v>3750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16.800000000000004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64</v>
      </c>
      <c r="AS12" s="33">
        <f t="shared" ca="1" si="34"/>
        <v>0.2</v>
      </c>
      <c r="AW12" s="2">
        <v>4</v>
      </c>
      <c r="AX12" s="2" t="s">
        <v>293</v>
      </c>
      <c r="AY12" s="130">
        <v>25.8</v>
      </c>
      <c r="AZ12" s="2">
        <v>19.600000000000001</v>
      </c>
      <c r="BA12" s="2"/>
      <c r="BB12" s="2">
        <v>22</v>
      </c>
      <c r="BC12" s="2"/>
      <c r="BD12" s="2">
        <v>4.0999999999999996</v>
      </c>
      <c r="BE12" s="2">
        <v>6.2</v>
      </c>
      <c r="BF12" s="2">
        <v>6.7</v>
      </c>
      <c r="BG12" s="2">
        <v>7.1</v>
      </c>
      <c r="BH12" s="2">
        <v>8.6</v>
      </c>
      <c r="BI12" s="2"/>
      <c r="BJ12" s="2"/>
      <c r="BK12" s="2"/>
      <c r="BL12" s="2"/>
      <c r="BM12" s="2"/>
      <c r="BN12" s="2">
        <v>64</v>
      </c>
      <c r="BO12" s="2">
        <v>32</v>
      </c>
      <c r="BP12" s="2">
        <v>37</v>
      </c>
      <c r="BQ12" s="2">
        <v>40</v>
      </c>
      <c r="BR12" s="2">
        <v>43</v>
      </c>
      <c r="BS12" s="2">
        <v>49</v>
      </c>
      <c r="BT12" s="2">
        <v>5</v>
      </c>
      <c r="BU12" s="2">
        <v>44</v>
      </c>
      <c r="BV12" s="2">
        <v>60</v>
      </c>
      <c r="BW12" s="2">
        <v>75</v>
      </c>
      <c r="BX12" s="2">
        <v>114</v>
      </c>
      <c r="BY12" s="2">
        <v>32.4</v>
      </c>
      <c r="BZ12" s="2">
        <v>4.5</v>
      </c>
      <c r="CA12" s="2">
        <v>1.2</v>
      </c>
      <c r="CB12" s="2">
        <v>1.8581418623586101E-6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23d</v>
      </c>
      <c r="J13" s="47">
        <f t="shared" ca="1" si="35"/>
        <v>8</v>
      </c>
      <c r="K13" s="19">
        <f t="shared" ca="1" si="36"/>
        <v>-36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8.8999999999999986</v>
      </c>
      <c r="O13" s="63">
        <f t="shared" ca="1" si="4"/>
        <v>277</v>
      </c>
      <c r="P13" s="63">
        <f t="shared" ca="1" si="5"/>
        <v>2.9772727272727271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2.4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31300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398000</v>
      </c>
      <c r="AD13" s="63">
        <f t="shared" ca="1" si="19"/>
        <v>4840.909090909091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6</v>
      </c>
      <c r="AX13" s="2" t="s">
        <v>293</v>
      </c>
      <c r="AY13" s="130">
        <v>25.8</v>
      </c>
      <c r="AZ13" s="2">
        <v>19.600000000000001</v>
      </c>
      <c r="BA13" s="2"/>
      <c r="BB13" s="2">
        <v>22</v>
      </c>
      <c r="BC13" s="2"/>
      <c r="BD13" s="2">
        <v>7.1</v>
      </c>
      <c r="BE13" s="2">
        <v>9.1</v>
      </c>
      <c r="BF13" s="2">
        <v>9.6</v>
      </c>
      <c r="BG13" s="2">
        <v>10</v>
      </c>
      <c r="BH13" s="2">
        <v>11.6</v>
      </c>
      <c r="BI13" s="2"/>
      <c r="BJ13" s="2"/>
      <c r="BK13" s="2"/>
      <c r="BL13" s="2"/>
      <c r="BM13" s="2"/>
      <c r="BN13" s="2">
        <v>64</v>
      </c>
      <c r="BO13" s="2">
        <v>32</v>
      </c>
      <c r="BP13" s="2">
        <v>37</v>
      </c>
      <c r="BQ13" s="2">
        <v>40</v>
      </c>
      <c r="BR13" s="2">
        <v>43</v>
      </c>
      <c r="BS13" s="2">
        <v>49</v>
      </c>
      <c r="BT13" s="2">
        <v>18</v>
      </c>
      <c r="BU13" s="2">
        <v>56</v>
      </c>
      <c r="BV13" s="2">
        <v>72</v>
      </c>
      <c r="BW13" s="2">
        <v>88</v>
      </c>
      <c r="BX13" s="2">
        <v>126</v>
      </c>
      <c r="BY13" s="2">
        <v>32.4</v>
      </c>
      <c r="BZ13" s="2">
        <v>4.5</v>
      </c>
      <c r="CA13" s="2">
        <v>1.2</v>
      </c>
      <c r="CB13" s="2">
        <v>1.8581418623586101E-6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/>
      </c>
      <c r="J14" s="47" t="str">
        <f t="shared" ca="1" si="35"/>
        <v/>
      </c>
      <c r="K14" s="19" t="str">
        <f t="shared" ca="1" si="36"/>
        <v/>
      </c>
      <c r="L14" s="116" t="str">
        <f t="shared" ca="1" si="1"/>
        <v/>
      </c>
      <c r="M14" s="105" t="str">
        <f t="shared" ca="1" si="2"/>
        <v/>
      </c>
      <c r="N14" s="47" t="str">
        <f t="shared" ca="1" si="3"/>
        <v/>
      </c>
      <c r="O14" s="63" t="str">
        <f t="shared" ca="1" si="4"/>
        <v/>
      </c>
      <c r="P14" s="63" t="str">
        <f t="shared" ca="1" si="5"/>
        <v/>
      </c>
      <c r="Q14" s="47" t="str">
        <f t="shared" ca="1" si="6"/>
        <v/>
      </c>
      <c r="R14" s="47" t="str">
        <f t="shared" ca="1" si="7"/>
        <v/>
      </c>
      <c r="S14" s="47" t="str">
        <f t="shared" ca="1" si="8"/>
        <v/>
      </c>
      <c r="T14" s="47" t="str">
        <f t="shared" ca="1" si="9"/>
        <v/>
      </c>
      <c r="U14" s="75" t="str">
        <f t="shared" ca="1" si="10"/>
        <v/>
      </c>
      <c r="V14" s="75" t="str">
        <f t="shared" ca="1" si="11"/>
        <v/>
      </c>
      <c r="W14" s="47" t="str">
        <f t="shared" ca="1" si="12"/>
        <v/>
      </c>
      <c r="X14" s="47" t="str">
        <f t="shared" ca="1" si="13"/>
        <v/>
      </c>
      <c r="Y14" s="47" t="str">
        <f t="shared" ca="1" si="14"/>
        <v/>
      </c>
      <c r="Z14" s="47" t="str">
        <f t="shared" ca="1" si="15"/>
        <v/>
      </c>
      <c r="AA14" s="47" t="str">
        <f t="shared" ca="1" si="16"/>
        <v/>
      </c>
      <c r="AB14" s="47" t="str">
        <f t="shared" ca="1" si="17"/>
        <v/>
      </c>
      <c r="AC14" s="63" t="str">
        <f t="shared" ca="1" si="18"/>
        <v/>
      </c>
      <c r="AD14" s="63" t="str">
        <f t="shared" ca="1" si="19"/>
        <v/>
      </c>
      <c r="AE14" s="63" t="str">
        <f t="shared" ca="1" si="20"/>
        <v/>
      </c>
      <c r="AF14" s="63" t="str">
        <f t="shared" ca="1" si="21"/>
        <v/>
      </c>
      <c r="AG14" s="63" t="str">
        <f t="shared" ca="1" si="22"/>
        <v/>
      </c>
      <c r="AH14" s="63" t="str">
        <f t="shared" ca="1" si="23"/>
        <v/>
      </c>
      <c r="AI14" s="63" t="str">
        <f t="shared" ca="1" si="24"/>
        <v/>
      </c>
      <c r="AJ14" s="47" t="str">
        <f t="shared" ca="1" si="25"/>
        <v/>
      </c>
      <c r="AK14" s="47" t="str">
        <f t="shared" ca="1" si="26"/>
        <v/>
      </c>
      <c r="AL14" s="47" t="str">
        <f t="shared" ca="1" si="27"/>
        <v/>
      </c>
      <c r="AM14" s="47" t="str">
        <f t="shared" ca="1" si="28"/>
        <v/>
      </c>
      <c r="AN14" s="47" t="str">
        <f t="shared" ca="1" si="29"/>
        <v/>
      </c>
      <c r="AO14" s="47" t="str">
        <f t="shared" ca="1" si="30"/>
        <v/>
      </c>
      <c r="AP14" s="47" t="str">
        <f t="shared" ca="1" si="31"/>
        <v/>
      </c>
      <c r="AQ14" s="47" t="str">
        <f t="shared" ca="1" si="32"/>
        <v/>
      </c>
      <c r="AR14" s="47" t="str">
        <f t="shared" ca="1" si="33"/>
        <v/>
      </c>
      <c r="AS14" s="33" t="str">
        <f t="shared" ca="1" si="34"/>
        <v/>
      </c>
      <c r="AW14" s="2">
        <v>6</v>
      </c>
      <c r="AX14" s="2" t="s">
        <v>299</v>
      </c>
      <c r="AY14" s="130">
        <v>29</v>
      </c>
      <c r="AZ14" s="2">
        <v>19.5</v>
      </c>
      <c r="BA14" s="2">
        <v>13</v>
      </c>
      <c r="BB14" s="2">
        <v>64</v>
      </c>
      <c r="BC14" s="2">
        <v>4</v>
      </c>
      <c r="BD14" s="2">
        <v>3.2</v>
      </c>
      <c r="BE14" s="2">
        <v>4.5999999999999996</v>
      </c>
      <c r="BF14" s="2">
        <v>4.8</v>
      </c>
      <c r="BG14" s="2">
        <v>5</v>
      </c>
      <c r="BH14" s="2">
        <v>6.2</v>
      </c>
      <c r="BI14" s="2">
        <v>67</v>
      </c>
      <c r="BJ14" s="2">
        <v>202</v>
      </c>
      <c r="BK14" s="2">
        <v>258</v>
      </c>
      <c r="BL14" s="2">
        <v>314</v>
      </c>
      <c r="BM14" s="2">
        <v>448</v>
      </c>
      <c r="BN14" s="2"/>
      <c r="BO14" s="2"/>
      <c r="BP14" s="2"/>
      <c r="BQ14" s="2"/>
      <c r="BR14" s="2"/>
      <c r="BS14" s="2"/>
      <c r="BT14" s="2">
        <v>6</v>
      </c>
      <c r="BU14" s="2">
        <v>154</v>
      </c>
      <c r="BV14" s="2">
        <v>248</v>
      </c>
      <c r="BW14" s="2">
        <v>341</v>
      </c>
      <c r="BX14" s="2">
        <v>543</v>
      </c>
      <c r="BY14" s="2">
        <v>46.9</v>
      </c>
      <c r="BZ14" s="2">
        <v>14.2</v>
      </c>
      <c r="CA14" s="2">
        <v>3</v>
      </c>
      <c r="CB14" s="2">
        <v>7.9573295832278697E-8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/>
      </c>
      <c r="J15" s="47" t="str">
        <f t="shared" ca="1" si="35"/>
        <v/>
      </c>
      <c r="K15" s="19" t="str">
        <f t="shared" ca="1" si="36"/>
        <v/>
      </c>
      <c r="L15" s="116" t="str">
        <f t="shared" ca="1" si="1"/>
        <v/>
      </c>
      <c r="M15" s="105" t="str">
        <f t="shared" ca="1" si="2"/>
        <v/>
      </c>
      <c r="N15" s="47" t="str">
        <f t="shared" ca="1" si="3"/>
        <v/>
      </c>
      <c r="O15" s="63" t="str">
        <f t="shared" ca="1" si="4"/>
        <v/>
      </c>
      <c r="P15" s="63" t="str">
        <f t="shared" ca="1" si="5"/>
        <v/>
      </c>
      <c r="Q15" s="47" t="str">
        <f t="shared" ca="1" si="6"/>
        <v/>
      </c>
      <c r="R15" s="47" t="str">
        <f t="shared" ca="1" si="7"/>
        <v/>
      </c>
      <c r="S15" s="47" t="str">
        <f t="shared" ca="1" si="8"/>
        <v/>
      </c>
      <c r="T15" s="47" t="str">
        <f t="shared" ca="1" si="9"/>
        <v/>
      </c>
      <c r="U15" s="75" t="str">
        <f t="shared" ca="1" si="10"/>
        <v/>
      </c>
      <c r="V15" s="75" t="str">
        <f t="shared" ca="1" si="11"/>
        <v/>
      </c>
      <c r="W15" s="47" t="str">
        <f t="shared" ca="1" si="12"/>
        <v/>
      </c>
      <c r="X15" s="47" t="str">
        <f t="shared" ca="1" si="13"/>
        <v/>
      </c>
      <c r="Y15" s="47" t="str">
        <f t="shared" ca="1" si="14"/>
        <v/>
      </c>
      <c r="Z15" s="47" t="str">
        <f t="shared" ca="1" si="15"/>
        <v/>
      </c>
      <c r="AA15" s="47" t="str">
        <f t="shared" ca="1" si="16"/>
        <v/>
      </c>
      <c r="AB15" s="47" t="str">
        <f t="shared" ca="1" si="17"/>
        <v/>
      </c>
      <c r="AC15" s="63" t="str">
        <f t="shared" ca="1" si="18"/>
        <v/>
      </c>
      <c r="AD15" s="63" t="str">
        <f t="shared" ca="1" si="19"/>
        <v/>
      </c>
      <c r="AE15" s="63" t="str">
        <f t="shared" ca="1" si="20"/>
        <v/>
      </c>
      <c r="AF15" s="63" t="str">
        <f t="shared" ca="1" si="21"/>
        <v/>
      </c>
      <c r="AG15" s="63" t="str">
        <f t="shared" ca="1" si="22"/>
        <v/>
      </c>
      <c r="AH15" s="63" t="str">
        <f t="shared" ca="1" si="23"/>
        <v/>
      </c>
      <c r="AI15" s="63" t="str">
        <f t="shared" ca="1" si="24"/>
        <v/>
      </c>
      <c r="AJ15" s="47" t="str">
        <f t="shared" ca="1" si="25"/>
        <v/>
      </c>
      <c r="AK15" s="47" t="str">
        <f t="shared" ca="1" si="26"/>
        <v/>
      </c>
      <c r="AL15" s="47" t="str">
        <f t="shared" ca="1" si="27"/>
        <v/>
      </c>
      <c r="AM15" s="47" t="str">
        <f t="shared" ca="1" si="28"/>
        <v/>
      </c>
      <c r="AN15" s="47" t="str">
        <f t="shared" ca="1" si="29"/>
        <v/>
      </c>
      <c r="AO15" s="47" t="str">
        <f t="shared" ca="1" si="30"/>
        <v/>
      </c>
      <c r="AP15" s="47" t="str">
        <f t="shared" ca="1" si="31"/>
        <v/>
      </c>
      <c r="AQ15" s="47" t="str">
        <f t="shared" ca="1" si="32"/>
        <v/>
      </c>
      <c r="AR15" s="47" t="str">
        <f t="shared" ca="1" si="33"/>
        <v/>
      </c>
      <c r="AS15" s="33" t="str">
        <f t="shared" ca="1" si="34"/>
        <v/>
      </c>
      <c r="AW15" s="2">
        <v>12</v>
      </c>
      <c r="AX15" s="2" t="s">
        <v>299</v>
      </c>
      <c r="AY15" s="130">
        <v>29</v>
      </c>
      <c r="AZ15" s="2">
        <v>19.5</v>
      </c>
      <c r="BA15" s="2">
        <v>13</v>
      </c>
      <c r="BB15" s="2">
        <v>64</v>
      </c>
      <c r="BC15" s="2">
        <v>4</v>
      </c>
      <c r="BD15" s="2">
        <v>6.3</v>
      </c>
      <c r="BE15" s="2">
        <v>7.6</v>
      </c>
      <c r="BF15" s="2">
        <v>7.8</v>
      </c>
      <c r="BG15" s="2">
        <v>8</v>
      </c>
      <c r="BH15" s="2">
        <v>9.3000000000000007</v>
      </c>
      <c r="BI15" s="2">
        <v>231</v>
      </c>
      <c r="BJ15" s="2">
        <v>366</v>
      </c>
      <c r="BK15" s="2">
        <v>421</v>
      </c>
      <c r="BL15" s="2">
        <v>478</v>
      </c>
      <c r="BM15" s="2">
        <v>612</v>
      </c>
      <c r="BN15" s="2"/>
      <c r="BO15" s="2"/>
      <c r="BP15" s="2"/>
      <c r="BQ15" s="2"/>
      <c r="BR15" s="2"/>
      <c r="BS15" s="2"/>
      <c r="BT15" s="2">
        <v>220</v>
      </c>
      <c r="BU15" s="2">
        <v>369</v>
      </c>
      <c r="BV15" s="2">
        <v>462</v>
      </c>
      <c r="BW15" s="2">
        <v>556</v>
      </c>
      <c r="BX15" s="2">
        <v>757</v>
      </c>
      <c r="BY15" s="2">
        <v>46.9</v>
      </c>
      <c r="BZ15" s="2">
        <v>14.2</v>
      </c>
      <c r="CA15" s="2">
        <v>3</v>
      </c>
      <c r="CB15" s="2">
        <v>7.9573295832278697E-8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/>
      </c>
      <c r="J16" s="47" t="str">
        <f t="shared" ca="1" si="35"/>
        <v/>
      </c>
      <c r="K16" s="19" t="str">
        <f t="shared" ca="1" si="36"/>
        <v/>
      </c>
      <c r="L16" s="116" t="str">
        <f t="shared" ca="1" si="1"/>
        <v/>
      </c>
      <c r="M16" s="105" t="str">
        <f t="shared" ca="1" si="2"/>
        <v/>
      </c>
      <c r="N16" s="47" t="str">
        <f t="shared" ca="1" si="3"/>
        <v/>
      </c>
      <c r="O16" s="63" t="str">
        <f t="shared" ca="1" si="4"/>
        <v/>
      </c>
      <c r="P16" s="63" t="str">
        <f t="shared" ca="1" si="5"/>
        <v/>
      </c>
      <c r="Q16" s="47" t="str">
        <f t="shared" ca="1" si="6"/>
        <v/>
      </c>
      <c r="R16" s="47" t="str">
        <f t="shared" ca="1" si="7"/>
        <v/>
      </c>
      <c r="S16" s="47" t="str">
        <f t="shared" ca="1" si="8"/>
        <v/>
      </c>
      <c r="T16" s="47" t="str">
        <f t="shared" ca="1" si="9"/>
        <v/>
      </c>
      <c r="U16" s="75" t="str">
        <f t="shared" ca="1" si="10"/>
        <v/>
      </c>
      <c r="V16" s="75" t="str">
        <f t="shared" ca="1" si="11"/>
        <v/>
      </c>
      <c r="W16" s="47" t="str">
        <f t="shared" ca="1" si="12"/>
        <v/>
      </c>
      <c r="X16" s="47" t="str">
        <f t="shared" ca="1" si="13"/>
        <v/>
      </c>
      <c r="Y16" s="47" t="str">
        <f t="shared" ca="1" si="14"/>
        <v/>
      </c>
      <c r="Z16" s="47" t="str">
        <f t="shared" ca="1" si="15"/>
        <v/>
      </c>
      <c r="AA16" s="47" t="str">
        <f t="shared" ca="1" si="16"/>
        <v/>
      </c>
      <c r="AB16" s="47" t="str">
        <f t="shared" ca="1" si="17"/>
        <v/>
      </c>
      <c r="AC16" s="63" t="str">
        <f t="shared" ca="1" si="18"/>
        <v/>
      </c>
      <c r="AD16" s="63" t="str">
        <f t="shared" ca="1" si="19"/>
        <v/>
      </c>
      <c r="AE16" s="63" t="str">
        <f t="shared" ca="1" si="20"/>
        <v/>
      </c>
      <c r="AF16" s="63" t="str">
        <f t="shared" ca="1" si="21"/>
        <v/>
      </c>
      <c r="AG16" s="63" t="str">
        <f t="shared" ca="1" si="22"/>
        <v/>
      </c>
      <c r="AH16" s="63" t="str">
        <f t="shared" ca="1" si="23"/>
        <v/>
      </c>
      <c r="AI16" s="63" t="str">
        <f t="shared" ca="1" si="24"/>
        <v/>
      </c>
      <c r="AJ16" s="47" t="str">
        <f t="shared" ca="1" si="25"/>
        <v/>
      </c>
      <c r="AK16" s="47" t="str">
        <f t="shared" ca="1" si="26"/>
        <v/>
      </c>
      <c r="AL16" s="47" t="str">
        <f t="shared" ca="1" si="27"/>
        <v/>
      </c>
      <c r="AM16" s="47" t="str">
        <f t="shared" ca="1" si="28"/>
        <v/>
      </c>
      <c r="AN16" s="47" t="str">
        <f t="shared" ca="1" si="29"/>
        <v/>
      </c>
      <c r="AO16" s="47" t="str">
        <f t="shared" ca="1" si="30"/>
        <v/>
      </c>
      <c r="AP16" s="47" t="str">
        <f t="shared" ca="1" si="31"/>
        <v/>
      </c>
      <c r="AQ16" s="47" t="str">
        <f t="shared" ca="1" si="32"/>
        <v/>
      </c>
      <c r="AR16" s="47" t="str">
        <f t="shared" ca="1" si="33"/>
        <v/>
      </c>
      <c r="AS16" s="33" t="str">
        <f t="shared" ca="1" si="34"/>
        <v/>
      </c>
      <c r="AW16" s="2">
        <v>12</v>
      </c>
      <c r="AX16" s="2" t="s">
        <v>271</v>
      </c>
      <c r="AY16" s="130">
        <v>24.7</v>
      </c>
      <c r="AZ16" s="2">
        <v>19.8</v>
      </c>
      <c r="BA16" s="2"/>
      <c r="BB16" s="2">
        <v>11</v>
      </c>
      <c r="BC16" s="2"/>
      <c r="BD16" s="2">
        <v>0.4</v>
      </c>
      <c r="BE16" s="2">
        <v>5.0999999999999996</v>
      </c>
      <c r="BF16" s="2">
        <v>6</v>
      </c>
      <c r="BG16" s="2">
        <v>7.4</v>
      </c>
      <c r="BH16" s="2">
        <v>22.7</v>
      </c>
      <c r="BI16" s="2"/>
      <c r="BJ16" s="2"/>
      <c r="BK16" s="2"/>
      <c r="BL16" s="2"/>
      <c r="BM16" s="2"/>
      <c r="BN16" s="2">
        <v>66</v>
      </c>
      <c r="BO16" s="2">
        <v>26</v>
      </c>
      <c r="BP16" s="2">
        <v>28</v>
      </c>
      <c r="BQ16" s="2">
        <v>31</v>
      </c>
      <c r="BR16" s="2">
        <v>33</v>
      </c>
      <c r="BS16" s="2">
        <v>38</v>
      </c>
      <c r="BT16" s="2">
        <v>12</v>
      </c>
      <c r="BU16" s="2">
        <v>61</v>
      </c>
      <c r="BV16" s="2">
        <v>91</v>
      </c>
      <c r="BW16" s="2">
        <v>121</v>
      </c>
      <c r="BX16" s="2">
        <v>198</v>
      </c>
      <c r="BY16" s="2">
        <v>35.5</v>
      </c>
      <c r="BZ16" s="2">
        <v>4.4000000000000004</v>
      </c>
      <c r="CA16" s="2">
        <v>1.2</v>
      </c>
      <c r="CB16" s="2">
        <v>6.0261057088511997E-10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24</v>
      </c>
      <c r="AX17" s="2" t="s">
        <v>271</v>
      </c>
      <c r="AY17" s="130">
        <v>24.7</v>
      </c>
      <c r="AZ17" s="2">
        <v>19.8</v>
      </c>
      <c r="BA17" s="2"/>
      <c r="BB17" s="2">
        <v>11</v>
      </c>
      <c r="BC17" s="2"/>
      <c r="BD17" s="2">
        <v>22</v>
      </c>
      <c r="BE17" s="2">
        <v>26.7</v>
      </c>
      <c r="BF17" s="2">
        <v>27.6</v>
      </c>
      <c r="BG17" s="2">
        <v>29</v>
      </c>
      <c r="BH17" s="2">
        <v>44.3</v>
      </c>
      <c r="BI17" s="2"/>
      <c r="BJ17" s="2"/>
      <c r="BK17" s="2"/>
      <c r="BL17" s="2"/>
      <c r="BM17" s="2"/>
      <c r="BN17" s="2">
        <v>66</v>
      </c>
      <c r="BO17" s="2">
        <v>26</v>
      </c>
      <c r="BP17" s="2">
        <v>28</v>
      </c>
      <c r="BQ17" s="2">
        <v>31</v>
      </c>
      <c r="BR17" s="2">
        <v>33</v>
      </c>
      <c r="BS17" s="2">
        <v>38</v>
      </c>
      <c r="BT17" s="2">
        <v>85</v>
      </c>
      <c r="BU17" s="2">
        <v>134</v>
      </c>
      <c r="BV17" s="2">
        <v>164</v>
      </c>
      <c r="BW17" s="2">
        <v>194</v>
      </c>
      <c r="BX17" s="2">
        <v>271</v>
      </c>
      <c r="BY17" s="2">
        <v>35.5</v>
      </c>
      <c r="BZ17" s="2">
        <v>4.4000000000000004</v>
      </c>
      <c r="CA17" s="2">
        <v>1.2</v>
      </c>
      <c r="CB17" s="2">
        <v>6.0261057088511997E-10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24</v>
      </c>
      <c r="AX18" s="2" t="s">
        <v>271</v>
      </c>
      <c r="AY18" s="130">
        <v>24.7</v>
      </c>
      <c r="AZ18" s="2">
        <v>19.8</v>
      </c>
      <c r="BA18" s="2"/>
      <c r="BB18" s="2">
        <v>11</v>
      </c>
      <c r="BC18" s="2"/>
      <c r="BD18" s="2">
        <v>5.8</v>
      </c>
      <c r="BE18" s="2">
        <v>14.7</v>
      </c>
      <c r="BF18" s="2">
        <v>15.6</v>
      </c>
      <c r="BG18" s="2">
        <v>16.8</v>
      </c>
      <c r="BH18" s="2">
        <v>29.6</v>
      </c>
      <c r="BI18" s="2"/>
      <c r="BJ18" s="2"/>
      <c r="BK18" s="2"/>
      <c r="BL18" s="2"/>
      <c r="BM18" s="2"/>
      <c r="BN18" s="2">
        <v>64</v>
      </c>
      <c r="BO18" s="2">
        <v>26</v>
      </c>
      <c r="BP18" s="2">
        <v>28</v>
      </c>
      <c r="BQ18" s="2">
        <v>30</v>
      </c>
      <c r="BR18" s="2">
        <v>33</v>
      </c>
      <c r="BS18" s="2">
        <v>37</v>
      </c>
      <c r="BT18" s="2">
        <v>24</v>
      </c>
      <c r="BU18" s="2">
        <v>103</v>
      </c>
      <c r="BV18" s="2">
        <v>142</v>
      </c>
      <c r="BW18" s="2">
        <v>181</v>
      </c>
      <c r="BX18" s="2">
        <v>279</v>
      </c>
      <c r="BY18" s="2">
        <v>37.9</v>
      </c>
      <c r="BZ18" s="2">
        <v>3.1</v>
      </c>
      <c r="CA18" s="2">
        <v>1</v>
      </c>
      <c r="CB18" s="2">
        <v>3.4738537010315302E-10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36</v>
      </c>
      <c r="AX19" s="2" t="s">
        <v>271</v>
      </c>
      <c r="AY19" s="130">
        <v>24.7</v>
      </c>
      <c r="AZ19" s="2">
        <v>19.8</v>
      </c>
      <c r="BA19" s="2"/>
      <c r="BB19" s="2">
        <v>11</v>
      </c>
      <c r="BC19" s="2"/>
      <c r="BD19" s="2">
        <v>16.100000000000001</v>
      </c>
      <c r="BE19" s="2">
        <v>25</v>
      </c>
      <c r="BF19" s="2">
        <v>25.9</v>
      </c>
      <c r="BG19" s="2">
        <v>27.1</v>
      </c>
      <c r="BH19" s="2">
        <v>39.9</v>
      </c>
      <c r="BI19" s="2"/>
      <c r="BJ19" s="2"/>
      <c r="BK19" s="2"/>
      <c r="BL19" s="2"/>
      <c r="BM19" s="2"/>
      <c r="BN19" s="2">
        <v>64</v>
      </c>
      <c r="BO19" s="2">
        <v>26</v>
      </c>
      <c r="BP19" s="2">
        <v>28</v>
      </c>
      <c r="BQ19" s="2">
        <v>30</v>
      </c>
      <c r="BR19" s="2">
        <v>33</v>
      </c>
      <c r="BS19" s="2">
        <v>37</v>
      </c>
      <c r="BT19" s="2">
        <v>68</v>
      </c>
      <c r="BU19" s="2">
        <v>148</v>
      </c>
      <c r="BV19" s="2">
        <v>187</v>
      </c>
      <c r="BW19" s="2">
        <v>225</v>
      </c>
      <c r="BX19" s="2">
        <v>323</v>
      </c>
      <c r="BY19" s="2">
        <v>37.9</v>
      </c>
      <c r="BZ19" s="2">
        <v>3.1</v>
      </c>
      <c r="CA19" s="2">
        <v>1</v>
      </c>
      <c r="CB19" s="2">
        <v>3.4738537010315302E-10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36</v>
      </c>
      <c r="AX20" s="2" t="s">
        <v>273</v>
      </c>
      <c r="AY20" s="130">
        <v>32</v>
      </c>
      <c r="AZ20" s="2">
        <v>18.899999999999999</v>
      </c>
      <c r="BA20" s="2">
        <v>47</v>
      </c>
      <c r="BB20" s="2">
        <v>85</v>
      </c>
      <c r="BC20" s="2">
        <v>3</v>
      </c>
      <c r="BD20" s="2">
        <v>6.4</v>
      </c>
      <c r="BE20" s="2">
        <v>7</v>
      </c>
      <c r="BF20" s="2">
        <v>7.1</v>
      </c>
      <c r="BG20" s="2">
        <v>8.1999999999999993</v>
      </c>
      <c r="BH20" s="2">
        <f>30+7.2</f>
        <v>37.200000000000003</v>
      </c>
      <c r="BI20" s="2">
        <v>186</v>
      </c>
      <c r="BJ20" s="2">
        <v>277</v>
      </c>
      <c r="BK20" s="2">
        <v>320</v>
      </c>
      <c r="BL20" s="2">
        <v>364</v>
      </c>
      <c r="BM20" s="2">
        <v>461</v>
      </c>
      <c r="BN20" s="2"/>
      <c r="BO20" s="2"/>
      <c r="BP20" s="2"/>
      <c r="BQ20" s="2"/>
      <c r="BR20" s="2"/>
      <c r="BS20" s="2"/>
      <c r="BT20" s="2">
        <v>132</v>
      </c>
      <c r="BU20" s="2">
        <v>311</v>
      </c>
      <c r="BV20" s="2">
        <v>398</v>
      </c>
      <c r="BW20" s="2">
        <v>486</v>
      </c>
      <c r="BX20" s="2">
        <v>672</v>
      </c>
      <c r="BY20" s="2">
        <v>31.3</v>
      </c>
      <c r="BZ20" s="2">
        <v>5.6</v>
      </c>
      <c r="CA20" s="2">
        <v>2.4</v>
      </c>
      <c r="CB20" s="2">
        <v>5.5530645401140496E-10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80</v>
      </c>
      <c r="AX21" s="2" t="s">
        <v>273</v>
      </c>
      <c r="AY21" s="130">
        <v>32</v>
      </c>
      <c r="AZ21" s="2">
        <v>18.899999999999999</v>
      </c>
      <c r="BA21" s="2">
        <v>47</v>
      </c>
      <c r="BB21" s="2">
        <v>85</v>
      </c>
      <c r="BC21" s="2">
        <v>3</v>
      </c>
      <c r="BD21" s="2">
        <v>9.3000000000000007</v>
      </c>
      <c r="BE21" s="2">
        <v>9.9</v>
      </c>
      <c r="BF21" s="2">
        <v>10</v>
      </c>
      <c r="BG21" s="2">
        <v>11.1</v>
      </c>
      <c r="BH21" s="2">
        <f>30+10.1</f>
        <v>40.1</v>
      </c>
      <c r="BI21" s="2">
        <v>318</v>
      </c>
      <c r="BJ21" s="2">
        <v>408</v>
      </c>
      <c r="BK21" s="2">
        <v>451</v>
      </c>
      <c r="BL21" s="2">
        <v>496</v>
      </c>
      <c r="BM21" s="2">
        <v>592</v>
      </c>
      <c r="BN21" s="2"/>
      <c r="BO21" s="2"/>
      <c r="BP21" s="2"/>
      <c r="BQ21" s="2"/>
      <c r="BR21" s="2"/>
      <c r="BS21" s="2"/>
      <c r="BT21" s="2">
        <v>345</v>
      </c>
      <c r="BU21" s="2">
        <v>524</v>
      </c>
      <c r="BV21" s="2">
        <v>611</v>
      </c>
      <c r="BW21" s="2">
        <v>699</v>
      </c>
      <c r="BX21" s="2">
        <v>885</v>
      </c>
      <c r="BY21" s="2">
        <v>31.3</v>
      </c>
      <c r="BZ21" s="2">
        <v>5.6</v>
      </c>
      <c r="CA21" s="2">
        <v>2.4</v>
      </c>
      <c r="CB21" s="2">
        <v>5.5530645401140496E-10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/>
      <c r="AX22" s="2"/>
      <c r="AY22" s="130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/>
      <c r="AX23" s="2"/>
      <c r="AY23" s="130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/>
      <c r="AX24" s="2"/>
      <c r="AY24" s="130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/>
      <c r="AX25" s="2"/>
      <c r="AY25" s="130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/>
      <c r="AX26" s="2"/>
      <c r="AY26" s="130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/>
      <c r="AX27" s="2"/>
      <c r="AY27" s="130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232" priority="12">
      <formula>$L32="API sand"</formula>
    </cfRule>
  </conditionalFormatting>
  <conditionalFormatting sqref="R32:S36 AB32:AB35 AJ32:AL36 Z32:Z36 N32:N36">
    <cfRule type="expression" dxfId="2231" priority="11">
      <formula>$M32="API sand"</formula>
    </cfRule>
  </conditionalFormatting>
  <conditionalFormatting sqref="R32:T36 Z32:AB35 AK32:AL36 N32:N36">
    <cfRule type="expression" dxfId="2230" priority="10">
      <formula>$M32="API clay"</formula>
    </cfRule>
  </conditionalFormatting>
  <conditionalFormatting sqref="U32:W36 AM32:AP36 N32:P36">
    <cfRule type="expression" dxfId="2229" priority="7">
      <formula>$L32="Stiff clay w/o free water"</formula>
    </cfRule>
    <cfRule type="expression" dxfId="2228" priority="9">
      <formula>$L32="API clay"</formula>
    </cfRule>
  </conditionalFormatting>
  <conditionalFormatting sqref="U32:Y36 AM32:AP36 N32:P36">
    <cfRule type="expression" dxfId="2227" priority="8">
      <formula>$L32="Kirsch soft clay"</formula>
    </cfRule>
  </conditionalFormatting>
  <conditionalFormatting sqref="U32:Y36 AM32:AP36 N32:P36">
    <cfRule type="expression" dxfId="2226" priority="6">
      <formula>$L32="Kirsch stiff clay"</formula>
    </cfRule>
  </conditionalFormatting>
  <conditionalFormatting sqref="AM32:AP36 Q32:Q36 X32:Y36 N32:N36">
    <cfRule type="expression" dxfId="2225" priority="5">
      <formula>$L32="Kirsch sand"</formula>
    </cfRule>
  </conditionalFormatting>
  <conditionalFormatting sqref="AC32:AD36 AI32:AI36 AM32:AP36 N32:N36">
    <cfRule type="expression" dxfId="2224" priority="4">
      <formula>$L32="Modified Weak rock"</formula>
    </cfRule>
  </conditionalFormatting>
  <conditionalFormatting sqref="AM32:AP36 N32:P36 U32:V36">
    <cfRule type="expression" dxfId="2223" priority="3">
      <formula>$L32="Reese stiff clay"</formula>
    </cfRule>
  </conditionalFormatting>
  <conditionalFormatting sqref="AB36">
    <cfRule type="expression" dxfId="2222" priority="2">
      <formula>$M36="API sand"</formula>
    </cfRule>
  </conditionalFormatting>
  <conditionalFormatting sqref="Z36:AB36">
    <cfRule type="expression" dxfId="2221" priority="1">
      <formula>$M36="API clay"</formula>
    </cfRule>
  </conditionalFormatting>
  <conditionalFormatting sqref="AE37:AH37">
    <cfRule type="expression" dxfId="2220" priority="13">
      <formula>#REF!="Modified Weak rock"</formula>
    </cfRule>
  </conditionalFormatting>
  <dataValidations count="4">
    <dataValidation type="list" showInputMessage="1" showErrorMessage="1" sqref="M32:M36" xr:uid="{DD07DD70-6B2E-44A7-A12F-2B42419486E1}">
      <formula1>"',API sand,API clay"</formula1>
    </dataValidation>
    <dataValidation type="list" showInputMessage="1" showErrorMessage="1" sqref="L32:L255" xr:uid="{879D7FE2-1F08-4532-9522-F8027F75F6E8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12FE74A3-0A74-4BC0-B307-32911809D809}"/>
    <dataValidation type="textLength" showInputMessage="1" showErrorMessage="1" sqref="M27:M31" xr:uid="{C796F60D-6F7A-45FA-B40C-8FD26BFBB673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0D7BF-7B99-4988-BD27-453BCA4C0FAD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Ak_Pisa_WTG54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13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EW_sand_Ruled_84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36</v>
      </c>
      <c r="R6" s="47">
        <f t="shared" ref="R6:R26" ca="1" si="7">IF(I6="","",IF(Q6&lt;&gt;0,Q6-5,NA()))</f>
        <v>31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6200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99.799999999999969</v>
      </c>
      <c r="AA6" s="47">
        <f t="shared" ref="AA6:AA26" ca="1" si="16">IF(I6="","",1)</f>
        <v>1</v>
      </c>
      <c r="AB6" s="47">
        <f t="shared" ref="AB6:AB26" ca="1" si="17">IF(I6="","",VLOOKUP(R6,$AE$39:$AG$59,3))</f>
        <v>10080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30000.000000000004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42.000000000000007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84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0.2</v>
      </c>
      <c r="BF6" s="2">
        <v>0.7</v>
      </c>
      <c r="BG6" s="2">
        <v>1.4</v>
      </c>
      <c r="BH6" s="2">
        <v>3.1</v>
      </c>
      <c r="BI6" s="2"/>
      <c r="BJ6" s="2"/>
      <c r="BK6" s="2"/>
      <c r="BL6" s="2"/>
      <c r="BM6" s="2"/>
      <c r="BN6" s="2">
        <v>84</v>
      </c>
      <c r="BO6" s="2">
        <v>29</v>
      </c>
      <c r="BP6" s="2">
        <v>36</v>
      </c>
      <c r="BQ6" s="2">
        <v>39</v>
      </c>
      <c r="BR6" s="2">
        <v>42</v>
      </c>
      <c r="BS6" s="2">
        <v>48</v>
      </c>
      <c r="BT6" s="2">
        <v>0</v>
      </c>
      <c r="BU6" s="2">
        <v>1</v>
      </c>
      <c r="BV6" s="2">
        <v>5</v>
      </c>
      <c r="BW6" s="2">
        <v>10</v>
      </c>
      <c r="BX6" s="2">
        <v>19</v>
      </c>
      <c r="BY6" s="2">
        <v>6.2</v>
      </c>
      <c r="BZ6" s="2">
        <v>1</v>
      </c>
      <c r="CA6" s="2">
        <v>0.5</v>
      </c>
      <c r="CB6" s="2">
        <v>5.6651059791364998E-5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-0.7</v>
      </c>
      <c r="L7" s="116" t="str">
        <f t="shared" ca="1" si="1"/>
        <v>EW_sand_Ruled_100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42</v>
      </c>
      <c r="R7" s="47">
        <f t="shared" ca="1" si="7"/>
        <v>37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42400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33000</v>
      </c>
      <c r="AD7" s="63">
        <f t="shared" ca="1" si="19"/>
        <v>17500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100</v>
      </c>
      <c r="AS7" s="33">
        <f t="shared" ca="1" si="34"/>
        <v>0.4</v>
      </c>
      <c r="AW7" s="2">
        <v>0.7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1.6</v>
      </c>
      <c r="BE7" s="2">
        <v>3</v>
      </c>
      <c r="BF7" s="2">
        <v>3.6</v>
      </c>
      <c r="BG7" s="2">
        <v>4.3</v>
      </c>
      <c r="BH7" s="2">
        <v>5.9</v>
      </c>
      <c r="BI7" s="2"/>
      <c r="BJ7" s="2"/>
      <c r="BK7" s="2"/>
      <c r="BL7" s="2"/>
      <c r="BM7" s="2"/>
      <c r="BN7" s="2">
        <v>84</v>
      </c>
      <c r="BO7" s="2">
        <v>29</v>
      </c>
      <c r="BP7" s="2">
        <v>36</v>
      </c>
      <c r="BQ7" s="2">
        <v>39</v>
      </c>
      <c r="BR7" s="2">
        <v>42</v>
      </c>
      <c r="BS7" s="2">
        <v>48</v>
      </c>
      <c r="BT7" s="2">
        <v>13</v>
      </c>
      <c r="BU7" s="2">
        <v>22</v>
      </c>
      <c r="BV7" s="2">
        <v>26</v>
      </c>
      <c r="BW7" s="2">
        <v>30</v>
      </c>
      <c r="BX7" s="2">
        <v>40</v>
      </c>
      <c r="BY7" s="2">
        <v>6.2</v>
      </c>
      <c r="BZ7" s="2">
        <v>1</v>
      </c>
      <c r="CA7" s="2">
        <v>0.5</v>
      </c>
      <c r="CB7" s="2">
        <v>5.6651059791364998E-5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-1.5</v>
      </c>
      <c r="L8" s="116" t="str">
        <f t="shared" ca="1" si="1"/>
        <v>EW_sand_Ruled_92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41</v>
      </c>
      <c r="R8" s="47">
        <f t="shared" ca="1" si="7"/>
        <v>36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43500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53000</v>
      </c>
      <c r="AD8" s="63">
        <f t="shared" ca="1" si="19"/>
        <v>666.66666666666663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92</v>
      </c>
      <c r="AS8" s="33">
        <f t="shared" ca="1" si="34"/>
        <v>0.4</v>
      </c>
      <c r="AW8" s="2">
        <v>0.7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7.5</v>
      </c>
      <c r="BE8" s="2">
        <v>7.8</v>
      </c>
      <c r="BF8" s="2">
        <v>7.9</v>
      </c>
      <c r="BG8" s="2">
        <v>8.1</v>
      </c>
      <c r="BH8" s="2">
        <v>8.4</v>
      </c>
      <c r="BI8" s="2"/>
      <c r="BJ8" s="2"/>
      <c r="BK8" s="2"/>
      <c r="BL8" s="2"/>
      <c r="BM8" s="2"/>
      <c r="BN8" s="2">
        <v>100</v>
      </c>
      <c r="BO8" s="2">
        <v>36</v>
      </c>
      <c r="BP8" s="2">
        <v>42</v>
      </c>
      <c r="BQ8" s="2">
        <v>46</v>
      </c>
      <c r="BR8" s="2">
        <v>49</v>
      </c>
      <c r="BS8" s="2">
        <v>54</v>
      </c>
      <c r="BT8" s="2">
        <v>0</v>
      </c>
      <c r="BU8" s="2">
        <v>23</v>
      </c>
      <c r="BV8" s="2">
        <v>33</v>
      </c>
      <c r="BW8" s="2">
        <v>43</v>
      </c>
      <c r="BX8" s="2">
        <v>66</v>
      </c>
      <c r="BY8" s="2">
        <v>42.4</v>
      </c>
      <c r="BZ8" s="2">
        <v>1</v>
      </c>
      <c r="CA8" s="2">
        <v>0.5</v>
      </c>
      <c r="CB8" s="2">
        <v>2.6611139614344701E-4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02a</v>
      </c>
      <c r="J9" s="47">
        <f t="shared" ca="1" si="35"/>
        <v>4</v>
      </c>
      <c r="K9" s="19">
        <f t="shared" ca="1" si="36"/>
        <v>-3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10.199999999999999</v>
      </c>
      <c r="O9" s="63">
        <f t="shared" ca="1" si="4"/>
        <v>24</v>
      </c>
      <c r="P9" s="63">
        <f t="shared" ca="1" si="5"/>
        <v>-2.3529411764705879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4600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20000</v>
      </c>
      <c r="AD9" s="63">
        <f t="shared" ca="1" si="19"/>
        <v>-1176.4705882352939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1.5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13.4</v>
      </c>
      <c r="BE9" s="2">
        <v>13.6</v>
      </c>
      <c r="BF9" s="2">
        <v>13.8</v>
      </c>
      <c r="BG9" s="2">
        <v>13.9</v>
      </c>
      <c r="BH9" s="2">
        <v>14.2</v>
      </c>
      <c r="BI9" s="2"/>
      <c r="BJ9" s="2"/>
      <c r="BK9" s="2"/>
      <c r="BL9" s="2"/>
      <c r="BM9" s="2"/>
      <c r="BN9" s="2">
        <v>100</v>
      </c>
      <c r="BO9" s="2">
        <v>36</v>
      </c>
      <c r="BP9" s="2">
        <v>42</v>
      </c>
      <c r="BQ9" s="2">
        <v>46</v>
      </c>
      <c r="BR9" s="2">
        <v>49</v>
      </c>
      <c r="BS9" s="2">
        <v>54</v>
      </c>
      <c r="BT9" s="2">
        <v>14</v>
      </c>
      <c r="BU9" s="2">
        <v>37</v>
      </c>
      <c r="BV9" s="2">
        <v>47</v>
      </c>
      <c r="BW9" s="2">
        <v>57</v>
      </c>
      <c r="BX9" s="2">
        <v>80</v>
      </c>
      <c r="BY9" s="2">
        <v>42.4</v>
      </c>
      <c r="BZ9" s="2">
        <v>1</v>
      </c>
      <c r="CA9" s="2">
        <v>0.5</v>
      </c>
      <c r="CB9" s="2">
        <v>2.6611139614344701E-4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02c</v>
      </c>
      <c r="J10" s="47">
        <f t="shared" ca="1" si="35"/>
        <v>5</v>
      </c>
      <c r="K10" s="19">
        <f t="shared" ca="1" si="36"/>
        <v>-4.7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8.5</v>
      </c>
      <c r="O10" s="63">
        <f t="shared" ca="1" si="4"/>
        <v>51</v>
      </c>
      <c r="P10" s="63">
        <f t="shared" ca="1" si="5"/>
        <v>37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0.5</v>
      </c>
      <c r="X10" s="47">
        <f t="shared" ca="1" si="13"/>
        <v>15800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52000</v>
      </c>
      <c r="AD10" s="63">
        <f t="shared" ca="1" si="19"/>
        <v>34500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1.5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14.2</v>
      </c>
      <c r="BE10" s="2">
        <v>14.9</v>
      </c>
      <c r="BF10" s="2">
        <v>15.2</v>
      </c>
      <c r="BG10" s="2">
        <v>15.4</v>
      </c>
      <c r="BH10" s="2">
        <v>16</v>
      </c>
      <c r="BI10" s="2"/>
      <c r="BJ10" s="2"/>
      <c r="BK10" s="2"/>
      <c r="BL10" s="2"/>
      <c r="BM10" s="2"/>
      <c r="BN10" s="2">
        <v>92</v>
      </c>
      <c r="BO10" s="2">
        <v>35</v>
      </c>
      <c r="BP10" s="2">
        <v>41</v>
      </c>
      <c r="BQ10" s="2">
        <v>44</v>
      </c>
      <c r="BR10" s="2">
        <v>47</v>
      </c>
      <c r="BS10" s="2">
        <v>54</v>
      </c>
      <c r="BT10" s="2">
        <v>9</v>
      </c>
      <c r="BU10" s="2">
        <v>40</v>
      </c>
      <c r="BV10" s="2">
        <v>53</v>
      </c>
      <c r="BW10" s="2">
        <v>66</v>
      </c>
      <c r="BX10" s="2">
        <v>97</v>
      </c>
      <c r="BY10" s="2">
        <v>43.5</v>
      </c>
      <c r="BZ10" s="2">
        <v>1</v>
      </c>
      <c r="CA10" s="2">
        <v>0.5</v>
      </c>
      <c r="CB10" s="2">
        <v>4.2044656978075701E-5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10a</v>
      </c>
      <c r="J11" s="47">
        <f t="shared" ca="1" si="35"/>
        <v>6</v>
      </c>
      <c r="K11" s="19">
        <f t="shared" ca="1" si="36"/>
        <v>-6.7</v>
      </c>
      <c r="L11" s="116" t="str">
        <f t="shared" ca="1" si="1"/>
        <v>EW_sand_Ruled_41</v>
      </c>
      <c r="M11" s="105" t="str">
        <f t="shared" ca="1" si="2"/>
        <v>API sand</v>
      </c>
      <c r="N11" s="47">
        <f t="shared" ca="1" si="3"/>
        <v>10</v>
      </c>
      <c r="O11" s="63">
        <f t="shared" ca="1" si="4"/>
        <v>0</v>
      </c>
      <c r="P11" s="63">
        <f t="shared" ca="1" si="5"/>
        <v>0</v>
      </c>
      <c r="Q11" s="47">
        <f t="shared" ca="1" si="6"/>
        <v>34</v>
      </c>
      <c r="R11" s="47">
        <f t="shared" ca="1" si="7"/>
        <v>29</v>
      </c>
      <c r="S11" s="47">
        <f t="shared" ca="1" si="8"/>
        <v>0.7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18800</v>
      </c>
      <c r="Y11" s="47">
        <f t="shared" ca="1" si="14"/>
        <v>0</v>
      </c>
      <c r="Z11" s="47">
        <f t="shared" ca="1" si="15"/>
        <v>92.999999999999972</v>
      </c>
      <c r="AA11" s="47">
        <f t="shared" ca="1" si="16"/>
        <v>1</v>
      </c>
      <c r="AB11" s="47">
        <f t="shared" ca="1" si="17"/>
        <v>8640</v>
      </c>
      <c r="AC11" s="63">
        <f t="shared" ca="1" si="18"/>
        <v>69000</v>
      </c>
      <c r="AD11" s="63">
        <f t="shared" ca="1" si="19"/>
        <v>-1111.1111111111111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36.000000000000007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41</v>
      </c>
      <c r="AS11" s="33">
        <f t="shared" ca="1" si="34"/>
        <v>0.4</v>
      </c>
      <c r="AW11" s="2">
        <v>3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7.5</v>
      </c>
      <c r="BE11" s="2">
        <v>8.1999999999999993</v>
      </c>
      <c r="BF11" s="2">
        <v>8.5</v>
      </c>
      <c r="BG11" s="2">
        <v>8.6999999999999993</v>
      </c>
      <c r="BH11" s="2">
        <v>9.3000000000000007</v>
      </c>
      <c r="BI11" s="2"/>
      <c r="BJ11" s="2"/>
      <c r="BK11" s="2"/>
      <c r="BL11" s="2"/>
      <c r="BM11" s="2"/>
      <c r="BN11" s="2">
        <v>92</v>
      </c>
      <c r="BO11" s="2">
        <v>35</v>
      </c>
      <c r="BP11" s="2">
        <v>41</v>
      </c>
      <c r="BQ11" s="2">
        <v>44</v>
      </c>
      <c r="BR11" s="2">
        <v>47</v>
      </c>
      <c r="BS11" s="2">
        <v>54</v>
      </c>
      <c r="BT11" s="2">
        <v>10</v>
      </c>
      <c r="BU11" s="2">
        <v>41</v>
      </c>
      <c r="BV11" s="2">
        <v>54</v>
      </c>
      <c r="BW11" s="2">
        <v>67</v>
      </c>
      <c r="BX11" s="2">
        <v>98</v>
      </c>
      <c r="BY11" s="2">
        <v>43.5</v>
      </c>
      <c r="BZ11" s="2">
        <v>1</v>
      </c>
      <c r="CA11" s="2">
        <v>0.5</v>
      </c>
      <c r="CB11" s="2">
        <v>4.2044656978075701E-5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10b</v>
      </c>
      <c r="J12" s="47">
        <f t="shared" ca="1" si="35"/>
        <v>7</v>
      </c>
      <c r="K12" s="19">
        <f t="shared" ca="1" si="36"/>
        <v>-8.5</v>
      </c>
      <c r="L12" s="116" t="str">
        <f t="shared" ca="1" si="1"/>
        <v>EW_sand_Ruled_69</v>
      </c>
      <c r="M12" s="105" t="str">
        <f t="shared" ca="1" si="2"/>
        <v>API sand</v>
      </c>
      <c r="N12" s="47">
        <f t="shared" ca="1" si="3"/>
        <v>9.8999999999999986</v>
      </c>
      <c r="O12" s="63">
        <f t="shared" ca="1" si="4"/>
        <v>0</v>
      </c>
      <c r="P12" s="63">
        <f t="shared" ca="1" si="5"/>
        <v>0</v>
      </c>
      <c r="Q12" s="47">
        <f t="shared" ca="1" si="6"/>
        <v>39</v>
      </c>
      <c r="R12" s="47">
        <f t="shared" ca="1" si="7"/>
        <v>34</v>
      </c>
      <c r="S12" s="47">
        <f t="shared" ca="1" si="8"/>
        <v>1.1000000000000001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62900</v>
      </c>
      <c r="Y12" s="47">
        <f t="shared" ca="1" si="14"/>
        <v>0</v>
      </c>
      <c r="Z12" s="47">
        <f t="shared" ca="1" si="15"/>
        <v>111.19999999999996</v>
      </c>
      <c r="AA12" s="47">
        <f t="shared" ca="1" si="16"/>
        <v>1</v>
      </c>
      <c r="AB12" s="47">
        <f t="shared" ca="1" si="17"/>
        <v>11520</v>
      </c>
      <c r="AC12" s="63">
        <f t="shared" ca="1" si="18"/>
        <v>94000</v>
      </c>
      <c r="AD12" s="63">
        <f t="shared" ca="1" si="19"/>
        <v>6500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48.000000000000007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69</v>
      </c>
      <c r="AS12" s="33">
        <f t="shared" ca="1" si="34"/>
        <v>0.4</v>
      </c>
      <c r="AW12" s="2">
        <v>3</v>
      </c>
      <c r="AX12" s="2" t="s">
        <v>255</v>
      </c>
      <c r="AY12" s="130">
        <v>23.1</v>
      </c>
      <c r="AZ12" s="2">
        <v>20.2</v>
      </c>
      <c r="BA12" s="2">
        <v>18</v>
      </c>
      <c r="BB12" s="2">
        <v>28</v>
      </c>
      <c r="BC12" s="2">
        <v>5</v>
      </c>
      <c r="BD12" s="2">
        <v>0.4</v>
      </c>
      <c r="BE12" s="2">
        <v>0.5</v>
      </c>
      <c r="BF12" s="2">
        <v>0.6</v>
      </c>
      <c r="BG12" s="2">
        <v>0.7</v>
      </c>
      <c r="BH12" s="2">
        <v>0.8</v>
      </c>
      <c r="BI12" s="2">
        <v>10</v>
      </c>
      <c r="BJ12" s="2">
        <v>24</v>
      </c>
      <c r="BK12" s="2">
        <v>31</v>
      </c>
      <c r="BL12" s="2">
        <v>38</v>
      </c>
      <c r="BM12" s="2">
        <v>51</v>
      </c>
      <c r="BN12" s="2"/>
      <c r="BO12" s="2"/>
      <c r="BP12" s="2"/>
      <c r="BQ12" s="2"/>
      <c r="BR12" s="2"/>
      <c r="BS12" s="2"/>
      <c r="BT12" s="2">
        <v>7</v>
      </c>
      <c r="BU12" s="2">
        <v>13</v>
      </c>
      <c r="BV12" s="2">
        <v>20</v>
      </c>
      <c r="BW12" s="2">
        <v>27</v>
      </c>
      <c r="BX12" s="2">
        <v>41</v>
      </c>
      <c r="BY12" s="2">
        <v>4.5999999999999996</v>
      </c>
      <c r="BZ12" s="2">
        <v>2.7</v>
      </c>
      <c r="CA12" s="2">
        <v>3</v>
      </c>
      <c r="CB12" s="2">
        <v>4.3978454591154098E-11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10b</v>
      </c>
      <c r="J13" s="47">
        <f t="shared" ca="1" si="35"/>
        <v>8</v>
      </c>
      <c r="K13" s="19">
        <f t="shared" ca="1" si="36"/>
        <v>-10.5</v>
      </c>
      <c r="L13" s="116" t="str">
        <f t="shared" ca="1" si="1"/>
        <v>EW_sand_Ruled_68</v>
      </c>
      <c r="M13" s="105" t="str">
        <f t="shared" ca="1" si="2"/>
        <v>API sand</v>
      </c>
      <c r="N13" s="47">
        <f t="shared" ca="1" si="3"/>
        <v>9.8999999999999986</v>
      </c>
      <c r="O13" s="63">
        <f t="shared" ca="1" si="4"/>
        <v>0</v>
      </c>
      <c r="P13" s="63">
        <f t="shared" ca="1" si="5"/>
        <v>0</v>
      </c>
      <c r="Q13" s="47">
        <f t="shared" ca="1" si="6"/>
        <v>39</v>
      </c>
      <c r="R13" s="47">
        <f t="shared" ca="1" si="7"/>
        <v>34</v>
      </c>
      <c r="S13" s="47">
        <f t="shared" ca="1" si="8"/>
        <v>1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63800</v>
      </c>
      <c r="Y13" s="47">
        <f t="shared" ca="1" si="14"/>
        <v>0</v>
      </c>
      <c r="Z13" s="47">
        <f t="shared" ca="1" si="15"/>
        <v>111.19999999999996</v>
      </c>
      <c r="AA13" s="47">
        <f t="shared" ca="1" si="16"/>
        <v>1</v>
      </c>
      <c r="AB13" s="47">
        <f t="shared" ca="1" si="17"/>
        <v>11520</v>
      </c>
      <c r="AC13" s="63">
        <f t="shared" ca="1" si="18"/>
        <v>87000</v>
      </c>
      <c r="AD13" s="63">
        <f t="shared" ca="1" si="19"/>
        <v>32000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48.000000000000007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68</v>
      </c>
      <c r="AS13" s="33">
        <f t="shared" ca="1" si="34"/>
        <v>0.4</v>
      </c>
      <c r="AW13" s="2">
        <v>4.7</v>
      </c>
      <c r="AX13" s="2" t="s">
        <v>255</v>
      </c>
      <c r="AY13" s="130">
        <v>23.1</v>
      </c>
      <c r="AZ13" s="2">
        <v>20.2</v>
      </c>
      <c r="BA13" s="2">
        <v>18</v>
      </c>
      <c r="BB13" s="2">
        <v>28</v>
      </c>
      <c r="BC13" s="2">
        <v>5</v>
      </c>
      <c r="BD13" s="2">
        <v>0.4</v>
      </c>
      <c r="BE13" s="2">
        <v>0.5</v>
      </c>
      <c r="BF13" s="2">
        <v>0.6</v>
      </c>
      <c r="BG13" s="2">
        <v>0.6</v>
      </c>
      <c r="BH13" s="2">
        <v>0.7</v>
      </c>
      <c r="BI13" s="2">
        <v>6</v>
      </c>
      <c r="BJ13" s="2">
        <v>20</v>
      </c>
      <c r="BK13" s="2">
        <v>26</v>
      </c>
      <c r="BL13" s="2">
        <v>33</v>
      </c>
      <c r="BM13" s="2">
        <v>47</v>
      </c>
      <c r="BN13" s="2"/>
      <c r="BO13" s="2"/>
      <c r="BP13" s="2"/>
      <c r="BQ13" s="2"/>
      <c r="BR13" s="2"/>
      <c r="BS13" s="2"/>
      <c r="BT13" s="2">
        <v>4</v>
      </c>
      <c r="BU13" s="2">
        <v>11</v>
      </c>
      <c r="BV13" s="2">
        <v>18</v>
      </c>
      <c r="BW13" s="2">
        <v>25</v>
      </c>
      <c r="BX13" s="2">
        <v>38</v>
      </c>
      <c r="BY13" s="2">
        <v>4.5999999999999996</v>
      </c>
      <c r="BZ13" s="2">
        <v>2.7</v>
      </c>
      <c r="CA13" s="2">
        <v>3</v>
      </c>
      <c r="CB13" s="2">
        <v>4.3978454591154098E-11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10b</v>
      </c>
      <c r="J14" s="47">
        <f t="shared" ca="1" si="35"/>
        <v>9</v>
      </c>
      <c r="K14" s="19">
        <f t="shared" ca="1" si="36"/>
        <v>-12</v>
      </c>
      <c r="L14" s="116" t="str">
        <f t="shared" ca="1" si="1"/>
        <v>EW_sand_Ruled_100</v>
      </c>
      <c r="M14" s="105" t="str">
        <f t="shared" ca="1" si="2"/>
        <v>API sand</v>
      </c>
      <c r="N14" s="47">
        <f t="shared" ca="1" si="3"/>
        <v>9.8999999999999986</v>
      </c>
      <c r="O14" s="63">
        <f t="shared" ca="1" si="4"/>
        <v>0</v>
      </c>
      <c r="P14" s="63">
        <f t="shared" ca="1" si="5"/>
        <v>0</v>
      </c>
      <c r="Q14" s="47">
        <f t="shared" ca="1" si="6"/>
        <v>43</v>
      </c>
      <c r="R14" s="47">
        <f t="shared" ca="1" si="7"/>
        <v>38</v>
      </c>
      <c r="S14" s="47">
        <f t="shared" ca="1" si="8"/>
        <v>1.5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180000</v>
      </c>
      <c r="Y14" s="47">
        <f t="shared" ca="1" si="14"/>
        <v>0</v>
      </c>
      <c r="Z14" s="47">
        <f t="shared" ca="1" si="15"/>
        <v>114.99999999999996</v>
      </c>
      <c r="AA14" s="47">
        <f t="shared" ca="1" si="16"/>
        <v>1</v>
      </c>
      <c r="AB14" s="47">
        <f t="shared" ca="1" si="17"/>
        <v>12000</v>
      </c>
      <c r="AC14" s="63">
        <f t="shared" ca="1" si="18"/>
        <v>171000</v>
      </c>
      <c r="AD14" s="63">
        <f t="shared" ca="1" si="19"/>
        <v>-38666.666666666664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50.000000000000007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100</v>
      </c>
      <c r="AS14" s="33">
        <f t="shared" ca="1" si="34"/>
        <v>0.4</v>
      </c>
      <c r="AW14" s="2">
        <v>4.7</v>
      </c>
      <c r="AX14" s="2" t="s">
        <v>298</v>
      </c>
      <c r="AY14" s="130">
        <v>37.1</v>
      </c>
      <c r="AZ14" s="2">
        <v>18.5</v>
      </c>
      <c r="BA14" s="2">
        <v>30</v>
      </c>
      <c r="BB14" s="2">
        <v>88</v>
      </c>
      <c r="BC14" s="2">
        <v>3</v>
      </c>
      <c r="BD14" s="2">
        <v>1</v>
      </c>
      <c r="BE14" s="2">
        <v>1.3</v>
      </c>
      <c r="BF14" s="2">
        <v>1.4</v>
      </c>
      <c r="BG14" s="2">
        <v>1.6</v>
      </c>
      <c r="BH14" s="2">
        <f>5+2.1</f>
        <v>7.1</v>
      </c>
      <c r="BI14" s="2">
        <v>6</v>
      </c>
      <c r="BJ14" s="2">
        <v>51</v>
      </c>
      <c r="BK14" s="2">
        <v>74</v>
      </c>
      <c r="BL14" s="2">
        <v>99</v>
      </c>
      <c r="BM14" s="2">
        <v>157</v>
      </c>
      <c r="BN14" s="2"/>
      <c r="BO14" s="2"/>
      <c r="BP14" s="2"/>
      <c r="BQ14" s="2"/>
      <c r="BR14" s="2"/>
      <c r="BS14" s="2"/>
      <c r="BT14" s="2">
        <v>4</v>
      </c>
      <c r="BU14" s="2">
        <v>21</v>
      </c>
      <c r="BV14" s="2">
        <v>52</v>
      </c>
      <c r="BW14" s="2">
        <v>83</v>
      </c>
      <c r="BX14" s="2">
        <v>148</v>
      </c>
      <c r="BY14" s="2">
        <v>15.8</v>
      </c>
      <c r="BZ14" s="2">
        <v>7.4</v>
      </c>
      <c r="CA14" s="2">
        <v>3</v>
      </c>
      <c r="CB14" s="2">
        <v>6.3608155499666503E-9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19b</v>
      </c>
      <c r="J15" s="47">
        <f t="shared" ca="1" si="35"/>
        <v>10</v>
      </c>
      <c r="K15" s="19">
        <f t="shared" ca="1" si="36"/>
        <v>-13.5</v>
      </c>
      <c r="L15" s="116" t="str">
        <f t="shared" ca="1" si="1"/>
        <v>EW_sand_Ruled_74</v>
      </c>
      <c r="M15" s="105" t="str">
        <f t="shared" ca="1" si="2"/>
        <v>API sand</v>
      </c>
      <c r="N15" s="47">
        <f t="shared" ca="1" si="3"/>
        <v>8.5</v>
      </c>
      <c r="O15" s="63">
        <f t="shared" ca="1" si="4"/>
        <v>0</v>
      </c>
      <c r="P15" s="63">
        <f t="shared" ca="1" si="5"/>
        <v>0</v>
      </c>
      <c r="Q15" s="47">
        <f t="shared" ca="1" si="6"/>
        <v>28</v>
      </c>
      <c r="R15" s="47">
        <f t="shared" ca="1" si="7"/>
        <v>23</v>
      </c>
      <c r="S15" s="47">
        <f t="shared" ca="1" si="8"/>
        <v>1.3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24100</v>
      </c>
      <c r="Y15" s="47">
        <f t="shared" ca="1" si="14"/>
        <v>0</v>
      </c>
      <c r="Z15" s="47">
        <f t="shared" ca="1" si="15"/>
        <v>75.399999999999977</v>
      </c>
      <c r="AA15" s="47">
        <f t="shared" ca="1" si="16"/>
        <v>1</v>
      </c>
      <c r="AB15" s="47">
        <f t="shared" ca="1" si="17"/>
        <v>4040</v>
      </c>
      <c r="AC15" s="63">
        <f t="shared" ca="1" si="18"/>
        <v>107000</v>
      </c>
      <c r="AD15" s="63">
        <f t="shared" ca="1" si="19"/>
        <v>5454.545454545454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16.800000000000004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74</v>
      </c>
      <c r="AS15" s="33">
        <f t="shared" ca="1" si="34"/>
        <v>0.2</v>
      </c>
      <c r="AW15" s="2">
        <v>6.7</v>
      </c>
      <c r="AX15" s="2" t="s">
        <v>298</v>
      </c>
      <c r="AY15" s="130">
        <v>37.1</v>
      </c>
      <c r="AZ15" s="2">
        <v>18.5</v>
      </c>
      <c r="BA15" s="2">
        <v>30</v>
      </c>
      <c r="BB15" s="2">
        <v>88</v>
      </c>
      <c r="BC15" s="2">
        <v>3</v>
      </c>
      <c r="BD15" s="2">
        <f>-1+2.3</f>
        <v>1.2999999999999998</v>
      </c>
      <c r="BE15" s="2">
        <v>2.7</v>
      </c>
      <c r="BF15" s="2">
        <v>2.8</v>
      </c>
      <c r="BG15" s="2">
        <v>3</v>
      </c>
      <c r="BH15" s="2">
        <f>5+3.5</f>
        <v>8.5</v>
      </c>
      <c r="BI15" s="2">
        <v>80</v>
      </c>
      <c r="BJ15" s="2">
        <v>125</v>
      </c>
      <c r="BK15" s="2">
        <v>148</v>
      </c>
      <c r="BL15" s="2">
        <v>174</v>
      </c>
      <c r="BM15" s="2">
        <v>231</v>
      </c>
      <c r="BN15" s="2"/>
      <c r="BO15" s="2"/>
      <c r="BP15" s="2"/>
      <c r="BQ15" s="2"/>
      <c r="BR15" s="2"/>
      <c r="BS15" s="2"/>
      <c r="BT15" s="2">
        <v>73</v>
      </c>
      <c r="BU15" s="2">
        <v>90</v>
      </c>
      <c r="BV15" s="2">
        <v>121</v>
      </c>
      <c r="BW15" s="2">
        <v>152</v>
      </c>
      <c r="BX15" s="2">
        <v>217</v>
      </c>
      <c r="BY15" s="2">
        <v>15.8</v>
      </c>
      <c r="BZ15" s="2">
        <v>7.4</v>
      </c>
      <c r="CA15" s="2">
        <v>3</v>
      </c>
      <c r="CB15" s="2">
        <v>6.3608155499666503E-9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19b</v>
      </c>
      <c r="J16" s="47">
        <f t="shared" ca="1" si="35"/>
        <v>11</v>
      </c>
      <c r="K16" s="19">
        <f t="shared" ca="1" si="36"/>
        <v>-19</v>
      </c>
      <c r="L16" s="116" t="str">
        <f t="shared" ca="1" si="1"/>
        <v>EW_sand_Ruled_60</v>
      </c>
      <c r="M16" s="105" t="str">
        <f t="shared" ca="1" si="2"/>
        <v>API sand</v>
      </c>
      <c r="N16" s="47">
        <f t="shared" ca="1" si="3"/>
        <v>8.5</v>
      </c>
      <c r="O16" s="63">
        <f t="shared" ca="1" si="4"/>
        <v>0</v>
      </c>
      <c r="P16" s="63">
        <f t="shared" ca="1" si="5"/>
        <v>0</v>
      </c>
      <c r="Q16" s="47">
        <f t="shared" ca="1" si="6"/>
        <v>26</v>
      </c>
      <c r="R16" s="47">
        <f t="shared" ca="1" si="7"/>
        <v>21</v>
      </c>
      <c r="S16" s="47">
        <f t="shared" ca="1" si="8"/>
        <v>0.8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20700</v>
      </c>
      <c r="Y16" s="47">
        <f t="shared" ca="1" si="14"/>
        <v>0</v>
      </c>
      <c r="Z16" s="47">
        <f t="shared" ca="1" si="15"/>
        <v>69.799999999999983</v>
      </c>
      <c r="AA16" s="47">
        <f t="shared" ca="1" si="16"/>
        <v>1</v>
      </c>
      <c r="AB16" s="47">
        <f t="shared" ca="1" si="17"/>
        <v>3280</v>
      </c>
      <c r="AC16" s="63">
        <f t="shared" ca="1" si="18"/>
        <v>111000</v>
      </c>
      <c r="AD16" s="63">
        <f t="shared" ca="1" si="19"/>
        <v>1891.8918918918923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13.600000000000003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60</v>
      </c>
      <c r="AS16" s="33">
        <f t="shared" ca="1" si="34"/>
        <v>0.2</v>
      </c>
      <c r="AW16" s="2">
        <v>6.7</v>
      </c>
      <c r="AX16" s="2" t="s">
        <v>259</v>
      </c>
      <c r="AY16" s="130">
        <v>25.5</v>
      </c>
      <c r="AZ16" s="2">
        <v>20</v>
      </c>
      <c r="BA16" s="2"/>
      <c r="BB16" s="2">
        <v>14</v>
      </c>
      <c r="BC16" s="2"/>
      <c r="BD16" s="2">
        <f>-1+4.3</f>
        <v>3.3</v>
      </c>
      <c r="BE16" s="2">
        <v>5.4</v>
      </c>
      <c r="BF16" s="2">
        <v>5.7</v>
      </c>
      <c r="BG16" s="2">
        <v>6.3</v>
      </c>
      <c r="BH16" s="2">
        <f>5+8.7</f>
        <v>13.7</v>
      </c>
      <c r="BI16" s="2"/>
      <c r="BJ16" s="2"/>
      <c r="BK16" s="2"/>
      <c r="BL16" s="2"/>
      <c r="BM16" s="2"/>
      <c r="BN16" s="2">
        <v>41</v>
      </c>
      <c r="BO16" s="2">
        <v>29</v>
      </c>
      <c r="BP16" s="2">
        <v>34</v>
      </c>
      <c r="BQ16" s="2">
        <v>37</v>
      </c>
      <c r="BR16" s="2">
        <v>40</v>
      </c>
      <c r="BS16" s="2">
        <v>45</v>
      </c>
      <c r="BT16" s="2">
        <v>13</v>
      </c>
      <c r="BU16" s="2">
        <v>53</v>
      </c>
      <c r="BV16" s="2">
        <v>69</v>
      </c>
      <c r="BW16" s="2">
        <v>86</v>
      </c>
      <c r="BX16" s="2">
        <v>126</v>
      </c>
      <c r="BY16" s="2">
        <v>18.8</v>
      </c>
      <c r="BZ16" s="2">
        <v>1.9</v>
      </c>
      <c r="CA16" s="2">
        <v>0.7</v>
      </c>
      <c r="CB16" s="2">
        <v>5.9284473305550002E-8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21a</v>
      </c>
      <c r="J17" s="47">
        <f t="shared" ca="1" si="35"/>
        <v>12</v>
      </c>
      <c r="K17" s="19">
        <f t="shared" ca="1" si="36"/>
        <v>-26.4</v>
      </c>
      <c r="L17" s="116" t="str">
        <f t="shared" ca="1" si="1"/>
        <v>EW_sand_Ruled_46</v>
      </c>
      <c r="M17" s="105" t="str">
        <f t="shared" ca="1" si="2"/>
        <v>API sand</v>
      </c>
      <c r="N17" s="47">
        <f t="shared" ca="1" si="3"/>
        <v>9.8000000000000007</v>
      </c>
      <c r="O17" s="63">
        <f t="shared" ca="1" si="4"/>
        <v>0</v>
      </c>
      <c r="P17" s="63">
        <f t="shared" ca="1" si="5"/>
        <v>0</v>
      </c>
      <c r="Q17" s="47">
        <f t="shared" ca="1" si="6"/>
        <v>26</v>
      </c>
      <c r="R17" s="47">
        <f t="shared" ca="1" si="7"/>
        <v>21</v>
      </c>
      <c r="S17" s="47">
        <f t="shared" ca="1" si="8"/>
        <v>0.7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41500</v>
      </c>
      <c r="Y17" s="47">
        <f t="shared" ca="1" si="14"/>
        <v>0</v>
      </c>
      <c r="Z17" s="47">
        <f t="shared" ca="1" si="15"/>
        <v>69.799999999999983</v>
      </c>
      <c r="AA17" s="47">
        <f t="shared" ca="1" si="16"/>
        <v>1</v>
      </c>
      <c r="AB17" s="47">
        <f t="shared" ca="1" si="17"/>
        <v>3280</v>
      </c>
      <c r="AC17" s="63">
        <f t="shared" ca="1" si="18"/>
        <v>135000</v>
      </c>
      <c r="AD17" s="63">
        <f t="shared" ca="1" si="19"/>
        <v>1344.5378151260504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13.600000000000003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46</v>
      </c>
      <c r="AS17" s="33">
        <f t="shared" ca="1" si="34"/>
        <v>0.2</v>
      </c>
      <c r="AW17" s="2">
        <v>8.5</v>
      </c>
      <c r="AX17" s="2" t="s">
        <v>259</v>
      </c>
      <c r="AY17" s="130">
        <v>25.5</v>
      </c>
      <c r="AZ17" s="2">
        <v>20</v>
      </c>
      <c r="BA17" s="2"/>
      <c r="BB17" s="2">
        <v>14</v>
      </c>
      <c r="BC17" s="2"/>
      <c r="BD17" s="2">
        <v>2.2999999999999998</v>
      </c>
      <c r="BE17" s="2">
        <v>3.4</v>
      </c>
      <c r="BF17" s="2">
        <v>3.7</v>
      </c>
      <c r="BG17" s="2">
        <v>4.3</v>
      </c>
      <c r="BH17" s="2">
        <f>5+6.8</f>
        <v>11.8</v>
      </c>
      <c r="BI17" s="2"/>
      <c r="BJ17" s="2"/>
      <c r="BK17" s="2"/>
      <c r="BL17" s="2"/>
      <c r="BM17" s="2"/>
      <c r="BN17" s="2">
        <v>41</v>
      </c>
      <c r="BO17" s="2">
        <v>29</v>
      </c>
      <c r="BP17" s="2">
        <v>34</v>
      </c>
      <c r="BQ17" s="2">
        <v>37</v>
      </c>
      <c r="BR17" s="2">
        <v>40</v>
      </c>
      <c r="BS17" s="2">
        <v>45</v>
      </c>
      <c r="BT17" s="2">
        <v>11</v>
      </c>
      <c r="BU17" s="2">
        <v>51</v>
      </c>
      <c r="BV17" s="2">
        <v>67</v>
      </c>
      <c r="BW17" s="2">
        <v>84</v>
      </c>
      <c r="BX17" s="2">
        <v>124</v>
      </c>
      <c r="BY17" s="2">
        <v>18.8</v>
      </c>
      <c r="BZ17" s="2">
        <v>1.9</v>
      </c>
      <c r="CA17" s="2">
        <v>0.7</v>
      </c>
      <c r="CB17" s="2">
        <v>5.9284473305550002E-8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23d</v>
      </c>
      <c r="J18" s="47">
        <f t="shared" ca="1" si="35"/>
        <v>13</v>
      </c>
      <c r="K18" s="19">
        <f t="shared" ca="1" si="36"/>
        <v>-38.299999999999997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8.8999999999999986</v>
      </c>
      <c r="O18" s="63">
        <f t="shared" ca="1" si="4"/>
        <v>317</v>
      </c>
      <c r="P18" s="63">
        <f t="shared" ca="1" si="5"/>
        <v>5.9232613908872898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1.9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0.25</v>
      </c>
      <c r="X18" s="47">
        <f t="shared" ca="1" si="13"/>
        <v>39000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455000</v>
      </c>
      <c r="AD18" s="63">
        <f t="shared" ca="1" si="19"/>
        <v>10671.462829736211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8.5</v>
      </c>
      <c r="AX18" s="2" t="s">
        <v>261</v>
      </c>
      <c r="AY18" s="130">
        <v>24</v>
      </c>
      <c r="AZ18" s="2">
        <v>19.899999999999999</v>
      </c>
      <c r="BA18" s="2"/>
      <c r="BB18" s="2">
        <v>6</v>
      </c>
      <c r="BC18" s="2"/>
      <c r="BD18" s="2">
        <v>10.1</v>
      </c>
      <c r="BE18" s="2">
        <v>13</v>
      </c>
      <c r="BF18" s="2">
        <v>13.7</v>
      </c>
      <c r="BG18" s="2">
        <v>15</v>
      </c>
      <c r="BH18" s="2">
        <v>20.7</v>
      </c>
      <c r="BI18" s="2"/>
      <c r="BJ18" s="2"/>
      <c r="BK18" s="2"/>
      <c r="BL18" s="2"/>
      <c r="BM18" s="2"/>
      <c r="BN18" s="2">
        <v>69</v>
      </c>
      <c r="BO18" s="2">
        <v>33</v>
      </c>
      <c r="BP18" s="2">
        <v>39</v>
      </c>
      <c r="BQ18" s="2">
        <v>42</v>
      </c>
      <c r="BR18" s="2">
        <v>45</v>
      </c>
      <c r="BS18" s="2">
        <v>51</v>
      </c>
      <c r="BT18" s="2">
        <v>12</v>
      </c>
      <c r="BU18" s="2">
        <v>70</v>
      </c>
      <c r="BV18" s="2">
        <v>94</v>
      </c>
      <c r="BW18" s="2">
        <v>117</v>
      </c>
      <c r="BX18" s="2">
        <v>176</v>
      </c>
      <c r="BY18" s="2">
        <v>62.9</v>
      </c>
      <c r="BZ18" s="2">
        <v>3.6</v>
      </c>
      <c r="CA18" s="2">
        <v>1.1000000000000001</v>
      </c>
      <c r="CB18" s="2">
        <v>4.9030755691549904E-6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10.5</v>
      </c>
      <c r="AX19" s="2" t="s">
        <v>261</v>
      </c>
      <c r="AY19" s="130">
        <v>24</v>
      </c>
      <c r="AZ19" s="2">
        <v>19.899999999999999</v>
      </c>
      <c r="BA19" s="2"/>
      <c r="BB19" s="2">
        <v>6</v>
      </c>
      <c r="BC19" s="2"/>
      <c r="BD19" s="2">
        <v>14.2</v>
      </c>
      <c r="BE19" s="2">
        <v>17.100000000000001</v>
      </c>
      <c r="BF19" s="2">
        <v>17.8</v>
      </c>
      <c r="BG19" s="2">
        <v>19</v>
      </c>
      <c r="BH19" s="2">
        <v>24.7</v>
      </c>
      <c r="BI19" s="2"/>
      <c r="BJ19" s="2"/>
      <c r="BK19" s="2"/>
      <c r="BL19" s="2"/>
      <c r="BM19" s="2"/>
      <c r="BN19" s="2">
        <v>69</v>
      </c>
      <c r="BO19" s="2">
        <v>33</v>
      </c>
      <c r="BP19" s="2">
        <v>39</v>
      </c>
      <c r="BQ19" s="2">
        <v>42</v>
      </c>
      <c r="BR19" s="2">
        <v>45</v>
      </c>
      <c r="BS19" s="2">
        <v>51</v>
      </c>
      <c r="BT19" s="2">
        <v>25</v>
      </c>
      <c r="BU19" s="2">
        <v>83</v>
      </c>
      <c r="BV19" s="2">
        <v>107</v>
      </c>
      <c r="BW19" s="2">
        <v>130</v>
      </c>
      <c r="BX19" s="2">
        <v>189</v>
      </c>
      <c r="BY19" s="2">
        <v>62.9</v>
      </c>
      <c r="BZ19" s="2">
        <v>3.6</v>
      </c>
      <c r="CA19" s="2">
        <v>1.1000000000000001</v>
      </c>
      <c r="CB19" s="2">
        <v>4.9030755691549904E-6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10.5</v>
      </c>
      <c r="AX20" s="2" t="s">
        <v>261</v>
      </c>
      <c r="AY20" s="130">
        <v>24</v>
      </c>
      <c r="AZ20" s="2">
        <v>19.899999999999999</v>
      </c>
      <c r="BA20" s="2"/>
      <c r="BB20" s="2">
        <v>6</v>
      </c>
      <c r="BC20" s="2"/>
      <c r="BD20" s="2">
        <v>0.3</v>
      </c>
      <c r="BE20" s="2">
        <v>3.5</v>
      </c>
      <c r="BF20" s="2">
        <v>5.5</v>
      </c>
      <c r="BG20" s="2">
        <v>7.2</v>
      </c>
      <c r="BH20" s="2">
        <v>13.4</v>
      </c>
      <c r="BI20" s="2"/>
      <c r="BJ20" s="2"/>
      <c r="BK20" s="2"/>
      <c r="BL20" s="2"/>
      <c r="BM20" s="2"/>
      <c r="BN20" s="2">
        <v>68</v>
      </c>
      <c r="BO20" s="2">
        <v>32</v>
      </c>
      <c r="BP20" s="2">
        <v>39</v>
      </c>
      <c r="BQ20" s="2">
        <v>42</v>
      </c>
      <c r="BR20" s="2">
        <v>45</v>
      </c>
      <c r="BS20" s="2">
        <v>52</v>
      </c>
      <c r="BT20" s="2">
        <v>10</v>
      </c>
      <c r="BU20" s="2">
        <v>61</v>
      </c>
      <c r="BV20" s="2">
        <v>87</v>
      </c>
      <c r="BW20" s="2">
        <v>113</v>
      </c>
      <c r="BX20" s="2">
        <v>178</v>
      </c>
      <c r="BY20" s="2">
        <v>63.8</v>
      </c>
      <c r="BZ20" s="2">
        <v>3.1</v>
      </c>
      <c r="CA20" s="2">
        <v>1</v>
      </c>
      <c r="CB20" s="2">
        <v>2.7481659587373602E-6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12</v>
      </c>
      <c r="AX21" s="2" t="s">
        <v>261</v>
      </c>
      <c r="AY21" s="130">
        <v>24</v>
      </c>
      <c r="AZ21" s="2">
        <v>19.899999999999999</v>
      </c>
      <c r="BA21" s="2"/>
      <c r="BB21" s="2">
        <v>6</v>
      </c>
      <c r="BC21" s="2"/>
      <c r="BD21" s="2">
        <v>30.4</v>
      </c>
      <c r="BE21" s="2">
        <v>33.6</v>
      </c>
      <c r="BF21" s="2">
        <v>35.5</v>
      </c>
      <c r="BG21" s="2">
        <v>37.200000000000003</v>
      </c>
      <c r="BH21" s="2">
        <v>43.5</v>
      </c>
      <c r="BI21" s="2"/>
      <c r="BJ21" s="2"/>
      <c r="BK21" s="2"/>
      <c r="BL21" s="2"/>
      <c r="BM21" s="2"/>
      <c r="BN21" s="2">
        <v>68</v>
      </c>
      <c r="BO21" s="2">
        <v>32</v>
      </c>
      <c r="BP21" s="2">
        <v>39</v>
      </c>
      <c r="BQ21" s="2">
        <v>42</v>
      </c>
      <c r="BR21" s="2">
        <v>45</v>
      </c>
      <c r="BS21" s="2">
        <v>52</v>
      </c>
      <c r="BT21" s="2">
        <v>58</v>
      </c>
      <c r="BU21" s="2">
        <v>109</v>
      </c>
      <c r="BV21" s="2">
        <v>135</v>
      </c>
      <c r="BW21" s="2">
        <v>161</v>
      </c>
      <c r="BX21" s="2">
        <v>226</v>
      </c>
      <c r="BY21" s="2">
        <v>63.8</v>
      </c>
      <c r="BZ21" s="2">
        <v>3.1</v>
      </c>
      <c r="CA21" s="2">
        <v>1</v>
      </c>
      <c r="CB21" s="2">
        <v>2.7481659587373602E-6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12</v>
      </c>
      <c r="AX22" s="2" t="s">
        <v>261</v>
      </c>
      <c r="AY22" s="130">
        <v>24</v>
      </c>
      <c r="AZ22" s="2">
        <v>19.899999999999999</v>
      </c>
      <c r="BA22" s="2"/>
      <c r="BB22" s="2">
        <v>6</v>
      </c>
      <c r="BC22" s="2"/>
      <c r="BD22" s="2">
        <v>66.8</v>
      </c>
      <c r="BE22" s="2">
        <v>74.400000000000006</v>
      </c>
      <c r="BF22" s="2">
        <v>79.099999999999994</v>
      </c>
      <c r="BG22" s="2">
        <v>82.4</v>
      </c>
      <c r="BH22" s="2">
        <v>94.5</v>
      </c>
      <c r="BI22" s="2"/>
      <c r="BJ22" s="2"/>
      <c r="BK22" s="2"/>
      <c r="BL22" s="2"/>
      <c r="BM22" s="2"/>
      <c r="BN22" s="2">
        <v>100</v>
      </c>
      <c r="BO22" s="2">
        <v>34</v>
      </c>
      <c r="BP22" s="2">
        <v>43</v>
      </c>
      <c r="BQ22" s="2">
        <v>46</v>
      </c>
      <c r="BR22" s="2">
        <v>50</v>
      </c>
      <c r="BS22" s="2">
        <v>54</v>
      </c>
      <c r="BT22" s="2">
        <v>70</v>
      </c>
      <c r="BU22" s="2">
        <v>137</v>
      </c>
      <c r="BV22" s="2">
        <v>171</v>
      </c>
      <c r="BW22" s="2">
        <v>204</v>
      </c>
      <c r="BX22" s="2">
        <v>287</v>
      </c>
      <c r="BY22" s="2">
        <v>180</v>
      </c>
      <c r="BZ22" s="2">
        <v>6</v>
      </c>
      <c r="CA22" s="2">
        <v>1.5</v>
      </c>
      <c r="CB22" s="2">
        <v>4.2608280594656901E-5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13.5</v>
      </c>
      <c r="AX23" s="2" t="s">
        <v>261</v>
      </c>
      <c r="AY23" s="130">
        <v>24</v>
      </c>
      <c r="AZ23" s="2">
        <v>19.899999999999999</v>
      </c>
      <c r="BA23" s="2"/>
      <c r="BB23" s="2">
        <v>6</v>
      </c>
      <c r="BC23" s="2"/>
      <c r="BD23" s="2">
        <v>0.5</v>
      </c>
      <c r="BE23" s="2">
        <v>8</v>
      </c>
      <c r="BF23" s="2">
        <v>12.7</v>
      </c>
      <c r="BG23" s="2">
        <v>16</v>
      </c>
      <c r="BH23" s="2">
        <v>28.1</v>
      </c>
      <c r="BI23" s="2"/>
      <c r="BJ23" s="2"/>
      <c r="BK23" s="2"/>
      <c r="BL23" s="2"/>
      <c r="BM23" s="2"/>
      <c r="BN23" s="2">
        <v>100</v>
      </c>
      <c r="BO23" s="2">
        <v>34</v>
      </c>
      <c r="BP23" s="2">
        <v>43</v>
      </c>
      <c r="BQ23" s="2">
        <v>46</v>
      </c>
      <c r="BR23" s="2">
        <v>50</v>
      </c>
      <c r="BS23" s="2">
        <v>54</v>
      </c>
      <c r="BT23" s="2">
        <v>13</v>
      </c>
      <c r="BU23" s="2">
        <v>80</v>
      </c>
      <c r="BV23" s="2">
        <v>113</v>
      </c>
      <c r="BW23" s="2">
        <v>147</v>
      </c>
      <c r="BX23" s="2">
        <v>230</v>
      </c>
      <c r="BY23" s="2">
        <v>180</v>
      </c>
      <c r="BZ23" s="2">
        <v>6</v>
      </c>
      <c r="CA23" s="2">
        <v>1.5</v>
      </c>
      <c r="CB23" s="2">
        <v>4.2608280594656901E-5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13.5</v>
      </c>
      <c r="AX24" s="2" t="s">
        <v>291</v>
      </c>
      <c r="AY24" s="130">
        <v>35.4</v>
      </c>
      <c r="AZ24" s="2">
        <v>18.5</v>
      </c>
      <c r="BA24" s="2"/>
      <c r="BB24" s="2">
        <v>54</v>
      </c>
      <c r="BC24" s="2"/>
      <c r="BD24" s="2">
        <v>7.8</v>
      </c>
      <c r="BE24" s="2">
        <v>11</v>
      </c>
      <c r="BF24" s="2">
        <v>11.4</v>
      </c>
      <c r="BG24" s="2">
        <v>11.8</v>
      </c>
      <c r="BH24" s="2">
        <v>14.7</v>
      </c>
      <c r="BI24" s="2"/>
      <c r="BJ24" s="2"/>
      <c r="BK24" s="2"/>
      <c r="BL24" s="2"/>
      <c r="BM24" s="2"/>
      <c r="BN24" s="2">
        <v>74</v>
      </c>
      <c r="BO24" s="2">
        <v>26</v>
      </c>
      <c r="BP24" s="2">
        <v>28</v>
      </c>
      <c r="BQ24" s="2">
        <v>30</v>
      </c>
      <c r="BR24" s="2">
        <v>33</v>
      </c>
      <c r="BS24" s="2">
        <v>37</v>
      </c>
      <c r="BT24" s="2">
        <v>13</v>
      </c>
      <c r="BU24" s="2">
        <v>78</v>
      </c>
      <c r="BV24" s="2">
        <v>107</v>
      </c>
      <c r="BW24" s="2">
        <v>136</v>
      </c>
      <c r="BX24" s="2">
        <v>206</v>
      </c>
      <c r="BY24" s="2">
        <v>24.1</v>
      </c>
      <c r="BZ24" s="2">
        <v>4.8</v>
      </c>
      <c r="CA24" s="2">
        <v>1.3</v>
      </c>
      <c r="CB24" s="2">
        <v>4.1934848521339202E-7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19</v>
      </c>
      <c r="AX25" s="2" t="s">
        <v>291</v>
      </c>
      <c r="AY25" s="130">
        <v>35.4</v>
      </c>
      <c r="AZ25" s="2">
        <v>18.5</v>
      </c>
      <c r="BA25" s="2"/>
      <c r="BB25" s="2">
        <v>54</v>
      </c>
      <c r="BC25" s="2"/>
      <c r="BD25" s="2">
        <v>17.2</v>
      </c>
      <c r="BE25" s="2">
        <v>20.399999999999999</v>
      </c>
      <c r="BF25" s="2">
        <v>20.8</v>
      </c>
      <c r="BG25" s="2">
        <v>21.2</v>
      </c>
      <c r="BH25" s="2">
        <v>24.1</v>
      </c>
      <c r="BI25" s="2"/>
      <c r="BJ25" s="2"/>
      <c r="BK25" s="2"/>
      <c r="BL25" s="2"/>
      <c r="BM25" s="2"/>
      <c r="BN25" s="2">
        <v>74</v>
      </c>
      <c r="BO25" s="2">
        <v>26</v>
      </c>
      <c r="BP25" s="2">
        <v>28</v>
      </c>
      <c r="BQ25" s="2">
        <v>30</v>
      </c>
      <c r="BR25" s="2">
        <v>33</v>
      </c>
      <c r="BS25" s="2">
        <v>37</v>
      </c>
      <c r="BT25" s="2">
        <v>43</v>
      </c>
      <c r="BU25" s="2">
        <v>108</v>
      </c>
      <c r="BV25" s="2">
        <v>137</v>
      </c>
      <c r="BW25" s="2">
        <v>166</v>
      </c>
      <c r="BX25" s="2">
        <v>237</v>
      </c>
      <c r="BY25" s="2">
        <v>24.1</v>
      </c>
      <c r="BZ25" s="2">
        <v>4.8</v>
      </c>
      <c r="CA25" s="2">
        <v>1.3</v>
      </c>
      <c r="CB25" s="2">
        <v>4.1934848521339202E-7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19</v>
      </c>
      <c r="AX26" s="2" t="s">
        <v>291</v>
      </c>
      <c r="AY26" s="130">
        <v>35.4</v>
      </c>
      <c r="AZ26" s="2">
        <v>18.5</v>
      </c>
      <c r="BA26" s="2"/>
      <c r="BB26" s="2">
        <v>54</v>
      </c>
      <c r="BC26" s="2"/>
      <c r="BD26" s="2">
        <v>0.7</v>
      </c>
      <c r="BE26" s="2">
        <v>6.8</v>
      </c>
      <c r="BF26" s="2">
        <v>7.6</v>
      </c>
      <c r="BG26" s="2">
        <v>9</v>
      </c>
      <c r="BH26" s="2">
        <v>22.6</v>
      </c>
      <c r="BI26" s="2"/>
      <c r="BJ26" s="2"/>
      <c r="BK26" s="2"/>
      <c r="BL26" s="2"/>
      <c r="BM26" s="2"/>
      <c r="BN26" s="2">
        <v>60</v>
      </c>
      <c r="BO26" s="2">
        <v>26</v>
      </c>
      <c r="BP26" s="2">
        <v>26</v>
      </c>
      <c r="BQ26" s="2">
        <v>28</v>
      </c>
      <c r="BR26" s="2">
        <v>30</v>
      </c>
      <c r="BS26" s="2">
        <v>35</v>
      </c>
      <c r="BT26" s="2">
        <v>19</v>
      </c>
      <c r="BU26" s="2">
        <v>83</v>
      </c>
      <c r="BV26" s="2">
        <v>111</v>
      </c>
      <c r="BW26" s="2">
        <v>139</v>
      </c>
      <c r="BX26" s="2">
        <v>215</v>
      </c>
      <c r="BY26" s="2">
        <v>20.7</v>
      </c>
      <c r="BZ26" s="2">
        <v>2.1</v>
      </c>
      <c r="CA26" s="2">
        <v>0.8</v>
      </c>
      <c r="CB26" s="2">
        <v>2.28608111731476E-10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26.4</v>
      </c>
      <c r="AX27" s="2" t="s">
        <v>291</v>
      </c>
      <c r="AY27" s="130">
        <v>35.4</v>
      </c>
      <c r="AZ27" s="2">
        <v>18.5</v>
      </c>
      <c r="BA27" s="2"/>
      <c r="BB27" s="2">
        <v>54</v>
      </c>
      <c r="BC27" s="2"/>
      <c r="BD27" s="2">
        <v>5.0999999999999996</v>
      </c>
      <c r="BE27" s="2">
        <v>11.1</v>
      </c>
      <c r="BF27" s="2">
        <v>12</v>
      </c>
      <c r="BG27" s="2">
        <v>13.4</v>
      </c>
      <c r="BH27" s="2">
        <v>27</v>
      </c>
      <c r="BI27" s="2"/>
      <c r="BJ27" s="2"/>
      <c r="BK27" s="2"/>
      <c r="BL27" s="2"/>
      <c r="BM27" s="2"/>
      <c r="BN27" s="2">
        <v>60</v>
      </c>
      <c r="BO27" s="2">
        <v>26</v>
      </c>
      <c r="BP27" s="2">
        <v>26</v>
      </c>
      <c r="BQ27" s="2">
        <v>28</v>
      </c>
      <c r="BR27" s="2">
        <v>30</v>
      </c>
      <c r="BS27" s="2">
        <v>35</v>
      </c>
      <c r="BT27" s="2">
        <v>33</v>
      </c>
      <c r="BU27" s="2">
        <v>97</v>
      </c>
      <c r="BV27" s="2">
        <v>125</v>
      </c>
      <c r="BW27" s="2">
        <v>153</v>
      </c>
      <c r="BX27" s="2">
        <v>229</v>
      </c>
      <c r="BY27" s="2">
        <v>20.7</v>
      </c>
      <c r="BZ27" s="2">
        <v>2.1</v>
      </c>
      <c r="CA27" s="2">
        <v>0.8</v>
      </c>
      <c r="CB27" s="2">
        <v>2.28608111731476E-10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26.4</v>
      </c>
      <c r="AX28" s="2" t="s">
        <v>271</v>
      </c>
      <c r="AY28" s="130">
        <v>24.7</v>
      </c>
      <c r="AZ28" s="2">
        <v>19.8</v>
      </c>
      <c r="BA28" s="2"/>
      <c r="BB28" s="2">
        <v>11</v>
      </c>
      <c r="BC28" s="2"/>
      <c r="BD28" s="2">
        <v>2.6</v>
      </c>
      <c r="BE28" s="2">
        <v>7.6</v>
      </c>
      <c r="BF28" s="2">
        <v>11.8</v>
      </c>
      <c r="BG28" s="2">
        <v>25.5</v>
      </c>
      <c r="BH28" s="2">
        <v>67.8</v>
      </c>
      <c r="BI28" s="2"/>
      <c r="BJ28" s="2"/>
      <c r="BK28" s="2"/>
      <c r="BL28" s="2"/>
      <c r="BM28" s="2"/>
      <c r="BN28" s="2">
        <v>46</v>
      </c>
      <c r="BO28" s="2">
        <v>26</v>
      </c>
      <c r="BP28" s="2">
        <v>26</v>
      </c>
      <c r="BQ28" s="2">
        <v>28</v>
      </c>
      <c r="BR28" s="2">
        <v>31</v>
      </c>
      <c r="BS28" s="2">
        <v>35</v>
      </c>
      <c r="BT28" s="2">
        <v>26</v>
      </c>
      <c r="BU28" s="2">
        <v>102</v>
      </c>
      <c r="BV28" s="2">
        <v>135</v>
      </c>
      <c r="BW28" s="2">
        <v>169</v>
      </c>
      <c r="BX28" s="2">
        <v>252</v>
      </c>
      <c r="BY28" s="2">
        <v>41.5</v>
      </c>
      <c r="BZ28" s="2">
        <v>1.8</v>
      </c>
      <c r="CA28" s="2">
        <v>0.7</v>
      </c>
      <c r="CB28" s="2">
        <v>1.0364342444139799E-12</v>
      </c>
      <c r="CC28" s="2"/>
    </row>
    <row r="29" spans="1:81" x14ac:dyDescent="0.25">
      <c r="A29" s="66"/>
      <c r="B29" s="66"/>
      <c r="C29" s="67"/>
      <c r="D29" s="35"/>
      <c r="AW29" s="2">
        <v>38.299999999999997</v>
      </c>
      <c r="AX29" s="2" t="s">
        <v>271</v>
      </c>
      <c r="AY29" s="130">
        <v>24.7</v>
      </c>
      <c r="AZ29" s="2">
        <v>19.8</v>
      </c>
      <c r="BA29" s="2"/>
      <c r="BB29" s="2">
        <v>11</v>
      </c>
      <c r="BC29" s="2"/>
      <c r="BD29" s="2">
        <v>1.4</v>
      </c>
      <c r="BE29" s="2">
        <v>6.3</v>
      </c>
      <c r="BF29" s="2">
        <v>10.6</v>
      </c>
      <c r="BG29" s="2">
        <v>24.3</v>
      </c>
      <c r="BH29" s="2">
        <v>66.599999999999994</v>
      </c>
      <c r="BI29" s="2"/>
      <c r="BJ29" s="2"/>
      <c r="BK29" s="2"/>
      <c r="BL29" s="2"/>
      <c r="BM29" s="2"/>
      <c r="BN29" s="2">
        <v>46</v>
      </c>
      <c r="BO29" s="2">
        <v>26</v>
      </c>
      <c r="BP29" s="2">
        <v>26</v>
      </c>
      <c r="BQ29" s="2">
        <v>28</v>
      </c>
      <c r="BR29" s="2">
        <v>31</v>
      </c>
      <c r="BS29" s="2">
        <v>35</v>
      </c>
      <c r="BT29" s="2">
        <v>41</v>
      </c>
      <c r="BU29" s="2">
        <v>117</v>
      </c>
      <c r="BV29" s="2">
        <v>151</v>
      </c>
      <c r="BW29" s="2">
        <v>184</v>
      </c>
      <c r="BX29" s="2">
        <v>267</v>
      </c>
      <c r="BY29" s="2">
        <v>41.5</v>
      </c>
      <c r="BZ29" s="2">
        <v>1.8</v>
      </c>
      <c r="CA29" s="2">
        <v>0.7</v>
      </c>
      <c r="CB29" s="2">
        <v>1.0364342444139799E-12</v>
      </c>
      <c r="CC29" s="2"/>
    </row>
    <row r="30" spans="1:81" x14ac:dyDescent="0.25">
      <c r="A30" s="66"/>
      <c r="B30" s="66"/>
      <c r="C30" s="67"/>
      <c r="D30" s="35"/>
      <c r="AW30" s="2">
        <v>38.299999999999997</v>
      </c>
      <c r="AX30" s="2" t="s">
        <v>273</v>
      </c>
      <c r="AY30" s="130">
        <v>32</v>
      </c>
      <c r="AZ30" s="2">
        <v>18.899999999999999</v>
      </c>
      <c r="BA30" s="2">
        <v>47</v>
      </c>
      <c r="BB30" s="2">
        <v>85</v>
      </c>
      <c r="BC30" s="2">
        <v>3</v>
      </c>
      <c r="BD30" s="2">
        <v>1.4</v>
      </c>
      <c r="BE30" s="2">
        <v>6</v>
      </c>
      <c r="BF30" s="2">
        <v>8</v>
      </c>
      <c r="BG30" s="2">
        <v>21.2</v>
      </c>
      <c r="BH30" s="2">
        <v>62.1</v>
      </c>
      <c r="BI30" s="2">
        <v>231</v>
      </c>
      <c r="BJ30" s="2">
        <v>317</v>
      </c>
      <c r="BK30" s="2">
        <v>360</v>
      </c>
      <c r="BL30" s="2">
        <v>404</v>
      </c>
      <c r="BM30" s="2">
        <v>490</v>
      </c>
      <c r="BN30" s="2"/>
      <c r="BO30" s="2"/>
      <c r="BP30" s="2"/>
      <c r="BQ30" s="2"/>
      <c r="BR30" s="2"/>
      <c r="BS30" s="2"/>
      <c r="BT30" s="2">
        <v>196</v>
      </c>
      <c r="BU30" s="2">
        <v>368</v>
      </c>
      <c r="BV30" s="2">
        <v>455</v>
      </c>
      <c r="BW30" s="2">
        <v>542</v>
      </c>
      <c r="BX30" s="2">
        <v>715</v>
      </c>
      <c r="BY30" s="2">
        <v>39</v>
      </c>
      <c r="BZ30" s="2">
        <v>5.4</v>
      </c>
      <c r="CA30" s="2">
        <v>1.9</v>
      </c>
      <c r="CB30" s="2">
        <v>4.20225192705095E-12</v>
      </c>
      <c r="CC30" s="2">
        <v>1.8</v>
      </c>
    </row>
    <row r="31" spans="1:81" x14ac:dyDescent="0.25">
      <c r="A31" s="66"/>
      <c r="B31" s="66"/>
      <c r="C31" s="67"/>
      <c r="D31" s="35"/>
      <c r="AW31" s="2">
        <v>80</v>
      </c>
      <c r="AX31" s="2" t="s">
        <v>273</v>
      </c>
      <c r="AY31" s="130">
        <v>32</v>
      </c>
      <c r="AZ31" s="2">
        <v>18.899999999999999</v>
      </c>
      <c r="BA31" s="2">
        <v>47</v>
      </c>
      <c r="BB31" s="2">
        <v>85</v>
      </c>
      <c r="BC31" s="2">
        <v>3</v>
      </c>
      <c r="BD31" s="2">
        <v>7.1</v>
      </c>
      <c r="BE31" s="2">
        <v>12</v>
      </c>
      <c r="BF31" s="2">
        <v>13.7</v>
      </c>
      <c r="BG31" s="2">
        <v>26.9</v>
      </c>
      <c r="BH31" s="2">
        <v>67.8</v>
      </c>
      <c r="BI31" s="2">
        <v>478</v>
      </c>
      <c r="BJ31" s="2">
        <v>564</v>
      </c>
      <c r="BK31" s="2">
        <v>607</v>
      </c>
      <c r="BL31" s="2">
        <v>651</v>
      </c>
      <c r="BM31" s="2">
        <v>737</v>
      </c>
      <c r="BN31" s="2"/>
      <c r="BO31" s="2"/>
      <c r="BP31" s="2"/>
      <c r="BQ31" s="2"/>
      <c r="BR31" s="2"/>
      <c r="BS31" s="2"/>
      <c r="BT31" s="2">
        <v>641</v>
      </c>
      <c r="BU31" s="2">
        <v>813</v>
      </c>
      <c r="BV31" s="2">
        <v>900</v>
      </c>
      <c r="BW31" s="2">
        <v>987</v>
      </c>
      <c r="BX31" s="2">
        <v>1160</v>
      </c>
      <c r="BY31" s="2">
        <v>39</v>
      </c>
      <c r="BZ31" s="2">
        <v>5.4</v>
      </c>
      <c r="CA31" s="2">
        <v>1.9</v>
      </c>
      <c r="CB31" s="2">
        <v>4.20225192705095E-12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219" priority="12">
      <formula>$L32="API sand"</formula>
    </cfRule>
  </conditionalFormatting>
  <conditionalFormatting sqref="R32:S36 AB32:AB35 AJ32:AL36 Z32:Z36 N32:N36">
    <cfRule type="expression" dxfId="2218" priority="11">
      <formula>$M32="API sand"</formula>
    </cfRule>
  </conditionalFormatting>
  <conditionalFormatting sqref="R32:T36 Z32:AB35 AK32:AL36 N32:N36">
    <cfRule type="expression" dxfId="2217" priority="10">
      <formula>$M32="API clay"</formula>
    </cfRule>
  </conditionalFormatting>
  <conditionalFormatting sqref="U32:W36 AM32:AP36 N32:P36">
    <cfRule type="expression" dxfId="2216" priority="7">
      <formula>$L32="Stiff clay w/o free water"</formula>
    </cfRule>
    <cfRule type="expression" dxfId="2215" priority="9">
      <formula>$L32="API clay"</formula>
    </cfRule>
  </conditionalFormatting>
  <conditionalFormatting sqref="U32:Y36 AM32:AP36 N32:P36">
    <cfRule type="expression" dxfId="2214" priority="8">
      <formula>$L32="Kirsch soft clay"</formula>
    </cfRule>
  </conditionalFormatting>
  <conditionalFormatting sqref="U32:Y36 AM32:AP36 N32:P36">
    <cfRule type="expression" dxfId="2213" priority="6">
      <formula>$L32="Kirsch stiff clay"</formula>
    </cfRule>
  </conditionalFormatting>
  <conditionalFormatting sqref="AM32:AP36 Q32:Q36 X32:Y36 N32:N36">
    <cfRule type="expression" dxfId="2212" priority="5">
      <formula>$L32="Kirsch sand"</formula>
    </cfRule>
  </conditionalFormatting>
  <conditionalFormatting sqref="AC32:AD36 AI32:AI36 AM32:AP36 N32:N36">
    <cfRule type="expression" dxfId="2211" priority="4">
      <formula>$L32="Modified Weak rock"</formula>
    </cfRule>
  </conditionalFormatting>
  <conditionalFormatting sqref="AM32:AP36 N32:P36 U32:V36">
    <cfRule type="expression" dxfId="2210" priority="3">
      <formula>$L32="Reese stiff clay"</formula>
    </cfRule>
  </conditionalFormatting>
  <conditionalFormatting sqref="AB36">
    <cfRule type="expression" dxfId="2209" priority="2">
      <formula>$M36="API sand"</formula>
    </cfRule>
  </conditionalFormatting>
  <conditionalFormatting sqref="Z36:AB36">
    <cfRule type="expression" dxfId="2208" priority="1">
      <formula>$M36="API clay"</formula>
    </cfRule>
  </conditionalFormatting>
  <conditionalFormatting sqref="AE37:AH37">
    <cfRule type="expression" dxfId="2207" priority="13">
      <formula>#REF!="Modified Weak rock"</formula>
    </cfRule>
  </conditionalFormatting>
  <dataValidations count="4">
    <dataValidation type="textLength" showInputMessage="1" showErrorMessage="1" sqref="M27:M31" xr:uid="{6F7567F4-91B1-4ACD-9BF0-80BEE9EDDD6C}">
      <formula1>0</formula1>
      <formula2>100</formula2>
    </dataValidation>
    <dataValidation showInputMessage="1" showErrorMessage="1" sqref="L6:M26" xr:uid="{63C5B67F-736E-47B0-A290-44ADFB2E8594}"/>
    <dataValidation type="list" showInputMessage="1" showErrorMessage="1" sqref="L32:L255" xr:uid="{C13AF96E-CFD1-4EC4-A22B-B69608EF7E86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A20843AA-CED8-4093-B04C-3084D9A4730D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238B6-D9E6-4A06-A836-4DC6EF9FC703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Ak_Pisa_WTG55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10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EW_sand_Ruled_64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34</v>
      </c>
      <c r="R6" s="47">
        <f t="shared" ref="R6:R26" ca="1" si="7">IF(I6="","",IF(Q6&lt;&gt;0,Q6-5,NA()))</f>
        <v>29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4900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92.999999999999972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8640</v>
      </c>
      <c r="AC6" s="63">
        <f t="shared" ref="AC6:AC26" ca="1" si="18">IF(I6="","",IF(OFFSET($BV$6,(ROW()-6)*2,0)=0,0,OFFSET($BV$6,(ROW()-6)*2,0)*1000))</f>
        <v>8000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16000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36.000000000000007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64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0.3</v>
      </c>
      <c r="BF6" s="2">
        <v>0.6</v>
      </c>
      <c r="BG6" s="2">
        <v>0.8</v>
      </c>
      <c r="BH6" s="2">
        <v>1.4</v>
      </c>
      <c r="BI6" s="2"/>
      <c r="BJ6" s="2"/>
      <c r="BK6" s="2"/>
      <c r="BL6" s="2"/>
      <c r="BM6" s="2"/>
      <c r="BN6" s="2">
        <v>64</v>
      </c>
      <c r="BO6" s="2">
        <v>28</v>
      </c>
      <c r="BP6" s="2">
        <v>34</v>
      </c>
      <c r="BQ6" s="2">
        <v>37</v>
      </c>
      <c r="BR6" s="2">
        <v>39</v>
      </c>
      <c r="BS6" s="2">
        <v>45</v>
      </c>
      <c r="BT6" s="2">
        <v>0</v>
      </c>
      <c r="BU6" s="2">
        <v>4</v>
      </c>
      <c r="BV6" s="2">
        <v>8</v>
      </c>
      <c r="BW6" s="2">
        <v>13</v>
      </c>
      <c r="BX6" s="2">
        <v>24</v>
      </c>
      <c r="BY6" s="2">
        <v>4.9000000000000004</v>
      </c>
      <c r="BZ6" s="2">
        <v>1</v>
      </c>
      <c r="CA6" s="2">
        <v>0.5</v>
      </c>
      <c r="CB6" s="2">
        <v>1.3056071461566199E-6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02a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-1</v>
      </c>
      <c r="L7" s="116" t="str">
        <f t="shared" ca="1" si="1"/>
        <v>Cowden Clay</v>
      </c>
      <c r="M7" s="105" t="str">
        <f t="shared" ca="1" si="2"/>
        <v>API clay</v>
      </c>
      <c r="N7" s="47">
        <f t="shared" ca="1" si="3"/>
        <v>10.199999999999999</v>
      </c>
      <c r="O7" s="63">
        <f t="shared" ca="1" si="4"/>
        <v>60</v>
      </c>
      <c r="P7" s="63">
        <f t="shared" ca="1" si="5"/>
        <v>50.909090909090907</v>
      </c>
      <c r="Q7" s="47">
        <f t="shared" ca="1" si="6"/>
        <v>0</v>
      </c>
      <c r="R7" s="47" t="e">
        <f t="shared" ca="1" si="7"/>
        <v>#N/A</v>
      </c>
      <c r="S7" s="47">
        <f t="shared" ca="1" si="8"/>
        <v>3</v>
      </c>
      <c r="T7" s="47">
        <f t="shared" ca="1" si="9"/>
        <v>0</v>
      </c>
      <c r="U7" s="75">
        <f t="shared" ca="1" si="10"/>
        <v>1.7999999999999999E-2</v>
      </c>
      <c r="V7" s="75">
        <f t="shared" ca="1" si="11"/>
        <v>0</v>
      </c>
      <c r="W7" s="47">
        <f t="shared" ca="1" si="12"/>
        <v>0.5</v>
      </c>
      <c r="X7" s="47">
        <f t="shared" ca="1" si="13"/>
        <v>17300</v>
      </c>
      <c r="Y7" s="47">
        <f t="shared" ca="1" si="14"/>
        <v>0</v>
      </c>
      <c r="Z7" s="47" t="e">
        <f t="shared" ca="1" si="15"/>
        <v>#N/A</v>
      </c>
      <c r="AA7" s="47">
        <f t="shared" ca="1" si="16"/>
        <v>1</v>
      </c>
      <c r="AB7" s="47" t="e">
        <f t="shared" ca="1" si="17"/>
        <v>#N/A</v>
      </c>
      <c r="AC7" s="63">
        <f t="shared" ca="1" si="18"/>
        <v>63000</v>
      </c>
      <c r="AD7" s="63">
        <f t="shared" ca="1" si="19"/>
        <v>50909.090909090904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 t="e">
        <f t="shared" ca="1" si="25"/>
        <v>#N/A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0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0.9</v>
      </c>
      <c r="BE7" s="2">
        <v>1.4</v>
      </c>
      <c r="BF7" s="2">
        <v>1.6</v>
      </c>
      <c r="BG7" s="2">
        <v>1.9</v>
      </c>
      <c r="BH7" s="2">
        <v>2.5</v>
      </c>
      <c r="BI7" s="2"/>
      <c r="BJ7" s="2"/>
      <c r="BK7" s="2"/>
      <c r="BL7" s="2"/>
      <c r="BM7" s="2"/>
      <c r="BN7" s="2">
        <v>64</v>
      </c>
      <c r="BO7" s="2">
        <v>28</v>
      </c>
      <c r="BP7" s="2">
        <v>34</v>
      </c>
      <c r="BQ7" s="2">
        <v>37</v>
      </c>
      <c r="BR7" s="2">
        <v>39</v>
      </c>
      <c r="BS7" s="2">
        <v>45</v>
      </c>
      <c r="BT7" s="2">
        <v>9</v>
      </c>
      <c r="BU7" s="2">
        <v>19</v>
      </c>
      <c r="BV7" s="2">
        <v>24</v>
      </c>
      <c r="BW7" s="2">
        <v>29</v>
      </c>
      <c r="BX7" s="2">
        <v>39</v>
      </c>
      <c r="BY7" s="2">
        <v>4.9000000000000004</v>
      </c>
      <c r="BZ7" s="2">
        <v>1</v>
      </c>
      <c r="CA7" s="2">
        <v>0.5</v>
      </c>
      <c r="CB7" s="2">
        <v>1.3056071461566199E-6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09a</v>
      </c>
      <c r="J8" s="47">
        <f t="shared" ca="1" si="35"/>
        <v>3</v>
      </c>
      <c r="K8" s="19">
        <f t="shared" ca="1" si="36"/>
        <v>-2.1</v>
      </c>
      <c r="L8" s="116" t="str">
        <f t="shared" ca="1" si="1"/>
        <v>EW_sand_Ruled_70</v>
      </c>
      <c r="M8" s="105" t="str">
        <f t="shared" ca="1" si="2"/>
        <v>API sand</v>
      </c>
      <c r="N8" s="47">
        <f t="shared" ca="1" si="3"/>
        <v>9.3999999999999986</v>
      </c>
      <c r="O8" s="63">
        <f t="shared" ca="1" si="4"/>
        <v>0</v>
      </c>
      <c r="P8" s="63">
        <f t="shared" ca="1" si="5"/>
        <v>0</v>
      </c>
      <c r="Q8" s="47">
        <f t="shared" ca="1" si="6"/>
        <v>40</v>
      </c>
      <c r="R8" s="47">
        <f t="shared" ca="1" si="7"/>
        <v>35</v>
      </c>
      <c r="S8" s="47">
        <f t="shared" ca="1" si="8"/>
        <v>1.6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52900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60000</v>
      </c>
      <c r="AD8" s="63">
        <f t="shared" ca="1" si="19"/>
        <v>4693.8775510204077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70</v>
      </c>
      <c r="AS8" s="33">
        <f t="shared" ca="1" si="34"/>
        <v>0.4</v>
      </c>
      <c r="AW8" s="2">
        <v>1</v>
      </c>
      <c r="AX8" s="2" t="s">
        <v>255</v>
      </c>
      <c r="AY8" s="130">
        <v>23.1</v>
      </c>
      <c r="AZ8" s="2">
        <v>20.2</v>
      </c>
      <c r="BA8" s="2">
        <v>18</v>
      </c>
      <c r="BB8" s="2">
        <v>28</v>
      </c>
      <c r="BC8" s="2">
        <v>5</v>
      </c>
      <c r="BD8" s="2">
        <v>0.9</v>
      </c>
      <c r="BE8" s="2">
        <v>1.4</v>
      </c>
      <c r="BF8" s="2">
        <v>1.6</v>
      </c>
      <c r="BG8" s="2">
        <v>1.8</v>
      </c>
      <c r="BH8" s="2">
        <f>15+2.2</f>
        <v>17.2</v>
      </c>
      <c r="BI8" s="2">
        <v>4</v>
      </c>
      <c r="BJ8" s="2">
        <v>60</v>
      </c>
      <c r="BK8" s="2">
        <v>85</v>
      </c>
      <c r="BL8" s="2">
        <v>111</v>
      </c>
      <c r="BM8" s="2">
        <v>167</v>
      </c>
      <c r="BN8" s="2"/>
      <c r="BO8" s="2"/>
      <c r="BP8" s="2"/>
      <c r="BQ8" s="2"/>
      <c r="BR8" s="2"/>
      <c r="BS8" s="2"/>
      <c r="BT8" s="2">
        <v>1</v>
      </c>
      <c r="BU8" s="2">
        <v>31</v>
      </c>
      <c r="BV8" s="2">
        <v>63</v>
      </c>
      <c r="BW8" s="2">
        <v>96</v>
      </c>
      <c r="BX8" s="2">
        <v>164</v>
      </c>
      <c r="BY8" s="2">
        <v>17.3</v>
      </c>
      <c r="BZ8" s="2">
        <v>27.2</v>
      </c>
      <c r="CA8" s="2">
        <v>3</v>
      </c>
      <c r="CB8" s="2">
        <v>5.6035233797619305E-7</v>
      </c>
      <c r="CC8" s="2">
        <v>1.8</v>
      </c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10b</v>
      </c>
      <c r="J9" s="47">
        <f t="shared" ca="1" si="35"/>
        <v>4</v>
      </c>
      <c r="K9" s="19">
        <f t="shared" ca="1" si="36"/>
        <v>-7</v>
      </c>
      <c r="L9" s="116" t="str">
        <f t="shared" ca="1" si="1"/>
        <v>EW_sand_Ruled_78</v>
      </c>
      <c r="M9" s="105" t="str">
        <f t="shared" ca="1" si="2"/>
        <v>API sand</v>
      </c>
      <c r="N9" s="47">
        <f t="shared" ca="1" si="3"/>
        <v>9.8999999999999986</v>
      </c>
      <c r="O9" s="63">
        <f t="shared" ca="1" si="4"/>
        <v>0</v>
      </c>
      <c r="P9" s="63">
        <f t="shared" ca="1" si="5"/>
        <v>0</v>
      </c>
      <c r="Q9" s="47">
        <f t="shared" ca="1" si="6"/>
        <v>40</v>
      </c>
      <c r="R9" s="47">
        <f t="shared" ca="1" si="7"/>
        <v>35</v>
      </c>
      <c r="S9" s="47">
        <f t="shared" ca="1" si="8"/>
        <v>1.1000000000000001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82000</v>
      </c>
      <c r="Y9" s="47">
        <f t="shared" ca="1" si="14"/>
        <v>0</v>
      </c>
      <c r="Z9" s="47">
        <f t="shared" ca="1" si="15"/>
        <v>114.99999999999996</v>
      </c>
      <c r="AA9" s="47">
        <f t="shared" ca="1" si="16"/>
        <v>1</v>
      </c>
      <c r="AB9" s="47">
        <f t="shared" ca="1" si="17"/>
        <v>12000</v>
      </c>
      <c r="AC9" s="63">
        <f t="shared" ca="1" si="18"/>
        <v>91000</v>
      </c>
      <c r="AD9" s="63">
        <f t="shared" ca="1" si="19"/>
        <v>5308.641975308642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50.000000000000007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78</v>
      </c>
      <c r="AS9" s="33">
        <f t="shared" ca="1" si="34"/>
        <v>0.4</v>
      </c>
      <c r="AW9" s="2">
        <v>2.1</v>
      </c>
      <c r="AX9" s="2" t="s">
        <v>255</v>
      </c>
      <c r="AY9" s="130">
        <v>23.1</v>
      </c>
      <c r="AZ9" s="2">
        <v>20.2</v>
      </c>
      <c r="BA9" s="2">
        <v>18</v>
      </c>
      <c r="BB9" s="2">
        <v>28</v>
      </c>
      <c r="BC9" s="2">
        <v>5</v>
      </c>
      <c r="BD9" s="2">
        <v>2</v>
      </c>
      <c r="BE9" s="2">
        <v>2.4</v>
      </c>
      <c r="BF9" s="2">
        <v>2.6</v>
      </c>
      <c r="BG9" s="2">
        <v>2.8</v>
      </c>
      <c r="BH9" s="2">
        <f>15+3.2</f>
        <v>18.2</v>
      </c>
      <c r="BI9" s="2">
        <v>60</v>
      </c>
      <c r="BJ9" s="2">
        <v>116</v>
      </c>
      <c r="BK9" s="2">
        <v>141</v>
      </c>
      <c r="BL9" s="2">
        <v>167</v>
      </c>
      <c r="BM9" s="2">
        <v>223</v>
      </c>
      <c r="BN9" s="2"/>
      <c r="BO9" s="2"/>
      <c r="BP9" s="2"/>
      <c r="BQ9" s="2"/>
      <c r="BR9" s="2"/>
      <c r="BS9" s="2"/>
      <c r="BT9" s="2">
        <v>56</v>
      </c>
      <c r="BU9" s="2">
        <v>86</v>
      </c>
      <c r="BV9" s="2">
        <v>119</v>
      </c>
      <c r="BW9" s="2">
        <v>152</v>
      </c>
      <c r="BX9" s="2">
        <v>220</v>
      </c>
      <c r="BY9" s="2">
        <v>17.3</v>
      </c>
      <c r="BZ9" s="2">
        <v>27.2</v>
      </c>
      <c r="CA9" s="2">
        <v>3</v>
      </c>
      <c r="CB9" s="2">
        <v>5.6035233797619305E-7</v>
      </c>
      <c r="CC9" s="2">
        <v>1.8</v>
      </c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17a</v>
      </c>
      <c r="J10" s="47">
        <f t="shared" ca="1" si="35"/>
        <v>5</v>
      </c>
      <c r="K10" s="19">
        <f t="shared" ca="1" si="36"/>
        <v>-15.1</v>
      </c>
      <c r="L10" s="116" t="str">
        <f t="shared" ca="1" si="1"/>
        <v>EW_sand_Ruled_87</v>
      </c>
      <c r="M10" s="105" t="str">
        <f t="shared" ca="1" si="2"/>
        <v>API sand</v>
      </c>
      <c r="N10" s="47">
        <f t="shared" ca="1" si="3"/>
        <v>8.6999999999999993</v>
      </c>
      <c r="O10" s="63">
        <f t="shared" ca="1" si="4"/>
        <v>0</v>
      </c>
      <c r="P10" s="63">
        <f t="shared" ca="1" si="5"/>
        <v>0</v>
      </c>
      <c r="Q10" s="47">
        <f t="shared" ca="1" si="6"/>
        <v>30</v>
      </c>
      <c r="R10" s="47">
        <f t="shared" ca="1" si="7"/>
        <v>25</v>
      </c>
      <c r="S10" s="47">
        <f t="shared" ca="1" si="8"/>
        <v>2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75000</v>
      </c>
      <c r="Y10" s="47">
        <f t="shared" ca="1" si="14"/>
        <v>0</v>
      </c>
      <c r="Z10" s="47">
        <f t="shared" ca="1" si="15"/>
        <v>80.999999999999972</v>
      </c>
      <c r="AA10" s="47">
        <f t="shared" ca="1" si="16"/>
        <v>1</v>
      </c>
      <c r="AB10" s="47">
        <f t="shared" ca="1" si="17"/>
        <v>4800</v>
      </c>
      <c r="AC10" s="63">
        <f t="shared" ca="1" si="18"/>
        <v>123000</v>
      </c>
      <c r="AD10" s="63">
        <f t="shared" ca="1" si="19"/>
        <v>27931.034482758616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20.000000000000007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87</v>
      </c>
      <c r="AS10" s="33">
        <f t="shared" ca="1" si="34"/>
        <v>0.2</v>
      </c>
      <c r="AW10" s="2">
        <v>2.1</v>
      </c>
      <c r="AX10" s="2" t="s">
        <v>295</v>
      </c>
      <c r="AY10" s="130">
        <v>25.8</v>
      </c>
      <c r="AZ10" s="2">
        <v>19.399999999999999</v>
      </c>
      <c r="BA10" s="2"/>
      <c r="BB10" s="2">
        <v>2</v>
      </c>
      <c r="BC10" s="2"/>
      <c r="BD10" s="2">
        <v>10</v>
      </c>
      <c r="BE10" s="2">
        <v>14.2</v>
      </c>
      <c r="BF10" s="2">
        <v>14.8</v>
      </c>
      <c r="BG10" s="2">
        <v>15.2</v>
      </c>
      <c r="BH10" s="2">
        <v>18.8</v>
      </c>
      <c r="BI10" s="2"/>
      <c r="BJ10" s="2"/>
      <c r="BK10" s="2"/>
      <c r="BL10" s="2"/>
      <c r="BM10" s="2"/>
      <c r="BN10" s="2">
        <v>70</v>
      </c>
      <c r="BO10" s="2">
        <v>34</v>
      </c>
      <c r="BP10" s="2">
        <v>40</v>
      </c>
      <c r="BQ10" s="2">
        <v>43</v>
      </c>
      <c r="BR10" s="2">
        <v>46</v>
      </c>
      <c r="BS10" s="2">
        <v>52</v>
      </c>
      <c r="BT10" s="2">
        <v>2</v>
      </c>
      <c r="BU10" s="2">
        <v>43</v>
      </c>
      <c r="BV10" s="2">
        <v>60</v>
      </c>
      <c r="BW10" s="2">
        <v>77</v>
      </c>
      <c r="BX10" s="2">
        <v>119</v>
      </c>
      <c r="BY10" s="2">
        <v>52.9</v>
      </c>
      <c r="BZ10" s="2">
        <v>7.2</v>
      </c>
      <c r="CA10" s="2">
        <v>1.6</v>
      </c>
      <c r="CB10" s="2">
        <v>2.2487070989938002E-5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17a</v>
      </c>
      <c r="J11" s="47">
        <f t="shared" ca="1" si="35"/>
        <v>6</v>
      </c>
      <c r="K11" s="19">
        <f t="shared" ca="1" si="36"/>
        <v>-18</v>
      </c>
      <c r="L11" s="116" t="str">
        <f t="shared" ca="1" si="1"/>
        <v>EW_sand_Ruled_50</v>
      </c>
      <c r="M11" s="105" t="str">
        <f t="shared" ca="1" si="2"/>
        <v>API sand</v>
      </c>
      <c r="N11" s="47">
        <f t="shared" ca="1" si="3"/>
        <v>8.6999999999999993</v>
      </c>
      <c r="O11" s="63">
        <f t="shared" ca="1" si="4"/>
        <v>0</v>
      </c>
      <c r="P11" s="63">
        <f t="shared" ca="1" si="5"/>
        <v>0</v>
      </c>
      <c r="Q11" s="47">
        <f t="shared" ca="1" si="6"/>
        <v>27</v>
      </c>
      <c r="R11" s="47">
        <f t="shared" ca="1" si="7"/>
        <v>22</v>
      </c>
      <c r="S11" s="47">
        <f t="shared" ca="1" si="8"/>
        <v>1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20000</v>
      </c>
      <c r="Y11" s="47">
        <f t="shared" ca="1" si="14"/>
        <v>0</v>
      </c>
      <c r="Z11" s="47">
        <f t="shared" ca="1" si="15"/>
        <v>72.59999999999998</v>
      </c>
      <c r="AA11" s="47">
        <f t="shared" ca="1" si="16"/>
        <v>1</v>
      </c>
      <c r="AB11" s="47">
        <f t="shared" ca="1" si="17"/>
        <v>3660</v>
      </c>
      <c r="AC11" s="63">
        <f t="shared" ca="1" si="18"/>
        <v>130000</v>
      </c>
      <c r="AD11" s="63">
        <f t="shared" ca="1" si="19"/>
        <v>-1458.333333333333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15.200000000000003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50</v>
      </c>
      <c r="AS11" s="33">
        <f t="shared" ca="1" si="34"/>
        <v>0.2</v>
      </c>
      <c r="AW11" s="2">
        <v>7</v>
      </c>
      <c r="AX11" s="2" t="s">
        <v>295</v>
      </c>
      <c r="AY11" s="130">
        <v>25.8</v>
      </c>
      <c r="AZ11" s="2">
        <v>19.399999999999999</v>
      </c>
      <c r="BA11" s="2"/>
      <c r="BB11" s="2">
        <v>2</v>
      </c>
      <c r="BC11" s="2"/>
      <c r="BD11" s="2">
        <v>7.6</v>
      </c>
      <c r="BE11" s="2">
        <v>11.8</v>
      </c>
      <c r="BF11" s="2">
        <v>12.3</v>
      </c>
      <c r="BG11" s="2">
        <v>12.8</v>
      </c>
      <c r="BH11" s="2">
        <v>16.399999999999999</v>
      </c>
      <c r="BI11" s="2"/>
      <c r="BJ11" s="2"/>
      <c r="BK11" s="2"/>
      <c r="BL11" s="2"/>
      <c r="BM11" s="2"/>
      <c r="BN11" s="2">
        <v>70</v>
      </c>
      <c r="BO11" s="2">
        <v>34</v>
      </c>
      <c r="BP11" s="2">
        <v>40</v>
      </c>
      <c r="BQ11" s="2">
        <v>43</v>
      </c>
      <c r="BR11" s="2">
        <v>46</v>
      </c>
      <c r="BS11" s="2">
        <v>52</v>
      </c>
      <c r="BT11" s="2">
        <v>25</v>
      </c>
      <c r="BU11" s="2">
        <v>66</v>
      </c>
      <c r="BV11" s="2">
        <v>83</v>
      </c>
      <c r="BW11" s="2">
        <v>100</v>
      </c>
      <c r="BX11" s="2">
        <v>142</v>
      </c>
      <c r="BY11" s="2">
        <v>52.9</v>
      </c>
      <c r="BZ11" s="2">
        <v>7.2</v>
      </c>
      <c r="CA11" s="2">
        <v>1.6</v>
      </c>
      <c r="CB11" s="2">
        <v>2.2487070989938002E-5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19b</v>
      </c>
      <c r="J12" s="47">
        <f t="shared" ca="1" si="35"/>
        <v>7</v>
      </c>
      <c r="K12" s="19">
        <f t="shared" ca="1" si="36"/>
        <v>-22.8</v>
      </c>
      <c r="L12" s="116" t="str">
        <f t="shared" ca="1" si="1"/>
        <v>EW_sand_Ruled_100</v>
      </c>
      <c r="M12" s="105" t="str">
        <f t="shared" ca="1" si="2"/>
        <v>API sand</v>
      </c>
      <c r="N12" s="47">
        <f t="shared" ca="1" si="3"/>
        <v>8.5</v>
      </c>
      <c r="O12" s="63">
        <f t="shared" ca="1" si="4"/>
        <v>0</v>
      </c>
      <c r="P12" s="63">
        <f t="shared" ca="1" si="5"/>
        <v>0</v>
      </c>
      <c r="Q12" s="47">
        <f t="shared" ca="1" si="6"/>
        <v>30</v>
      </c>
      <c r="R12" s="47">
        <f t="shared" ca="1" si="7"/>
        <v>25</v>
      </c>
      <c r="S12" s="47">
        <f t="shared" ca="1" si="8"/>
        <v>1.8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75000</v>
      </c>
      <c r="Y12" s="47">
        <f t="shared" ca="1" si="14"/>
        <v>0</v>
      </c>
      <c r="Z12" s="47">
        <f t="shared" ca="1" si="15"/>
        <v>80.999999999999972</v>
      </c>
      <c r="AA12" s="47">
        <f t="shared" ca="1" si="16"/>
        <v>1</v>
      </c>
      <c r="AB12" s="47">
        <f t="shared" ca="1" si="17"/>
        <v>4800</v>
      </c>
      <c r="AC12" s="63">
        <f t="shared" ca="1" si="18"/>
        <v>188000</v>
      </c>
      <c r="AD12" s="63">
        <f t="shared" ca="1" si="19"/>
        <v>909.09090909090935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20.000000000000007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100</v>
      </c>
      <c r="AS12" s="33">
        <f t="shared" ca="1" si="34"/>
        <v>0.2</v>
      </c>
      <c r="AW12" s="2">
        <v>7</v>
      </c>
      <c r="AX12" s="2" t="s">
        <v>261</v>
      </c>
      <c r="AY12" s="130">
        <v>24</v>
      </c>
      <c r="AZ12" s="2">
        <v>19.899999999999999</v>
      </c>
      <c r="BA12" s="2"/>
      <c r="BB12" s="2">
        <v>6</v>
      </c>
      <c r="BC12" s="2"/>
      <c r="BD12" s="2">
        <v>7.3</v>
      </c>
      <c r="BE12" s="2">
        <v>15</v>
      </c>
      <c r="BF12" s="2">
        <v>15.7</v>
      </c>
      <c r="BG12" s="2">
        <v>16.3</v>
      </c>
      <c r="BH12" s="2">
        <f>10+22.5</f>
        <v>32.5</v>
      </c>
      <c r="BI12" s="2"/>
      <c r="BJ12" s="2"/>
      <c r="BK12" s="2"/>
      <c r="BL12" s="2"/>
      <c r="BM12" s="2"/>
      <c r="BN12" s="2">
        <v>78</v>
      </c>
      <c r="BO12" s="2">
        <v>34</v>
      </c>
      <c r="BP12" s="2">
        <v>40</v>
      </c>
      <c r="BQ12" s="2">
        <v>43</v>
      </c>
      <c r="BR12" s="2">
        <v>46</v>
      </c>
      <c r="BS12" s="2">
        <v>52</v>
      </c>
      <c r="BT12" s="2">
        <v>7</v>
      </c>
      <c r="BU12" s="2">
        <v>64</v>
      </c>
      <c r="BV12" s="2">
        <v>91</v>
      </c>
      <c r="BW12" s="2">
        <v>117</v>
      </c>
      <c r="BX12" s="2">
        <v>183</v>
      </c>
      <c r="BY12" s="2">
        <v>82</v>
      </c>
      <c r="BZ12" s="2">
        <v>3.9</v>
      </c>
      <c r="CA12" s="2">
        <v>1.1000000000000001</v>
      </c>
      <c r="CB12" s="2">
        <v>5.7977945598374802E-6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19b</v>
      </c>
      <c r="J13" s="47">
        <f t="shared" ca="1" si="35"/>
        <v>8</v>
      </c>
      <c r="K13" s="19">
        <f t="shared" ca="1" si="36"/>
        <v>-25</v>
      </c>
      <c r="L13" s="116" t="str">
        <f t="shared" ca="1" si="1"/>
        <v>EW_sand_Ruled_66</v>
      </c>
      <c r="M13" s="105" t="str">
        <f t="shared" ca="1" si="2"/>
        <v>API sand</v>
      </c>
      <c r="N13" s="47">
        <f t="shared" ca="1" si="3"/>
        <v>8.5</v>
      </c>
      <c r="O13" s="63">
        <f t="shared" ca="1" si="4"/>
        <v>0</v>
      </c>
      <c r="P13" s="63">
        <f t="shared" ca="1" si="5"/>
        <v>0</v>
      </c>
      <c r="Q13" s="47">
        <f t="shared" ca="1" si="6"/>
        <v>27</v>
      </c>
      <c r="R13" s="47">
        <f t="shared" ca="1" si="7"/>
        <v>22</v>
      </c>
      <c r="S13" s="47">
        <f t="shared" ca="1" si="8"/>
        <v>0.8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20000</v>
      </c>
      <c r="Y13" s="47">
        <f t="shared" ca="1" si="14"/>
        <v>0</v>
      </c>
      <c r="Z13" s="47">
        <f t="shared" ca="1" si="15"/>
        <v>72.59999999999998</v>
      </c>
      <c r="AA13" s="47">
        <f t="shared" ca="1" si="16"/>
        <v>1</v>
      </c>
      <c r="AB13" s="47">
        <f t="shared" ca="1" si="17"/>
        <v>3660</v>
      </c>
      <c r="AC13" s="63">
        <f t="shared" ca="1" si="18"/>
        <v>139000</v>
      </c>
      <c r="AD13" s="63">
        <f t="shared" ca="1" si="19"/>
        <v>-434.7826086956523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15.200000000000003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66</v>
      </c>
      <c r="AS13" s="33">
        <f t="shared" ca="1" si="34"/>
        <v>0.2</v>
      </c>
      <c r="AW13" s="2">
        <v>15.1</v>
      </c>
      <c r="AX13" s="2" t="s">
        <v>261</v>
      </c>
      <c r="AY13" s="130">
        <v>24</v>
      </c>
      <c r="AZ13" s="2">
        <v>19.899999999999999</v>
      </c>
      <c r="BA13" s="2"/>
      <c r="BB13" s="2">
        <v>6</v>
      </c>
      <c r="BC13" s="2"/>
      <c r="BD13" s="2">
        <v>18</v>
      </c>
      <c r="BE13" s="2">
        <v>25.6</v>
      </c>
      <c r="BF13" s="2">
        <v>26.4</v>
      </c>
      <c r="BG13" s="2">
        <v>27</v>
      </c>
      <c r="BH13" s="2">
        <f>10+33.2</f>
        <v>43.2</v>
      </c>
      <c r="BI13" s="2"/>
      <c r="BJ13" s="2"/>
      <c r="BK13" s="2"/>
      <c r="BL13" s="2"/>
      <c r="BM13" s="2"/>
      <c r="BN13" s="2">
        <v>78</v>
      </c>
      <c r="BO13" s="2">
        <v>34</v>
      </c>
      <c r="BP13" s="2">
        <v>40</v>
      </c>
      <c r="BQ13" s="2">
        <v>43</v>
      </c>
      <c r="BR13" s="2">
        <v>46</v>
      </c>
      <c r="BS13" s="2">
        <v>52</v>
      </c>
      <c r="BT13" s="2">
        <v>50</v>
      </c>
      <c r="BU13" s="2">
        <v>108</v>
      </c>
      <c r="BV13" s="2">
        <v>134</v>
      </c>
      <c r="BW13" s="2">
        <v>161</v>
      </c>
      <c r="BX13" s="2">
        <v>227</v>
      </c>
      <c r="BY13" s="2">
        <v>82</v>
      </c>
      <c r="BZ13" s="2">
        <v>3.9</v>
      </c>
      <c r="CA13" s="2">
        <v>1.1000000000000001</v>
      </c>
      <c r="CB13" s="2">
        <v>5.7977945598374802E-6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21a</v>
      </c>
      <c r="J14" s="47">
        <f t="shared" ca="1" si="35"/>
        <v>9</v>
      </c>
      <c r="K14" s="19">
        <f t="shared" ca="1" si="36"/>
        <v>-31.9</v>
      </c>
      <c r="L14" s="116" t="str">
        <f t="shared" ca="1" si="1"/>
        <v>EW_sand_Ruled_70</v>
      </c>
      <c r="M14" s="105" t="str">
        <f t="shared" ca="1" si="2"/>
        <v>API sand</v>
      </c>
      <c r="N14" s="47">
        <f t="shared" ca="1" si="3"/>
        <v>9.8000000000000007</v>
      </c>
      <c r="O14" s="63">
        <f t="shared" ca="1" si="4"/>
        <v>0</v>
      </c>
      <c r="P14" s="63">
        <f t="shared" ca="1" si="5"/>
        <v>0</v>
      </c>
      <c r="Q14" s="47">
        <f t="shared" ca="1" si="6"/>
        <v>28</v>
      </c>
      <c r="R14" s="47">
        <f t="shared" ca="1" si="7"/>
        <v>23</v>
      </c>
      <c r="S14" s="47">
        <f t="shared" ca="1" si="8"/>
        <v>1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30000</v>
      </c>
      <c r="Y14" s="47">
        <f t="shared" ca="1" si="14"/>
        <v>0</v>
      </c>
      <c r="Z14" s="47">
        <f t="shared" ca="1" si="15"/>
        <v>75.399999999999977</v>
      </c>
      <c r="AA14" s="47">
        <f t="shared" ca="1" si="16"/>
        <v>1</v>
      </c>
      <c r="AB14" s="47">
        <f t="shared" ca="1" si="17"/>
        <v>4040</v>
      </c>
      <c r="AC14" s="63">
        <f t="shared" ca="1" si="18"/>
        <v>180000</v>
      </c>
      <c r="AD14" s="63">
        <f t="shared" ca="1" si="19"/>
        <v>1374.0458015267175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16.800000000000004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70</v>
      </c>
      <c r="AS14" s="33">
        <f t="shared" ca="1" si="34"/>
        <v>0.2</v>
      </c>
      <c r="AW14" s="2">
        <v>15.1</v>
      </c>
      <c r="AX14" s="2" t="s">
        <v>290</v>
      </c>
      <c r="AY14" s="130">
        <v>34.799999999999997</v>
      </c>
      <c r="AZ14" s="2">
        <v>18.7</v>
      </c>
      <c r="BA14" s="2"/>
      <c r="BB14" s="2">
        <v>4</v>
      </c>
      <c r="BC14" s="2"/>
      <c r="BD14" s="2">
        <v>0.5</v>
      </c>
      <c r="BE14" s="2">
        <v>10.6</v>
      </c>
      <c r="BF14" s="2">
        <v>14.5</v>
      </c>
      <c r="BG14" s="2">
        <v>20</v>
      </c>
      <c r="BH14" s="2">
        <v>39.9</v>
      </c>
      <c r="BI14" s="2"/>
      <c r="BJ14" s="2"/>
      <c r="BK14" s="2"/>
      <c r="BL14" s="2"/>
      <c r="BM14" s="2"/>
      <c r="BN14" s="2">
        <v>87</v>
      </c>
      <c r="BO14" s="2">
        <v>26</v>
      </c>
      <c r="BP14" s="2">
        <v>30</v>
      </c>
      <c r="BQ14" s="2">
        <v>33</v>
      </c>
      <c r="BR14" s="2">
        <v>35</v>
      </c>
      <c r="BS14" s="2">
        <v>40</v>
      </c>
      <c r="BT14" s="2">
        <v>15</v>
      </c>
      <c r="BU14" s="2">
        <v>88</v>
      </c>
      <c r="BV14" s="2">
        <v>123</v>
      </c>
      <c r="BW14" s="2">
        <v>159</v>
      </c>
      <c r="BX14" s="2">
        <v>249</v>
      </c>
      <c r="BY14" s="2">
        <v>75</v>
      </c>
      <c r="BZ14" s="2">
        <v>10.199999999999999</v>
      </c>
      <c r="CA14" s="2">
        <v>2</v>
      </c>
      <c r="CB14" s="2">
        <v>2.85573872503742E-6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23d</v>
      </c>
      <c r="J15" s="47">
        <f t="shared" ca="1" si="35"/>
        <v>10</v>
      </c>
      <c r="K15" s="19">
        <f t="shared" ca="1" si="36"/>
        <v>-45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8.8999999999999986</v>
      </c>
      <c r="O15" s="63">
        <f t="shared" ca="1" si="4"/>
        <v>280</v>
      </c>
      <c r="P15" s="63">
        <f t="shared" ca="1" si="5"/>
        <v>7.4857142857142858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1.7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37800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416000</v>
      </c>
      <c r="AD15" s="63">
        <f t="shared" ca="1" si="19"/>
        <v>12171.428571428571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18</v>
      </c>
      <c r="AX15" s="2" t="s">
        <v>290</v>
      </c>
      <c r="AY15" s="130">
        <v>34.799999999999997</v>
      </c>
      <c r="AZ15" s="2">
        <v>18.7</v>
      </c>
      <c r="BA15" s="2"/>
      <c r="BB15" s="2">
        <v>4</v>
      </c>
      <c r="BC15" s="2"/>
      <c r="BD15" s="2">
        <v>82.4</v>
      </c>
      <c r="BE15" s="2">
        <v>92.5</v>
      </c>
      <c r="BF15" s="2">
        <v>96.4</v>
      </c>
      <c r="BG15" s="2">
        <v>101.9</v>
      </c>
      <c r="BH15" s="2">
        <v>121.8</v>
      </c>
      <c r="BI15" s="2"/>
      <c r="BJ15" s="2"/>
      <c r="BK15" s="2"/>
      <c r="BL15" s="2"/>
      <c r="BM15" s="2"/>
      <c r="BN15" s="2">
        <v>87</v>
      </c>
      <c r="BO15" s="2">
        <v>26</v>
      </c>
      <c r="BP15" s="2">
        <v>30</v>
      </c>
      <c r="BQ15" s="2">
        <v>33</v>
      </c>
      <c r="BR15" s="2">
        <v>35</v>
      </c>
      <c r="BS15" s="2">
        <v>40</v>
      </c>
      <c r="BT15" s="2">
        <v>96</v>
      </c>
      <c r="BU15" s="2">
        <v>169</v>
      </c>
      <c r="BV15" s="2">
        <v>204</v>
      </c>
      <c r="BW15" s="2">
        <v>240</v>
      </c>
      <c r="BX15" s="2">
        <v>330</v>
      </c>
      <c r="BY15" s="2">
        <v>75</v>
      </c>
      <c r="BZ15" s="2">
        <v>10.199999999999999</v>
      </c>
      <c r="CA15" s="2">
        <v>2</v>
      </c>
      <c r="CB15" s="2">
        <v>2.85573872503742E-6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/>
      </c>
      <c r="J16" s="47" t="str">
        <f t="shared" ca="1" si="35"/>
        <v/>
      </c>
      <c r="K16" s="19" t="str">
        <f t="shared" ca="1" si="36"/>
        <v/>
      </c>
      <c r="L16" s="116" t="str">
        <f t="shared" ca="1" si="1"/>
        <v/>
      </c>
      <c r="M16" s="105" t="str">
        <f t="shared" ca="1" si="2"/>
        <v/>
      </c>
      <c r="N16" s="47" t="str">
        <f t="shared" ca="1" si="3"/>
        <v/>
      </c>
      <c r="O16" s="63" t="str">
        <f t="shared" ca="1" si="4"/>
        <v/>
      </c>
      <c r="P16" s="63" t="str">
        <f t="shared" ca="1" si="5"/>
        <v/>
      </c>
      <c r="Q16" s="47" t="str">
        <f t="shared" ca="1" si="6"/>
        <v/>
      </c>
      <c r="R16" s="47" t="str">
        <f t="shared" ca="1" si="7"/>
        <v/>
      </c>
      <c r="S16" s="47" t="str">
        <f t="shared" ca="1" si="8"/>
        <v/>
      </c>
      <c r="T16" s="47" t="str">
        <f t="shared" ca="1" si="9"/>
        <v/>
      </c>
      <c r="U16" s="75" t="str">
        <f t="shared" ca="1" si="10"/>
        <v/>
      </c>
      <c r="V16" s="75" t="str">
        <f t="shared" ca="1" si="11"/>
        <v/>
      </c>
      <c r="W16" s="47" t="str">
        <f t="shared" ca="1" si="12"/>
        <v/>
      </c>
      <c r="X16" s="47" t="str">
        <f t="shared" ca="1" si="13"/>
        <v/>
      </c>
      <c r="Y16" s="47" t="str">
        <f t="shared" ca="1" si="14"/>
        <v/>
      </c>
      <c r="Z16" s="47" t="str">
        <f t="shared" ca="1" si="15"/>
        <v/>
      </c>
      <c r="AA16" s="47" t="str">
        <f t="shared" ca="1" si="16"/>
        <v/>
      </c>
      <c r="AB16" s="47" t="str">
        <f t="shared" ca="1" si="17"/>
        <v/>
      </c>
      <c r="AC16" s="63" t="str">
        <f t="shared" ca="1" si="18"/>
        <v/>
      </c>
      <c r="AD16" s="63" t="str">
        <f t="shared" ca="1" si="19"/>
        <v/>
      </c>
      <c r="AE16" s="63" t="str">
        <f t="shared" ca="1" si="20"/>
        <v/>
      </c>
      <c r="AF16" s="63" t="str">
        <f t="shared" ca="1" si="21"/>
        <v/>
      </c>
      <c r="AG16" s="63" t="str">
        <f t="shared" ca="1" si="22"/>
        <v/>
      </c>
      <c r="AH16" s="63" t="str">
        <f t="shared" ca="1" si="23"/>
        <v/>
      </c>
      <c r="AI16" s="63" t="str">
        <f t="shared" ca="1" si="24"/>
        <v/>
      </c>
      <c r="AJ16" s="47" t="str">
        <f t="shared" ca="1" si="25"/>
        <v/>
      </c>
      <c r="AK16" s="47" t="str">
        <f t="shared" ca="1" si="26"/>
        <v/>
      </c>
      <c r="AL16" s="47" t="str">
        <f t="shared" ca="1" si="27"/>
        <v/>
      </c>
      <c r="AM16" s="47" t="str">
        <f t="shared" ca="1" si="28"/>
        <v/>
      </c>
      <c r="AN16" s="47" t="str">
        <f t="shared" ca="1" si="29"/>
        <v/>
      </c>
      <c r="AO16" s="47" t="str">
        <f t="shared" ca="1" si="30"/>
        <v/>
      </c>
      <c r="AP16" s="47" t="str">
        <f t="shared" ca="1" si="31"/>
        <v/>
      </c>
      <c r="AQ16" s="47" t="str">
        <f t="shared" ca="1" si="32"/>
        <v/>
      </c>
      <c r="AR16" s="47" t="str">
        <f t="shared" ca="1" si="33"/>
        <v/>
      </c>
      <c r="AS16" s="33" t="str">
        <f t="shared" ca="1" si="34"/>
        <v/>
      </c>
      <c r="AW16" s="2">
        <v>18</v>
      </c>
      <c r="AX16" s="2" t="s">
        <v>290</v>
      </c>
      <c r="AY16" s="130">
        <v>34.799999999999997</v>
      </c>
      <c r="AZ16" s="2">
        <v>18.7</v>
      </c>
      <c r="BA16" s="2"/>
      <c r="BB16" s="2">
        <v>4</v>
      </c>
      <c r="BC16" s="2"/>
      <c r="BD16" s="2">
        <v>6.4</v>
      </c>
      <c r="BE16" s="2">
        <v>13.8</v>
      </c>
      <c r="BF16" s="2">
        <v>15.4</v>
      </c>
      <c r="BG16" s="2">
        <v>17.600000000000001</v>
      </c>
      <c r="BH16" s="2">
        <v>28.9</v>
      </c>
      <c r="BI16" s="2"/>
      <c r="BJ16" s="2"/>
      <c r="BK16" s="2"/>
      <c r="BL16" s="2"/>
      <c r="BM16" s="2"/>
      <c r="BN16" s="2">
        <v>50</v>
      </c>
      <c r="BO16" s="2">
        <v>26</v>
      </c>
      <c r="BP16" s="2">
        <v>27</v>
      </c>
      <c r="BQ16" s="2">
        <v>29</v>
      </c>
      <c r="BR16" s="2">
        <v>32</v>
      </c>
      <c r="BS16" s="2">
        <v>36</v>
      </c>
      <c r="BT16" s="2">
        <v>29</v>
      </c>
      <c r="BU16" s="2">
        <v>100</v>
      </c>
      <c r="BV16" s="2">
        <v>130</v>
      </c>
      <c r="BW16" s="2">
        <v>160</v>
      </c>
      <c r="BX16" s="2">
        <v>236</v>
      </c>
      <c r="BY16" s="2">
        <v>20</v>
      </c>
      <c r="BZ16" s="2">
        <v>3.1</v>
      </c>
      <c r="CA16" s="2">
        <v>1</v>
      </c>
      <c r="CB16" s="2">
        <v>4.5084329848093397E-9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22.8</v>
      </c>
      <c r="AX17" s="2" t="s">
        <v>290</v>
      </c>
      <c r="AY17" s="130">
        <v>34.799999999999997</v>
      </c>
      <c r="AZ17" s="2">
        <v>18.7</v>
      </c>
      <c r="BA17" s="2"/>
      <c r="BB17" s="2">
        <v>4</v>
      </c>
      <c r="BC17" s="2"/>
      <c r="BD17" s="2">
        <v>0.8</v>
      </c>
      <c r="BE17" s="2">
        <v>8.1999999999999993</v>
      </c>
      <c r="BF17" s="2">
        <v>9.8000000000000007</v>
      </c>
      <c r="BG17" s="2">
        <v>12.1</v>
      </c>
      <c r="BH17" s="2">
        <v>23.3</v>
      </c>
      <c r="BI17" s="2"/>
      <c r="BJ17" s="2"/>
      <c r="BK17" s="2"/>
      <c r="BL17" s="2"/>
      <c r="BM17" s="2"/>
      <c r="BN17" s="2">
        <v>50</v>
      </c>
      <c r="BO17" s="2">
        <v>26</v>
      </c>
      <c r="BP17" s="2">
        <v>27</v>
      </c>
      <c r="BQ17" s="2">
        <v>29</v>
      </c>
      <c r="BR17" s="2">
        <v>32</v>
      </c>
      <c r="BS17" s="2">
        <v>36</v>
      </c>
      <c r="BT17" s="2">
        <v>22</v>
      </c>
      <c r="BU17" s="2">
        <v>93</v>
      </c>
      <c r="BV17" s="2">
        <v>123</v>
      </c>
      <c r="BW17" s="2">
        <v>153</v>
      </c>
      <c r="BX17" s="2">
        <v>229</v>
      </c>
      <c r="BY17" s="2">
        <v>20</v>
      </c>
      <c r="BZ17" s="2">
        <v>3.1</v>
      </c>
      <c r="CA17" s="2">
        <v>1</v>
      </c>
      <c r="CB17" s="2">
        <v>4.5084329848093397E-9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22.8</v>
      </c>
      <c r="AX18" s="2" t="s">
        <v>291</v>
      </c>
      <c r="AY18" s="130">
        <v>35.4</v>
      </c>
      <c r="AZ18" s="2">
        <v>18.5</v>
      </c>
      <c r="BA18" s="2"/>
      <c r="BB18" s="2">
        <v>54</v>
      </c>
      <c r="BC18" s="2"/>
      <c r="BD18" s="2">
        <v>43.1</v>
      </c>
      <c r="BE18" s="2">
        <v>50.4</v>
      </c>
      <c r="BF18" s="2">
        <v>51.4</v>
      </c>
      <c r="BG18" s="2">
        <v>52.9</v>
      </c>
      <c r="BH18" s="2">
        <v>64.599999999999994</v>
      </c>
      <c r="BI18" s="2"/>
      <c r="BJ18" s="2"/>
      <c r="BK18" s="2"/>
      <c r="BL18" s="2"/>
      <c r="BM18" s="2"/>
      <c r="BN18" s="2">
        <v>100</v>
      </c>
      <c r="BO18" s="2">
        <v>26</v>
      </c>
      <c r="BP18" s="2">
        <v>30</v>
      </c>
      <c r="BQ18" s="2">
        <v>33</v>
      </c>
      <c r="BR18" s="2">
        <v>35</v>
      </c>
      <c r="BS18" s="2">
        <v>40</v>
      </c>
      <c r="BT18" s="2">
        <v>34</v>
      </c>
      <c r="BU18" s="2">
        <v>144</v>
      </c>
      <c r="BV18" s="2">
        <v>188</v>
      </c>
      <c r="BW18" s="2">
        <v>232</v>
      </c>
      <c r="BX18" s="2">
        <v>341</v>
      </c>
      <c r="BY18" s="2">
        <v>75</v>
      </c>
      <c r="BZ18" s="2">
        <v>8.5</v>
      </c>
      <c r="CA18" s="2">
        <v>1.8</v>
      </c>
      <c r="CB18" s="2">
        <v>2.81379138580886E-10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25</v>
      </c>
      <c r="AX19" s="2" t="s">
        <v>291</v>
      </c>
      <c r="AY19" s="130">
        <v>35.4</v>
      </c>
      <c r="AZ19" s="2">
        <v>18.5</v>
      </c>
      <c r="BA19" s="2"/>
      <c r="BB19" s="2">
        <v>54</v>
      </c>
      <c r="BC19" s="2"/>
      <c r="BD19" s="2">
        <v>43.6</v>
      </c>
      <c r="BE19" s="2">
        <v>50.9</v>
      </c>
      <c r="BF19" s="2">
        <v>51.9</v>
      </c>
      <c r="BG19" s="2">
        <v>53.4</v>
      </c>
      <c r="BH19" s="2">
        <v>65.099999999999994</v>
      </c>
      <c r="BI19" s="2"/>
      <c r="BJ19" s="2"/>
      <c r="BK19" s="2"/>
      <c r="BL19" s="2"/>
      <c r="BM19" s="2"/>
      <c r="BN19" s="2">
        <v>100</v>
      </c>
      <c r="BO19" s="2">
        <v>26</v>
      </c>
      <c r="BP19" s="2">
        <v>30</v>
      </c>
      <c r="BQ19" s="2">
        <v>33</v>
      </c>
      <c r="BR19" s="2">
        <v>35</v>
      </c>
      <c r="BS19" s="2">
        <v>40</v>
      </c>
      <c r="BT19" s="2">
        <v>36</v>
      </c>
      <c r="BU19" s="2">
        <v>145</v>
      </c>
      <c r="BV19" s="2">
        <v>190</v>
      </c>
      <c r="BW19" s="2">
        <v>234</v>
      </c>
      <c r="BX19" s="2">
        <v>343</v>
      </c>
      <c r="BY19" s="2">
        <v>75</v>
      </c>
      <c r="BZ19" s="2">
        <v>8.5</v>
      </c>
      <c r="CA19" s="2">
        <v>1.8</v>
      </c>
      <c r="CB19" s="2">
        <v>2.81379138580886E-10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25</v>
      </c>
      <c r="AX20" s="2" t="s">
        <v>291</v>
      </c>
      <c r="AY20" s="130">
        <v>35.4</v>
      </c>
      <c r="AZ20" s="2">
        <v>18.5</v>
      </c>
      <c r="BA20" s="2"/>
      <c r="BB20" s="2">
        <v>54</v>
      </c>
      <c r="BC20" s="2"/>
      <c r="BD20" s="2">
        <v>3.8</v>
      </c>
      <c r="BE20" s="2">
        <v>11.8</v>
      </c>
      <c r="BF20" s="2">
        <v>13.5</v>
      </c>
      <c r="BG20" s="2">
        <v>17.100000000000001</v>
      </c>
      <c r="BH20" s="2">
        <v>37.5</v>
      </c>
      <c r="BI20" s="2"/>
      <c r="BJ20" s="2"/>
      <c r="BK20" s="2"/>
      <c r="BL20" s="2"/>
      <c r="BM20" s="2"/>
      <c r="BN20" s="2">
        <v>66</v>
      </c>
      <c r="BO20" s="2">
        <v>26</v>
      </c>
      <c r="BP20" s="2">
        <v>27</v>
      </c>
      <c r="BQ20" s="2">
        <v>29</v>
      </c>
      <c r="BR20" s="2">
        <v>31</v>
      </c>
      <c r="BS20" s="2">
        <v>36</v>
      </c>
      <c r="BT20" s="2">
        <v>34</v>
      </c>
      <c r="BU20" s="2">
        <v>106</v>
      </c>
      <c r="BV20" s="2">
        <v>139</v>
      </c>
      <c r="BW20" s="2">
        <v>172</v>
      </c>
      <c r="BX20" s="2">
        <v>265</v>
      </c>
      <c r="BY20" s="2">
        <v>20</v>
      </c>
      <c r="BZ20" s="2">
        <v>2.4</v>
      </c>
      <c r="CA20" s="2">
        <v>0.8</v>
      </c>
      <c r="CB20" s="2">
        <v>2.81379138580886E-10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31.9</v>
      </c>
      <c r="AX21" s="2" t="s">
        <v>291</v>
      </c>
      <c r="AY21" s="130">
        <v>35.4</v>
      </c>
      <c r="AZ21" s="2">
        <v>18.5</v>
      </c>
      <c r="BA21" s="2"/>
      <c r="BB21" s="2">
        <v>54</v>
      </c>
      <c r="BC21" s="2"/>
      <c r="BD21" s="2">
        <v>1.1000000000000001</v>
      </c>
      <c r="BE21" s="2">
        <v>9.1</v>
      </c>
      <c r="BF21" s="2">
        <v>10.8</v>
      </c>
      <c r="BG21" s="2">
        <v>14.4</v>
      </c>
      <c r="BH21" s="2">
        <v>34.799999999999997</v>
      </c>
      <c r="BI21" s="2"/>
      <c r="BJ21" s="2"/>
      <c r="BK21" s="2"/>
      <c r="BL21" s="2"/>
      <c r="BM21" s="2"/>
      <c r="BN21" s="2">
        <v>66</v>
      </c>
      <c r="BO21" s="2">
        <v>26</v>
      </c>
      <c r="BP21" s="2">
        <v>27</v>
      </c>
      <c r="BQ21" s="2">
        <v>29</v>
      </c>
      <c r="BR21" s="2">
        <v>31</v>
      </c>
      <c r="BS21" s="2">
        <v>36</v>
      </c>
      <c r="BT21" s="2">
        <v>31</v>
      </c>
      <c r="BU21" s="2">
        <v>103</v>
      </c>
      <c r="BV21" s="2">
        <v>136</v>
      </c>
      <c r="BW21" s="2">
        <v>170</v>
      </c>
      <c r="BX21" s="2">
        <v>262</v>
      </c>
      <c r="BY21" s="2">
        <v>20</v>
      </c>
      <c r="BZ21" s="2">
        <v>2.4</v>
      </c>
      <c r="CA21" s="2">
        <v>0.8</v>
      </c>
      <c r="CB21" s="2">
        <v>2.81379138580886E-10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31.9</v>
      </c>
      <c r="AX22" s="2" t="s">
        <v>271</v>
      </c>
      <c r="AY22" s="130">
        <v>24.7</v>
      </c>
      <c r="AZ22" s="2">
        <v>19.8</v>
      </c>
      <c r="BA22" s="2"/>
      <c r="BB22" s="2">
        <v>11</v>
      </c>
      <c r="BC22" s="2"/>
      <c r="BD22" s="2">
        <v>16.399999999999999</v>
      </c>
      <c r="BE22" s="2">
        <v>26.3</v>
      </c>
      <c r="BF22" s="2">
        <v>27.4</v>
      </c>
      <c r="BG22" s="2">
        <v>29.7</v>
      </c>
      <c r="BH22" s="2">
        <v>49.9</v>
      </c>
      <c r="BI22" s="2"/>
      <c r="BJ22" s="2"/>
      <c r="BK22" s="2"/>
      <c r="BL22" s="2"/>
      <c r="BM22" s="2"/>
      <c r="BN22" s="2">
        <v>70</v>
      </c>
      <c r="BO22" s="2">
        <v>26</v>
      </c>
      <c r="BP22" s="2">
        <v>28</v>
      </c>
      <c r="BQ22" s="2">
        <v>31</v>
      </c>
      <c r="BR22" s="2">
        <v>33</v>
      </c>
      <c r="BS22" s="2">
        <v>37</v>
      </c>
      <c r="BT22" s="2">
        <v>31</v>
      </c>
      <c r="BU22" s="2">
        <v>136</v>
      </c>
      <c r="BV22" s="2">
        <v>180</v>
      </c>
      <c r="BW22" s="2">
        <v>224</v>
      </c>
      <c r="BX22" s="2">
        <v>336</v>
      </c>
      <c r="BY22" s="2">
        <v>30</v>
      </c>
      <c r="BZ22" s="2">
        <v>3.2</v>
      </c>
      <c r="CA22" s="2">
        <v>1</v>
      </c>
      <c r="CB22" s="2">
        <v>2.3431639156240001E-10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45</v>
      </c>
      <c r="AX23" s="2" t="s">
        <v>271</v>
      </c>
      <c r="AY23" s="130">
        <v>24.7</v>
      </c>
      <c r="AZ23" s="2">
        <v>19.8</v>
      </c>
      <c r="BA23" s="2"/>
      <c r="BB23" s="2">
        <v>11</v>
      </c>
      <c r="BC23" s="2"/>
      <c r="BD23" s="2">
        <v>14.7</v>
      </c>
      <c r="BE23" s="2">
        <v>24.6</v>
      </c>
      <c r="BF23" s="2">
        <v>25.7</v>
      </c>
      <c r="BG23" s="2">
        <v>28</v>
      </c>
      <c r="BH23" s="2">
        <v>48.3</v>
      </c>
      <c r="BI23" s="2"/>
      <c r="BJ23" s="2"/>
      <c r="BK23" s="2"/>
      <c r="BL23" s="2"/>
      <c r="BM23" s="2"/>
      <c r="BN23" s="2">
        <v>70</v>
      </c>
      <c r="BO23" s="2">
        <v>26</v>
      </c>
      <c r="BP23" s="2">
        <v>28</v>
      </c>
      <c r="BQ23" s="2">
        <v>31</v>
      </c>
      <c r="BR23" s="2">
        <v>33</v>
      </c>
      <c r="BS23" s="2">
        <v>37</v>
      </c>
      <c r="BT23" s="2">
        <v>50</v>
      </c>
      <c r="BU23" s="2">
        <v>154</v>
      </c>
      <c r="BV23" s="2">
        <v>198</v>
      </c>
      <c r="BW23" s="2">
        <v>242</v>
      </c>
      <c r="BX23" s="2">
        <v>355</v>
      </c>
      <c r="BY23" s="2">
        <v>30</v>
      </c>
      <c r="BZ23" s="2">
        <v>3.2</v>
      </c>
      <c r="CA23" s="2">
        <v>1</v>
      </c>
      <c r="CB23" s="2">
        <v>2.3431639156240001E-10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45</v>
      </c>
      <c r="AX24" s="2" t="s">
        <v>273</v>
      </c>
      <c r="AY24" s="130">
        <v>32</v>
      </c>
      <c r="AZ24" s="2">
        <v>18.899999999999999</v>
      </c>
      <c r="BA24" s="2">
        <v>47</v>
      </c>
      <c r="BB24" s="2">
        <v>85</v>
      </c>
      <c r="BC24" s="2">
        <v>3</v>
      </c>
      <c r="BD24" s="2">
        <v>5.6</v>
      </c>
      <c r="BE24" s="2">
        <v>7.2</v>
      </c>
      <c r="BF24" s="2">
        <v>7.3</v>
      </c>
      <c r="BG24" s="2">
        <v>7.5</v>
      </c>
      <c r="BH24" s="2">
        <f>10+9.1</f>
        <v>19.100000000000001</v>
      </c>
      <c r="BI24" s="2">
        <v>172</v>
      </c>
      <c r="BJ24" s="2">
        <v>280</v>
      </c>
      <c r="BK24" s="2">
        <v>323</v>
      </c>
      <c r="BL24" s="2">
        <v>366</v>
      </c>
      <c r="BM24" s="2">
        <v>475</v>
      </c>
      <c r="BN24" s="2"/>
      <c r="BO24" s="2"/>
      <c r="BP24" s="2"/>
      <c r="BQ24" s="2"/>
      <c r="BR24" s="2"/>
      <c r="BS24" s="2"/>
      <c r="BT24" s="2">
        <v>137</v>
      </c>
      <c r="BU24" s="2">
        <v>331</v>
      </c>
      <c r="BV24" s="2">
        <v>416</v>
      </c>
      <c r="BW24" s="2">
        <v>501</v>
      </c>
      <c r="BX24" s="2">
        <v>703</v>
      </c>
      <c r="BY24" s="2">
        <v>37.799999999999997</v>
      </c>
      <c r="BZ24" s="2">
        <v>4.9000000000000004</v>
      </c>
      <c r="CA24" s="2">
        <v>1.7</v>
      </c>
      <c r="CB24" s="2">
        <v>2.64286300402781E-10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80</v>
      </c>
      <c r="AX25" s="2" t="s">
        <v>273</v>
      </c>
      <c r="AY25" s="130">
        <v>32</v>
      </c>
      <c r="AZ25" s="2">
        <v>18.899999999999999</v>
      </c>
      <c r="BA25" s="2">
        <v>47</v>
      </c>
      <c r="BB25" s="2">
        <v>85</v>
      </c>
      <c r="BC25" s="2">
        <v>3</v>
      </c>
      <c r="BD25" s="2">
        <v>11.4</v>
      </c>
      <c r="BE25" s="2">
        <v>13</v>
      </c>
      <c r="BF25" s="2">
        <v>13.1</v>
      </c>
      <c r="BG25" s="2">
        <v>13.3</v>
      </c>
      <c r="BH25" s="2">
        <f>10+14.9</f>
        <v>24.9</v>
      </c>
      <c r="BI25" s="2">
        <v>433</v>
      </c>
      <c r="BJ25" s="2">
        <v>542</v>
      </c>
      <c r="BK25" s="2">
        <v>584</v>
      </c>
      <c r="BL25" s="2">
        <v>627</v>
      </c>
      <c r="BM25" s="2">
        <v>737</v>
      </c>
      <c r="BN25" s="2"/>
      <c r="BO25" s="2"/>
      <c r="BP25" s="2"/>
      <c r="BQ25" s="2"/>
      <c r="BR25" s="2"/>
      <c r="BS25" s="2"/>
      <c r="BT25" s="2">
        <v>562</v>
      </c>
      <c r="BU25" s="2">
        <v>757</v>
      </c>
      <c r="BV25" s="2">
        <v>842</v>
      </c>
      <c r="BW25" s="2">
        <v>927</v>
      </c>
      <c r="BX25" s="2">
        <v>1129</v>
      </c>
      <c r="BY25" s="2">
        <v>37.799999999999997</v>
      </c>
      <c r="BZ25" s="2">
        <v>4.9000000000000004</v>
      </c>
      <c r="CA25" s="2">
        <v>1.7</v>
      </c>
      <c r="CB25" s="2">
        <v>2.64286300402781E-10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/>
      <c r="AX26" s="2"/>
      <c r="AY26" s="130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/>
      <c r="AX27" s="2"/>
      <c r="AY27" s="130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206" priority="12">
      <formula>$L32="API sand"</formula>
    </cfRule>
  </conditionalFormatting>
  <conditionalFormatting sqref="R32:S36 AB32:AB35 AJ32:AL36 Z32:Z36 N32:N36">
    <cfRule type="expression" dxfId="2205" priority="11">
      <formula>$M32="API sand"</formula>
    </cfRule>
  </conditionalFormatting>
  <conditionalFormatting sqref="R32:T36 Z32:AB35 AK32:AL36 N32:N36">
    <cfRule type="expression" dxfId="2204" priority="10">
      <formula>$M32="API clay"</formula>
    </cfRule>
  </conditionalFormatting>
  <conditionalFormatting sqref="U32:W36 AM32:AP36 N32:P36">
    <cfRule type="expression" dxfId="2203" priority="7">
      <formula>$L32="Stiff clay w/o free water"</formula>
    </cfRule>
    <cfRule type="expression" dxfId="2202" priority="9">
      <formula>$L32="API clay"</formula>
    </cfRule>
  </conditionalFormatting>
  <conditionalFormatting sqref="U32:Y36 AM32:AP36 N32:P36">
    <cfRule type="expression" dxfId="2201" priority="8">
      <formula>$L32="Kirsch soft clay"</formula>
    </cfRule>
  </conditionalFormatting>
  <conditionalFormatting sqref="U32:Y36 AM32:AP36 N32:P36">
    <cfRule type="expression" dxfId="2200" priority="6">
      <formula>$L32="Kirsch stiff clay"</formula>
    </cfRule>
  </conditionalFormatting>
  <conditionalFormatting sqref="AM32:AP36 Q32:Q36 X32:Y36 N32:N36">
    <cfRule type="expression" dxfId="2199" priority="5">
      <formula>$L32="Kirsch sand"</formula>
    </cfRule>
  </conditionalFormatting>
  <conditionalFormatting sqref="AC32:AD36 AI32:AI36 AM32:AP36 N32:N36">
    <cfRule type="expression" dxfId="2198" priority="4">
      <formula>$L32="Modified Weak rock"</formula>
    </cfRule>
  </conditionalFormatting>
  <conditionalFormatting sqref="AM32:AP36 N32:P36 U32:V36">
    <cfRule type="expression" dxfId="2197" priority="3">
      <formula>$L32="Reese stiff clay"</formula>
    </cfRule>
  </conditionalFormatting>
  <conditionalFormatting sqref="AB36">
    <cfRule type="expression" dxfId="2196" priority="2">
      <formula>$M36="API sand"</formula>
    </cfRule>
  </conditionalFormatting>
  <conditionalFormatting sqref="Z36:AB36">
    <cfRule type="expression" dxfId="2195" priority="1">
      <formula>$M36="API clay"</formula>
    </cfRule>
  </conditionalFormatting>
  <conditionalFormatting sqref="AE37:AH37">
    <cfRule type="expression" dxfId="2194" priority="13">
      <formula>#REF!="Modified Weak rock"</formula>
    </cfRule>
  </conditionalFormatting>
  <dataValidations count="4">
    <dataValidation type="list" showInputMessage="1" showErrorMessage="1" sqref="M32:M36" xr:uid="{50C7142A-26C9-4D93-B583-013FC415B418}">
      <formula1>"',API sand,API clay"</formula1>
    </dataValidation>
    <dataValidation type="list" showInputMessage="1" showErrorMessage="1" sqref="L32:L255" xr:uid="{8316FF4E-8308-40D0-975A-C716F48FFF82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3CED6003-F70E-4EB5-AA33-E00A6389B956}"/>
    <dataValidation type="textLength" showInputMessage="1" showErrorMessage="1" sqref="M27:M31" xr:uid="{10BF61B3-C0B4-4C3F-9F01-C9A033C1F8EC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1256B-781F-46D8-B85A-F34255989D8B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Ak_Pisa_WTG56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EW_sand_Ruled_74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33</v>
      </c>
      <c r="R6" s="47">
        <f t="shared" ref="R6:R26" ca="1" si="7">IF(I6="","",IF(Q6&lt;&gt;0,Q6-5,NA()))</f>
        <v>28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3000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89.999999999999972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7680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24000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32.000000000000007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74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0.2</v>
      </c>
      <c r="BF6" s="2">
        <v>0.4</v>
      </c>
      <c r="BG6" s="2">
        <v>0.8</v>
      </c>
      <c r="BH6" s="2">
        <v>1.6</v>
      </c>
      <c r="BI6" s="2"/>
      <c r="BJ6" s="2"/>
      <c r="BK6" s="2"/>
      <c r="BL6" s="2"/>
      <c r="BM6" s="2"/>
      <c r="BN6" s="2">
        <v>74</v>
      </c>
      <c r="BO6" s="2">
        <v>23</v>
      </c>
      <c r="BP6" s="2">
        <v>33</v>
      </c>
      <c r="BQ6" s="2">
        <v>36</v>
      </c>
      <c r="BR6" s="2">
        <v>39</v>
      </c>
      <c r="BS6" s="2">
        <v>48</v>
      </c>
      <c r="BT6" s="2">
        <v>0</v>
      </c>
      <c r="BU6" s="2">
        <v>2</v>
      </c>
      <c r="BV6" s="2">
        <v>5</v>
      </c>
      <c r="BW6" s="2">
        <v>9</v>
      </c>
      <c r="BX6" s="2">
        <v>15</v>
      </c>
      <c r="BY6" s="2">
        <v>3</v>
      </c>
      <c r="BZ6" s="2">
        <v>1</v>
      </c>
      <c r="CA6" s="2">
        <v>0.5</v>
      </c>
      <c r="CB6" s="2">
        <v>5.2248334874023105E-4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-0.5</v>
      </c>
      <c r="L7" s="116" t="str">
        <f t="shared" ca="1" si="1"/>
        <v>EW_sand_Ruled_100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43</v>
      </c>
      <c r="R7" s="47">
        <f t="shared" ca="1" si="7"/>
        <v>38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44600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35000</v>
      </c>
      <c r="AD7" s="63">
        <f t="shared" ca="1" si="19"/>
        <v>10000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100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0.6</v>
      </c>
      <c r="BE7" s="2">
        <v>1.1000000000000001</v>
      </c>
      <c r="BF7" s="2">
        <v>1.4</v>
      </c>
      <c r="BG7" s="2">
        <v>1.8</v>
      </c>
      <c r="BH7" s="2">
        <v>2.6</v>
      </c>
      <c r="BI7" s="2"/>
      <c r="BJ7" s="2"/>
      <c r="BK7" s="2"/>
      <c r="BL7" s="2"/>
      <c r="BM7" s="2"/>
      <c r="BN7" s="2">
        <v>74</v>
      </c>
      <c r="BO7" s="2">
        <v>23</v>
      </c>
      <c r="BP7" s="2">
        <v>33</v>
      </c>
      <c r="BQ7" s="2">
        <v>36</v>
      </c>
      <c r="BR7" s="2">
        <v>39</v>
      </c>
      <c r="BS7" s="2">
        <v>48</v>
      </c>
      <c r="BT7" s="2">
        <v>8</v>
      </c>
      <c r="BU7" s="2">
        <v>14</v>
      </c>
      <c r="BV7" s="2">
        <v>17</v>
      </c>
      <c r="BW7" s="2">
        <v>21</v>
      </c>
      <c r="BX7" s="2">
        <v>27</v>
      </c>
      <c r="BY7" s="2">
        <v>3</v>
      </c>
      <c r="BZ7" s="2">
        <v>1</v>
      </c>
      <c r="CA7" s="2">
        <v>0.5</v>
      </c>
      <c r="CB7" s="2">
        <v>5.2248334874023105E-4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-1.5</v>
      </c>
      <c r="L8" s="116" t="str">
        <f t="shared" ca="1" si="1"/>
        <v>EW_sand_Ruled_93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41</v>
      </c>
      <c r="R8" s="47">
        <f t="shared" ca="1" si="7"/>
        <v>36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44900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50000</v>
      </c>
      <c r="AD8" s="63">
        <f t="shared" ca="1" si="19"/>
        <v>6111.1111111111113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93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9</v>
      </c>
      <c r="BE8" s="2">
        <v>10</v>
      </c>
      <c r="BF8" s="2">
        <v>10.4</v>
      </c>
      <c r="BG8" s="2">
        <v>10.8</v>
      </c>
      <c r="BH8" s="2">
        <v>11.5</v>
      </c>
      <c r="BI8" s="2"/>
      <c r="BJ8" s="2"/>
      <c r="BK8" s="2"/>
      <c r="BL8" s="2"/>
      <c r="BM8" s="2"/>
      <c r="BN8" s="2">
        <v>100</v>
      </c>
      <c r="BO8" s="2">
        <v>37</v>
      </c>
      <c r="BP8" s="2">
        <v>43</v>
      </c>
      <c r="BQ8" s="2">
        <v>46</v>
      </c>
      <c r="BR8" s="2">
        <v>49</v>
      </c>
      <c r="BS8" s="2">
        <v>54</v>
      </c>
      <c r="BT8" s="2">
        <v>2</v>
      </c>
      <c r="BU8" s="2">
        <v>25</v>
      </c>
      <c r="BV8" s="2">
        <v>35</v>
      </c>
      <c r="BW8" s="2">
        <v>45</v>
      </c>
      <c r="BX8" s="2">
        <v>68</v>
      </c>
      <c r="BY8" s="2">
        <v>44.6</v>
      </c>
      <c r="BZ8" s="2">
        <v>1</v>
      </c>
      <c r="CA8" s="2">
        <v>0.5</v>
      </c>
      <c r="CB8" s="2">
        <v>5.2248334874023105E-4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09a</v>
      </c>
      <c r="J9" s="47">
        <f t="shared" ca="1" si="35"/>
        <v>4</v>
      </c>
      <c r="K9" s="19">
        <f t="shared" ca="1" si="36"/>
        <v>-3.3</v>
      </c>
      <c r="L9" s="116" t="str">
        <f t="shared" ca="1" si="1"/>
        <v>EW_sand_Ruled_56</v>
      </c>
      <c r="M9" s="105" t="str">
        <f t="shared" ca="1" si="2"/>
        <v>API sand</v>
      </c>
      <c r="N9" s="47">
        <f t="shared" ca="1" si="3"/>
        <v>9.3999999999999986</v>
      </c>
      <c r="O9" s="63">
        <f t="shared" ca="1" si="4"/>
        <v>0</v>
      </c>
      <c r="P9" s="63">
        <f t="shared" ca="1" si="5"/>
        <v>0</v>
      </c>
      <c r="Q9" s="47">
        <f t="shared" ca="1" si="6"/>
        <v>38</v>
      </c>
      <c r="R9" s="47">
        <f t="shared" ca="1" si="7"/>
        <v>33</v>
      </c>
      <c r="S9" s="47">
        <f t="shared" ca="1" si="8"/>
        <v>1.2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34600</v>
      </c>
      <c r="Y9" s="47">
        <f t="shared" ca="1" si="14"/>
        <v>0</v>
      </c>
      <c r="Z9" s="47">
        <f t="shared" ca="1" si="15"/>
        <v>107.39999999999996</v>
      </c>
      <c r="AA9" s="47">
        <f t="shared" ca="1" si="16"/>
        <v>1</v>
      </c>
      <c r="AB9" s="47">
        <f t="shared" ca="1" si="17"/>
        <v>11040</v>
      </c>
      <c r="AC9" s="63">
        <f t="shared" ca="1" si="18"/>
        <v>58000</v>
      </c>
      <c r="AD9" s="63">
        <f t="shared" ca="1" si="19"/>
        <v>5675.6756756756758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46.000000000000007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56</v>
      </c>
      <c r="AS9" s="33">
        <f t="shared" ca="1" si="34"/>
        <v>0.4</v>
      </c>
      <c r="AW9" s="2">
        <v>1.5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12.2</v>
      </c>
      <c r="BE9" s="2">
        <v>13.2</v>
      </c>
      <c r="BF9" s="2">
        <v>13.6</v>
      </c>
      <c r="BG9" s="2">
        <v>14</v>
      </c>
      <c r="BH9" s="2">
        <v>14.7</v>
      </c>
      <c r="BI9" s="2"/>
      <c r="BJ9" s="2"/>
      <c r="BK9" s="2"/>
      <c r="BL9" s="2"/>
      <c r="BM9" s="2"/>
      <c r="BN9" s="2">
        <v>100</v>
      </c>
      <c r="BO9" s="2">
        <v>37</v>
      </c>
      <c r="BP9" s="2">
        <v>43</v>
      </c>
      <c r="BQ9" s="2">
        <v>46</v>
      </c>
      <c r="BR9" s="2">
        <v>49</v>
      </c>
      <c r="BS9" s="2">
        <v>54</v>
      </c>
      <c r="BT9" s="2">
        <v>12</v>
      </c>
      <c r="BU9" s="2">
        <v>35</v>
      </c>
      <c r="BV9" s="2">
        <v>45</v>
      </c>
      <c r="BW9" s="2">
        <v>54</v>
      </c>
      <c r="BX9" s="2">
        <v>77</v>
      </c>
      <c r="BY9" s="2">
        <v>44.6</v>
      </c>
      <c r="BZ9" s="2">
        <v>1</v>
      </c>
      <c r="CA9" s="2">
        <v>0.5</v>
      </c>
      <c r="CB9" s="2">
        <v>5.2248334874023105E-4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09b</v>
      </c>
      <c r="J10" s="47">
        <f t="shared" ca="1" si="35"/>
        <v>5</v>
      </c>
      <c r="K10" s="19">
        <f t="shared" ca="1" si="36"/>
        <v>-7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9.5</v>
      </c>
      <c r="O10" s="63">
        <f t="shared" ca="1" si="4"/>
        <v>339</v>
      </c>
      <c r="P10" s="63">
        <f t="shared" ca="1" si="5"/>
        <v>-21.875000000000004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0.25</v>
      </c>
      <c r="X10" s="47">
        <f t="shared" ca="1" si="13"/>
        <v>52900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424000</v>
      </c>
      <c r="AD10" s="63">
        <f t="shared" ca="1" si="19"/>
        <v>-27500.000000000007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1.5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11.5</v>
      </c>
      <c r="BE10" s="2">
        <v>12.4</v>
      </c>
      <c r="BF10" s="2">
        <v>12.6</v>
      </c>
      <c r="BG10" s="2">
        <v>12.9</v>
      </c>
      <c r="BH10" s="2">
        <v>13.6</v>
      </c>
      <c r="BI10" s="2"/>
      <c r="BJ10" s="2"/>
      <c r="BK10" s="2"/>
      <c r="BL10" s="2"/>
      <c r="BM10" s="2"/>
      <c r="BN10" s="2">
        <v>93</v>
      </c>
      <c r="BO10" s="2">
        <v>35</v>
      </c>
      <c r="BP10" s="2">
        <v>41</v>
      </c>
      <c r="BQ10" s="2">
        <v>44</v>
      </c>
      <c r="BR10" s="2">
        <v>47</v>
      </c>
      <c r="BS10" s="2">
        <v>53</v>
      </c>
      <c r="BT10" s="2">
        <v>4</v>
      </c>
      <c r="BU10" s="2">
        <v>37</v>
      </c>
      <c r="BV10" s="2">
        <v>50</v>
      </c>
      <c r="BW10" s="2">
        <v>64</v>
      </c>
      <c r="BX10" s="2">
        <v>97</v>
      </c>
      <c r="BY10" s="2">
        <v>44.9</v>
      </c>
      <c r="BZ10" s="2">
        <v>1</v>
      </c>
      <c r="CA10" s="2">
        <v>0.5</v>
      </c>
      <c r="CB10" s="2">
        <v>6.6700182557517993E-5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10a</v>
      </c>
      <c r="J11" s="47">
        <f t="shared" ca="1" si="35"/>
        <v>6</v>
      </c>
      <c r="K11" s="19">
        <f t="shared" ca="1" si="36"/>
        <v>-10.199999999999999</v>
      </c>
      <c r="L11" s="116" t="str">
        <f t="shared" ca="1" si="1"/>
        <v>EW_sand_Ruled_77</v>
      </c>
      <c r="M11" s="105" t="str">
        <f t="shared" ca="1" si="2"/>
        <v>API sand</v>
      </c>
      <c r="N11" s="47">
        <f t="shared" ca="1" si="3"/>
        <v>10</v>
      </c>
      <c r="O11" s="63">
        <f t="shared" ca="1" si="4"/>
        <v>0</v>
      </c>
      <c r="P11" s="63">
        <f t="shared" ca="1" si="5"/>
        <v>0</v>
      </c>
      <c r="Q11" s="47">
        <f t="shared" ca="1" si="6"/>
        <v>39</v>
      </c>
      <c r="R11" s="47">
        <f t="shared" ca="1" si="7"/>
        <v>34</v>
      </c>
      <c r="S11" s="47">
        <f t="shared" ca="1" si="8"/>
        <v>1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80000</v>
      </c>
      <c r="Y11" s="47">
        <f t="shared" ca="1" si="14"/>
        <v>0</v>
      </c>
      <c r="Z11" s="47">
        <f t="shared" ca="1" si="15"/>
        <v>111.19999999999996</v>
      </c>
      <c r="AA11" s="47">
        <f t="shared" ca="1" si="16"/>
        <v>1</v>
      </c>
      <c r="AB11" s="47">
        <f t="shared" ca="1" si="17"/>
        <v>11520</v>
      </c>
      <c r="AC11" s="63">
        <f t="shared" ca="1" si="18"/>
        <v>109000</v>
      </c>
      <c r="AD11" s="63">
        <f t="shared" ca="1" si="19"/>
        <v>3623.1884057971001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48.000000000000007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77</v>
      </c>
      <c r="AS11" s="33">
        <f t="shared" ca="1" si="34"/>
        <v>0.4</v>
      </c>
      <c r="AW11" s="2">
        <v>3.3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11.1</v>
      </c>
      <c r="BE11" s="2">
        <v>11.9</v>
      </c>
      <c r="BF11" s="2">
        <v>12.2</v>
      </c>
      <c r="BG11" s="2">
        <v>12.4</v>
      </c>
      <c r="BH11" s="2">
        <v>13.2</v>
      </c>
      <c r="BI11" s="2"/>
      <c r="BJ11" s="2"/>
      <c r="BK11" s="2"/>
      <c r="BL11" s="2"/>
      <c r="BM11" s="2"/>
      <c r="BN11" s="2">
        <v>93</v>
      </c>
      <c r="BO11" s="2">
        <v>35</v>
      </c>
      <c r="BP11" s="2">
        <v>41</v>
      </c>
      <c r="BQ11" s="2">
        <v>44</v>
      </c>
      <c r="BR11" s="2">
        <v>47</v>
      </c>
      <c r="BS11" s="2">
        <v>53</v>
      </c>
      <c r="BT11" s="2">
        <v>15</v>
      </c>
      <c r="BU11" s="2">
        <v>48</v>
      </c>
      <c r="BV11" s="2">
        <v>61</v>
      </c>
      <c r="BW11" s="2">
        <v>75</v>
      </c>
      <c r="BX11" s="2">
        <v>107</v>
      </c>
      <c r="BY11" s="2">
        <v>44.9</v>
      </c>
      <c r="BZ11" s="2">
        <v>1</v>
      </c>
      <c r="CA11" s="2">
        <v>0.5</v>
      </c>
      <c r="CB11" s="2">
        <v>6.6700182557517993E-5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10b</v>
      </c>
      <c r="J12" s="47">
        <f t="shared" ca="1" si="35"/>
        <v>7</v>
      </c>
      <c r="K12" s="19">
        <f t="shared" ca="1" si="36"/>
        <v>-17.100000000000001</v>
      </c>
      <c r="L12" s="116" t="str">
        <f t="shared" ca="1" si="1"/>
        <v>EW_sand_Ruled_56</v>
      </c>
      <c r="M12" s="105" t="str">
        <f t="shared" ca="1" si="2"/>
        <v>API sand</v>
      </c>
      <c r="N12" s="47">
        <f t="shared" ca="1" si="3"/>
        <v>9.8999999999999986</v>
      </c>
      <c r="O12" s="63">
        <f t="shared" ca="1" si="4"/>
        <v>0</v>
      </c>
      <c r="P12" s="63">
        <f t="shared" ca="1" si="5"/>
        <v>0</v>
      </c>
      <c r="Q12" s="47">
        <f t="shared" ca="1" si="6"/>
        <v>37</v>
      </c>
      <c r="R12" s="47">
        <f t="shared" ca="1" si="7"/>
        <v>32</v>
      </c>
      <c r="S12" s="47">
        <f t="shared" ca="1" si="8"/>
        <v>0.7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45500</v>
      </c>
      <c r="Y12" s="47">
        <f t="shared" ca="1" si="14"/>
        <v>0</v>
      </c>
      <c r="Z12" s="47">
        <f t="shared" ca="1" si="15"/>
        <v>103.59999999999997</v>
      </c>
      <c r="AA12" s="47">
        <f t="shared" ca="1" si="16"/>
        <v>1</v>
      </c>
      <c r="AB12" s="47">
        <f t="shared" ca="1" si="17"/>
        <v>10560</v>
      </c>
      <c r="AC12" s="63">
        <f t="shared" ca="1" si="18"/>
        <v>123000</v>
      </c>
      <c r="AD12" s="63">
        <f t="shared" ca="1" si="19"/>
        <v>-3103.4482758620702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44.000000000000007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56</v>
      </c>
      <c r="AS12" s="33">
        <f t="shared" ca="1" si="34"/>
        <v>0.4</v>
      </c>
      <c r="AW12" s="2">
        <v>3.3</v>
      </c>
      <c r="AX12" s="2" t="s">
        <v>295</v>
      </c>
      <c r="AY12" s="130">
        <v>25.8</v>
      </c>
      <c r="AZ12" s="2">
        <v>19.399999999999999</v>
      </c>
      <c r="BA12" s="2"/>
      <c r="BB12" s="2">
        <v>2</v>
      </c>
      <c r="BC12" s="2"/>
      <c r="BD12" s="2">
        <v>4.7</v>
      </c>
      <c r="BE12" s="2">
        <v>6.6</v>
      </c>
      <c r="BF12" s="2">
        <v>6.9</v>
      </c>
      <c r="BG12" s="2">
        <v>7.3</v>
      </c>
      <c r="BH12" s="2">
        <v>9.1</v>
      </c>
      <c r="BI12" s="2"/>
      <c r="BJ12" s="2"/>
      <c r="BK12" s="2"/>
      <c r="BL12" s="2"/>
      <c r="BM12" s="2"/>
      <c r="BN12" s="2">
        <v>56</v>
      </c>
      <c r="BO12" s="2">
        <v>32</v>
      </c>
      <c r="BP12" s="2">
        <v>38</v>
      </c>
      <c r="BQ12" s="2">
        <v>41</v>
      </c>
      <c r="BR12" s="2">
        <v>44</v>
      </c>
      <c r="BS12" s="2">
        <v>49</v>
      </c>
      <c r="BT12" s="2">
        <v>3</v>
      </c>
      <c r="BU12" s="2">
        <v>41</v>
      </c>
      <c r="BV12" s="2">
        <v>58</v>
      </c>
      <c r="BW12" s="2">
        <v>74</v>
      </c>
      <c r="BX12" s="2">
        <v>114</v>
      </c>
      <c r="BY12" s="2">
        <v>34.6</v>
      </c>
      <c r="BZ12" s="2">
        <v>4.5</v>
      </c>
      <c r="CA12" s="2">
        <v>1.2</v>
      </c>
      <c r="CB12" s="2">
        <v>2.2716832879528098E-6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19a</v>
      </c>
      <c r="J13" s="47">
        <f t="shared" ca="1" si="35"/>
        <v>8</v>
      </c>
      <c r="K13" s="19">
        <f t="shared" ca="1" si="36"/>
        <v>-20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9</v>
      </c>
      <c r="O13" s="63">
        <f t="shared" ca="1" si="4"/>
        <v>169</v>
      </c>
      <c r="P13" s="63">
        <f t="shared" ca="1" si="5"/>
        <v>-1.5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2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0.5</v>
      </c>
      <c r="X13" s="47">
        <f t="shared" ca="1" si="13"/>
        <v>15500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276000</v>
      </c>
      <c r="AD13" s="63">
        <f t="shared" ca="1" si="19"/>
        <v>-1000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7</v>
      </c>
      <c r="AX13" s="2" t="s">
        <v>295</v>
      </c>
      <c r="AY13" s="130">
        <v>25.8</v>
      </c>
      <c r="AZ13" s="2">
        <v>19.399999999999999</v>
      </c>
      <c r="BA13" s="2"/>
      <c r="BB13" s="2">
        <v>2</v>
      </c>
      <c r="BC13" s="2"/>
      <c r="BD13" s="2">
        <v>7.9</v>
      </c>
      <c r="BE13" s="2">
        <v>9.8000000000000007</v>
      </c>
      <c r="BF13" s="2">
        <v>10.199999999999999</v>
      </c>
      <c r="BG13" s="2">
        <v>10.5</v>
      </c>
      <c r="BH13" s="2">
        <v>12.3</v>
      </c>
      <c r="BI13" s="2"/>
      <c r="BJ13" s="2"/>
      <c r="BK13" s="2"/>
      <c r="BL13" s="2"/>
      <c r="BM13" s="2"/>
      <c r="BN13" s="2">
        <v>56</v>
      </c>
      <c r="BO13" s="2">
        <v>32</v>
      </c>
      <c r="BP13" s="2">
        <v>38</v>
      </c>
      <c r="BQ13" s="2">
        <v>41</v>
      </c>
      <c r="BR13" s="2">
        <v>44</v>
      </c>
      <c r="BS13" s="2">
        <v>49</v>
      </c>
      <c r="BT13" s="2">
        <v>24</v>
      </c>
      <c r="BU13" s="2">
        <v>62</v>
      </c>
      <c r="BV13" s="2">
        <v>79</v>
      </c>
      <c r="BW13" s="2">
        <v>95</v>
      </c>
      <c r="BX13" s="2">
        <v>134</v>
      </c>
      <c r="BY13" s="2">
        <v>34.6</v>
      </c>
      <c r="BZ13" s="2">
        <v>4.5</v>
      </c>
      <c r="CA13" s="2">
        <v>1.2</v>
      </c>
      <c r="CB13" s="2">
        <v>2.2716832879528098E-6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19a</v>
      </c>
      <c r="J14" s="47">
        <f t="shared" ca="1" si="35"/>
        <v>9</v>
      </c>
      <c r="K14" s="19">
        <f t="shared" ca="1" si="36"/>
        <v>-22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9</v>
      </c>
      <c r="O14" s="63">
        <f t="shared" ca="1" si="4"/>
        <v>589</v>
      </c>
      <c r="P14" s="63">
        <f t="shared" ca="1" si="5"/>
        <v>-50.571428571428569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39200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1053000</v>
      </c>
      <c r="AD14" s="63">
        <f t="shared" ca="1" si="19"/>
        <v>-84571.428571428565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7</v>
      </c>
      <c r="AX14" s="2" t="s">
        <v>296</v>
      </c>
      <c r="AY14" s="130">
        <v>28</v>
      </c>
      <c r="AZ14" s="2">
        <v>19.5</v>
      </c>
      <c r="BA14" s="2">
        <v>11</v>
      </c>
      <c r="BB14" s="2">
        <v>34</v>
      </c>
      <c r="BC14" s="2">
        <v>4</v>
      </c>
      <c r="BD14" s="2">
        <v>4.5</v>
      </c>
      <c r="BE14" s="2">
        <v>6.8</v>
      </c>
      <c r="BF14" s="2">
        <v>7.3</v>
      </c>
      <c r="BG14" s="2">
        <v>7.7</v>
      </c>
      <c r="BH14" s="2">
        <v>9.6999999999999993</v>
      </c>
      <c r="BI14" s="2">
        <v>171</v>
      </c>
      <c r="BJ14" s="2">
        <v>339</v>
      </c>
      <c r="BK14" s="2">
        <v>396</v>
      </c>
      <c r="BL14" s="2">
        <v>452</v>
      </c>
      <c r="BM14" s="2">
        <v>608</v>
      </c>
      <c r="BN14" s="2"/>
      <c r="BO14" s="2"/>
      <c r="BP14" s="2"/>
      <c r="BQ14" s="2"/>
      <c r="BR14" s="2"/>
      <c r="BS14" s="2"/>
      <c r="BT14" s="2">
        <v>102</v>
      </c>
      <c r="BU14" s="2">
        <v>332</v>
      </c>
      <c r="BV14" s="2">
        <v>424</v>
      </c>
      <c r="BW14" s="2">
        <v>514</v>
      </c>
      <c r="BX14" s="2">
        <v>734</v>
      </c>
      <c r="BY14" s="2">
        <v>52.9</v>
      </c>
      <c r="BZ14" s="2">
        <v>16.100000000000001</v>
      </c>
      <c r="CA14" s="2">
        <v>3</v>
      </c>
      <c r="CB14" s="2">
        <v>1.0165144298638199E-7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19a</v>
      </c>
      <c r="J15" s="47">
        <f t="shared" ca="1" si="35"/>
        <v>10</v>
      </c>
      <c r="K15" s="19">
        <f t="shared" ca="1" si="36"/>
        <v>-25.5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9</v>
      </c>
      <c r="O15" s="63">
        <f t="shared" ca="1" si="4"/>
        <v>154</v>
      </c>
      <c r="P15" s="63">
        <f t="shared" ca="1" si="5"/>
        <v>-16.666666666666668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1.2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0.5</v>
      </c>
      <c r="X15" s="47">
        <f t="shared" ca="1" si="13"/>
        <v>13200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258000</v>
      </c>
      <c r="AD15" s="63">
        <f t="shared" ca="1" si="19"/>
        <v>-22000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10.199999999999999</v>
      </c>
      <c r="AX15" s="2" t="s">
        <v>296</v>
      </c>
      <c r="AY15" s="130">
        <v>28</v>
      </c>
      <c r="AZ15" s="2">
        <v>19.5</v>
      </c>
      <c r="BA15" s="2">
        <v>11</v>
      </c>
      <c r="BB15" s="2">
        <v>34</v>
      </c>
      <c r="BC15" s="2">
        <v>4</v>
      </c>
      <c r="BD15" s="2">
        <v>3.2</v>
      </c>
      <c r="BE15" s="2">
        <v>5.6</v>
      </c>
      <c r="BF15" s="2">
        <v>6.1</v>
      </c>
      <c r="BG15" s="2">
        <v>6.5</v>
      </c>
      <c r="BH15" s="2">
        <v>8.5</v>
      </c>
      <c r="BI15" s="2">
        <v>101</v>
      </c>
      <c r="BJ15" s="2">
        <v>269</v>
      </c>
      <c r="BK15" s="2">
        <v>325</v>
      </c>
      <c r="BL15" s="2">
        <v>382</v>
      </c>
      <c r="BM15" s="2">
        <v>538</v>
      </c>
      <c r="BN15" s="2"/>
      <c r="BO15" s="2"/>
      <c r="BP15" s="2"/>
      <c r="BQ15" s="2"/>
      <c r="BR15" s="2"/>
      <c r="BS15" s="2"/>
      <c r="BT15" s="2">
        <v>15</v>
      </c>
      <c r="BU15" s="2">
        <v>245</v>
      </c>
      <c r="BV15" s="2">
        <v>336</v>
      </c>
      <c r="BW15" s="2">
        <v>427</v>
      </c>
      <c r="BX15" s="2">
        <v>647</v>
      </c>
      <c r="BY15" s="2">
        <v>52.9</v>
      </c>
      <c r="BZ15" s="2">
        <v>16.100000000000001</v>
      </c>
      <c r="CA15" s="2">
        <v>3</v>
      </c>
      <c r="CB15" s="2">
        <v>1.0165144298638199E-7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19b</v>
      </c>
      <c r="J16" s="47">
        <f t="shared" ca="1" si="35"/>
        <v>11</v>
      </c>
      <c r="K16" s="19">
        <f t="shared" ca="1" si="36"/>
        <v>-27</v>
      </c>
      <c r="L16" s="116" t="str">
        <f t="shared" ca="1" si="1"/>
        <v>EW_sand_Ruled_84</v>
      </c>
      <c r="M16" s="105" t="str">
        <f t="shared" ca="1" si="2"/>
        <v>API sand</v>
      </c>
      <c r="N16" s="47">
        <f t="shared" ca="1" si="3"/>
        <v>8.5</v>
      </c>
      <c r="O16" s="63">
        <f t="shared" ca="1" si="4"/>
        <v>0</v>
      </c>
      <c r="P16" s="63">
        <f t="shared" ca="1" si="5"/>
        <v>0</v>
      </c>
      <c r="Q16" s="47">
        <f t="shared" ca="1" si="6"/>
        <v>29</v>
      </c>
      <c r="R16" s="47">
        <f t="shared" ca="1" si="7"/>
        <v>24</v>
      </c>
      <c r="S16" s="47">
        <f t="shared" ca="1" si="8"/>
        <v>1.3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46500</v>
      </c>
      <c r="Y16" s="47">
        <f t="shared" ca="1" si="14"/>
        <v>0</v>
      </c>
      <c r="Z16" s="47">
        <f t="shared" ca="1" si="15"/>
        <v>78.199999999999974</v>
      </c>
      <c r="AA16" s="47">
        <f t="shared" ca="1" si="16"/>
        <v>1</v>
      </c>
      <c r="AB16" s="47">
        <f t="shared" ca="1" si="17"/>
        <v>4420</v>
      </c>
      <c r="AC16" s="63">
        <f t="shared" ca="1" si="18"/>
        <v>144000</v>
      </c>
      <c r="AD16" s="63">
        <f t="shared" ca="1" si="19"/>
        <v>17333.333333333332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18.400000000000006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84</v>
      </c>
      <c r="AS16" s="33">
        <f t="shared" ca="1" si="34"/>
        <v>0.2</v>
      </c>
      <c r="AW16" s="2">
        <v>10.199999999999999</v>
      </c>
      <c r="AX16" s="2" t="s">
        <v>259</v>
      </c>
      <c r="AY16" s="130">
        <v>25.5</v>
      </c>
      <c r="AZ16" s="2">
        <v>20</v>
      </c>
      <c r="BA16" s="2"/>
      <c r="BB16" s="2">
        <v>14</v>
      </c>
      <c r="BC16" s="2"/>
      <c r="BD16" s="2">
        <v>14.2</v>
      </c>
      <c r="BE16" s="2">
        <v>18.8</v>
      </c>
      <c r="BF16" s="2">
        <v>19.399999999999999</v>
      </c>
      <c r="BG16" s="2">
        <v>20.100000000000001</v>
      </c>
      <c r="BH16" s="2">
        <v>26.6</v>
      </c>
      <c r="BI16" s="2"/>
      <c r="BJ16" s="2"/>
      <c r="BK16" s="2"/>
      <c r="BL16" s="2"/>
      <c r="BM16" s="2"/>
      <c r="BN16" s="2">
        <v>77</v>
      </c>
      <c r="BO16" s="2">
        <v>33</v>
      </c>
      <c r="BP16" s="2">
        <v>39</v>
      </c>
      <c r="BQ16" s="2">
        <v>42</v>
      </c>
      <c r="BR16" s="2">
        <v>45</v>
      </c>
      <c r="BS16" s="2">
        <v>51</v>
      </c>
      <c r="BT16" s="2">
        <v>10</v>
      </c>
      <c r="BU16" s="2">
        <v>81</v>
      </c>
      <c r="BV16" s="2">
        <v>109</v>
      </c>
      <c r="BW16" s="2">
        <v>137</v>
      </c>
      <c r="BX16" s="2">
        <v>208</v>
      </c>
      <c r="BY16" s="2">
        <v>80</v>
      </c>
      <c r="BZ16" s="2">
        <v>3.1</v>
      </c>
      <c r="CA16" s="2">
        <v>1</v>
      </c>
      <c r="CB16" s="2">
        <v>2.29857052316453E-6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19b</v>
      </c>
      <c r="J17" s="47">
        <f t="shared" ca="1" si="35"/>
        <v>12</v>
      </c>
      <c r="K17" s="19">
        <f t="shared" ca="1" si="36"/>
        <v>-30</v>
      </c>
      <c r="L17" s="116" t="str">
        <f t="shared" ca="1" si="1"/>
        <v>EW_sand_Ruled_83</v>
      </c>
      <c r="M17" s="105" t="str">
        <f t="shared" ca="1" si="2"/>
        <v>API sand</v>
      </c>
      <c r="N17" s="47">
        <f t="shared" ca="1" si="3"/>
        <v>8.5</v>
      </c>
      <c r="O17" s="63">
        <f t="shared" ca="1" si="4"/>
        <v>0</v>
      </c>
      <c r="P17" s="63">
        <f t="shared" ca="1" si="5"/>
        <v>0</v>
      </c>
      <c r="Q17" s="47">
        <f t="shared" ca="1" si="6"/>
        <v>28</v>
      </c>
      <c r="R17" s="47">
        <f t="shared" ca="1" si="7"/>
        <v>23</v>
      </c>
      <c r="S17" s="47">
        <f t="shared" ca="1" si="8"/>
        <v>1.1000000000000001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48400</v>
      </c>
      <c r="Y17" s="47">
        <f t="shared" ca="1" si="14"/>
        <v>0</v>
      </c>
      <c r="Z17" s="47">
        <f t="shared" ca="1" si="15"/>
        <v>75.399999999999977</v>
      </c>
      <c r="AA17" s="47">
        <f t="shared" ca="1" si="16"/>
        <v>1</v>
      </c>
      <c r="AB17" s="47">
        <f t="shared" ca="1" si="17"/>
        <v>4040</v>
      </c>
      <c r="AC17" s="63">
        <f t="shared" ca="1" si="18"/>
        <v>174000</v>
      </c>
      <c r="AD17" s="63">
        <f t="shared" ca="1" si="19"/>
        <v>2618.0257510729621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16.800000000000004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83</v>
      </c>
      <c r="AS17" s="33">
        <f t="shared" ca="1" si="34"/>
        <v>0.2</v>
      </c>
      <c r="AW17" s="2">
        <v>17.100000000000001</v>
      </c>
      <c r="AX17" s="2" t="s">
        <v>259</v>
      </c>
      <c r="AY17" s="130">
        <v>25.5</v>
      </c>
      <c r="AZ17" s="2">
        <v>20</v>
      </c>
      <c r="BA17" s="2"/>
      <c r="BB17" s="2">
        <v>14</v>
      </c>
      <c r="BC17" s="2"/>
      <c r="BD17" s="2">
        <v>15.5</v>
      </c>
      <c r="BE17" s="2">
        <v>20</v>
      </c>
      <c r="BF17" s="2">
        <v>20.6</v>
      </c>
      <c r="BG17" s="2">
        <v>21.3</v>
      </c>
      <c r="BH17" s="2">
        <v>27.8</v>
      </c>
      <c r="BI17" s="2"/>
      <c r="BJ17" s="2"/>
      <c r="BK17" s="2"/>
      <c r="BL17" s="2"/>
      <c r="BM17" s="2"/>
      <c r="BN17" s="2">
        <v>77</v>
      </c>
      <c r="BO17" s="2">
        <v>33</v>
      </c>
      <c r="BP17" s="2">
        <v>39</v>
      </c>
      <c r="BQ17" s="2">
        <v>42</v>
      </c>
      <c r="BR17" s="2">
        <v>45</v>
      </c>
      <c r="BS17" s="2">
        <v>51</v>
      </c>
      <c r="BT17" s="2">
        <v>35</v>
      </c>
      <c r="BU17" s="2">
        <v>105</v>
      </c>
      <c r="BV17" s="2">
        <v>134</v>
      </c>
      <c r="BW17" s="2">
        <v>162</v>
      </c>
      <c r="BX17" s="2">
        <v>233</v>
      </c>
      <c r="BY17" s="2">
        <v>80</v>
      </c>
      <c r="BZ17" s="2">
        <v>3.1</v>
      </c>
      <c r="CA17" s="2">
        <v>1</v>
      </c>
      <c r="CB17" s="2">
        <v>2.29857052316453E-6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21a</v>
      </c>
      <c r="J18" s="47">
        <f t="shared" ca="1" si="35"/>
        <v>13</v>
      </c>
      <c r="K18" s="19">
        <f t="shared" ca="1" si="36"/>
        <v>-53.3</v>
      </c>
      <c r="L18" s="116" t="str">
        <f t="shared" ca="1" si="1"/>
        <v>EW_sand_Ruled_61</v>
      </c>
      <c r="M18" s="105" t="str">
        <f t="shared" ca="1" si="2"/>
        <v>API sand</v>
      </c>
      <c r="N18" s="47">
        <f t="shared" ca="1" si="3"/>
        <v>9.8000000000000007</v>
      </c>
      <c r="O18" s="63">
        <f t="shared" ca="1" si="4"/>
        <v>0</v>
      </c>
      <c r="P18" s="63">
        <f t="shared" ca="1" si="5"/>
        <v>0</v>
      </c>
      <c r="Q18" s="47">
        <f t="shared" ca="1" si="6"/>
        <v>27</v>
      </c>
      <c r="R18" s="47">
        <f t="shared" ca="1" si="7"/>
        <v>22</v>
      </c>
      <c r="S18" s="47">
        <f t="shared" ca="1" si="8"/>
        <v>0.8</v>
      </c>
      <c r="T18" s="47">
        <f t="shared" ca="1" si="9"/>
        <v>0</v>
      </c>
      <c r="U18" s="75">
        <f t="shared" ca="1" si="10"/>
        <v>0</v>
      </c>
      <c r="V18" s="75">
        <f t="shared" ca="1" si="11"/>
        <v>0</v>
      </c>
      <c r="W18" s="47">
        <f t="shared" ca="1" si="12"/>
        <v>0</v>
      </c>
      <c r="X18" s="47">
        <f t="shared" ca="1" si="13"/>
        <v>67400</v>
      </c>
      <c r="Y18" s="47">
        <f t="shared" ca="1" si="14"/>
        <v>0</v>
      </c>
      <c r="Z18" s="47">
        <f t="shared" ca="1" si="15"/>
        <v>72.59999999999998</v>
      </c>
      <c r="AA18" s="47">
        <f t="shared" ca="1" si="16"/>
        <v>1</v>
      </c>
      <c r="AB18" s="47">
        <f t="shared" ca="1" si="17"/>
        <v>3660</v>
      </c>
      <c r="AC18" s="63">
        <f t="shared" ca="1" si="18"/>
        <v>206000</v>
      </c>
      <c r="AD18" s="63">
        <f t="shared" ca="1" si="19"/>
        <v>1296.2962962962949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>
        <f t="shared" ca="1" si="25"/>
        <v>15.200000000000003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61</v>
      </c>
      <c r="AS18" s="33">
        <f t="shared" ca="1" si="34"/>
        <v>0.2</v>
      </c>
      <c r="AW18" s="2">
        <v>17.100000000000001</v>
      </c>
      <c r="AX18" s="2" t="s">
        <v>261</v>
      </c>
      <c r="AY18" s="130">
        <v>24</v>
      </c>
      <c r="AZ18" s="2">
        <v>19.899999999999999</v>
      </c>
      <c r="BA18" s="2"/>
      <c r="BB18" s="2">
        <v>6</v>
      </c>
      <c r="BC18" s="2"/>
      <c r="BD18" s="2">
        <f>-3+10.3</f>
        <v>7.3000000000000007</v>
      </c>
      <c r="BE18" s="2">
        <v>13.5</v>
      </c>
      <c r="BF18" s="2">
        <v>14.2</v>
      </c>
      <c r="BG18" s="2">
        <v>15.4</v>
      </c>
      <c r="BH18" s="2">
        <f>5+21.9</f>
        <v>26.9</v>
      </c>
      <c r="BI18" s="2"/>
      <c r="BJ18" s="2"/>
      <c r="BK18" s="2"/>
      <c r="BL18" s="2"/>
      <c r="BM18" s="2"/>
      <c r="BN18" s="2">
        <v>56</v>
      </c>
      <c r="BO18" s="2">
        <v>30</v>
      </c>
      <c r="BP18" s="2">
        <v>37</v>
      </c>
      <c r="BQ18" s="2">
        <v>39</v>
      </c>
      <c r="BR18" s="2">
        <v>42</v>
      </c>
      <c r="BS18" s="2">
        <v>48</v>
      </c>
      <c r="BT18" s="2">
        <v>28</v>
      </c>
      <c r="BU18" s="2">
        <v>95</v>
      </c>
      <c r="BV18" s="2">
        <v>123</v>
      </c>
      <c r="BW18" s="2">
        <v>151</v>
      </c>
      <c r="BX18" s="2">
        <v>221</v>
      </c>
      <c r="BY18" s="2">
        <v>45.5</v>
      </c>
      <c r="BZ18" s="2">
        <v>1.6</v>
      </c>
      <c r="CA18" s="2">
        <v>0.7</v>
      </c>
      <c r="CB18" s="2">
        <v>6.9820152145409201E-8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23d</v>
      </c>
      <c r="J19" s="47">
        <f t="shared" ca="1" si="35"/>
        <v>14</v>
      </c>
      <c r="K19" s="19">
        <f t="shared" ca="1" si="36"/>
        <v>-58.7</v>
      </c>
      <c r="L19" s="116" t="str">
        <f t="shared" ca="1" si="1"/>
        <v>Cowden Clay</v>
      </c>
      <c r="M19" s="105" t="str">
        <f t="shared" ca="1" si="2"/>
        <v>API clay</v>
      </c>
      <c r="N19" s="47">
        <f t="shared" ca="1" si="3"/>
        <v>8.8999999999999986</v>
      </c>
      <c r="O19" s="63">
        <f t="shared" ca="1" si="4"/>
        <v>438</v>
      </c>
      <c r="P19" s="63">
        <f t="shared" ca="1" si="5"/>
        <v>5.8215962441314559</v>
      </c>
      <c r="Q19" s="47">
        <f t="shared" ca="1" si="6"/>
        <v>0</v>
      </c>
      <c r="R19" s="47" t="e">
        <f t="shared" ca="1" si="7"/>
        <v>#N/A</v>
      </c>
      <c r="S19" s="47">
        <f t="shared" ca="1" si="8"/>
        <v>1.7</v>
      </c>
      <c r="T19" s="47">
        <f t="shared" ca="1" si="9"/>
        <v>0</v>
      </c>
      <c r="U19" s="75">
        <f t="shared" ca="1" si="10"/>
        <v>1.7999999999999999E-2</v>
      </c>
      <c r="V19" s="75">
        <f t="shared" ca="1" si="11"/>
        <v>0</v>
      </c>
      <c r="W19" s="47">
        <f t="shared" ca="1" si="12"/>
        <v>0.25</v>
      </c>
      <c r="X19" s="47">
        <f t="shared" ca="1" si="13"/>
        <v>43800</v>
      </c>
      <c r="Y19" s="47">
        <f t="shared" ca="1" si="14"/>
        <v>0</v>
      </c>
      <c r="Z19" s="47" t="e">
        <f t="shared" ca="1" si="15"/>
        <v>#N/A</v>
      </c>
      <c r="AA19" s="47">
        <f t="shared" ca="1" si="16"/>
        <v>1</v>
      </c>
      <c r="AB19" s="47" t="e">
        <f t="shared" ca="1" si="17"/>
        <v>#N/A</v>
      </c>
      <c r="AC19" s="63">
        <f t="shared" ca="1" si="18"/>
        <v>674000</v>
      </c>
      <c r="AD19" s="63">
        <f t="shared" ca="1" si="19"/>
        <v>10798.122065727701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 t="e">
        <f t="shared" ca="1" si="25"/>
        <v>#N/A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0</v>
      </c>
      <c r="AS19" s="33">
        <f t="shared" ca="1" si="34"/>
        <v>0.4</v>
      </c>
      <c r="AW19" s="2">
        <v>20</v>
      </c>
      <c r="AX19" s="2" t="s">
        <v>261</v>
      </c>
      <c r="AY19" s="130">
        <v>24</v>
      </c>
      <c r="AZ19" s="2">
        <v>19.899999999999999</v>
      </c>
      <c r="BA19" s="2"/>
      <c r="BB19" s="2">
        <v>6</v>
      </c>
      <c r="BC19" s="2"/>
      <c r="BD19" s="2">
        <f>-3+5.1</f>
        <v>2.0999999999999996</v>
      </c>
      <c r="BE19" s="2">
        <v>8.3000000000000007</v>
      </c>
      <c r="BF19" s="2">
        <v>9</v>
      </c>
      <c r="BG19" s="2">
        <v>10.199999999999999</v>
      </c>
      <c r="BH19" s="2">
        <f>5+16.7</f>
        <v>21.7</v>
      </c>
      <c r="BI19" s="2"/>
      <c r="BJ19" s="2"/>
      <c r="BK19" s="2"/>
      <c r="BL19" s="2"/>
      <c r="BM19" s="2"/>
      <c r="BN19" s="2">
        <v>56</v>
      </c>
      <c r="BO19" s="2">
        <v>30</v>
      </c>
      <c r="BP19" s="2">
        <v>37</v>
      </c>
      <c r="BQ19" s="2">
        <v>39</v>
      </c>
      <c r="BR19" s="2">
        <v>42</v>
      </c>
      <c r="BS19" s="2">
        <v>48</v>
      </c>
      <c r="BT19" s="2">
        <v>19</v>
      </c>
      <c r="BU19" s="2">
        <v>86</v>
      </c>
      <c r="BV19" s="2">
        <v>114</v>
      </c>
      <c r="BW19" s="2">
        <v>142</v>
      </c>
      <c r="BX19" s="2">
        <v>213</v>
      </c>
      <c r="BY19" s="2">
        <v>45.5</v>
      </c>
      <c r="BZ19" s="2">
        <v>1.6</v>
      </c>
      <c r="CA19" s="2">
        <v>0.7</v>
      </c>
      <c r="CB19" s="2">
        <v>6.9820152145409201E-8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20</v>
      </c>
      <c r="AX20" s="2" t="s">
        <v>304</v>
      </c>
      <c r="AY20" s="130">
        <v>25</v>
      </c>
      <c r="AZ20" s="2">
        <v>19</v>
      </c>
      <c r="BA20" s="2"/>
      <c r="BB20" s="2"/>
      <c r="BC20" s="2">
        <v>4</v>
      </c>
      <c r="BD20" s="2">
        <v>4</v>
      </c>
      <c r="BE20" s="2">
        <v>4.2</v>
      </c>
      <c r="BF20" s="2">
        <v>4.2</v>
      </c>
      <c r="BG20" s="2">
        <v>4.4000000000000004</v>
      </c>
      <c r="BH20" s="2">
        <v>4.7</v>
      </c>
      <c r="BI20" s="2">
        <v>74</v>
      </c>
      <c r="BJ20" s="2">
        <v>169</v>
      </c>
      <c r="BK20" s="2">
        <v>213</v>
      </c>
      <c r="BL20" s="2">
        <v>257</v>
      </c>
      <c r="BM20" s="2">
        <v>353</v>
      </c>
      <c r="BN20" s="2"/>
      <c r="BO20" s="2"/>
      <c r="BP20" s="2"/>
      <c r="BQ20" s="2"/>
      <c r="BR20" s="2"/>
      <c r="BS20" s="2"/>
      <c r="BT20" s="2">
        <v>23</v>
      </c>
      <c r="BU20" s="2">
        <v>189</v>
      </c>
      <c r="BV20" s="2">
        <v>276</v>
      </c>
      <c r="BW20" s="2">
        <v>363</v>
      </c>
      <c r="BX20" s="2">
        <v>537</v>
      </c>
      <c r="BY20" s="2">
        <v>15.5</v>
      </c>
      <c r="BZ20" s="2">
        <v>5.5</v>
      </c>
      <c r="CA20" s="2">
        <v>2</v>
      </c>
      <c r="CB20" s="2">
        <v>2.01182377404484E-10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22</v>
      </c>
      <c r="AX21" s="2" t="s">
        <v>304</v>
      </c>
      <c r="AY21" s="130">
        <v>25</v>
      </c>
      <c r="AZ21" s="2">
        <v>19</v>
      </c>
      <c r="BA21" s="2"/>
      <c r="BB21" s="2"/>
      <c r="BC21" s="2">
        <v>4</v>
      </c>
      <c r="BD21" s="2">
        <v>4</v>
      </c>
      <c r="BE21" s="2">
        <v>4.0999999999999996</v>
      </c>
      <c r="BF21" s="2">
        <v>4.2</v>
      </c>
      <c r="BG21" s="2">
        <v>4.3</v>
      </c>
      <c r="BH21" s="2">
        <v>4.7</v>
      </c>
      <c r="BI21" s="2">
        <v>71</v>
      </c>
      <c r="BJ21" s="2">
        <v>166</v>
      </c>
      <c r="BK21" s="2">
        <v>210</v>
      </c>
      <c r="BL21" s="2">
        <v>254</v>
      </c>
      <c r="BM21" s="2">
        <v>350</v>
      </c>
      <c r="BN21" s="2"/>
      <c r="BO21" s="2"/>
      <c r="BP21" s="2"/>
      <c r="BQ21" s="2"/>
      <c r="BR21" s="2"/>
      <c r="BS21" s="2"/>
      <c r="BT21" s="2">
        <v>21</v>
      </c>
      <c r="BU21" s="2">
        <v>187</v>
      </c>
      <c r="BV21" s="2">
        <v>274</v>
      </c>
      <c r="BW21" s="2">
        <v>361</v>
      </c>
      <c r="BX21" s="2">
        <v>535</v>
      </c>
      <c r="BY21" s="2">
        <v>15.5</v>
      </c>
      <c r="BZ21" s="2">
        <v>5.5</v>
      </c>
      <c r="CA21" s="2">
        <v>2</v>
      </c>
      <c r="CB21" s="2">
        <v>2.01182377404484E-10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22</v>
      </c>
      <c r="AX22" s="2" t="s">
        <v>304</v>
      </c>
      <c r="AY22" s="130">
        <v>25</v>
      </c>
      <c r="AZ22" s="2">
        <v>19</v>
      </c>
      <c r="BA22" s="2"/>
      <c r="BB22" s="2"/>
      <c r="BC22" s="2">
        <v>4</v>
      </c>
      <c r="BD22" s="2">
        <v>5.2</v>
      </c>
      <c r="BE22" s="2">
        <v>11.4</v>
      </c>
      <c r="BF22" s="2">
        <v>12.5</v>
      </c>
      <c r="BG22" s="2">
        <v>13.6</v>
      </c>
      <c r="BH22" s="2">
        <v>20</v>
      </c>
      <c r="BI22" s="2">
        <v>228</v>
      </c>
      <c r="BJ22" s="2">
        <v>589</v>
      </c>
      <c r="BK22" s="2">
        <v>668</v>
      </c>
      <c r="BL22" s="2">
        <v>749</v>
      </c>
      <c r="BM22" s="2">
        <v>1121</v>
      </c>
      <c r="BN22" s="2"/>
      <c r="BO22" s="2"/>
      <c r="BP22" s="2"/>
      <c r="BQ22" s="2"/>
      <c r="BR22" s="2"/>
      <c r="BS22" s="2"/>
      <c r="BT22" s="2">
        <v>321</v>
      </c>
      <c r="BU22" s="2">
        <v>916</v>
      </c>
      <c r="BV22" s="2">
        <v>1053</v>
      </c>
      <c r="BW22" s="2">
        <v>1203</v>
      </c>
      <c r="BX22" s="2">
        <v>1930</v>
      </c>
      <c r="BY22" s="2">
        <v>39.200000000000003</v>
      </c>
      <c r="BZ22" s="2">
        <v>11.6</v>
      </c>
      <c r="CA22" s="2">
        <v>3</v>
      </c>
      <c r="CB22" s="2">
        <v>3.3699003810757502E-9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25.5</v>
      </c>
      <c r="AX23" s="2" t="s">
        <v>304</v>
      </c>
      <c r="AY23" s="130">
        <v>25</v>
      </c>
      <c r="AZ23" s="2">
        <v>19</v>
      </c>
      <c r="BA23" s="2"/>
      <c r="BB23" s="2"/>
      <c r="BC23" s="2">
        <v>4</v>
      </c>
      <c r="BD23" s="2">
        <v>2.1</v>
      </c>
      <c r="BE23" s="2">
        <v>8.3000000000000007</v>
      </c>
      <c r="BF23" s="2">
        <v>9.4</v>
      </c>
      <c r="BG23" s="2">
        <v>10.5</v>
      </c>
      <c r="BH23" s="2">
        <v>16.899999999999999</v>
      </c>
      <c r="BI23" s="2">
        <v>51</v>
      </c>
      <c r="BJ23" s="2">
        <v>412</v>
      </c>
      <c r="BK23" s="2">
        <v>491</v>
      </c>
      <c r="BL23" s="2">
        <v>572</v>
      </c>
      <c r="BM23" s="2">
        <v>944</v>
      </c>
      <c r="BN23" s="2"/>
      <c r="BO23" s="2"/>
      <c r="BP23" s="2"/>
      <c r="BQ23" s="2"/>
      <c r="BR23" s="2"/>
      <c r="BS23" s="2"/>
      <c r="BT23" s="2">
        <v>25</v>
      </c>
      <c r="BU23" s="2">
        <v>620</v>
      </c>
      <c r="BV23" s="2">
        <v>757</v>
      </c>
      <c r="BW23" s="2">
        <v>906</v>
      </c>
      <c r="BX23" s="2">
        <v>1634</v>
      </c>
      <c r="BY23" s="2">
        <v>39.200000000000003</v>
      </c>
      <c r="BZ23" s="2">
        <v>11.6</v>
      </c>
      <c r="CA23" s="2">
        <v>3</v>
      </c>
      <c r="CB23" s="2">
        <v>3.3699003810757502E-9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25.5</v>
      </c>
      <c r="AX24" s="2" t="s">
        <v>304</v>
      </c>
      <c r="AY24" s="130">
        <v>25</v>
      </c>
      <c r="AZ24" s="2">
        <v>19</v>
      </c>
      <c r="BA24" s="2"/>
      <c r="BB24" s="2"/>
      <c r="BC24" s="2">
        <v>4</v>
      </c>
      <c r="BD24" s="2">
        <v>3.1</v>
      </c>
      <c r="BE24" s="2">
        <v>3.8</v>
      </c>
      <c r="BF24" s="2">
        <v>4</v>
      </c>
      <c r="BG24" s="2">
        <v>4.4000000000000004</v>
      </c>
      <c r="BH24" s="2">
        <v>5.4</v>
      </c>
      <c r="BI24" s="2">
        <v>64</v>
      </c>
      <c r="BJ24" s="2">
        <v>154</v>
      </c>
      <c r="BK24" s="2">
        <v>193</v>
      </c>
      <c r="BL24" s="2">
        <v>234</v>
      </c>
      <c r="BM24" s="2">
        <v>334</v>
      </c>
      <c r="BN24" s="2"/>
      <c r="BO24" s="2"/>
      <c r="BP24" s="2"/>
      <c r="BQ24" s="2"/>
      <c r="BR24" s="2"/>
      <c r="BS24" s="2"/>
      <c r="BT24" s="2">
        <v>60</v>
      </c>
      <c r="BU24" s="2">
        <v>173</v>
      </c>
      <c r="BV24" s="2">
        <v>258</v>
      </c>
      <c r="BW24" s="2">
        <v>345</v>
      </c>
      <c r="BX24" s="2">
        <v>533</v>
      </c>
      <c r="BY24" s="2">
        <v>13.2</v>
      </c>
      <c r="BZ24" s="2">
        <v>3.3</v>
      </c>
      <c r="CA24" s="2">
        <v>1.2</v>
      </c>
      <c r="CB24" s="2">
        <v>4.8279243501801703E-11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27</v>
      </c>
      <c r="AX25" s="2" t="s">
        <v>304</v>
      </c>
      <c r="AY25" s="130">
        <v>25</v>
      </c>
      <c r="AZ25" s="2">
        <v>19</v>
      </c>
      <c r="BA25" s="2"/>
      <c r="BB25" s="2"/>
      <c r="BC25" s="2">
        <v>4</v>
      </c>
      <c r="BD25" s="2">
        <v>2.6</v>
      </c>
      <c r="BE25" s="2">
        <v>3.4</v>
      </c>
      <c r="BF25" s="2">
        <v>3.6</v>
      </c>
      <c r="BG25" s="2">
        <v>3.9</v>
      </c>
      <c r="BH25" s="2">
        <v>5</v>
      </c>
      <c r="BI25" s="2">
        <v>40</v>
      </c>
      <c r="BJ25" s="2">
        <v>129</v>
      </c>
      <c r="BK25" s="2">
        <v>168</v>
      </c>
      <c r="BL25" s="2">
        <v>210</v>
      </c>
      <c r="BM25" s="2">
        <v>309</v>
      </c>
      <c r="BN25" s="2"/>
      <c r="BO25" s="2"/>
      <c r="BP25" s="2"/>
      <c r="BQ25" s="2"/>
      <c r="BR25" s="2"/>
      <c r="BS25" s="2"/>
      <c r="BT25" s="2">
        <v>26</v>
      </c>
      <c r="BU25" s="2">
        <v>140</v>
      </c>
      <c r="BV25" s="2">
        <v>225</v>
      </c>
      <c r="BW25" s="2">
        <v>312</v>
      </c>
      <c r="BX25" s="2">
        <v>499</v>
      </c>
      <c r="BY25" s="2">
        <v>13.2</v>
      </c>
      <c r="BZ25" s="2">
        <v>3.3</v>
      </c>
      <c r="CA25" s="2">
        <v>1.2</v>
      </c>
      <c r="CB25" s="2">
        <v>4.8279243501801703E-11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27</v>
      </c>
      <c r="AX26" s="2" t="s">
        <v>291</v>
      </c>
      <c r="AY26" s="130">
        <v>35.4</v>
      </c>
      <c r="AZ26" s="2">
        <v>18.5</v>
      </c>
      <c r="BA26" s="2"/>
      <c r="BB26" s="2">
        <v>54</v>
      </c>
      <c r="BC26" s="2"/>
      <c r="BD26" s="2">
        <v>1</v>
      </c>
      <c r="BE26" s="2">
        <v>10.199999999999999</v>
      </c>
      <c r="BF26" s="2">
        <v>12.5</v>
      </c>
      <c r="BG26" s="2">
        <v>14.8</v>
      </c>
      <c r="BH26" s="2">
        <v>27.9</v>
      </c>
      <c r="BI26" s="2"/>
      <c r="BJ26" s="2"/>
      <c r="BK26" s="2"/>
      <c r="BL26" s="2"/>
      <c r="BM26" s="2"/>
      <c r="BN26" s="2">
        <v>84</v>
      </c>
      <c r="BO26" s="2">
        <v>26</v>
      </c>
      <c r="BP26" s="2">
        <v>29</v>
      </c>
      <c r="BQ26" s="2">
        <v>31</v>
      </c>
      <c r="BR26" s="2">
        <v>34</v>
      </c>
      <c r="BS26" s="2">
        <v>38</v>
      </c>
      <c r="BT26" s="2">
        <v>27</v>
      </c>
      <c r="BU26" s="2">
        <v>104</v>
      </c>
      <c r="BV26" s="2">
        <v>144</v>
      </c>
      <c r="BW26" s="2">
        <v>184</v>
      </c>
      <c r="BX26" s="2">
        <v>285</v>
      </c>
      <c r="BY26" s="2">
        <v>46.5</v>
      </c>
      <c r="BZ26" s="2">
        <v>4.7</v>
      </c>
      <c r="CA26" s="2">
        <v>1.3</v>
      </c>
      <c r="CB26" s="2">
        <v>1.0366425254452699E-6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30</v>
      </c>
      <c r="AX27" s="2" t="s">
        <v>291</v>
      </c>
      <c r="AY27" s="130">
        <v>35.4</v>
      </c>
      <c r="AZ27" s="2">
        <v>18.5</v>
      </c>
      <c r="BA27" s="2"/>
      <c r="BB27" s="2">
        <v>54</v>
      </c>
      <c r="BC27" s="2"/>
      <c r="BD27" s="2">
        <v>28.7</v>
      </c>
      <c r="BE27" s="2">
        <v>38</v>
      </c>
      <c r="BF27" s="2">
        <v>40.299999999999997</v>
      </c>
      <c r="BG27" s="2">
        <v>42.6</v>
      </c>
      <c r="BH27" s="2">
        <v>55.7</v>
      </c>
      <c r="BI27" s="2"/>
      <c r="BJ27" s="2"/>
      <c r="BK27" s="2"/>
      <c r="BL27" s="2"/>
      <c r="BM27" s="2"/>
      <c r="BN27" s="2">
        <v>84</v>
      </c>
      <c r="BO27" s="2">
        <v>26</v>
      </c>
      <c r="BP27" s="2">
        <v>29</v>
      </c>
      <c r="BQ27" s="2">
        <v>31</v>
      </c>
      <c r="BR27" s="2">
        <v>34</v>
      </c>
      <c r="BS27" s="2">
        <v>38</v>
      </c>
      <c r="BT27" s="2">
        <v>78</v>
      </c>
      <c r="BU27" s="2">
        <v>156</v>
      </c>
      <c r="BV27" s="2">
        <v>196</v>
      </c>
      <c r="BW27" s="2">
        <v>236</v>
      </c>
      <c r="BX27" s="2">
        <v>337</v>
      </c>
      <c r="BY27" s="2">
        <v>46.5</v>
      </c>
      <c r="BZ27" s="2">
        <v>4.7</v>
      </c>
      <c r="CA27" s="2">
        <v>1.3</v>
      </c>
      <c r="CB27" s="2">
        <v>1.0366425254452699E-6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30</v>
      </c>
      <c r="AX28" s="2" t="s">
        <v>291</v>
      </c>
      <c r="AY28" s="130">
        <v>35.4</v>
      </c>
      <c r="AZ28" s="2">
        <v>18.5</v>
      </c>
      <c r="BA28" s="2"/>
      <c r="BB28" s="2">
        <v>54</v>
      </c>
      <c r="BC28" s="2"/>
      <c r="BD28" s="2">
        <v>1.1000000000000001</v>
      </c>
      <c r="BE28" s="2">
        <v>21.8</v>
      </c>
      <c r="BF28" s="2">
        <v>25.3</v>
      </c>
      <c r="BG28" s="2">
        <v>65</v>
      </c>
      <c r="BH28" s="2">
        <v>187.9</v>
      </c>
      <c r="BI28" s="2"/>
      <c r="BJ28" s="2"/>
      <c r="BK28" s="2"/>
      <c r="BL28" s="2"/>
      <c r="BM28" s="2"/>
      <c r="BN28" s="2">
        <v>83</v>
      </c>
      <c r="BO28" s="2">
        <v>26</v>
      </c>
      <c r="BP28" s="2">
        <v>28</v>
      </c>
      <c r="BQ28" s="2">
        <v>31</v>
      </c>
      <c r="BR28" s="2">
        <v>33</v>
      </c>
      <c r="BS28" s="2">
        <v>37</v>
      </c>
      <c r="BT28" s="2">
        <v>30</v>
      </c>
      <c r="BU28" s="2">
        <v>126</v>
      </c>
      <c r="BV28" s="2">
        <v>174</v>
      </c>
      <c r="BW28" s="2">
        <v>222</v>
      </c>
      <c r="BX28" s="2">
        <v>340</v>
      </c>
      <c r="BY28" s="2">
        <v>48.4</v>
      </c>
      <c r="BZ28" s="2">
        <v>3.5</v>
      </c>
      <c r="CA28" s="2">
        <v>1.1000000000000001</v>
      </c>
      <c r="CB28" s="2">
        <v>9.6191246775720803E-12</v>
      </c>
      <c r="CC28" s="2"/>
    </row>
    <row r="29" spans="1:81" x14ac:dyDescent="0.25">
      <c r="A29" s="66"/>
      <c r="B29" s="66"/>
      <c r="C29" s="67"/>
      <c r="D29" s="35"/>
      <c r="AW29" s="2">
        <v>53.3</v>
      </c>
      <c r="AX29" s="2" t="s">
        <v>291</v>
      </c>
      <c r="AY29" s="130">
        <v>35.4</v>
      </c>
      <c r="AZ29" s="2">
        <v>18.5</v>
      </c>
      <c r="BA29" s="2"/>
      <c r="BB29" s="2">
        <v>54</v>
      </c>
      <c r="BC29" s="2"/>
      <c r="BD29" s="2">
        <v>16.3</v>
      </c>
      <c r="BE29" s="2">
        <v>37</v>
      </c>
      <c r="BF29" s="2">
        <v>40.5</v>
      </c>
      <c r="BG29" s="2">
        <v>80.099999999999994</v>
      </c>
      <c r="BH29" s="2">
        <v>203.1</v>
      </c>
      <c r="BI29" s="2"/>
      <c r="BJ29" s="2"/>
      <c r="BK29" s="2"/>
      <c r="BL29" s="2"/>
      <c r="BM29" s="2"/>
      <c r="BN29" s="2">
        <v>83</v>
      </c>
      <c r="BO29" s="2">
        <v>26</v>
      </c>
      <c r="BP29" s="2">
        <v>28</v>
      </c>
      <c r="BQ29" s="2">
        <v>31</v>
      </c>
      <c r="BR29" s="2">
        <v>33</v>
      </c>
      <c r="BS29" s="2">
        <v>37</v>
      </c>
      <c r="BT29" s="2">
        <v>91</v>
      </c>
      <c r="BU29" s="2">
        <v>188</v>
      </c>
      <c r="BV29" s="2">
        <v>235</v>
      </c>
      <c r="BW29" s="2">
        <v>283</v>
      </c>
      <c r="BX29" s="2">
        <v>401</v>
      </c>
      <c r="BY29" s="2">
        <v>48.4</v>
      </c>
      <c r="BZ29" s="2">
        <v>3.5</v>
      </c>
      <c r="CA29" s="2">
        <v>1.1000000000000001</v>
      </c>
      <c r="CB29" s="2">
        <v>9.6191246775720803E-12</v>
      </c>
      <c r="CC29" s="2"/>
    </row>
    <row r="30" spans="1:81" x14ac:dyDescent="0.25">
      <c r="A30" s="66"/>
      <c r="B30" s="66"/>
      <c r="C30" s="67"/>
      <c r="D30" s="35"/>
      <c r="AW30" s="2">
        <v>53.3</v>
      </c>
      <c r="AX30" s="2" t="s">
        <v>271</v>
      </c>
      <c r="AY30" s="130">
        <v>24.7</v>
      </c>
      <c r="AZ30" s="2">
        <v>19.8</v>
      </c>
      <c r="BA30" s="2"/>
      <c r="BB30" s="2">
        <v>11</v>
      </c>
      <c r="BC30" s="2"/>
      <c r="BD30" s="2">
        <v>1.9</v>
      </c>
      <c r="BE30" s="2">
        <v>15</v>
      </c>
      <c r="BF30" s="2">
        <v>23.2</v>
      </c>
      <c r="BG30" s="2">
        <v>48.9</v>
      </c>
      <c r="BH30" s="2">
        <v>128.30000000000001</v>
      </c>
      <c r="BI30" s="2"/>
      <c r="BJ30" s="2"/>
      <c r="BK30" s="2"/>
      <c r="BL30" s="2"/>
      <c r="BM30" s="2"/>
      <c r="BN30" s="2">
        <v>61</v>
      </c>
      <c r="BO30" s="2">
        <v>26</v>
      </c>
      <c r="BP30" s="2">
        <v>27</v>
      </c>
      <c r="BQ30" s="2">
        <v>30</v>
      </c>
      <c r="BR30" s="2">
        <v>32</v>
      </c>
      <c r="BS30" s="2">
        <v>36</v>
      </c>
      <c r="BT30" s="2">
        <v>53</v>
      </c>
      <c r="BU30" s="2">
        <v>157</v>
      </c>
      <c r="BV30" s="2">
        <v>206</v>
      </c>
      <c r="BW30" s="2">
        <v>254</v>
      </c>
      <c r="BX30" s="2">
        <v>376</v>
      </c>
      <c r="BY30" s="2">
        <v>67.400000000000006</v>
      </c>
      <c r="BZ30" s="2">
        <v>2</v>
      </c>
      <c r="CA30" s="2">
        <v>0.8</v>
      </c>
      <c r="CB30" s="2">
        <v>1.3765547986897499E-12</v>
      </c>
      <c r="CC30" s="2"/>
    </row>
    <row r="31" spans="1:81" x14ac:dyDescent="0.25">
      <c r="A31" s="66"/>
      <c r="B31" s="66"/>
      <c r="C31" s="67"/>
      <c r="D31" s="35"/>
      <c r="AW31" s="2">
        <v>58.7</v>
      </c>
      <c r="AX31" s="2" t="s">
        <v>271</v>
      </c>
      <c r="AY31" s="130">
        <v>24.7</v>
      </c>
      <c r="AZ31" s="2">
        <v>19.8</v>
      </c>
      <c r="BA31" s="2"/>
      <c r="BB31" s="2">
        <v>11</v>
      </c>
      <c r="BC31" s="2"/>
      <c r="BD31" s="2">
        <v>2.8</v>
      </c>
      <c r="BE31" s="2">
        <v>15.8</v>
      </c>
      <c r="BF31" s="2">
        <v>24.1</v>
      </c>
      <c r="BG31" s="2">
        <v>49.7</v>
      </c>
      <c r="BH31" s="2">
        <v>129.19999999999999</v>
      </c>
      <c r="BI31" s="2"/>
      <c r="BJ31" s="2"/>
      <c r="BK31" s="2"/>
      <c r="BL31" s="2"/>
      <c r="BM31" s="2"/>
      <c r="BN31" s="2">
        <v>61</v>
      </c>
      <c r="BO31" s="2">
        <v>26</v>
      </c>
      <c r="BP31" s="2">
        <v>27</v>
      </c>
      <c r="BQ31" s="2">
        <v>30</v>
      </c>
      <c r="BR31" s="2">
        <v>32</v>
      </c>
      <c r="BS31" s="2">
        <v>36</v>
      </c>
      <c r="BT31" s="2">
        <v>60</v>
      </c>
      <c r="BU31" s="2">
        <v>164</v>
      </c>
      <c r="BV31" s="2">
        <v>213</v>
      </c>
      <c r="BW31" s="2">
        <v>262</v>
      </c>
      <c r="BX31" s="2">
        <v>383</v>
      </c>
      <c r="BY31" s="2">
        <v>67.400000000000006</v>
      </c>
      <c r="BZ31" s="2">
        <v>2</v>
      </c>
      <c r="CA31" s="2">
        <v>0.8</v>
      </c>
      <c r="CB31" s="2">
        <v>1.3765547986897499E-12</v>
      </c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58.7</v>
      </c>
      <c r="AX32" s="2" t="s">
        <v>273</v>
      </c>
      <c r="AY32" s="130">
        <v>32</v>
      </c>
      <c r="AZ32" s="2">
        <v>18.899999999999999</v>
      </c>
      <c r="BA32" s="2">
        <v>47</v>
      </c>
      <c r="BB32" s="2">
        <v>85</v>
      </c>
      <c r="BC32" s="2">
        <v>3</v>
      </c>
      <c r="BD32" s="2">
        <v>2.2000000000000002</v>
      </c>
      <c r="BE32" s="2">
        <v>10.1</v>
      </c>
      <c r="BF32" s="2">
        <v>10.8</v>
      </c>
      <c r="BG32" s="2">
        <v>25.4</v>
      </c>
      <c r="BH32" s="2">
        <v>70.7</v>
      </c>
      <c r="BI32" s="2">
        <v>352</v>
      </c>
      <c r="BJ32" s="2">
        <v>438</v>
      </c>
      <c r="BK32" s="2">
        <v>481</v>
      </c>
      <c r="BL32" s="2">
        <v>526</v>
      </c>
      <c r="BM32" s="2">
        <v>611</v>
      </c>
      <c r="BN32" s="2"/>
      <c r="BO32" s="2"/>
      <c r="BP32" s="2"/>
      <c r="BQ32" s="2"/>
      <c r="BR32" s="2"/>
      <c r="BS32" s="2"/>
      <c r="BT32" s="2">
        <v>415</v>
      </c>
      <c r="BU32" s="2">
        <v>587</v>
      </c>
      <c r="BV32" s="2">
        <v>674</v>
      </c>
      <c r="BW32" s="2">
        <v>760</v>
      </c>
      <c r="BX32" s="2">
        <v>932</v>
      </c>
      <c r="BY32" s="2">
        <v>43.8</v>
      </c>
      <c r="BZ32" s="2">
        <v>4.9000000000000004</v>
      </c>
      <c r="CA32" s="2">
        <v>1.7</v>
      </c>
      <c r="CB32" s="2">
        <v>3.9362009193425901E-12</v>
      </c>
      <c r="CC32" s="2">
        <v>1.8</v>
      </c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80</v>
      </c>
      <c r="AX33" s="2" t="s">
        <v>273</v>
      </c>
      <c r="AY33" s="130">
        <v>32</v>
      </c>
      <c r="AZ33" s="2">
        <v>18.899999999999999</v>
      </c>
      <c r="BA33" s="2">
        <v>47</v>
      </c>
      <c r="BB33" s="2">
        <v>85</v>
      </c>
      <c r="BC33" s="2">
        <v>3</v>
      </c>
      <c r="BD33" s="2">
        <v>5</v>
      </c>
      <c r="BE33" s="2">
        <v>12.9</v>
      </c>
      <c r="BF33" s="2">
        <v>13.7</v>
      </c>
      <c r="BG33" s="2">
        <v>28.3</v>
      </c>
      <c r="BH33" s="2">
        <v>73.599999999999994</v>
      </c>
      <c r="BI33" s="2">
        <v>476</v>
      </c>
      <c r="BJ33" s="2">
        <v>562</v>
      </c>
      <c r="BK33" s="2">
        <v>605</v>
      </c>
      <c r="BL33" s="2">
        <v>649</v>
      </c>
      <c r="BM33" s="2">
        <v>735</v>
      </c>
      <c r="BN33" s="2"/>
      <c r="BO33" s="2"/>
      <c r="BP33" s="2"/>
      <c r="BQ33" s="2"/>
      <c r="BR33" s="2"/>
      <c r="BS33" s="2"/>
      <c r="BT33" s="2">
        <v>645</v>
      </c>
      <c r="BU33" s="2">
        <v>817</v>
      </c>
      <c r="BV33" s="2">
        <v>904</v>
      </c>
      <c r="BW33" s="2">
        <v>990</v>
      </c>
      <c r="BX33" s="2">
        <v>1162</v>
      </c>
      <c r="BY33" s="2">
        <v>43.8</v>
      </c>
      <c r="BZ33" s="2">
        <v>4.9000000000000004</v>
      </c>
      <c r="CA33" s="2">
        <v>1.7</v>
      </c>
      <c r="CB33" s="2">
        <v>3.9362009193425901E-12</v>
      </c>
      <c r="CC33" s="2">
        <v>1.8</v>
      </c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193" priority="12">
      <formula>$L32="API sand"</formula>
    </cfRule>
  </conditionalFormatting>
  <conditionalFormatting sqref="R32:S36 AB32:AB35 AJ32:AL36 Z32:Z36 N32:N36">
    <cfRule type="expression" dxfId="2192" priority="11">
      <formula>$M32="API sand"</formula>
    </cfRule>
  </conditionalFormatting>
  <conditionalFormatting sqref="R32:T36 Z32:AB35 AK32:AL36 N32:N36">
    <cfRule type="expression" dxfId="2191" priority="10">
      <formula>$M32="API clay"</formula>
    </cfRule>
  </conditionalFormatting>
  <conditionalFormatting sqref="U32:W36 AM32:AP36 N32:P36">
    <cfRule type="expression" dxfId="2190" priority="7">
      <formula>$L32="Stiff clay w/o free water"</formula>
    </cfRule>
    <cfRule type="expression" dxfId="2189" priority="9">
      <formula>$L32="API clay"</formula>
    </cfRule>
  </conditionalFormatting>
  <conditionalFormatting sqref="U32:Y36 AM32:AP36 N32:P36">
    <cfRule type="expression" dxfId="2188" priority="8">
      <formula>$L32="Kirsch soft clay"</formula>
    </cfRule>
  </conditionalFormatting>
  <conditionalFormatting sqref="U32:Y36 AM32:AP36 N32:P36">
    <cfRule type="expression" dxfId="2187" priority="6">
      <formula>$L32="Kirsch stiff clay"</formula>
    </cfRule>
  </conditionalFormatting>
  <conditionalFormatting sqref="AM32:AP36 Q32:Q36 X32:Y36 N32:N36">
    <cfRule type="expression" dxfId="2186" priority="5">
      <formula>$L32="Kirsch sand"</formula>
    </cfRule>
  </conditionalFormatting>
  <conditionalFormatting sqref="AC32:AD36 AI32:AI36 AM32:AP36 N32:N36">
    <cfRule type="expression" dxfId="2185" priority="4">
      <formula>$L32="Modified Weak rock"</formula>
    </cfRule>
  </conditionalFormatting>
  <conditionalFormatting sqref="AM32:AP36 N32:P36 U32:V36">
    <cfRule type="expression" dxfId="2184" priority="3">
      <formula>$L32="Reese stiff clay"</formula>
    </cfRule>
  </conditionalFormatting>
  <conditionalFormatting sqref="AB36">
    <cfRule type="expression" dxfId="2183" priority="2">
      <formula>$M36="API sand"</formula>
    </cfRule>
  </conditionalFormatting>
  <conditionalFormatting sqref="Z36:AB36">
    <cfRule type="expression" dxfId="2182" priority="1">
      <formula>$M36="API clay"</formula>
    </cfRule>
  </conditionalFormatting>
  <conditionalFormatting sqref="AE37:AH37">
    <cfRule type="expression" dxfId="2181" priority="13">
      <formula>#REF!="Modified Weak rock"</formula>
    </cfRule>
  </conditionalFormatting>
  <dataValidations count="4">
    <dataValidation type="textLength" showInputMessage="1" showErrorMessage="1" sqref="M27:M31" xr:uid="{F39347A1-B972-49B2-963E-A65F5C23E580}">
      <formula1>0</formula1>
      <formula2>100</formula2>
    </dataValidation>
    <dataValidation showInputMessage="1" showErrorMessage="1" sqref="L6:M26" xr:uid="{A4902178-BFB2-49F5-871F-8032342CD01B}"/>
    <dataValidation type="list" showInputMessage="1" showErrorMessage="1" sqref="L32:L255" xr:uid="{A78CBE65-9985-4E24-8CEF-A27673FFC756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0FB00D55-CFE6-4226-B88F-37934361F6AF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604E3-B44D-4104-994D-D431FA4A1FCE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Ak_Pisa_WTG58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EW_sand_Ruled_62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31</v>
      </c>
      <c r="R6" s="47">
        <f t="shared" ref="R6:R26" ca="1" si="7">IF(I6="","",IF(Q6&lt;&gt;0,Q6-5,NA()))</f>
        <v>26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1900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83.999999999999972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5760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24.000000000000007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62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0.3</v>
      </c>
      <c r="BG6" s="2">
        <v>0.6</v>
      </c>
      <c r="BH6" s="2">
        <v>1.3</v>
      </c>
      <c r="BI6" s="2"/>
      <c r="BJ6" s="2"/>
      <c r="BK6" s="2"/>
      <c r="BL6" s="2"/>
      <c r="BM6" s="2"/>
      <c r="BN6" s="2">
        <v>62</v>
      </c>
      <c r="BO6" s="2">
        <v>22</v>
      </c>
      <c r="BP6" s="2">
        <v>31</v>
      </c>
      <c r="BQ6" s="2">
        <v>34</v>
      </c>
      <c r="BR6" s="2">
        <v>37</v>
      </c>
      <c r="BS6" s="2">
        <v>47</v>
      </c>
      <c r="BT6" s="2">
        <v>0</v>
      </c>
      <c r="BU6" s="2">
        <v>2</v>
      </c>
      <c r="BV6" s="2">
        <v>5</v>
      </c>
      <c r="BW6" s="2">
        <v>8</v>
      </c>
      <c r="BX6" s="2">
        <v>14</v>
      </c>
      <c r="BY6" s="2">
        <v>1.9</v>
      </c>
      <c r="BZ6" s="2">
        <v>1</v>
      </c>
      <c r="CA6" s="2">
        <v>0.5</v>
      </c>
      <c r="CB6" s="2">
        <v>3.1542577561362799E-4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-0.5</v>
      </c>
      <c r="L7" s="116" t="str">
        <f t="shared" ca="1" si="1"/>
        <v>EW_sand_Ruled_99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41</v>
      </c>
      <c r="R7" s="47">
        <f t="shared" ca="1" si="7"/>
        <v>36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33900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27000</v>
      </c>
      <c r="AD7" s="63">
        <f t="shared" ca="1" si="19"/>
        <v>22000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99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0.4</v>
      </c>
      <c r="BE7" s="2">
        <v>0.7</v>
      </c>
      <c r="BF7" s="2">
        <v>0.9</v>
      </c>
      <c r="BG7" s="2">
        <v>1.2</v>
      </c>
      <c r="BH7" s="2">
        <v>1.9</v>
      </c>
      <c r="BI7" s="2"/>
      <c r="BJ7" s="2"/>
      <c r="BK7" s="2"/>
      <c r="BL7" s="2"/>
      <c r="BM7" s="2"/>
      <c r="BN7" s="2">
        <v>62</v>
      </c>
      <c r="BO7" s="2">
        <v>22</v>
      </c>
      <c r="BP7" s="2">
        <v>31</v>
      </c>
      <c r="BQ7" s="2">
        <v>34</v>
      </c>
      <c r="BR7" s="2">
        <v>37</v>
      </c>
      <c r="BS7" s="2">
        <v>47</v>
      </c>
      <c r="BT7" s="2">
        <v>7</v>
      </c>
      <c r="BU7" s="2">
        <v>13</v>
      </c>
      <c r="BV7" s="2">
        <v>16</v>
      </c>
      <c r="BW7" s="2">
        <v>19</v>
      </c>
      <c r="BX7" s="2">
        <v>25</v>
      </c>
      <c r="BY7" s="2">
        <v>1.9</v>
      </c>
      <c r="BZ7" s="2">
        <v>1</v>
      </c>
      <c r="CA7" s="2">
        <v>0.5</v>
      </c>
      <c r="CB7" s="2">
        <v>3.1542577561362799E-4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-1</v>
      </c>
      <c r="L8" s="116" t="str">
        <f t="shared" ca="1" si="1"/>
        <v>EW_sand_Ruled_84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40</v>
      </c>
      <c r="R8" s="47">
        <f t="shared" ca="1" si="7"/>
        <v>35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32299.999999999996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42000</v>
      </c>
      <c r="AD8" s="63">
        <f t="shared" ca="1" si="19"/>
        <v>-909.09090909090901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84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4.5999999999999996</v>
      </c>
      <c r="BE8" s="2">
        <v>6</v>
      </c>
      <c r="BF8" s="2">
        <v>6.6</v>
      </c>
      <c r="BG8" s="2">
        <v>7.2</v>
      </c>
      <c r="BH8" s="2">
        <v>8.1999999999999993</v>
      </c>
      <c r="BI8" s="2"/>
      <c r="BJ8" s="2"/>
      <c r="BK8" s="2"/>
      <c r="BL8" s="2"/>
      <c r="BM8" s="2"/>
      <c r="BN8" s="2">
        <v>99</v>
      </c>
      <c r="BO8" s="2">
        <v>35</v>
      </c>
      <c r="BP8" s="2">
        <v>41</v>
      </c>
      <c r="BQ8" s="2">
        <v>45</v>
      </c>
      <c r="BR8" s="2">
        <v>48</v>
      </c>
      <c r="BS8" s="2">
        <v>54</v>
      </c>
      <c r="BT8" s="2">
        <v>0</v>
      </c>
      <c r="BU8" s="2">
        <v>19</v>
      </c>
      <c r="BV8" s="2">
        <v>27</v>
      </c>
      <c r="BW8" s="2">
        <v>35</v>
      </c>
      <c r="BX8" s="2">
        <v>53</v>
      </c>
      <c r="BY8" s="2">
        <v>33.9</v>
      </c>
      <c r="BZ8" s="2">
        <v>1</v>
      </c>
      <c r="CA8" s="2">
        <v>0.5</v>
      </c>
      <c r="CB8" s="2">
        <v>3.1542577561362799E-4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02a</v>
      </c>
      <c r="J9" s="47">
        <f t="shared" ca="1" si="35"/>
        <v>4</v>
      </c>
      <c r="K9" s="19">
        <f t="shared" ca="1" si="36"/>
        <v>-2.1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10.199999999999999</v>
      </c>
      <c r="O9" s="63">
        <f t="shared" ca="1" si="4"/>
        <v>78</v>
      </c>
      <c r="P9" s="63">
        <f t="shared" ca="1" si="5"/>
        <v>12.222222222222223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14700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85000</v>
      </c>
      <c r="AD9" s="63">
        <f t="shared" ca="1" si="19"/>
        <v>12222.222222222223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7.4</v>
      </c>
      <c r="BE9" s="2">
        <v>8.8000000000000007</v>
      </c>
      <c r="BF9" s="2">
        <v>9.4</v>
      </c>
      <c r="BG9" s="2">
        <v>10</v>
      </c>
      <c r="BH9" s="2">
        <v>11</v>
      </c>
      <c r="BI9" s="2"/>
      <c r="BJ9" s="2"/>
      <c r="BK9" s="2"/>
      <c r="BL9" s="2"/>
      <c r="BM9" s="2"/>
      <c r="BN9" s="2">
        <v>99</v>
      </c>
      <c r="BO9" s="2">
        <v>35</v>
      </c>
      <c r="BP9" s="2">
        <v>41</v>
      </c>
      <c r="BQ9" s="2">
        <v>45</v>
      </c>
      <c r="BR9" s="2">
        <v>48</v>
      </c>
      <c r="BS9" s="2">
        <v>54</v>
      </c>
      <c r="BT9" s="2">
        <v>11</v>
      </c>
      <c r="BU9" s="2">
        <v>30</v>
      </c>
      <c r="BV9" s="2">
        <v>38</v>
      </c>
      <c r="BW9" s="2">
        <v>46</v>
      </c>
      <c r="BX9" s="2">
        <v>65</v>
      </c>
      <c r="BY9" s="2">
        <v>33.9</v>
      </c>
      <c r="BZ9" s="2">
        <v>1</v>
      </c>
      <c r="CA9" s="2">
        <v>0.5</v>
      </c>
      <c r="CB9" s="2">
        <v>3.1542577561362799E-4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02c</v>
      </c>
      <c r="J10" s="47">
        <f t="shared" ca="1" si="35"/>
        <v>5</v>
      </c>
      <c r="K10" s="19">
        <f t="shared" ca="1" si="36"/>
        <v>-3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8.5</v>
      </c>
      <c r="O10" s="63">
        <f t="shared" ca="1" si="4"/>
        <v>142</v>
      </c>
      <c r="P10" s="63">
        <f t="shared" ca="1" si="5"/>
        <v>149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0.5</v>
      </c>
      <c r="X10" s="47">
        <f t="shared" ca="1" si="13"/>
        <v>38300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173000</v>
      </c>
      <c r="AD10" s="63">
        <f t="shared" ca="1" si="19"/>
        <v>168000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1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7</v>
      </c>
      <c r="BE10" s="2">
        <v>9.3000000000000007</v>
      </c>
      <c r="BF10" s="2">
        <v>10.1</v>
      </c>
      <c r="BG10" s="2">
        <v>10.8</v>
      </c>
      <c r="BH10" s="2">
        <v>12.8</v>
      </c>
      <c r="BI10" s="2"/>
      <c r="BJ10" s="2"/>
      <c r="BK10" s="2"/>
      <c r="BL10" s="2"/>
      <c r="BM10" s="2"/>
      <c r="BN10" s="2">
        <v>84</v>
      </c>
      <c r="BO10" s="2">
        <v>33</v>
      </c>
      <c r="BP10" s="2">
        <v>40</v>
      </c>
      <c r="BQ10" s="2">
        <v>43</v>
      </c>
      <c r="BR10" s="2">
        <v>46</v>
      </c>
      <c r="BS10" s="2">
        <v>53</v>
      </c>
      <c r="BT10" s="2">
        <v>7</v>
      </c>
      <c r="BU10" s="2">
        <v>32</v>
      </c>
      <c r="BV10" s="2">
        <v>42</v>
      </c>
      <c r="BW10" s="2">
        <v>52</v>
      </c>
      <c r="BX10" s="2">
        <v>77</v>
      </c>
      <c r="BY10" s="2">
        <v>32.299999999999997</v>
      </c>
      <c r="BZ10" s="2">
        <v>1</v>
      </c>
      <c r="CA10" s="2">
        <v>0.5</v>
      </c>
      <c r="CB10" s="2">
        <v>1.5167210476480101E-5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10b</v>
      </c>
      <c r="J11" s="47">
        <f t="shared" ca="1" si="35"/>
        <v>6</v>
      </c>
      <c r="K11" s="19">
        <f t="shared" ca="1" si="36"/>
        <v>-4</v>
      </c>
      <c r="L11" s="116" t="str">
        <f t="shared" ca="1" si="1"/>
        <v>EW_sand_Ruled_94</v>
      </c>
      <c r="M11" s="105" t="str">
        <f t="shared" ca="1" si="2"/>
        <v>API sand</v>
      </c>
      <c r="N11" s="47">
        <f t="shared" ca="1" si="3"/>
        <v>9.8999999999999986</v>
      </c>
      <c r="O11" s="63">
        <f t="shared" ca="1" si="4"/>
        <v>0</v>
      </c>
      <c r="P11" s="63">
        <f t="shared" ca="1" si="5"/>
        <v>0</v>
      </c>
      <c r="Q11" s="47">
        <f t="shared" ca="1" si="6"/>
        <v>43</v>
      </c>
      <c r="R11" s="47">
        <f t="shared" ca="1" si="7"/>
        <v>38</v>
      </c>
      <c r="S11" s="47">
        <f t="shared" ca="1" si="8"/>
        <v>1.7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121100</v>
      </c>
      <c r="Y11" s="47">
        <f t="shared" ca="1" si="14"/>
        <v>0</v>
      </c>
      <c r="Z11" s="47">
        <f t="shared" ca="1" si="15"/>
        <v>114.99999999999996</v>
      </c>
      <c r="AA11" s="47">
        <f t="shared" ca="1" si="16"/>
        <v>1</v>
      </c>
      <c r="AB11" s="47">
        <f t="shared" ca="1" si="17"/>
        <v>12000</v>
      </c>
      <c r="AC11" s="63">
        <f t="shared" ca="1" si="18"/>
        <v>96000</v>
      </c>
      <c r="AD11" s="63">
        <f t="shared" ca="1" si="19"/>
        <v>3387.0967741935488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50.000000000000007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94</v>
      </c>
      <c r="AS11" s="33">
        <f t="shared" ca="1" si="34"/>
        <v>0.4</v>
      </c>
      <c r="AW11" s="2">
        <v>2.1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1.9</v>
      </c>
      <c r="BE11" s="2">
        <v>4.2</v>
      </c>
      <c r="BF11" s="2">
        <v>5</v>
      </c>
      <c r="BG11" s="2">
        <v>5.7</v>
      </c>
      <c r="BH11" s="2">
        <v>7.7</v>
      </c>
      <c r="BI11" s="2"/>
      <c r="BJ11" s="2"/>
      <c r="BK11" s="2"/>
      <c r="BL11" s="2"/>
      <c r="BM11" s="2"/>
      <c r="BN11" s="2">
        <v>84</v>
      </c>
      <c r="BO11" s="2">
        <v>33</v>
      </c>
      <c r="BP11" s="2">
        <v>40</v>
      </c>
      <c r="BQ11" s="2">
        <v>43</v>
      </c>
      <c r="BR11" s="2">
        <v>46</v>
      </c>
      <c r="BS11" s="2">
        <v>53</v>
      </c>
      <c r="BT11" s="2">
        <v>7</v>
      </c>
      <c r="BU11" s="2">
        <v>31</v>
      </c>
      <c r="BV11" s="2">
        <v>41</v>
      </c>
      <c r="BW11" s="2">
        <v>52</v>
      </c>
      <c r="BX11" s="2">
        <v>76</v>
      </c>
      <c r="BY11" s="2">
        <v>32.299999999999997</v>
      </c>
      <c r="BZ11" s="2">
        <v>1</v>
      </c>
      <c r="CA11" s="2">
        <v>0.5</v>
      </c>
      <c r="CB11" s="2">
        <v>1.5167210476480101E-5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10c</v>
      </c>
      <c r="J12" s="47">
        <f t="shared" ca="1" si="35"/>
        <v>7</v>
      </c>
      <c r="K12" s="19">
        <f t="shared" ca="1" si="36"/>
        <v>-10.199999999999999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8.3999999999999986</v>
      </c>
      <c r="O12" s="63">
        <f t="shared" ca="1" si="4"/>
        <v>257</v>
      </c>
      <c r="P12" s="63">
        <f t="shared" ca="1" si="5"/>
        <v>-33.846153846153825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0.25</v>
      </c>
      <c r="X12" s="47">
        <f t="shared" ca="1" si="13"/>
        <v>42500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297000</v>
      </c>
      <c r="AD12" s="63">
        <f t="shared" ca="1" si="19"/>
        <v>-35384.615384615368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2.1</v>
      </c>
      <c r="AX12" s="2" t="s">
        <v>255</v>
      </c>
      <c r="AY12" s="130">
        <v>23.1</v>
      </c>
      <c r="AZ12" s="2">
        <v>20.2</v>
      </c>
      <c r="BA12" s="2">
        <v>18</v>
      </c>
      <c r="BB12" s="2">
        <v>28</v>
      </c>
      <c r="BC12" s="2">
        <v>5</v>
      </c>
      <c r="BD12" s="2">
        <v>0.7</v>
      </c>
      <c r="BE12" s="2">
        <v>1.6</v>
      </c>
      <c r="BF12" s="2">
        <v>2</v>
      </c>
      <c r="BG12" s="2">
        <v>2.2999999999999998</v>
      </c>
      <c r="BH12" s="2">
        <v>3.1</v>
      </c>
      <c r="BI12" s="2">
        <v>7</v>
      </c>
      <c r="BJ12" s="2">
        <v>78</v>
      </c>
      <c r="BK12" s="2">
        <v>106</v>
      </c>
      <c r="BL12" s="2">
        <v>134</v>
      </c>
      <c r="BM12" s="2">
        <v>202</v>
      </c>
      <c r="BN12" s="2"/>
      <c r="BO12" s="2"/>
      <c r="BP12" s="2"/>
      <c r="BQ12" s="2"/>
      <c r="BR12" s="2"/>
      <c r="BS12" s="2"/>
      <c r="BT12" s="2">
        <v>2</v>
      </c>
      <c r="BU12" s="2">
        <v>50</v>
      </c>
      <c r="BV12" s="2">
        <v>85</v>
      </c>
      <c r="BW12" s="2">
        <v>119</v>
      </c>
      <c r="BX12" s="2">
        <v>196</v>
      </c>
      <c r="BY12" s="2">
        <v>14.7</v>
      </c>
      <c r="BZ12" s="2">
        <v>15.3</v>
      </c>
      <c r="CA12" s="2">
        <v>3</v>
      </c>
      <c r="CB12" s="2">
        <v>7.4154606899406501E-9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11b</v>
      </c>
      <c r="J13" s="47">
        <f t="shared" ca="1" si="35"/>
        <v>8</v>
      </c>
      <c r="K13" s="19">
        <f t="shared" ca="1" si="36"/>
        <v>-11.5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9.5</v>
      </c>
      <c r="O13" s="63">
        <f t="shared" ca="1" si="4"/>
        <v>268</v>
      </c>
      <c r="P13" s="63">
        <f t="shared" ca="1" si="5"/>
        <v>-6.1818181818181817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44400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333000</v>
      </c>
      <c r="AD13" s="63">
        <f t="shared" ca="1" si="19"/>
        <v>-6000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3</v>
      </c>
      <c r="AX13" s="2" t="s">
        <v>255</v>
      </c>
      <c r="AY13" s="130">
        <v>23.1</v>
      </c>
      <c r="AZ13" s="2">
        <v>20.2</v>
      </c>
      <c r="BA13" s="2">
        <v>18</v>
      </c>
      <c r="BB13" s="2">
        <v>28</v>
      </c>
      <c r="BC13" s="2">
        <v>5</v>
      </c>
      <c r="BD13" s="2">
        <v>0.9</v>
      </c>
      <c r="BE13" s="2">
        <v>1.8</v>
      </c>
      <c r="BF13" s="2">
        <v>2.2000000000000002</v>
      </c>
      <c r="BG13" s="2">
        <v>2.5</v>
      </c>
      <c r="BH13" s="2">
        <v>3.3</v>
      </c>
      <c r="BI13" s="2">
        <v>18</v>
      </c>
      <c r="BJ13" s="2">
        <v>89</v>
      </c>
      <c r="BK13" s="2">
        <v>117</v>
      </c>
      <c r="BL13" s="2">
        <v>145</v>
      </c>
      <c r="BM13" s="2">
        <v>212</v>
      </c>
      <c r="BN13" s="2"/>
      <c r="BO13" s="2"/>
      <c r="BP13" s="2"/>
      <c r="BQ13" s="2"/>
      <c r="BR13" s="2"/>
      <c r="BS13" s="2"/>
      <c r="BT13" s="2">
        <v>13</v>
      </c>
      <c r="BU13" s="2">
        <v>61</v>
      </c>
      <c r="BV13" s="2">
        <v>96</v>
      </c>
      <c r="BW13" s="2">
        <v>131</v>
      </c>
      <c r="BX13" s="2">
        <v>207</v>
      </c>
      <c r="BY13" s="2">
        <v>14.7</v>
      </c>
      <c r="BZ13" s="2">
        <v>15.3</v>
      </c>
      <c r="CA13" s="2">
        <v>3</v>
      </c>
      <c r="CB13" s="2">
        <v>7.4154606899406501E-9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19b</v>
      </c>
      <c r="J14" s="47">
        <f t="shared" ca="1" si="35"/>
        <v>9</v>
      </c>
      <c r="K14" s="19">
        <f t="shared" ca="1" si="36"/>
        <v>-17</v>
      </c>
      <c r="L14" s="116" t="str">
        <f t="shared" ca="1" si="1"/>
        <v>EW_sand_Ruled_50</v>
      </c>
      <c r="M14" s="105" t="str">
        <f t="shared" ca="1" si="2"/>
        <v>API sand</v>
      </c>
      <c r="N14" s="47">
        <f t="shared" ca="1" si="3"/>
        <v>8.5</v>
      </c>
      <c r="O14" s="63">
        <f t="shared" ca="1" si="4"/>
        <v>0</v>
      </c>
      <c r="P14" s="63">
        <f t="shared" ca="1" si="5"/>
        <v>0</v>
      </c>
      <c r="Q14" s="47">
        <f t="shared" ca="1" si="6"/>
        <v>26.5</v>
      </c>
      <c r="R14" s="47">
        <f t="shared" ca="1" si="7"/>
        <v>21.5</v>
      </c>
      <c r="S14" s="47">
        <f t="shared" ca="1" si="8"/>
        <v>0.6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14300</v>
      </c>
      <c r="Y14" s="47">
        <f t="shared" ca="1" si="14"/>
        <v>0</v>
      </c>
      <c r="Z14" s="47">
        <f t="shared" ca="1" si="15"/>
        <v>69.799999999999983</v>
      </c>
      <c r="AA14" s="47">
        <f t="shared" ca="1" si="16"/>
        <v>1</v>
      </c>
      <c r="AB14" s="47">
        <f t="shared" ca="1" si="17"/>
        <v>3280</v>
      </c>
      <c r="AC14" s="63">
        <f t="shared" ca="1" si="18"/>
        <v>75000</v>
      </c>
      <c r="AD14" s="63">
        <f t="shared" ca="1" si="19"/>
        <v>8444.4444444444453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13.600000000000003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50</v>
      </c>
      <c r="AS14" s="33">
        <f t="shared" ca="1" si="34"/>
        <v>0.2</v>
      </c>
      <c r="AW14" s="2">
        <v>3</v>
      </c>
      <c r="AX14" s="2" t="s">
        <v>298</v>
      </c>
      <c r="AY14" s="130">
        <v>37.1</v>
      </c>
      <c r="AZ14" s="2">
        <v>18.5</v>
      </c>
      <c r="BA14" s="2">
        <v>30</v>
      </c>
      <c r="BB14" s="2">
        <v>88</v>
      </c>
      <c r="BC14" s="2">
        <v>3</v>
      </c>
      <c r="BD14" s="2">
        <v>2</v>
      </c>
      <c r="BE14" s="2">
        <v>3.2</v>
      </c>
      <c r="BF14" s="2">
        <v>3.7</v>
      </c>
      <c r="BG14" s="2">
        <v>4.0999999999999996</v>
      </c>
      <c r="BH14" s="2">
        <f>30+5.1</f>
        <v>35.1</v>
      </c>
      <c r="BI14" s="2">
        <v>10</v>
      </c>
      <c r="BJ14" s="2">
        <v>142</v>
      </c>
      <c r="BK14" s="2">
        <v>202</v>
      </c>
      <c r="BL14" s="2">
        <v>260</v>
      </c>
      <c r="BM14" s="2">
        <v>389</v>
      </c>
      <c r="BN14" s="2"/>
      <c r="BO14" s="2"/>
      <c r="BP14" s="2"/>
      <c r="BQ14" s="2"/>
      <c r="BR14" s="2"/>
      <c r="BS14" s="2"/>
      <c r="BT14" s="2">
        <v>3</v>
      </c>
      <c r="BU14" s="2">
        <v>80</v>
      </c>
      <c r="BV14" s="2">
        <v>173</v>
      </c>
      <c r="BW14" s="2">
        <v>264</v>
      </c>
      <c r="BX14" s="2">
        <v>450</v>
      </c>
      <c r="BY14" s="2">
        <v>38.299999999999997</v>
      </c>
      <c r="BZ14" s="2">
        <v>27.6</v>
      </c>
      <c r="CA14" s="2">
        <v>3</v>
      </c>
      <c r="CB14" s="2">
        <v>1.28683035544568E-7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19b</v>
      </c>
      <c r="J15" s="47">
        <f t="shared" ca="1" si="35"/>
        <v>10</v>
      </c>
      <c r="K15" s="19">
        <f t="shared" ca="1" si="36"/>
        <v>-21.5</v>
      </c>
      <c r="L15" s="116" t="str">
        <f t="shared" ca="1" si="1"/>
        <v>EW_sand_Ruled_67</v>
      </c>
      <c r="M15" s="105" t="str">
        <f t="shared" ca="1" si="2"/>
        <v>API sand</v>
      </c>
      <c r="N15" s="47">
        <f t="shared" ca="1" si="3"/>
        <v>8.5</v>
      </c>
      <c r="O15" s="63">
        <f t="shared" ca="1" si="4"/>
        <v>0</v>
      </c>
      <c r="P15" s="63">
        <f t="shared" ca="1" si="5"/>
        <v>0</v>
      </c>
      <c r="Q15" s="47">
        <f t="shared" ca="1" si="6"/>
        <v>27</v>
      </c>
      <c r="R15" s="47">
        <f t="shared" ca="1" si="7"/>
        <v>22</v>
      </c>
      <c r="S15" s="47">
        <f t="shared" ca="1" si="8"/>
        <v>0.9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20200</v>
      </c>
      <c r="Y15" s="47">
        <f t="shared" ca="1" si="14"/>
        <v>0</v>
      </c>
      <c r="Z15" s="47">
        <f t="shared" ca="1" si="15"/>
        <v>72.59999999999998</v>
      </c>
      <c r="AA15" s="47">
        <f t="shared" ca="1" si="16"/>
        <v>1</v>
      </c>
      <c r="AB15" s="47">
        <f t="shared" ca="1" si="17"/>
        <v>3660</v>
      </c>
      <c r="AC15" s="63">
        <f t="shared" ca="1" si="18"/>
        <v>130000</v>
      </c>
      <c r="AD15" s="63">
        <f t="shared" ca="1" si="19"/>
        <v>-73.52941176470587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15.200000000000003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67</v>
      </c>
      <c r="AS15" s="33">
        <f t="shared" ca="1" si="34"/>
        <v>0.2</v>
      </c>
      <c r="AW15" s="2">
        <v>4</v>
      </c>
      <c r="AX15" s="2" t="s">
        <v>298</v>
      </c>
      <c r="AY15" s="130">
        <v>37.1</v>
      </c>
      <c r="AZ15" s="2">
        <v>18.5</v>
      </c>
      <c r="BA15" s="2">
        <v>30</v>
      </c>
      <c r="BB15" s="2">
        <v>88</v>
      </c>
      <c r="BC15" s="2">
        <v>3</v>
      </c>
      <c r="BD15" s="2">
        <v>4.7</v>
      </c>
      <c r="BE15" s="2">
        <v>5.9</v>
      </c>
      <c r="BF15" s="2">
        <v>6.4</v>
      </c>
      <c r="BG15" s="2">
        <v>6.8</v>
      </c>
      <c r="BH15" s="2">
        <f>30+7.8</f>
        <v>37.799999999999997</v>
      </c>
      <c r="BI15" s="2">
        <v>159</v>
      </c>
      <c r="BJ15" s="2">
        <v>291</v>
      </c>
      <c r="BK15" s="2">
        <v>351</v>
      </c>
      <c r="BL15" s="2">
        <v>409</v>
      </c>
      <c r="BM15" s="2">
        <v>538</v>
      </c>
      <c r="BN15" s="2"/>
      <c r="BO15" s="2"/>
      <c r="BP15" s="2"/>
      <c r="BQ15" s="2"/>
      <c r="BR15" s="2"/>
      <c r="BS15" s="2"/>
      <c r="BT15" s="2">
        <v>171</v>
      </c>
      <c r="BU15" s="2">
        <v>248</v>
      </c>
      <c r="BV15" s="2">
        <v>341</v>
      </c>
      <c r="BW15" s="2">
        <v>433</v>
      </c>
      <c r="BX15" s="2">
        <v>618</v>
      </c>
      <c r="BY15" s="2">
        <v>38.299999999999997</v>
      </c>
      <c r="BZ15" s="2">
        <v>27.6</v>
      </c>
      <c r="CA15" s="2">
        <v>3</v>
      </c>
      <c r="CB15" s="2">
        <v>1.28683035544568E-7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21a</v>
      </c>
      <c r="J16" s="47">
        <f t="shared" ca="1" si="35"/>
        <v>11</v>
      </c>
      <c r="K16" s="19">
        <f t="shared" ca="1" si="36"/>
        <v>-35.1</v>
      </c>
      <c r="L16" s="116" t="str">
        <f t="shared" ca="1" si="1"/>
        <v>EW_sand_Ruled_24</v>
      </c>
      <c r="M16" s="105" t="str">
        <f t="shared" ca="1" si="2"/>
        <v>API sand</v>
      </c>
      <c r="N16" s="47">
        <f t="shared" ca="1" si="3"/>
        <v>9.8000000000000007</v>
      </c>
      <c r="O16" s="63">
        <f t="shared" ca="1" si="4"/>
        <v>0</v>
      </c>
      <c r="P16" s="63">
        <f t="shared" ca="1" si="5"/>
        <v>0</v>
      </c>
      <c r="Q16" s="47">
        <f t="shared" ca="1" si="6"/>
        <v>25.5</v>
      </c>
      <c r="R16" s="47">
        <f t="shared" ca="1" si="7"/>
        <v>20.5</v>
      </c>
      <c r="S16" s="47">
        <f t="shared" ca="1" si="8"/>
        <v>0.5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22200</v>
      </c>
      <c r="Y16" s="47">
        <f t="shared" ca="1" si="14"/>
        <v>0</v>
      </c>
      <c r="Z16" s="47">
        <f t="shared" ca="1" si="15"/>
        <v>66.999999999999986</v>
      </c>
      <c r="AA16" s="47">
        <f t="shared" ca="1" si="16"/>
        <v>1</v>
      </c>
      <c r="AB16" s="47">
        <f t="shared" ca="1" si="17"/>
        <v>2900</v>
      </c>
      <c r="AC16" s="63">
        <f t="shared" ca="1" si="18"/>
        <v>131000</v>
      </c>
      <c r="AD16" s="63">
        <f t="shared" ca="1" si="19"/>
        <v>55.248618784530386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12.000000000000004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24</v>
      </c>
      <c r="AS16" s="33">
        <f t="shared" ca="1" si="34"/>
        <v>0.2</v>
      </c>
      <c r="AW16" s="2">
        <v>4</v>
      </c>
      <c r="AX16" s="2" t="s">
        <v>261</v>
      </c>
      <c r="AY16" s="130">
        <v>24</v>
      </c>
      <c r="AZ16" s="2">
        <v>19.899999999999999</v>
      </c>
      <c r="BA16" s="2"/>
      <c r="BB16" s="2">
        <v>6</v>
      </c>
      <c r="BC16" s="2"/>
      <c r="BD16" s="2">
        <v>15.2</v>
      </c>
      <c r="BE16" s="2">
        <v>32.1</v>
      </c>
      <c r="BF16" s="2">
        <v>37.1</v>
      </c>
      <c r="BG16" s="2">
        <v>42.1</v>
      </c>
      <c r="BH16" s="2">
        <v>58.6</v>
      </c>
      <c r="BI16" s="2"/>
      <c r="BJ16" s="2"/>
      <c r="BK16" s="2"/>
      <c r="BL16" s="2"/>
      <c r="BM16" s="2"/>
      <c r="BN16" s="2">
        <v>94</v>
      </c>
      <c r="BO16" s="2">
        <v>36</v>
      </c>
      <c r="BP16" s="2">
        <v>43</v>
      </c>
      <c r="BQ16" s="2">
        <v>46</v>
      </c>
      <c r="BR16" s="2">
        <v>49</v>
      </c>
      <c r="BS16" s="2">
        <v>54</v>
      </c>
      <c r="BT16" s="2">
        <v>9</v>
      </c>
      <c r="BU16" s="2">
        <v>71</v>
      </c>
      <c r="BV16" s="2">
        <v>96</v>
      </c>
      <c r="BW16" s="2">
        <v>121</v>
      </c>
      <c r="BX16" s="2">
        <v>183</v>
      </c>
      <c r="BY16" s="2">
        <v>121.1</v>
      </c>
      <c r="BZ16" s="2">
        <v>7.7</v>
      </c>
      <c r="CA16" s="2">
        <v>1.7</v>
      </c>
      <c r="CB16" s="2">
        <v>6.3275547066425506E-5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23d</v>
      </c>
      <c r="J17" s="47">
        <f t="shared" ca="1" si="35"/>
        <v>12</v>
      </c>
      <c r="K17" s="19">
        <f t="shared" ca="1" si="36"/>
        <v>-53.2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8.8999999999999986</v>
      </c>
      <c r="O17" s="63">
        <f t="shared" ca="1" si="4"/>
        <v>406</v>
      </c>
      <c r="P17" s="63">
        <f t="shared" ca="1" si="5"/>
        <v>6.0074626865671652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1.9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42600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612000</v>
      </c>
      <c r="AD17" s="63">
        <f t="shared" ca="1" si="19"/>
        <v>11082.089552238807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10.199999999999999</v>
      </c>
      <c r="AX17" s="2" t="s">
        <v>261</v>
      </c>
      <c r="AY17" s="130">
        <v>24</v>
      </c>
      <c r="AZ17" s="2">
        <v>19.899999999999999</v>
      </c>
      <c r="BA17" s="2"/>
      <c r="BB17" s="2">
        <v>6</v>
      </c>
      <c r="BC17" s="2"/>
      <c r="BD17" s="2">
        <v>4.3</v>
      </c>
      <c r="BE17" s="2">
        <v>21.2</v>
      </c>
      <c r="BF17" s="2">
        <v>26.2</v>
      </c>
      <c r="BG17" s="2">
        <v>31.2</v>
      </c>
      <c r="BH17" s="2">
        <v>47.6</v>
      </c>
      <c r="BI17" s="2"/>
      <c r="BJ17" s="2"/>
      <c r="BK17" s="2"/>
      <c r="BL17" s="2"/>
      <c r="BM17" s="2"/>
      <c r="BN17" s="2">
        <v>94</v>
      </c>
      <c r="BO17" s="2">
        <v>36</v>
      </c>
      <c r="BP17" s="2">
        <v>43</v>
      </c>
      <c r="BQ17" s="2">
        <v>46</v>
      </c>
      <c r="BR17" s="2">
        <v>49</v>
      </c>
      <c r="BS17" s="2">
        <v>54</v>
      </c>
      <c r="BT17" s="2">
        <v>30</v>
      </c>
      <c r="BU17" s="2">
        <v>92</v>
      </c>
      <c r="BV17" s="2">
        <v>117</v>
      </c>
      <c r="BW17" s="2">
        <v>142</v>
      </c>
      <c r="BX17" s="2">
        <v>204</v>
      </c>
      <c r="BY17" s="2">
        <v>121.1</v>
      </c>
      <c r="BZ17" s="2">
        <v>7.7</v>
      </c>
      <c r="CA17" s="2">
        <v>1.7</v>
      </c>
      <c r="CB17" s="2">
        <v>6.3275547066425506E-5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10.199999999999999</v>
      </c>
      <c r="AX18" s="2" t="s">
        <v>287</v>
      </c>
      <c r="AY18" s="130">
        <v>36</v>
      </c>
      <c r="AZ18" s="2">
        <v>18.399999999999999</v>
      </c>
      <c r="BA18" s="2">
        <v>23</v>
      </c>
      <c r="BB18" s="2">
        <v>53</v>
      </c>
      <c r="BC18" s="2">
        <v>4</v>
      </c>
      <c r="BD18" s="2">
        <v>4.5</v>
      </c>
      <c r="BE18" s="2">
        <v>5.5</v>
      </c>
      <c r="BF18" s="2">
        <v>5.8</v>
      </c>
      <c r="BG18" s="2">
        <v>6.1</v>
      </c>
      <c r="BH18" s="2">
        <f>20+6.9</f>
        <v>26.9</v>
      </c>
      <c r="BI18" s="2">
        <v>134</v>
      </c>
      <c r="BJ18" s="2">
        <v>257</v>
      </c>
      <c r="BK18" s="2">
        <v>310</v>
      </c>
      <c r="BL18" s="2">
        <v>364</v>
      </c>
      <c r="BM18" s="2">
        <v>483</v>
      </c>
      <c r="BN18" s="2"/>
      <c r="BO18" s="2"/>
      <c r="BP18" s="2"/>
      <c r="BQ18" s="2"/>
      <c r="BR18" s="2"/>
      <c r="BS18" s="2"/>
      <c r="BT18" s="2">
        <v>57</v>
      </c>
      <c r="BU18" s="2">
        <v>210</v>
      </c>
      <c r="BV18" s="2">
        <v>297</v>
      </c>
      <c r="BW18" s="2">
        <v>384</v>
      </c>
      <c r="BX18" s="2">
        <v>560</v>
      </c>
      <c r="BY18" s="2">
        <v>42.5</v>
      </c>
      <c r="BZ18" s="2">
        <v>10.1</v>
      </c>
      <c r="CA18" s="2">
        <v>3</v>
      </c>
      <c r="CB18" s="2">
        <v>7.4415436353323298E-9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11.5</v>
      </c>
      <c r="AX19" s="2" t="s">
        <v>287</v>
      </c>
      <c r="AY19" s="130">
        <v>36</v>
      </c>
      <c r="AZ19" s="2">
        <v>18.399999999999999</v>
      </c>
      <c r="BA19" s="2">
        <v>23</v>
      </c>
      <c r="BB19" s="2">
        <v>53</v>
      </c>
      <c r="BC19" s="2">
        <v>4</v>
      </c>
      <c r="BD19" s="2">
        <v>3.7</v>
      </c>
      <c r="BE19" s="2">
        <v>4.7</v>
      </c>
      <c r="BF19" s="2">
        <v>5</v>
      </c>
      <c r="BG19" s="2">
        <v>5.3</v>
      </c>
      <c r="BH19" s="2">
        <f>20+6.1</f>
        <v>26.1</v>
      </c>
      <c r="BI19" s="2">
        <v>90</v>
      </c>
      <c r="BJ19" s="2">
        <v>213</v>
      </c>
      <c r="BK19" s="2">
        <v>266</v>
      </c>
      <c r="BL19" s="2">
        <v>320</v>
      </c>
      <c r="BM19" s="2">
        <v>439</v>
      </c>
      <c r="BN19" s="2"/>
      <c r="BO19" s="2"/>
      <c r="BP19" s="2"/>
      <c r="BQ19" s="2"/>
      <c r="BR19" s="2"/>
      <c r="BS19" s="2"/>
      <c r="BT19" s="2">
        <v>11</v>
      </c>
      <c r="BU19" s="2">
        <v>164</v>
      </c>
      <c r="BV19" s="2">
        <v>251</v>
      </c>
      <c r="BW19" s="2">
        <v>338</v>
      </c>
      <c r="BX19" s="2">
        <v>514</v>
      </c>
      <c r="BY19" s="2">
        <v>42.5</v>
      </c>
      <c r="BZ19" s="2">
        <v>10.1</v>
      </c>
      <c r="CA19" s="2">
        <v>3</v>
      </c>
      <c r="CB19" s="2">
        <v>7.4415436353323298E-9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11.5</v>
      </c>
      <c r="AX20" s="2" t="s">
        <v>299</v>
      </c>
      <c r="AY20" s="130">
        <v>29</v>
      </c>
      <c r="AZ20" s="2">
        <v>19.5</v>
      </c>
      <c r="BA20" s="2">
        <v>13</v>
      </c>
      <c r="BB20" s="2">
        <v>64</v>
      </c>
      <c r="BC20" s="2">
        <v>4</v>
      </c>
      <c r="BD20" s="2">
        <v>3.7</v>
      </c>
      <c r="BE20" s="2">
        <v>5.7</v>
      </c>
      <c r="BF20" s="2">
        <v>6</v>
      </c>
      <c r="BG20" s="2">
        <v>6.3</v>
      </c>
      <c r="BH20" s="2">
        <v>8.1999999999999993</v>
      </c>
      <c r="BI20" s="2">
        <v>116</v>
      </c>
      <c r="BJ20" s="2">
        <v>268</v>
      </c>
      <c r="BK20" s="2">
        <v>321</v>
      </c>
      <c r="BL20" s="2">
        <v>375</v>
      </c>
      <c r="BM20" s="2">
        <v>522</v>
      </c>
      <c r="BN20" s="2"/>
      <c r="BO20" s="2"/>
      <c r="BP20" s="2"/>
      <c r="BQ20" s="2"/>
      <c r="BR20" s="2"/>
      <c r="BS20" s="2"/>
      <c r="BT20" s="2">
        <v>49</v>
      </c>
      <c r="BU20" s="2">
        <v>245</v>
      </c>
      <c r="BV20" s="2">
        <v>333</v>
      </c>
      <c r="BW20" s="2">
        <v>421</v>
      </c>
      <c r="BX20" s="2">
        <v>628</v>
      </c>
      <c r="BY20" s="2">
        <v>44.4</v>
      </c>
      <c r="BZ20" s="2">
        <v>8.3000000000000007</v>
      </c>
      <c r="CA20" s="2">
        <v>3</v>
      </c>
      <c r="CB20" s="2">
        <v>5.5849601278415897E-9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17</v>
      </c>
      <c r="AX21" s="2" t="s">
        <v>299</v>
      </c>
      <c r="AY21" s="130">
        <v>29</v>
      </c>
      <c r="AZ21" s="2">
        <v>19.5</v>
      </c>
      <c r="BA21" s="2">
        <v>13</v>
      </c>
      <c r="BB21" s="2">
        <v>64</v>
      </c>
      <c r="BC21" s="2">
        <v>4</v>
      </c>
      <c r="BD21" s="2">
        <v>3.2</v>
      </c>
      <c r="BE21" s="2">
        <v>5.2</v>
      </c>
      <c r="BF21" s="2">
        <v>5.5</v>
      </c>
      <c r="BG21" s="2">
        <v>5.8</v>
      </c>
      <c r="BH21" s="2">
        <v>7.6</v>
      </c>
      <c r="BI21" s="2">
        <v>82</v>
      </c>
      <c r="BJ21" s="2">
        <v>234</v>
      </c>
      <c r="BK21" s="2">
        <v>287</v>
      </c>
      <c r="BL21" s="2">
        <v>341</v>
      </c>
      <c r="BM21" s="2">
        <v>488</v>
      </c>
      <c r="BN21" s="2"/>
      <c r="BO21" s="2"/>
      <c r="BP21" s="2"/>
      <c r="BQ21" s="2"/>
      <c r="BR21" s="2"/>
      <c r="BS21" s="2"/>
      <c r="BT21" s="2">
        <v>16</v>
      </c>
      <c r="BU21" s="2">
        <v>212</v>
      </c>
      <c r="BV21" s="2">
        <v>300</v>
      </c>
      <c r="BW21" s="2">
        <v>388</v>
      </c>
      <c r="BX21" s="2">
        <v>595</v>
      </c>
      <c r="BY21" s="2">
        <v>44.4</v>
      </c>
      <c r="BZ21" s="2">
        <v>8.3000000000000007</v>
      </c>
      <c r="CA21" s="2">
        <v>3</v>
      </c>
      <c r="CB21" s="2">
        <v>5.5849601278415897E-9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17</v>
      </c>
      <c r="AX22" s="2" t="s">
        <v>291</v>
      </c>
      <c r="AY22" s="130">
        <v>35.4</v>
      </c>
      <c r="AZ22" s="2">
        <v>18.5</v>
      </c>
      <c r="BA22" s="2"/>
      <c r="BB22" s="2">
        <v>54</v>
      </c>
      <c r="BC22" s="2"/>
      <c r="BD22" s="2">
        <v>0.6</v>
      </c>
      <c r="BE22" s="2">
        <v>1.2</v>
      </c>
      <c r="BF22" s="2">
        <v>1.5</v>
      </c>
      <c r="BG22" s="2">
        <v>1.9</v>
      </c>
      <c r="BH22" s="2">
        <v>4.5999999999999996</v>
      </c>
      <c r="BI22" s="2"/>
      <c r="BJ22" s="2"/>
      <c r="BK22" s="2"/>
      <c r="BL22" s="2"/>
      <c r="BM22" s="2"/>
      <c r="BN22" s="2">
        <v>50</v>
      </c>
      <c r="BO22" s="2">
        <v>26</v>
      </c>
      <c r="BP22" s="2">
        <v>26.5</v>
      </c>
      <c r="BQ22" s="2">
        <v>27</v>
      </c>
      <c r="BR22" s="2">
        <v>29</v>
      </c>
      <c r="BS22" s="2">
        <v>33</v>
      </c>
      <c r="BT22" s="2">
        <v>17</v>
      </c>
      <c r="BU22" s="2">
        <v>53</v>
      </c>
      <c r="BV22" s="2">
        <v>75</v>
      </c>
      <c r="BW22" s="2">
        <v>97</v>
      </c>
      <c r="BX22" s="2">
        <v>153</v>
      </c>
      <c r="BY22" s="2">
        <v>14.3</v>
      </c>
      <c r="BZ22" s="2">
        <v>1.4</v>
      </c>
      <c r="CA22" s="2">
        <v>0.6</v>
      </c>
      <c r="CB22" s="2">
        <v>6.4752927733074199E-11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21.5</v>
      </c>
      <c r="AX23" s="2" t="s">
        <v>291</v>
      </c>
      <c r="AY23" s="130">
        <v>35.4</v>
      </c>
      <c r="AZ23" s="2">
        <v>18.5</v>
      </c>
      <c r="BA23" s="2"/>
      <c r="BB23" s="2">
        <v>54</v>
      </c>
      <c r="BC23" s="2"/>
      <c r="BD23" s="2">
        <v>7.1</v>
      </c>
      <c r="BE23" s="2">
        <v>7.7</v>
      </c>
      <c r="BF23" s="2">
        <v>8</v>
      </c>
      <c r="BG23" s="2">
        <v>8.4</v>
      </c>
      <c r="BH23" s="2">
        <v>11.2</v>
      </c>
      <c r="BI23" s="2"/>
      <c r="BJ23" s="2"/>
      <c r="BK23" s="2"/>
      <c r="BL23" s="2"/>
      <c r="BM23" s="2"/>
      <c r="BN23" s="2">
        <v>50</v>
      </c>
      <c r="BO23" s="2">
        <v>26</v>
      </c>
      <c r="BP23" s="2">
        <v>26.5</v>
      </c>
      <c r="BQ23" s="2">
        <v>27</v>
      </c>
      <c r="BR23" s="2">
        <v>29</v>
      </c>
      <c r="BS23" s="2">
        <v>33</v>
      </c>
      <c r="BT23" s="2">
        <v>54</v>
      </c>
      <c r="BU23" s="2">
        <v>90</v>
      </c>
      <c r="BV23" s="2">
        <v>113</v>
      </c>
      <c r="BW23" s="2">
        <v>135</v>
      </c>
      <c r="BX23" s="2">
        <v>190</v>
      </c>
      <c r="BY23" s="2">
        <v>14.3</v>
      </c>
      <c r="BZ23" s="2">
        <v>1.4</v>
      </c>
      <c r="CA23" s="2">
        <v>0.6</v>
      </c>
      <c r="CB23" s="2">
        <v>6.4752927733074199E-11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21.5</v>
      </c>
      <c r="AX24" s="2" t="s">
        <v>291</v>
      </c>
      <c r="AY24" s="130">
        <v>35.4</v>
      </c>
      <c r="AZ24" s="2">
        <v>18.5</v>
      </c>
      <c r="BA24" s="2"/>
      <c r="BB24" s="2">
        <v>54</v>
      </c>
      <c r="BC24" s="2"/>
      <c r="BD24" s="2">
        <v>11.1</v>
      </c>
      <c r="BE24" s="2">
        <v>13.7</v>
      </c>
      <c r="BF24" s="2">
        <v>14</v>
      </c>
      <c r="BG24" s="2">
        <v>14.5</v>
      </c>
      <c r="BH24" s="2">
        <v>18.100000000000001</v>
      </c>
      <c r="BI24" s="2"/>
      <c r="BJ24" s="2"/>
      <c r="BK24" s="2"/>
      <c r="BL24" s="2"/>
      <c r="BM24" s="2"/>
      <c r="BN24" s="2">
        <v>67</v>
      </c>
      <c r="BO24" s="2">
        <v>26</v>
      </c>
      <c r="BP24" s="2">
        <v>27</v>
      </c>
      <c r="BQ24" s="2">
        <v>29</v>
      </c>
      <c r="BR24" s="2">
        <v>31</v>
      </c>
      <c r="BS24" s="2">
        <v>35</v>
      </c>
      <c r="BT24" s="2">
        <v>35</v>
      </c>
      <c r="BU24" s="2">
        <v>99</v>
      </c>
      <c r="BV24" s="2">
        <v>130</v>
      </c>
      <c r="BW24" s="2">
        <v>160</v>
      </c>
      <c r="BX24" s="2">
        <v>235</v>
      </c>
      <c r="BY24" s="2">
        <v>20.2</v>
      </c>
      <c r="BZ24" s="2">
        <v>2.8</v>
      </c>
      <c r="CA24" s="2">
        <v>0.9</v>
      </c>
      <c r="CB24" s="2">
        <v>1.99497029108204E-9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35.1</v>
      </c>
      <c r="AX25" s="2" t="s">
        <v>291</v>
      </c>
      <c r="AY25" s="130">
        <v>35.4</v>
      </c>
      <c r="AZ25" s="2">
        <v>18.5</v>
      </c>
      <c r="BA25" s="2"/>
      <c r="BB25" s="2">
        <v>54</v>
      </c>
      <c r="BC25" s="2"/>
      <c r="BD25" s="2">
        <v>7.1</v>
      </c>
      <c r="BE25" s="2">
        <v>9.6</v>
      </c>
      <c r="BF25" s="2">
        <v>10</v>
      </c>
      <c r="BG25" s="2">
        <v>10.4</v>
      </c>
      <c r="BH25" s="2">
        <v>14.1</v>
      </c>
      <c r="BI25" s="2"/>
      <c r="BJ25" s="2"/>
      <c r="BK25" s="2"/>
      <c r="BL25" s="2"/>
      <c r="BM25" s="2"/>
      <c r="BN25" s="2">
        <v>67</v>
      </c>
      <c r="BO25" s="2">
        <v>26</v>
      </c>
      <c r="BP25" s="2">
        <v>27</v>
      </c>
      <c r="BQ25" s="2">
        <v>29</v>
      </c>
      <c r="BR25" s="2">
        <v>31</v>
      </c>
      <c r="BS25" s="2">
        <v>35</v>
      </c>
      <c r="BT25" s="2">
        <v>35</v>
      </c>
      <c r="BU25" s="2">
        <v>99</v>
      </c>
      <c r="BV25" s="2">
        <v>129</v>
      </c>
      <c r="BW25" s="2">
        <v>160</v>
      </c>
      <c r="BX25" s="2">
        <v>235</v>
      </c>
      <c r="BY25" s="2">
        <v>20.2</v>
      </c>
      <c r="BZ25" s="2">
        <v>2.8</v>
      </c>
      <c r="CA25" s="2">
        <v>0.9</v>
      </c>
      <c r="CB25" s="2">
        <v>1.99497029108204E-9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35.1</v>
      </c>
      <c r="AX26" s="2" t="s">
        <v>271</v>
      </c>
      <c r="AY26" s="130">
        <v>24.7</v>
      </c>
      <c r="AZ26" s="2">
        <v>19.8</v>
      </c>
      <c r="BA26" s="2"/>
      <c r="BB26" s="2">
        <v>11</v>
      </c>
      <c r="BC26" s="2"/>
      <c r="BD26" s="2">
        <v>5</v>
      </c>
      <c r="BE26" s="2">
        <v>5.8</v>
      </c>
      <c r="BF26" s="2">
        <v>6.9</v>
      </c>
      <c r="BG26" s="2">
        <v>19.899999999999999</v>
      </c>
      <c r="BH26" s="2">
        <v>60.2</v>
      </c>
      <c r="BI26" s="2"/>
      <c r="BJ26" s="2"/>
      <c r="BK26" s="2"/>
      <c r="BL26" s="2"/>
      <c r="BM26" s="2"/>
      <c r="BN26" s="2">
        <v>24</v>
      </c>
      <c r="BO26" s="2">
        <v>25</v>
      </c>
      <c r="BP26" s="2">
        <v>25.5</v>
      </c>
      <c r="BQ26" s="2">
        <v>26</v>
      </c>
      <c r="BR26" s="2">
        <v>28</v>
      </c>
      <c r="BS26" s="2">
        <v>32</v>
      </c>
      <c r="BT26" s="2">
        <v>51</v>
      </c>
      <c r="BU26" s="2">
        <v>100</v>
      </c>
      <c r="BV26" s="2">
        <v>131</v>
      </c>
      <c r="BW26" s="2">
        <v>162</v>
      </c>
      <c r="BX26" s="2">
        <v>238</v>
      </c>
      <c r="BY26" s="2">
        <v>22.2</v>
      </c>
      <c r="BZ26" s="2">
        <v>1</v>
      </c>
      <c r="CA26" s="2">
        <v>0.5</v>
      </c>
      <c r="CB26" s="2">
        <v>1.4103667233273299E-13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53.2</v>
      </c>
      <c r="AX27" s="2" t="s">
        <v>271</v>
      </c>
      <c r="AY27" s="130">
        <v>24.7</v>
      </c>
      <c r="AZ27" s="2">
        <v>19.8</v>
      </c>
      <c r="BA27" s="2"/>
      <c r="BB27" s="2">
        <v>11</v>
      </c>
      <c r="BC27" s="2"/>
      <c r="BD27" s="2">
        <v>1.9</v>
      </c>
      <c r="BE27" s="2">
        <v>2.7</v>
      </c>
      <c r="BF27" s="2">
        <v>3.8</v>
      </c>
      <c r="BG27" s="2">
        <v>16.8</v>
      </c>
      <c r="BH27" s="2">
        <v>57.1</v>
      </c>
      <c r="BI27" s="2"/>
      <c r="BJ27" s="2"/>
      <c r="BK27" s="2"/>
      <c r="BL27" s="2"/>
      <c r="BM27" s="2"/>
      <c r="BN27" s="2">
        <v>24</v>
      </c>
      <c r="BO27" s="2">
        <v>25</v>
      </c>
      <c r="BP27" s="2">
        <v>25.5</v>
      </c>
      <c r="BQ27" s="2">
        <v>26</v>
      </c>
      <c r="BR27" s="2">
        <v>28</v>
      </c>
      <c r="BS27" s="2">
        <v>32</v>
      </c>
      <c r="BT27" s="2">
        <v>53</v>
      </c>
      <c r="BU27" s="2">
        <v>101</v>
      </c>
      <c r="BV27" s="2">
        <v>132</v>
      </c>
      <c r="BW27" s="2">
        <v>163</v>
      </c>
      <c r="BX27" s="2">
        <v>239</v>
      </c>
      <c r="BY27" s="2">
        <v>22.2</v>
      </c>
      <c r="BZ27" s="2">
        <v>1</v>
      </c>
      <c r="CA27" s="2">
        <v>0.5</v>
      </c>
      <c r="CB27" s="2">
        <v>1.4103667233273299E-13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53.2</v>
      </c>
      <c r="AX28" s="2" t="s">
        <v>273</v>
      </c>
      <c r="AY28" s="130">
        <v>32</v>
      </c>
      <c r="AZ28" s="2">
        <v>18.899999999999999</v>
      </c>
      <c r="BA28" s="2">
        <v>47</v>
      </c>
      <c r="BB28" s="2">
        <v>85</v>
      </c>
      <c r="BC28" s="2">
        <v>3</v>
      </c>
      <c r="BD28" s="2">
        <v>1.9</v>
      </c>
      <c r="BE28" s="2">
        <v>9.8000000000000007</v>
      </c>
      <c r="BF28" s="2">
        <v>10</v>
      </c>
      <c r="BG28" s="2">
        <v>24.4</v>
      </c>
      <c r="BH28" s="2">
        <v>68.8</v>
      </c>
      <c r="BI28" s="2">
        <v>320</v>
      </c>
      <c r="BJ28" s="2">
        <v>406</v>
      </c>
      <c r="BK28" s="2">
        <v>449</v>
      </c>
      <c r="BL28" s="2">
        <v>493</v>
      </c>
      <c r="BM28" s="2">
        <v>579</v>
      </c>
      <c r="BN28" s="2"/>
      <c r="BO28" s="2"/>
      <c r="BP28" s="2"/>
      <c r="BQ28" s="2"/>
      <c r="BR28" s="2"/>
      <c r="BS28" s="2"/>
      <c r="BT28" s="2">
        <v>353</v>
      </c>
      <c r="BU28" s="2">
        <v>525</v>
      </c>
      <c r="BV28" s="2">
        <v>612</v>
      </c>
      <c r="BW28" s="2">
        <v>699</v>
      </c>
      <c r="BX28" s="2">
        <v>871</v>
      </c>
      <c r="BY28" s="2">
        <v>42.6</v>
      </c>
      <c r="BZ28" s="2">
        <v>5.2</v>
      </c>
      <c r="CA28" s="2">
        <v>1.9</v>
      </c>
      <c r="CB28" s="2">
        <v>3.9947299916884899E-12</v>
      </c>
      <c r="CC28" s="2">
        <v>1.8</v>
      </c>
    </row>
    <row r="29" spans="1:81" x14ac:dyDescent="0.25">
      <c r="A29" s="66"/>
      <c r="B29" s="66"/>
      <c r="C29" s="67"/>
      <c r="D29" s="35"/>
      <c r="AW29" s="2">
        <v>80</v>
      </c>
      <c r="AX29" s="2" t="s">
        <v>273</v>
      </c>
      <c r="AY29" s="130">
        <v>32</v>
      </c>
      <c r="AZ29" s="2">
        <v>18.899999999999999</v>
      </c>
      <c r="BA29" s="2">
        <v>47</v>
      </c>
      <c r="BB29" s="2">
        <v>85</v>
      </c>
      <c r="BC29" s="2">
        <v>3</v>
      </c>
      <c r="BD29" s="2">
        <v>5.6</v>
      </c>
      <c r="BE29" s="2">
        <v>13.5</v>
      </c>
      <c r="BF29" s="2">
        <v>13.7</v>
      </c>
      <c r="BG29" s="2">
        <v>28.1</v>
      </c>
      <c r="BH29" s="2">
        <v>72.5</v>
      </c>
      <c r="BI29" s="2">
        <v>481</v>
      </c>
      <c r="BJ29" s="2">
        <v>567</v>
      </c>
      <c r="BK29" s="2">
        <v>610</v>
      </c>
      <c r="BL29" s="2">
        <v>654</v>
      </c>
      <c r="BM29" s="2">
        <v>740</v>
      </c>
      <c r="BN29" s="2"/>
      <c r="BO29" s="2"/>
      <c r="BP29" s="2"/>
      <c r="BQ29" s="2"/>
      <c r="BR29" s="2"/>
      <c r="BS29" s="2"/>
      <c r="BT29" s="2">
        <v>650</v>
      </c>
      <c r="BU29" s="2">
        <v>822</v>
      </c>
      <c r="BV29" s="2">
        <v>909</v>
      </c>
      <c r="BW29" s="2">
        <v>996</v>
      </c>
      <c r="BX29" s="2">
        <v>1168</v>
      </c>
      <c r="BY29" s="2">
        <v>42.6</v>
      </c>
      <c r="BZ29" s="2">
        <v>5.2</v>
      </c>
      <c r="CA29" s="2">
        <v>1.9</v>
      </c>
      <c r="CB29" s="2">
        <v>3.9947299916884899E-12</v>
      </c>
      <c r="CC29" s="2">
        <v>1.8</v>
      </c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180" priority="12">
      <formula>$L32="API sand"</formula>
    </cfRule>
  </conditionalFormatting>
  <conditionalFormatting sqref="R32:S36 AB32:AB35 AJ32:AL36 Z32:Z36 N32:N36">
    <cfRule type="expression" dxfId="2179" priority="11">
      <formula>$M32="API sand"</formula>
    </cfRule>
  </conditionalFormatting>
  <conditionalFormatting sqref="R32:T36 Z32:AB35 AK32:AL36 N32:N36">
    <cfRule type="expression" dxfId="2178" priority="10">
      <formula>$M32="API clay"</formula>
    </cfRule>
  </conditionalFormatting>
  <conditionalFormatting sqref="U32:W36 AM32:AP36 N32:P36">
    <cfRule type="expression" dxfId="2177" priority="7">
      <formula>$L32="Stiff clay w/o free water"</formula>
    </cfRule>
    <cfRule type="expression" dxfId="2176" priority="9">
      <formula>$L32="API clay"</formula>
    </cfRule>
  </conditionalFormatting>
  <conditionalFormatting sqref="U32:Y36 AM32:AP36 N32:P36">
    <cfRule type="expression" dxfId="2175" priority="8">
      <formula>$L32="Kirsch soft clay"</formula>
    </cfRule>
  </conditionalFormatting>
  <conditionalFormatting sqref="U32:Y36 AM32:AP36 N32:P36">
    <cfRule type="expression" dxfId="2174" priority="6">
      <formula>$L32="Kirsch stiff clay"</formula>
    </cfRule>
  </conditionalFormatting>
  <conditionalFormatting sqref="AM32:AP36 Q32:Q36 X32:Y36 N32:N36">
    <cfRule type="expression" dxfId="2173" priority="5">
      <formula>$L32="Kirsch sand"</formula>
    </cfRule>
  </conditionalFormatting>
  <conditionalFormatting sqref="AC32:AD36 AI32:AI36 AM32:AP36 N32:N36">
    <cfRule type="expression" dxfId="2172" priority="4">
      <formula>$L32="Modified Weak rock"</formula>
    </cfRule>
  </conditionalFormatting>
  <conditionalFormatting sqref="AM32:AP36 N32:P36 U32:V36">
    <cfRule type="expression" dxfId="2171" priority="3">
      <formula>$L32="Reese stiff clay"</formula>
    </cfRule>
  </conditionalFormatting>
  <conditionalFormatting sqref="AB36">
    <cfRule type="expression" dxfId="2170" priority="2">
      <formula>$M36="API sand"</formula>
    </cfRule>
  </conditionalFormatting>
  <conditionalFormatting sqref="Z36:AB36">
    <cfRule type="expression" dxfId="2169" priority="1">
      <formula>$M36="API clay"</formula>
    </cfRule>
  </conditionalFormatting>
  <conditionalFormatting sqref="AE37:AH37">
    <cfRule type="expression" dxfId="2168" priority="13">
      <formula>#REF!="Modified Weak rock"</formula>
    </cfRule>
  </conditionalFormatting>
  <dataValidations count="4">
    <dataValidation type="list" showInputMessage="1" showErrorMessage="1" sqref="M32:M36" xr:uid="{981C711A-93E5-41F6-976A-53D4350629EA}">
      <formula1>"',API sand,API clay"</formula1>
    </dataValidation>
    <dataValidation type="list" showInputMessage="1" showErrorMessage="1" sqref="L32:L255" xr:uid="{E185C6D9-DB44-4BC1-90F1-09757248CEAE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1DBE934B-5D5F-432F-8449-B5F8B0820DC7}"/>
    <dataValidation type="textLength" showInputMessage="1" showErrorMessage="1" sqref="M27:M31" xr:uid="{E6B64583-A001-40DC-86D8-DCAC2CEB59FC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757BF-2C6C-41D4-A734-E169FAA1F5BC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Ak_Pisa_WTG59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EW_sand_Ruled_84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35</v>
      </c>
      <c r="R6" s="47">
        <f t="shared" ref="R6:R26" ca="1" si="7">IF(I6="","",IF(Q6&lt;&gt;0,Q6-5,NA()))</f>
        <v>30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5400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95.999999999999972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9600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24000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40.000000000000007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84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0.4</v>
      </c>
      <c r="BG6" s="2">
        <v>0.7</v>
      </c>
      <c r="BH6" s="2">
        <v>1.3</v>
      </c>
      <c r="BI6" s="2"/>
      <c r="BJ6" s="2"/>
      <c r="BK6" s="2"/>
      <c r="BL6" s="2"/>
      <c r="BM6" s="2"/>
      <c r="BN6" s="2">
        <v>84</v>
      </c>
      <c r="BO6" s="2">
        <v>26</v>
      </c>
      <c r="BP6" s="2">
        <v>35</v>
      </c>
      <c r="BQ6" s="2">
        <v>39</v>
      </c>
      <c r="BR6" s="2">
        <v>42</v>
      </c>
      <c r="BS6" s="2">
        <v>54</v>
      </c>
      <c r="BT6" s="2">
        <v>0</v>
      </c>
      <c r="BU6" s="2">
        <v>2</v>
      </c>
      <c r="BV6" s="2">
        <v>5</v>
      </c>
      <c r="BW6" s="2">
        <v>9</v>
      </c>
      <c r="BX6" s="2">
        <v>16</v>
      </c>
      <c r="BY6" s="2">
        <v>5.4</v>
      </c>
      <c r="BZ6" s="2">
        <v>1</v>
      </c>
      <c r="CA6" s="2">
        <v>0.5</v>
      </c>
      <c r="CB6" s="2">
        <v>2.5625979086909401E-4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-0.5</v>
      </c>
      <c r="L7" s="116" t="str">
        <f t="shared" ca="1" si="1"/>
        <v>EW_sand_Ruled_97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42</v>
      </c>
      <c r="R7" s="47">
        <f t="shared" ca="1" si="7"/>
        <v>37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35100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27000</v>
      </c>
      <c r="AD7" s="63">
        <f t="shared" ca="1" si="19"/>
        <v>20000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97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0.4</v>
      </c>
      <c r="BE7" s="2">
        <v>1</v>
      </c>
      <c r="BF7" s="2">
        <v>1.3</v>
      </c>
      <c r="BG7" s="2">
        <v>1.6</v>
      </c>
      <c r="BH7" s="2">
        <v>2.2000000000000002</v>
      </c>
      <c r="BI7" s="2"/>
      <c r="BJ7" s="2"/>
      <c r="BK7" s="2"/>
      <c r="BL7" s="2"/>
      <c r="BM7" s="2"/>
      <c r="BN7" s="2">
        <v>84</v>
      </c>
      <c r="BO7" s="2">
        <v>26</v>
      </c>
      <c r="BP7" s="2">
        <v>35</v>
      </c>
      <c r="BQ7" s="2">
        <v>39</v>
      </c>
      <c r="BR7" s="2">
        <v>42</v>
      </c>
      <c r="BS7" s="2">
        <v>54</v>
      </c>
      <c r="BT7" s="2">
        <v>7</v>
      </c>
      <c r="BU7" s="2">
        <v>14</v>
      </c>
      <c r="BV7" s="2">
        <v>17</v>
      </c>
      <c r="BW7" s="2">
        <v>20</v>
      </c>
      <c r="BX7" s="2">
        <v>27</v>
      </c>
      <c r="BY7" s="2">
        <v>5.4</v>
      </c>
      <c r="BZ7" s="2">
        <v>1</v>
      </c>
      <c r="CA7" s="2">
        <v>0.5</v>
      </c>
      <c r="CB7" s="2">
        <v>2.5625979086909401E-4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02a</v>
      </c>
      <c r="J8" s="47">
        <f t="shared" ca="1" si="35"/>
        <v>3</v>
      </c>
      <c r="K8" s="19">
        <f t="shared" ca="1" si="36"/>
        <v>-1.3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10.199999999999999</v>
      </c>
      <c r="O8" s="63">
        <f t="shared" ca="1" si="4"/>
        <v>78</v>
      </c>
      <c r="P8" s="63">
        <f t="shared" ca="1" si="5"/>
        <v>40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16500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81000</v>
      </c>
      <c r="AD8" s="63">
        <f t="shared" ca="1" si="19"/>
        <v>40000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5.3</v>
      </c>
      <c r="BE8" s="2">
        <v>5.8</v>
      </c>
      <c r="BF8" s="2">
        <v>6</v>
      </c>
      <c r="BG8" s="2">
        <v>6.4</v>
      </c>
      <c r="BH8" s="2">
        <v>7.7</v>
      </c>
      <c r="BI8" s="2"/>
      <c r="BJ8" s="2"/>
      <c r="BK8" s="2"/>
      <c r="BL8" s="2"/>
      <c r="BM8" s="2"/>
      <c r="BN8" s="2">
        <v>97</v>
      </c>
      <c r="BO8" s="2">
        <v>36</v>
      </c>
      <c r="BP8" s="2">
        <v>42</v>
      </c>
      <c r="BQ8" s="2">
        <v>45</v>
      </c>
      <c r="BR8" s="2">
        <v>48</v>
      </c>
      <c r="BS8" s="2">
        <v>54</v>
      </c>
      <c r="BT8" s="2">
        <v>0</v>
      </c>
      <c r="BU8" s="2">
        <v>19</v>
      </c>
      <c r="BV8" s="2">
        <v>27</v>
      </c>
      <c r="BW8" s="2">
        <v>36</v>
      </c>
      <c r="BX8" s="2">
        <v>56</v>
      </c>
      <c r="BY8" s="2">
        <v>35.1</v>
      </c>
      <c r="BZ8" s="2">
        <v>1</v>
      </c>
      <c r="CA8" s="2">
        <v>0.5</v>
      </c>
      <c r="CB8" s="2">
        <v>2.5625979086909401E-4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02b</v>
      </c>
      <c r="J9" s="47">
        <f t="shared" ca="1" si="35"/>
        <v>4</v>
      </c>
      <c r="K9" s="19">
        <f t="shared" ca="1" si="36"/>
        <v>-2</v>
      </c>
      <c r="L9" s="116" t="str">
        <f t="shared" ca="1" si="1"/>
        <v>EW_sand_Ruled_75</v>
      </c>
      <c r="M9" s="105" t="str">
        <f t="shared" ca="1" si="2"/>
        <v>API sand</v>
      </c>
      <c r="N9" s="47">
        <f t="shared" ca="1" si="3"/>
        <v>9.3999999999999986</v>
      </c>
      <c r="O9" s="63">
        <f t="shared" ca="1" si="4"/>
        <v>0</v>
      </c>
      <c r="P9" s="63">
        <f t="shared" ca="1" si="5"/>
        <v>0</v>
      </c>
      <c r="Q9" s="47">
        <f t="shared" ca="1" si="6"/>
        <v>40</v>
      </c>
      <c r="R9" s="47">
        <f t="shared" ca="1" si="7"/>
        <v>35</v>
      </c>
      <c r="S9" s="47">
        <f t="shared" ca="1" si="8"/>
        <v>2.1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39100</v>
      </c>
      <c r="Y9" s="47">
        <f t="shared" ca="1" si="14"/>
        <v>0</v>
      </c>
      <c r="Z9" s="47">
        <f t="shared" ca="1" si="15"/>
        <v>114.99999999999996</v>
      </c>
      <c r="AA9" s="47">
        <f t="shared" ca="1" si="16"/>
        <v>1</v>
      </c>
      <c r="AB9" s="47">
        <f t="shared" ca="1" si="17"/>
        <v>12000</v>
      </c>
      <c r="AC9" s="63">
        <f t="shared" ca="1" si="18"/>
        <v>47000</v>
      </c>
      <c r="AD9" s="63">
        <f t="shared" ca="1" si="19"/>
        <v>32000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50.000000000000007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75</v>
      </c>
      <c r="AS9" s="33">
        <f t="shared" ca="1" si="34"/>
        <v>0.4</v>
      </c>
      <c r="AW9" s="2">
        <v>1.3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10.7</v>
      </c>
      <c r="BE9" s="2">
        <v>11.1</v>
      </c>
      <c r="BF9" s="2">
        <v>11.3</v>
      </c>
      <c r="BG9" s="2">
        <v>11.8</v>
      </c>
      <c r="BH9" s="2">
        <v>13.1</v>
      </c>
      <c r="BI9" s="2"/>
      <c r="BJ9" s="2"/>
      <c r="BK9" s="2"/>
      <c r="BL9" s="2"/>
      <c r="BM9" s="2"/>
      <c r="BN9" s="2">
        <v>97</v>
      </c>
      <c r="BO9" s="2">
        <v>36</v>
      </c>
      <c r="BP9" s="2">
        <v>42</v>
      </c>
      <c r="BQ9" s="2">
        <v>45</v>
      </c>
      <c r="BR9" s="2">
        <v>48</v>
      </c>
      <c r="BS9" s="2">
        <v>54</v>
      </c>
      <c r="BT9" s="2">
        <v>14</v>
      </c>
      <c r="BU9" s="2">
        <v>35</v>
      </c>
      <c r="BV9" s="2">
        <v>43</v>
      </c>
      <c r="BW9" s="2">
        <v>52</v>
      </c>
      <c r="BX9" s="2">
        <v>72</v>
      </c>
      <c r="BY9" s="2">
        <v>35.1</v>
      </c>
      <c r="BZ9" s="2">
        <v>1</v>
      </c>
      <c r="CA9" s="2">
        <v>0.5</v>
      </c>
      <c r="CB9" s="2">
        <v>2.5625979086909401E-4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02c</v>
      </c>
      <c r="J10" s="47">
        <f t="shared" ca="1" si="35"/>
        <v>5</v>
      </c>
      <c r="K10" s="19">
        <f t="shared" ca="1" si="36"/>
        <v>-2.5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8.5</v>
      </c>
      <c r="O10" s="63">
        <f t="shared" ca="1" si="4"/>
        <v>317</v>
      </c>
      <c r="P10" s="63">
        <f t="shared" ca="1" si="5"/>
        <v>22.727272727272727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3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0.25</v>
      </c>
      <c r="X10" s="47">
        <f t="shared" ca="1" si="13"/>
        <v>54700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364000</v>
      </c>
      <c r="AD10" s="63">
        <f t="shared" ca="1" si="19"/>
        <v>27272.727272727268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1.3</v>
      </c>
      <c r="AX10" s="2" t="s">
        <v>255</v>
      </c>
      <c r="AY10" s="130">
        <v>23.1</v>
      </c>
      <c r="AZ10" s="2">
        <v>20.2</v>
      </c>
      <c r="BA10" s="2">
        <v>18</v>
      </c>
      <c r="BB10" s="2">
        <v>28</v>
      </c>
      <c r="BC10" s="2">
        <v>5</v>
      </c>
      <c r="BD10" s="2">
        <v>1.5</v>
      </c>
      <c r="BE10" s="2">
        <v>1.7</v>
      </c>
      <c r="BF10" s="2">
        <v>1.9</v>
      </c>
      <c r="BG10" s="2">
        <v>2</v>
      </c>
      <c r="BH10" s="2">
        <v>2.2999999999999998</v>
      </c>
      <c r="BI10" s="2">
        <v>24</v>
      </c>
      <c r="BJ10" s="2">
        <v>78</v>
      </c>
      <c r="BK10" s="2">
        <v>103</v>
      </c>
      <c r="BL10" s="2">
        <v>129</v>
      </c>
      <c r="BM10" s="2">
        <v>183</v>
      </c>
      <c r="BN10" s="2"/>
      <c r="BO10" s="2"/>
      <c r="BP10" s="2"/>
      <c r="BQ10" s="2"/>
      <c r="BR10" s="2"/>
      <c r="BS10" s="2"/>
      <c r="BT10" s="2">
        <v>1</v>
      </c>
      <c r="BU10" s="2">
        <v>47</v>
      </c>
      <c r="BV10" s="2">
        <v>81</v>
      </c>
      <c r="BW10" s="2">
        <v>115</v>
      </c>
      <c r="BX10" s="2">
        <v>181</v>
      </c>
      <c r="BY10" s="2">
        <v>16.5</v>
      </c>
      <c r="BZ10" s="2">
        <v>25.4</v>
      </c>
      <c r="CA10" s="2">
        <v>3</v>
      </c>
      <c r="CB10" s="2">
        <v>1.0976661427832499E-8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10b</v>
      </c>
      <c r="J11" s="47">
        <f t="shared" ca="1" si="35"/>
        <v>6</v>
      </c>
      <c r="K11" s="19">
        <f t="shared" ca="1" si="36"/>
        <v>-3.6</v>
      </c>
      <c r="L11" s="116" t="str">
        <f t="shared" ca="1" si="1"/>
        <v>EW_sand_Ruled_92</v>
      </c>
      <c r="M11" s="105" t="str">
        <f t="shared" ca="1" si="2"/>
        <v>API sand</v>
      </c>
      <c r="N11" s="47">
        <f t="shared" ca="1" si="3"/>
        <v>9.8999999999999986</v>
      </c>
      <c r="O11" s="63">
        <f t="shared" ca="1" si="4"/>
        <v>0</v>
      </c>
      <c r="P11" s="63">
        <f t="shared" ca="1" si="5"/>
        <v>0</v>
      </c>
      <c r="Q11" s="47">
        <f t="shared" ca="1" si="6"/>
        <v>43</v>
      </c>
      <c r="R11" s="47">
        <f t="shared" ca="1" si="7"/>
        <v>38</v>
      </c>
      <c r="S11" s="47">
        <f t="shared" ca="1" si="8"/>
        <v>2.2000000000000002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99000</v>
      </c>
      <c r="Y11" s="47">
        <f t="shared" ca="1" si="14"/>
        <v>0</v>
      </c>
      <c r="Z11" s="47">
        <f t="shared" ca="1" si="15"/>
        <v>114.99999999999996</v>
      </c>
      <c r="AA11" s="47">
        <f t="shared" ca="1" si="16"/>
        <v>1</v>
      </c>
      <c r="AB11" s="47">
        <f t="shared" ca="1" si="17"/>
        <v>12000</v>
      </c>
      <c r="AC11" s="63">
        <f t="shared" ca="1" si="18"/>
        <v>79000</v>
      </c>
      <c r="AD11" s="63">
        <f t="shared" ca="1" si="19"/>
        <v>4545.454545454545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50.000000000000007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92</v>
      </c>
      <c r="AS11" s="33">
        <f t="shared" ca="1" si="34"/>
        <v>0.4</v>
      </c>
      <c r="AW11" s="2">
        <v>2</v>
      </c>
      <c r="AX11" s="2" t="s">
        <v>255</v>
      </c>
      <c r="AY11" s="130">
        <v>23.1</v>
      </c>
      <c r="AZ11" s="2">
        <v>20.2</v>
      </c>
      <c r="BA11" s="2">
        <v>18</v>
      </c>
      <c r="BB11" s="2">
        <v>28</v>
      </c>
      <c r="BC11" s="2">
        <v>5</v>
      </c>
      <c r="BD11" s="2">
        <v>2</v>
      </c>
      <c r="BE11" s="2">
        <v>2.2000000000000002</v>
      </c>
      <c r="BF11" s="2">
        <v>2.4</v>
      </c>
      <c r="BG11" s="2">
        <v>2.5</v>
      </c>
      <c r="BH11" s="2">
        <v>2.8</v>
      </c>
      <c r="BI11" s="2">
        <v>51</v>
      </c>
      <c r="BJ11" s="2">
        <v>106</v>
      </c>
      <c r="BK11" s="2">
        <v>131</v>
      </c>
      <c r="BL11" s="2">
        <v>157</v>
      </c>
      <c r="BM11" s="2">
        <v>210</v>
      </c>
      <c r="BN11" s="2"/>
      <c r="BO11" s="2"/>
      <c r="BP11" s="2"/>
      <c r="BQ11" s="2"/>
      <c r="BR11" s="2"/>
      <c r="BS11" s="2"/>
      <c r="BT11" s="2">
        <v>29</v>
      </c>
      <c r="BU11" s="2">
        <v>75</v>
      </c>
      <c r="BV11" s="2">
        <v>109</v>
      </c>
      <c r="BW11" s="2">
        <v>143</v>
      </c>
      <c r="BX11" s="2">
        <v>209</v>
      </c>
      <c r="BY11" s="2">
        <v>16.5</v>
      </c>
      <c r="BZ11" s="2">
        <v>25.4</v>
      </c>
      <c r="CA11" s="2">
        <v>3</v>
      </c>
      <c r="CB11" s="2">
        <v>1.0976661427832499E-8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10c</v>
      </c>
      <c r="J12" s="47">
        <f t="shared" ca="1" si="35"/>
        <v>7</v>
      </c>
      <c r="K12" s="19">
        <f t="shared" ca="1" si="36"/>
        <v>-4.7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8.3999999999999986</v>
      </c>
      <c r="O12" s="63">
        <f t="shared" ca="1" si="4"/>
        <v>358</v>
      </c>
      <c r="P12" s="63">
        <f t="shared" ca="1" si="5"/>
        <v>-583.33333333333371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0.25</v>
      </c>
      <c r="X12" s="47">
        <f t="shared" ca="1" si="13"/>
        <v>46800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406000</v>
      </c>
      <c r="AD12" s="63">
        <f t="shared" ca="1" si="19"/>
        <v>-660000.00000000035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2</v>
      </c>
      <c r="AX12" s="2" t="s">
        <v>257</v>
      </c>
      <c r="AY12" s="130">
        <v>29.7</v>
      </c>
      <c r="AZ12" s="2">
        <v>19.399999999999999</v>
      </c>
      <c r="BA12" s="2"/>
      <c r="BB12" s="2">
        <v>24</v>
      </c>
      <c r="BC12" s="2"/>
      <c r="BD12" s="2">
        <v>0.2</v>
      </c>
      <c r="BE12" s="2">
        <v>4.4000000000000004</v>
      </c>
      <c r="BF12" s="2">
        <v>8.5</v>
      </c>
      <c r="BG12" s="2">
        <v>12.9</v>
      </c>
      <c r="BH12" s="2">
        <v>22.5</v>
      </c>
      <c r="BI12" s="2"/>
      <c r="BJ12" s="2"/>
      <c r="BK12" s="2"/>
      <c r="BL12" s="2"/>
      <c r="BM12" s="2"/>
      <c r="BN12" s="2">
        <v>75</v>
      </c>
      <c r="BO12" s="2">
        <v>31</v>
      </c>
      <c r="BP12" s="2">
        <v>40</v>
      </c>
      <c r="BQ12" s="2">
        <v>43</v>
      </c>
      <c r="BR12" s="2">
        <v>46</v>
      </c>
      <c r="BS12" s="2">
        <v>54</v>
      </c>
      <c r="BT12" s="2">
        <v>2</v>
      </c>
      <c r="BU12" s="2">
        <v>32</v>
      </c>
      <c r="BV12" s="2">
        <v>47</v>
      </c>
      <c r="BW12" s="2">
        <v>61</v>
      </c>
      <c r="BX12" s="2">
        <v>94</v>
      </c>
      <c r="BY12" s="2">
        <v>39.1</v>
      </c>
      <c r="BZ12" s="2">
        <v>11.1</v>
      </c>
      <c r="CA12" s="2">
        <v>2.1</v>
      </c>
      <c r="CB12" s="2">
        <v>5.0153118011835397E-5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10c</v>
      </c>
      <c r="J13" s="47">
        <f t="shared" ca="1" si="35"/>
        <v>8</v>
      </c>
      <c r="K13" s="19">
        <f t="shared" ca="1" si="36"/>
        <v>-5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8.3999999999999986</v>
      </c>
      <c r="O13" s="63">
        <f t="shared" ca="1" si="4"/>
        <v>122</v>
      </c>
      <c r="P13" s="63">
        <f t="shared" ca="1" si="5"/>
        <v>52.49999999999995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0.5</v>
      </c>
      <c r="X13" s="47">
        <f t="shared" ca="1" si="13"/>
        <v>32200.000000000004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134000</v>
      </c>
      <c r="AD13" s="63">
        <f t="shared" ca="1" si="19"/>
        <v>54999.999999999949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2.5</v>
      </c>
      <c r="AX13" s="2" t="s">
        <v>257</v>
      </c>
      <c r="AY13" s="130">
        <v>29.7</v>
      </c>
      <c r="AZ13" s="2">
        <v>19.399999999999999</v>
      </c>
      <c r="BA13" s="2"/>
      <c r="BB13" s="2">
        <v>24</v>
      </c>
      <c r="BC13" s="2"/>
      <c r="BD13" s="2">
        <v>9.5</v>
      </c>
      <c r="BE13" s="2">
        <v>13.9</v>
      </c>
      <c r="BF13" s="2">
        <v>18</v>
      </c>
      <c r="BG13" s="2">
        <v>22.3</v>
      </c>
      <c r="BH13" s="2">
        <v>32</v>
      </c>
      <c r="BI13" s="2"/>
      <c r="BJ13" s="2"/>
      <c r="BK13" s="2"/>
      <c r="BL13" s="2"/>
      <c r="BM13" s="2"/>
      <c r="BN13" s="2">
        <v>75</v>
      </c>
      <c r="BO13" s="2">
        <v>31</v>
      </c>
      <c r="BP13" s="2">
        <v>40</v>
      </c>
      <c r="BQ13" s="2">
        <v>43</v>
      </c>
      <c r="BR13" s="2">
        <v>46</v>
      </c>
      <c r="BS13" s="2">
        <v>54</v>
      </c>
      <c r="BT13" s="2">
        <v>18</v>
      </c>
      <c r="BU13" s="2">
        <v>48</v>
      </c>
      <c r="BV13" s="2">
        <v>63</v>
      </c>
      <c r="BW13" s="2">
        <v>77</v>
      </c>
      <c r="BX13" s="2">
        <v>110</v>
      </c>
      <c r="BY13" s="2">
        <v>39.1</v>
      </c>
      <c r="BZ13" s="2">
        <v>11.1</v>
      </c>
      <c r="CA13" s="2">
        <v>2.1</v>
      </c>
      <c r="CB13" s="2">
        <v>5.0153118011835397E-5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10b</v>
      </c>
      <c r="J14" s="47">
        <f t="shared" ca="1" si="35"/>
        <v>9</v>
      </c>
      <c r="K14" s="19">
        <f t="shared" ca="1" si="36"/>
        <v>-5.4</v>
      </c>
      <c r="L14" s="116" t="str">
        <f t="shared" ca="1" si="1"/>
        <v>EW_sand_Ruled_93</v>
      </c>
      <c r="M14" s="105" t="str">
        <f t="shared" ca="1" si="2"/>
        <v>API sand</v>
      </c>
      <c r="N14" s="47">
        <f t="shared" ca="1" si="3"/>
        <v>9.8999999999999986</v>
      </c>
      <c r="O14" s="63">
        <f t="shared" ca="1" si="4"/>
        <v>0</v>
      </c>
      <c r="P14" s="63">
        <f t="shared" ca="1" si="5"/>
        <v>0</v>
      </c>
      <c r="Q14" s="47">
        <f t="shared" ca="1" si="6"/>
        <v>42</v>
      </c>
      <c r="R14" s="47">
        <f t="shared" ca="1" si="7"/>
        <v>37</v>
      </c>
      <c r="S14" s="47">
        <f t="shared" ca="1" si="8"/>
        <v>1.7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121300</v>
      </c>
      <c r="Y14" s="47">
        <f t="shared" ca="1" si="14"/>
        <v>0</v>
      </c>
      <c r="Z14" s="47">
        <f t="shared" ca="1" si="15"/>
        <v>114.99999999999996</v>
      </c>
      <c r="AA14" s="47">
        <f t="shared" ca="1" si="16"/>
        <v>1</v>
      </c>
      <c r="AB14" s="47">
        <f t="shared" ca="1" si="17"/>
        <v>12000</v>
      </c>
      <c r="AC14" s="63">
        <f t="shared" ca="1" si="18"/>
        <v>88000</v>
      </c>
      <c r="AD14" s="63">
        <f t="shared" ca="1" si="19"/>
        <v>6388.8888888888896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50.000000000000007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93</v>
      </c>
      <c r="AS14" s="33">
        <f t="shared" ca="1" si="34"/>
        <v>0.4</v>
      </c>
      <c r="AW14" s="2">
        <v>2.5</v>
      </c>
      <c r="AX14" s="2" t="s">
        <v>298</v>
      </c>
      <c r="AY14" s="130">
        <v>37.1</v>
      </c>
      <c r="AZ14" s="2">
        <v>18.5</v>
      </c>
      <c r="BA14" s="2">
        <v>30</v>
      </c>
      <c r="BB14" s="2">
        <v>88</v>
      </c>
      <c r="BC14" s="2">
        <v>3</v>
      </c>
      <c r="BD14" s="2">
        <v>6.3</v>
      </c>
      <c r="BE14" s="2">
        <v>6.6</v>
      </c>
      <c r="BF14" s="2">
        <v>6.7</v>
      </c>
      <c r="BG14" s="2">
        <v>6.9</v>
      </c>
      <c r="BH14" s="2">
        <v>7.1</v>
      </c>
      <c r="BI14" s="2">
        <v>204</v>
      </c>
      <c r="BJ14" s="2">
        <v>317</v>
      </c>
      <c r="BK14" s="2">
        <v>370</v>
      </c>
      <c r="BL14" s="2">
        <v>423</v>
      </c>
      <c r="BM14" s="2">
        <v>536</v>
      </c>
      <c r="BN14" s="2"/>
      <c r="BO14" s="2"/>
      <c r="BP14" s="2"/>
      <c r="BQ14" s="2"/>
      <c r="BR14" s="2"/>
      <c r="BS14" s="2"/>
      <c r="BT14" s="2">
        <v>101</v>
      </c>
      <c r="BU14" s="2">
        <v>276</v>
      </c>
      <c r="BV14" s="2">
        <v>364</v>
      </c>
      <c r="BW14" s="2">
        <v>452</v>
      </c>
      <c r="BX14" s="2">
        <v>626</v>
      </c>
      <c r="BY14" s="2">
        <v>54.7</v>
      </c>
      <c r="BZ14" s="2">
        <v>30</v>
      </c>
      <c r="CA14" s="2">
        <v>3</v>
      </c>
      <c r="CB14" s="2">
        <v>1.0339026137708501E-5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19b</v>
      </c>
      <c r="J15" s="47">
        <f t="shared" ca="1" si="35"/>
        <v>10</v>
      </c>
      <c r="K15" s="19">
        <f t="shared" ca="1" si="36"/>
        <v>-12.6</v>
      </c>
      <c r="L15" s="116" t="str">
        <f t="shared" ca="1" si="1"/>
        <v>EW_sand_Ruled_67</v>
      </c>
      <c r="M15" s="105" t="str">
        <f t="shared" ca="1" si="2"/>
        <v>API sand</v>
      </c>
      <c r="N15" s="47">
        <f t="shared" ca="1" si="3"/>
        <v>8.5</v>
      </c>
      <c r="O15" s="63">
        <f t="shared" ca="1" si="4"/>
        <v>0</v>
      </c>
      <c r="P15" s="63">
        <f t="shared" ca="1" si="5"/>
        <v>0</v>
      </c>
      <c r="Q15" s="47">
        <f t="shared" ca="1" si="6"/>
        <v>27</v>
      </c>
      <c r="R15" s="47">
        <f t="shared" ca="1" si="7"/>
        <v>22</v>
      </c>
      <c r="S15" s="47">
        <f t="shared" ca="1" si="8"/>
        <v>0.8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19900</v>
      </c>
      <c r="Y15" s="47">
        <f t="shared" ca="1" si="14"/>
        <v>0</v>
      </c>
      <c r="Z15" s="47">
        <f t="shared" ca="1" si="15"/>
        <v>72.59999999999998</v>
      </c>
      <c r="AA15" s="47">
        <f t="shared" ca="1" si="16"/>
        <v>1</v>
      </c>
      <c r="AB15" s="47">
        <f t="shared" ca="1" si="17"/>
        <v>3660</v>
      </c>
      <c r="AC15" s="63">
        <f t="shared" ca="1" si="18"/>
        <v>98000</v>
      </c>
      <c r="AD15" s="63">
        <f t="shared" ca="1" si="19"/>
        <v>2547.7707006369428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15.200000000000003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67</v>
      </c>
      <c r="AS15" s="33">
        <f t="shared" ca="1" si="34"/>
        <v>0.2</v>
      </c>
      <c r="AW15" s="2">
        <v>3.6</v>
      </c>
      <c r="AX15" s="2" t="s">
        <v>298</v>
      </c>
      <c r="AY15" s="130">
        <v>37.1</v>
      </c>
      <c r="AZ15" s="2">
        <v>18.5</v>
      </c>
      <c r="BA15" s="2">
        <v>30</v>
      </c>
      <c r="BB15" s="2">
        <v>88</v>
      </c>
      <c r="BC15" s="2">
        <v>3</v>
      </c>
      <c r="BD15" s="2">
        <v>6.7</v>
      </c>
      <c r="BE15" s="2">
        <v>7</v>
      </c>
      <c r="BF15" s="2">
        <v>7.2</v>
      </c>
      <c r="BG15" s="2">
        <v>7.3</v>
      </c>
      <c r="BH15" s="2">
        <v>7.6</v>
      </c>
      <c r="BI15" s="2">
        <v>228</v>
      </c>
      <c r="BJ15" s="2">
        <v>342</v>
      </c>
      <c r="BK15" s="2">
        <v>394</v>
      </c>
      <c r="BL15" s="2">
        <v>447</v>
      </c>
      <c r="BM15" s="2">
        <v>561</v>
      </c>
      <c r="BN15" s="2"/>
      <c r="BO15" s="2"/>
      <c r="BP15" s="2"/>
      <c r="BQ15" s="2"/>
      <c r="BR15" s="2"/>
      <c r="BS15" s="2"/>
      <c r="BT15" s="2">
        <v>132</v>
      </c>
      <c r="BU15" s="2">
        <v>306</v>
      </c>
      <c r="BV15" s="2">
        <v>394</v>
      </c>
      <c r="BW15" s="2">
        <v>482</v>
      </c>
      <c r="BX15" s="2">
        <v>657</v>
      </c>
      <c r="BY15" s="2">
        <v>54.7</v>
      </c>
      <c r="BZ15" s="2">
        <v>30</v>
      </c>
      <c r="CA15" s="2">
        <v>3</v>
      </c>
      <c r="CB15" s="2">
        <v>1.0339026137708501E-5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21a</v>
      </c>
      <c r="J16" s="47">
        <f t="shared" ca="1" si="35"/>
        <v>11</v>
      </c>
      <c r="K16" s="19">
        <f t="shared" ca="1" si="36"/>
        <v>-44</v>
      </c>
      <c r="L16" s="116" t="str">
        <f t="shared" ca="1" si="1"/>
        <v>EW_sand_Ruled_24</v>
      </c>
      <c r="M16" s="105" t="str">
        <f t="shared" ca="1" si="2"/>
        <v>API sand</v>
      </c>
      <c r="N16" s="47">
        <f t="shared" ca="1" si="3"/>
        <v>9.8000000000000007</v>
      </c>
      <c r="O16" s="63">
        <f t="shared" ca="1" si="4"/>
        <v>0</v>
      </c>
      <c r="P16" s="63">
        <f t="shared" ca="1" si="5"/>
        <v>0</v>
      </c>
      <c r="Q16" s="47">
        <f t="shared" ca="1" si="6"/>
        <v>25.5</v>
      </c>
      <c r="R16" s="47">
        <f t="shared" ca="1" si="7"/>
        <v>20.5</v>
      </c>
      <c r="S16" s="47">
        <f t="shared" ca="1" si="8"/>
        <v>0.5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23100</v>
      </c>
      <c r="Y16" s="47">
        <f t="shared" ca="1" si="14"/>
        <v>0</v>
      </c>
      <c r="Z16" s="47">
        <f t="shared" ca="1" si="15"/>
        <v>66.999999999999986</v>
      </c>
      <c r="AA16" s="47">
        <f t="shared" ca="1" si="16"/>
        <v>1</v>
      </c>
      <c r="AB16" s="47">
        <f t="shared" ca="1" si="17"/>
        <v>2900</v>
      </c>
      <c r="AC16" s="63">
        <f t="shared" ca="1" si="18"/>
        <v>139000</v>
      </c>
      <c r="AD16" s="63">
        <f t="shared" ca="1" si="19"/>
        <v>-107.52688172043014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12.000000000000004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24</v>
      </c>
      <c r="AS16" s="33">
        <f t="shared" ca="1" si="34"/>
        <v>0.2</v>
      </c>
      <c r="AW16" s="2">
        <v>3.6</v>
      </c>
      <c r="AX16" s="2" t="s">
        <v>261</v>
      </c>
      <c r="AY16" s="130">
        <v>24</v>
      </c>
      <c r="AZ16" s="2">
        <v>19.899999999999999</v>
      </c>
      <c r="BA16" s="2"/>
      <c r="BB16" s="2">
        <v>6</v>
      </c>
      <c r="BC16" s="2"/>
      <c r="BD16" s="2">
        <v>20.399999999999999</v>
      </c>
      <c r="BE16" s="2">
        <v>23.1</v>
      </c>
      <c r="BF16" s="2">
        <v>24</v>
      </c>
      <c r="BG16" s="2">
        <v>25.1</v>
      </c>
      <c r="BH16" s="2">
        <f>20+28.5</f>
        <v>48.5</v>
      </c>
      <c r="BI16" s="2"/>
      <c r="BJ16" s="2"/>
      <c r="BK16" s="2"/>
      <c r="BL16" s="2"/>
      <c r="BM16" s="2"/>
      <c r="BN16" s="2">
        <v>92</v>
      </c>
      <c r="BO16" s="2">
        <v>37</v>
      </c>
      <c r="BP16" s="2">
        <v>43</v>
      </c>
      <c r="BQ16" s="2">
        <v>46</v>
      </c>
      <c r="BR16" s="2">
        <v>50</v>
      </c>
      <c r="BS16" s="2">
        <v>54</v>
      </c>
      <c r="BT16" s="2">
        <v>13</v>
      </c>
      <c r="BU16" s="2">
        <v>60</v>
      </c>
      <c r="BV16" s="2">
        <v>79</v>
      </c>
      <c r="BW16" s="2">
        <v>98</v>
      </c>
      <c r="BX16" s="2">
        <v>146</v>
      </c>
      <c r="BY16" s="2">
        <v>99</v>
      </c>
      <c r="BZ16" s="2">
        <v>11.7</v>
      </c>
      <c r="CA16" s="2">
        <v>2.2000000000000002</v>
      </c>
      <c r="CB16" s="2">
        <v>1.16692403899528E-4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23d</v>
      </c>
      <c r="J17" s="47">
        <f t="shared" ca="1" si="35"/>
        <v>12</v>
      </c>
      <c r="K17" s="19">
        <f t="shared" ca="1" si="36"/>
        <v>-53.3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8.8999999999999986</v>
      </c>
      <c r="O17" s="63">
        <f t="shared" ca="1" si="4"/>
        <v>412</v>
      </c>
      <c r="P17" s="63">
        <f t="shared" ca="1" si="5"/>
        <v>5.7677902621722836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1.8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42700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621000</v>
      </c>
      <c r="AD17" s="63">
        <f t="shared" ca="1" si="19"/>
        <v>10674.157303370786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4.7</v>
      </c>
      <c r="AX17" s="2" t="s">
        <v>261</v>
      </c>
      <c r="AY17" s="130">
        <v>24</v>
      </c>
      <c r="AZ17" s="2">
        <v>19.899999999999999</v>
      </c>
      <c r="BA17" s="2"/>
      <c r="BB17" s="2">
        <v>6</v>
      </c>
      <c r="BC17" s="2"/>
      <c r="BD17" s="2">
        <v>21</v>
      </c>
      <c r="BE17" s="2">
        <v>23.7</v>
      </c>
      <c r="BF17" s="2">
        <v>24.6</v>
      </c>
      <c r="BG17" s="2">
        <v>25.8</v>
      </c>
      <c r="BH17" s="2">
        <f>20+29.1</f>
        <v>49.1</v>
      </c>
      <c r="BI17" s="2"/>
      <c r="BJ17" s="2"/>
      <c r="BK17" s="2"/>
      <c r="BL17" s="2"/>
      <c r="BM17" s="2"/>
      <c r="BN17" s="2">
        <v>92</v>
      </c>
      <c r="BO17" s="2">
        <v>37</v>
      </c>
      <c r="BP17" s="2">
        <v>43</v>
      </c>
      <c r="BQ17" s="2">
        <v>46</v>
      </c>
      <c r="BR17" s="2">
        <v>50</v>
      </c>
      <c r="BS17" s="2">
        <v>54</v>
      </c>
      <c r="BT17" s="2">
        <v>17</v>
      </c>
      <c r="BU17" s="2">
        <v>64</v>
      </c>
      <c r="BV17" s="2">
        <v>84</v>
      </c>
      <c r="BW17" s="2">
        <v>103</v>
      </c>
      <c r="BX17" s="2">
        <v>150</v>
      </c>
      <c r="BY17" s="2">
        <v>99</v>
      </c>
      <c r="BZ17" s="2">
        <v>11.7</v>
      </c>
      <c r="CA17" s="2">
        <v>2.2000000000000002</v>
      </c>
      <c r="CB17" s="2">
        <v>1.16692403899528E-4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4.7</v>
      </c>
      <c r="AX18" s="2" t="s">
        <v>287</v>
      </c>
      <c r="AY18" s="130">
        <v>36</v>
      </c>
      <c r="AZ18" s="2">
        <v>18.399999999999999</v>
      </c>
      <c r="BA18" s="2">
        <v>23</v>
      </c>
      <c r="BB18" s="2">
        <v>53</v>
      </c>
      <c r="BC18" s="2">
        <v>4</v>
      </c>
      <c r="BD18" s="2">
        <v>7.3</v>
      </c>
      <c r="BE18" s="2">
        <v>7.4</v>
      </c>
      <c r="BF18" s="2">
        <v>7.5</v>
      </c>
      <c r="BG18" s="2">
        <v>9.1999999999999993</v>
      </c>
      <c r="BH18" s="2">
        <f>20+13</f>
        <v>33</v>
      </c>
      <c r="BI18" s="2">
        <v>247</v>
      </c>
      <c r="BJ18" s="2">
        <v>358</v>
      </c>
      <c r="BK18" s="2">
        <v>410</v>
      </c>
      <c r="BL18" s="2">
        <v>519</v>
      </c>
      <c r="BM18" s="2">
        <v>754</v>
      </c>
      <c r="BN18" s="2"/>
      <c r="BO18" s="2"/>
      <c r="BP18" s="2"/>
      <c r="BQ18" s="2"/>
      <c r="BR18" s="2"/>
      <c r="BS18" s="2"/>
      <c r="BT18" s="2">
        <v>203</v>
      </c>
      <c r="BU18" s="2">
        <v>320</v>
      </c>
      <c r="BV18" s="2">
        <v>406</v>
      </c>
      <c r="BW18" s="2">
        <v>562</v>
      </c>
      <c r="BX18" s="2">
        <v>890</v>
      </c>
      <c r="BY18" s="2">
        <v>46.8</v>
      </c>
      <c r="BZ18" s="2">
        <v>25.4</v>
      </c>
      <c r="CA18" s="2">
        <v>3</v>
      </c>
      <c r="CB18" s="2">
        <v>5.6471217537864098E-8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5</v>
      </c>
      <c r="AX19" s="2" t="s">
        <v>287</v>
      </c>
      <c r="AY19" s="130">
        <v>36</v>
      </c>
      <c r="AZ19" s="2">
        <v>18.399999999999999</v>
      </c>
      <c r="BA19" s="2">
        <v>23</v>
      </c>
      <c r="BB19" s="2">
        <v>53</v>
      </c>
      <c r="BC19" s="2">
        <v>4</v>
      </c>
      <c r="BD19" s="2">
        <v>4.0999999999999996</v>
      </c>
      <c r="BE19" s="2">
        <v>4.2</v>
      </c>
      <c r="BF19" s="2">
        <v>4.3</v>
      </c>
      <c r="BG19" s="2">
        <v>6.1</v>
      </c>
      <c r="BH19" s="2">
        <f>20+9.8</f>
        <v>29.8</v>
      </c>
      <c r="BI19" s="2">
        <v>72</v>
      </c>
      <c r="BJ19" s="2">
        <v>183</v>
      </c>
      <c r="BK19" s="2">
        <v>235</v>
      </c>
      <c r="BL19" s="2">
        <v>344</v>
      </c>
      <c r="BM19" s="2">
        <v>579</v>
      </c>
      <c r="BN19" s="2"/>
      <c r="BO19" s="2"/>
      <c r="BP19" s="2"/>
      <c r="BQ19" s="2"/>
      <c r="BR19" s="2"/>
      <c r="BS19" s="2"/>
      <c r="BT19" s="2">
        <v>5</v>
      </c>
      <c r="BU19" s="2">
        <v>122</v>
      </c>
      <c r="BV19" s="2">
        <v>208</v>
      </c>
      <c r="BW19" s="2">
        <v>364</v>
      </c>
      <c r="BX19" s="2">
        <v>692</v>
      </c>
      <c r="BY19" s="2">
        <v>46.8</v>
      </c>
      <c r="BZ19" s="2">
        <v>25.4</v>
      </c>
      <c r="CA19" s="2">
        <v>3</v>
      </c>
      <c r="CB19" s="2">
        <v>5.6471217537864098E-8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5</v>
      </c>
      <c r="AX20" s="2" t="s">
        <v>287</v>
      </c>
      <c r="AY20" s="130">
        <v>36</v>
      </c>
      <c r="AZ20" s="2">
        <v>18.399999999999999</v>
      </c>
      <c r="BA20" s="2">
        <v>23</v>
      </c>
      <c r="BB20" s="2">
        <v>53</v>
      </c>
      <c r="BC20" s="2">
        <v>4</v>
      </c>
      <c r="BD20" s="2">
        <v>2</v>
      </c>
      <c r="BE20" s="2">
        <v>2.7</v>
      </c>
      <c r="BF20" s="2">
        <v>3</v>
      </c>
      <c r="BG20" s="2">
        <v>3.6</v>
      </c>
      <c r="BH20" s="2">
        <f>20+4.5</f>
        <v>24.5</v>
      </c>
      <c r="BI20" s="2">
        <v>36</v>
      </c>
      <c r="BJ20" s="2">
        <v>122</v>
      </c>
      <c r="BK20" s="2">
        <v>163</v>
      </c>
      <c r="BL20" s="2">
        <v>209</v>
      </c>
      <c r="BM20" s="2">
        <v>303</v>
      </c>
      <c r="BN20" s="2"/>
      <c r="BO20" s="2"/>
      <c r="BP20" s="2"/>
      <c r="BQ20" s="2"/>
      <c r="BR20" s="2"/>
      <c r="BS20" s="2"/>
      <c r="BT20" s="2">
        <v>5</v>
      </c>
      <c r="BU20" s="2">
        <v>80</v>
      </c>
      <c r="BV20" s="2">
        <v>134</v>
      </c>
      <c r="BW20" s="2">
        <v>192</v>
      </c>
      <c r="BX20" s="2">
        <v>305</v>
      </c>
      <c r="BY20" s="2">
        <v>32.200000000000003</v>
      </c>
      <c r="BZ20" s="2">
        <v>16.399999999999999</v>
      </c>
      <c r="CA20" s="2">
        <v>3</v>
      </c>
      <c r="CB20" s="2">
        <v>1.20855860088736E-8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5.4</v>
      </c>
      <c r="AX21" s="2" t="s">
        <v>287</v>
      </c>
      <c r="AY21" s="130">
        <v>36</v>
      </c>
      <c r="AZ21" s="2">
        <v>18.399999999999999</v>
      </c>
      <c r="BA21" s="2">
        <v>23</v>
      </c>
      <c r="BB21" s="2">
        <v>53</v>
      </c>
      <c r="BC21" s="2">
        <v>4</v>
      </c>
      <c r="BD21" s="2">
        <v>2.2999999999999998</v>
      </c>
      <c r="BE21" s="2">
        <v>3</v>
      </c>
      <c r="BF21" s="2">
        <v>3.4</v>
      </c>
      <c r="BG21" s="2">
        <v>4</v>
      </c>
      <c r="BH21" s="2">
        <f>20+4.9</f>
        <v>24.9</v>
      </c>
      <c r="BI21" s="2">
        <v>57</v>
      </c>
      <c r="BJ21" s="2">
        <v>143</v>
      </c>
      <c r="BK21" s="2">
        <v>184</v>
      </c>
      <c r="BL21" s="2">
        <v>230</v>
      </c>
      <c r="BM21" s="2">
        <v>324</v>
      </c>
      <c r="BN21" s="2"/>
      <c r="BO21" s="2"/>
      <c r="BP21" s="2"/>
      <c r="BQ21" s="2"/>
      <c r="BR21" s="2"/>
      <c r="BS21" s="2"/>
      <c r="BT21" s="2">
        <v>26</v>
      </c>
      <c r="BU21" s="2">
        <v>102</v>
      </c>
      <c r="BV21" s="2">
        <v>156</v>
      </c>
      <c r="BW21" s="2">
        <v>213</v>
      </c>
      <c r="BX21" s="2">
        <v>327</v>
      </c>
      <c r="BY21" s="2">
        <v>32.200000000000003</v>
      </c>
      <c r="BZ21" s="2">
        <v>16.399999999999999</v>
      </c>
      <c r="CA21" s="2">
        <v>3</v>
      </c>
      <c r="CB21" s="2">
        <v>1.20855860088736E-8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5.4</v>
      </c>
      <c r="AX22" s="2" t="s">
        <v>261</v>
      </c>
      <c r="AY22" s="130">
        <v>24</v>
      </c>
      <c r="AZ22" s="2">
        <v>19.899999999999999</v>
      </c>
      <c r="BA22" s="2"/>
      <c r="BB22" s="2">
        <v>6</v>
      </c>
      <c r="BC22" s="2"/>
      <c r="BD22" s="2">
        <v>14.7</v>
      </c>
      <c r="BE22" s="2">
        <v>19.399999999999999</v>
      </c>
      <c r="BF22" s="2">
        <v>20.100000000000001</v>
      </c>
      <c r="BG22" s="2">
        <v>20.6</v>
      </c>
      <c r="BH22" s="2">
        <f>5+24.6</f>
        <v>29.6</v>
      </c>
      <c r="BI22" s="2"/>
      <c r="BJ22" s="2"/>
      <c r="BK22" s="2"/>
      <c r="BL22" s="2"/>
      <c r="BM22" s="2"/>
      <c r="BN22" s="2">
        <v>93</v>
      </c>
      <c r="BO22" s="2">
        <v>36</v>
      </c>
      <c r="BP22" s="2">
        <v>42</v>
      </c>
      <c r="BQ22" s="2">
        <v>46</v>
      </c>
      <c r="BR22" s="2">
        <v>49</v>
      </c>
      <c r="BS22" s="2">
        <v>54</v>
      </c>
      <c r="BT22" s="2">
        <v>5</v>
      </c>
      <c r="BU22" s="2">
        <v>62</v>
      </c>
      <c r="BV22" s="2">
        <v>88</v>
      </c>
      <c r="BW22" s="2">
        <v>113</v>
      </c>
      <c r="BX22" s="2">
        <v>177</v>
      </c>
      <c r="BY22" s="2">
        <v>121.3</v>
      </c>
      <c r="BZ22" s="2">
        <v>7.4</v>
      </c>
      <c r="CA22" s="2">
        <v>1.7</v>
      </c>
      <c r="CB22" s="2">
        <v>3.8376872753037198E-5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12.6</v>
      </c>
      <c r="AX23" s="2" t="s">
        <v>261</v>
      </c>
      <c r="AY23" s="130">
        <v>24</v>
      </c>
      <c r="AZ23" s="2">
        <v>19.899999999999999</v>
      </c>
      <c r="BA23" s="2"/>
      <c r="BB23" s="2">
        <v>6</v>
      </c>
      <c r="BC23" s="2"/>
      <c r="BD23" s="2">
        <v>37</v>
      </c>
      <c r="BE23" s="2">
        <v>41.8</v>
      </c>
      <c r="BF23" s="2">
        <v>42.5</v>
      </c>
      <c r="BG23" s="2">
        <v>43</v>
      </c>
      <c r="BH23" s="2">
        <f>5+47</f>
        <v>52</v>
      </c>
      <c r="BI23" s="2"/>
      <c r="BJ23" s="2"/>
      <c r="BK23" s="2"/>
      <c r="BL23" s="2"/>
      <c r="BM23" s="2"/>
      <c r="BN23" s="2">
        <v>93</v>
      </c>
      <c r="BO23" s="2">
        <v>36</v>
      </c>
      <c r="BP23" s="2">
        <v>42</v>
      </c>
      <c r="BQ23" s="2">
        <v>46</v>
      </c>
      <c r="BR23" s="2">
        <v>49</v>
      </c>
      <c r="BS23" s="2">
        <v>54</v>
      </c>
      <c r="BT23" s="2">
        <v>51</v>
      </c>
      <c r="BU23" s="2">
        <v>108</v>
      </c>
      <c r="BV23" s="2">
        <v>134</v>
      </c>
      <c r="BW23" s="2">
        <v>159</v>
      </c>
      <c r="BX23" s="2">
        <v>223</v>
      </c>
      <c r="BY23" s="2">
        <v>121.3</v>
      </c>
      <c r="BZ23" s="2">
        <v>7.4</v>
      </c>
      <c r="CA23" s="2">
        <v>1.7</v>
      </c>
      <c r="CB23" s="2">
        <v>3.8376872753037198E-5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12.6</v>
      </c>
      <c r="AX24" s="2" t="s">
        <v>291</v>
      </c>
      <c r="AY24" s="130">
        <v>35.4</v>
      </c>
      <c r="AZ24" s="2">
        <v>18.5</v>
      </c>
      <c r="BA24" s="2"/>
      <c r="BB24" s="2">
        <v>54</v>
      </c>
      <c r="BC24" s="2"/>
      <c r="BD24" s="2">
        <v>0.4</v>
      </c>
      <c r="BE24" s="2">
        <v>6</v>
      </c>
      <c r="BF24" s="2">
        <v>7.8</v>
      </c>
      <c r="BG24" s="2">
        <v>24</v>
      </c>
      <c r="BH24" s="2">
        <v>74</v>
      </c>
      <c r="BI24" s="2"/>
      <c r="BJ24" s="2"/>
      <c r="BK24" s="2"/>
      <c r="BL24" s="2"/>
      <c r="BM24" s="2"/>
      <c r="BN24" s="2">
        <v>67</v>
      </c>
      <c r="BO24" s="2">
        <v>26</v>
      </c>
      <c r="BP24" s="2">
        <v>27</v>
      </c>
      <c r="BQ24" s="2">
        <v>29</v>
      </c>
      <c r="BR24" s="2">
        <v>31</v>
      </c>
      <c r="BS24" s="2">
        <v>35</v>
      </c>
      <c r="BT24" s="2">
        <v>12</v>
      </c>
      <c r="BU24" s="2">
        <v>65</v>
      </c>
      <c r="BV24" s="2">
        <v>98</v>
      </c>
      <c r="BW24" s="2">
        <v>131</v>
      </c>
      <c r="BX24" s="2">
        <v>213</v>
      </c>
      <c r="BY24" s="2">
        <v>19.899999999999999</v>
      </c>
      <c r="BZ24" s="2">
        <v>2.4</v>
      </c>
      <c r="CA24" s="2">
        <v>0.8</v>
      </c>
      <c r="CB24" s="2">
        <v>3.5025128167960499E-12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44</v>
      </c>
      <c r="AX25" s="2" t="s">
        <v>291</v>
      </c>
      <c r="AY25" s="130">
        <v>35.4</v>
      </c>
      <c r="AZ25" s="2">
        <v>18.5</v>
      </c>
      <c r="BA25" s="2"/>
      <c r="BB25" s="2">
        <v>54</v>
      </c>
      <c r="BC25" s="2"/>
      <c r="BD25" s="2">
        <v>10.7</v>
      </c>
      <c r="BE25" s="2">
        <v>15</v>
      </c>
      <c r="BF25" s="2">
        <v>18.100000000000001</v>
      </c>
      <c r="BG25" s="2">
        <v>34.200000000000003</v>
      </c>
      <c r="BH25" s="2">
        <v>84.3</v>
      </c>
      <c r="BI25" s="2"/>
      <c r="BJ25" s="2"/>
      <c r="BK25" s="2"/>
      <c r="BL25" s="2"/>
      <c r="BM25" s="2"/>
      <c r="BN25" s="2">
        <v>67</v>
      </c>
      <c r="BO25" s="2">
        <v>26</v>
      </c>
      <c r="BP25" s="2">
        <v>27</v>
      </c>
      <c r="BQ25" s="2">
        <v>29</v>
      </c>
      <c r="BR25" s="2">
        <v>31</v>
      </c>
      <c r="BS25" s="2">
        <v>35</v>
      </c>
      <c r="BT25" s="2">
        <v>92</v>
      </c>
      <c r="BU25" s="2">
        <v>145</v>
      </c>
      <c r="BV25" s="2">
        <v>178</v>
      </c>
      <c r="BW25" s="2">
        <v>211</v>
      </c>
      <c r="BX25" s="2">
        <v>293</v>
      </c>
      <c r="BY25" s="2">
        <v>19.899999999999999</v>
      </c>
      <c r="BZ25" s="2">
        <v>2.4</v>
      </c>
      <c r="CA25" s="2">
        <v>0.8</v>
      </c>
      <c r="CB25" s="2">
        <v>3.5025128167960499E-12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44</v>
      </c>
      <c r="AX26" s="2" t="s">
        <v>271</v>
      </c>
      <c r="AY26" s="130">
        <v>24.7</v>
      </c>
      <c r="AZ26" s="2">
        <v>19.8</v>
      </c>
      <c r="BA26" s="2"/>
      <c r="BB26" s="2">
        <v>11</v>
      </c>
      <c r="BC26" s="2"/>
      <c r="BD26" s="2">
        <v>3.6</v>
      </c>
      <c r="BE26" s="2">
        <v>5.9</v>
      </c>
      <c r="BF26" s="2">
        <v>6.6</v>
      </c>
      <c r="BG26" s="2">
        <v>20.5</v>
      </c>
      <c r="BH26" s="2">
        <v>63.7</v>
      </c>
      <c r="BI26" s="2"/>
      <c r="BJ26" s="2"/>
      <c r="BK26" s="2"/>
      <c r="BL26" s="2"/>
      <c r="BM26" s="2"/>
      <c r="BN26" s="2">
        <v>24</v>
      </c>
      <c r="BO26" s="2">
        <v>25</v>
      </c>
      <c r="BP26" s="2">
        <v>25.5</v>
      </c>
      <c r="BQ26" s="2">
        <v>26</v>
      </c>
      <c r="BR26" s="2">
        <v>28</v>
      </c>
      <c r="BS26" s="2">
        <v>32</v>
      </c>
      <c r="BT26" s="2">
        <v>53</v>
      </c>
      <c r="BU26" s="2">
        <v>106</v>
      </c>
      <c r="BV26" s="2">
        <v>139</v>
      </c>
      <c r="BW26" s="2">
        <v>171</v>
      </c>
      <c r="BX26" s="2">
        <v>251</v>
      </c>
      <c r="BY26" s="2">
        <v>23.1</v>
      </c>
      <c r="BZ26" s="2">
        <v>1</v>
      </c>
      <c r="CA26" s="2">
        <v>0.5</v>
      </c>
      <c r="CB26" s="2">
        <v>1.17142022523909E-13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53.3</v>
      </c>
      <c r="AX27" s="2" t="s">
        <v>271</v>
      </c>
      <c r="AY27" s="130">
        <v>24.7</v>
      </c>
      <c r="AZ27" s="2">
        <v>19.8</v>
      </c>
      <c r="BA27" s="2"/>
      <c r="BB27" s="2">
        <v>11</v>
      </c>
      <c r="BC27" s="2"/>
      <c r="BD27" s="2">
        <v>1.9</v>
      </c>
      <c r="BE27" s="2">
        <v>4.3</v>
      </c>
      <c r="BF27" s="2">
        <v>5</v>
      </c>
      <c r="BG27" s="2">
        <v>18.899999999999999</v>
      </c>
      <c r="BH27" s="2">
        <v>62</v>
      </c>
      <c r="BI27" s="2"/>
      <c r="BJ27" s="2"/>
      <c r="BK27" s="2"/>
      <c r="BL27" s="2"/>
      <c r="BM27" s="2"/>
      <c r="BN27" s="2">
        <v>24</v>
      </c>
      <c r="BO27" s="2">
        <v>25</v>
      </c>
      <c r="BP27" s="2">
        <v>25.5</v>
      </c>
      <c r="BQ27" s="2">
        <v>26</v>
      </c>
      <c r="BR27" s="2">
        <v>28</v>
      </c>
      <c r="BS27" s="2">
        <v>32</v>
      </c>
      <c r="BT27" s="2">
        <v>53</v>
      </c>
      <c r="BU27" s="2">
        <v>106</v>
      </c>
      <c r="BV27" s="2">
        <v>138</v>
      </c>
      <c r="BW27" s="2">
        <v>171</v>
      </c>
      <c r="BX27" s="2">
        <v>251</v>
      </c>
      <c r="BY27" s="2">
        <v>23.1</v>
      </c>
      <c r="BZ27" s="2">
        <v>1</v>
      </c>
      <c r="CA27" s="2">
        <v>0.5</v>
      </c>
      <c r="CB27" s="2">
        <v>1.17142022523909E-13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53.3</v>
      </c>
      <c r="AX28" s="2" t="s">
        <v>273</v>
      </c>
      <c r="AY28" s="130">
        <v>32</v>
      </c>
      <c r="AZ28" s="2">
        <v>18.899999999999999</v>
      </c>
      <c r="BA28" s="2">
        <v>47</v>
      </c>
      <c r="BB28" s="2">
        <v>85</v>
      </c>
      <c r="BC28" s="2">
        <v>3</v>
      </c>
      <c r="BD28" s="2">
        <v>1.9</v>
      </c>
      <c r="BE28" s="2">
        <v>9.8000000000000007</v>
      </c>
      <c r="BF28" s="2">
        <v>10.1</v>
      </c>
      <c r="BG28" s="2">
        <v>24.5</v>
      </c>
      <c r="BH28" s="2">
        <v>69</v>
      </c>
      <c r="BI28" s="2">
        <v>326</v>
      </c>
      <c r="BJ28" s="2">
        <v>412</v>
      </c>
      <c r="BK28" s="2">
        <v>455</v>
      </c>
      <c r="BL28" s="2">
        <v>499</v>
      </c>
      <c r="BM28" s="2">
        <v>585</v>
      </c>
      <c r="BN28" s="2"/>
      <c r="BO28" s="2"/>
      <c r="BP28" s="2"/>
      <c r="BQ28" s="2"/>
      <c r="BR28" s="2"/>
      <c r="BS28" s="2"/>
      <c r="BT28" s="2">
        <v>362</v>
      </c>
      <c r="BU28" s="2">
        <v>534</v>
      </c>
      <c r="BV28" s="2">
        <v>621</v>
      </c>
      <c r="BW28" s="2">
        <v>707</v>
      </c>
      <c r="BX28" s="2">
        <v>879</v>
      </c>
      <c r="BY28" s="2">
        <v>42.7</v>
      </c>
      <c r="BZ28" s="2">
        <v>5.3</v>
      </c>
      <c r="CA28" s="2">
        <v>1.8</v>
      </c>
      <c r="CB28" s="2">
        <v>3.98851966659729E-12</v>
      </c>
      <c r="CC28" s="2">
        <v>1.8</v>
      </c>
    </row>
    <row r="29" spans="1:81" x14ac:dyDescent="0.25">
      <c r="A29" s="66"/>
      <c r="B29" s="66"/>
      <c r="C29" s="67"/>
      <c r="D29" s="35"/>
      <c r="AW29" s="2">
        <v>80</v>
      </c>
      <c r="AX29" s="2" t="s">
        <v>273</v>
      </c>
      <c r="AY29" s="130">
        <v>32</v>
      </c>
      <c r="AZ29" s="2">
        <v>18.899999999999999</v>
      </c>
      <c r="BA29" s="2">
        <v>47</v>
      </c>
      <c r="BB29" s="2">
        <v>85</v>
      </c>
      <c r="BC29" s="2">
        <v>3</v>
      </c>
      <c r="BD29" s="2">
        <v>5.5</v>
      </c>
      <c r="BE29" s="2">
        <v>13.4</v>
      </c>
      <c r="BF29" s="2">
        <v>13.7</v>
      </c>
      <c r="BG29" s="2">
        <v>28.1</v>
      </c>
      <c r="BH29" s="2">
        <v>72.599999999999994</v>
      </c>
      <c r="BI29" s="2">
        <v>480</v>
      </c>
      <c r="BJ29" s="2">
        <v>566</v>
      </c>
      <c r="BK29" s="2">
        <v>609</v>
      </c>
      <c r="BL29" s="2">
        <v>653</v>
      </c>
      <c r="BM29" s="2">
        <v>739</v>
      </c>
      <c r="BN29" s="2"/>
      <c r="BO29" s="2"/>
      <c r="BP29" s="2"/>
      <c r="BQ29" s="2"/>
      <c r="BR29" s="2"/>
      <c r="BS29" s="2"/>
      <c r="BT29" s="2">
        <v>647</v>
      </c>
      <c r="BU29" s="2">
        <v>819</v>
      </c>
      <c r="BV29" s="2">
        <v>906</v>
      </c>
      <c r="BW29" s="2">
        <v>993</v>
      </c>
      <c r="BX29" s="2">
        <v>1165</v>
      </c>
      <c r="BY29" s="2">
        <v>42.7</v>
      </c>
      <c r="BZ29" s="2">
        <v>5.3</v>
      </c>
      <c r="CA29" s="2">
        <v>1.8</v>
      </c>
      <c r="CB29" s="2">
        <v>3.98851966659729E-12</v>
      </c>
      <c r="CC29" s="2">
        <v>1.8</v>
      </c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167" priority="12">
      <formula>$L32="API sand"</formula>
    </cfRule>
  </conditionalFormatting>
  <conditionalFormatting sqref="R32:S36 AB32:AB35 AJ32:AL36 Z32:Z36 N32:N36">
    <cfRule type="expression" dxfId="2166" priority="11">
      <formula>$M32="API sand"</formula>
    </cfRule>
  </conditionalFormatting>
  <conditionalFormatting sqref="R32:T36 Z32:AB35 AK32:AL36 N32:N36">
    <cfRule type="expression" dxfId="2165" priority="10">
      <formula>$M32="API clay"</formula>
    </cfRule>
  </conditionalFormatting>
  <conditionalFormatting sqref="U32:W36 AM32:AP36 N32:P36">
    <cfRule type="expression" dxfId="2164" priority="7">
      <formula>$L32="Stiff clay w/o free water"</formula>
    </cfRule>
    <cfRule type="expression" dxfId="2163" priority="9">
      <formula>$L32="API clay"</formula>
    </cfRule>
  </conditionalFormatting>
  <conditionalFormatting sqref="U32:Y36 AM32:AP36 N32:P36">
    <cfRule type="expression" dxfId="2162" priority="8">
      <formula>$L32="Kirsch soft clay"</formula>
    </cfRule>
  </conditionalFormatting>
  <conditionalFormatting sqref="U32:Y36 AM32:AP36 N32:P36">
    <cfRule type="expression" dxfId="2161" priority="6">
      <formula>$L32="Kirsch stiff clay"</formula>
    </cfRule>
  </conditionalFormatting>
  <conditionalFormatting sqref="AM32:AP36 Q32:Q36 X32:Y36 N32:N36">
    <cfRule type="expression" dxfId="2160" priority="5">
      <formula>$L32="Kirsch sand"</formula>
    </cfRule>
  </conditionalFormatting>
  <conditionalFormatting sqref="AC32:AD36 AI32:AI36 AM32:AP36 N32:N36">
    <cfRule type="expression" dxfId="2159" priority="4">
      <formula>$L32="Modified Weak rock"</formula>
    </cfRule>
  </conditionalFormatting>
  <conditionalFormatting sqref="AM32:AP36 N32:P36 U32:V36">
    <cfRule type="expression" dxfId="2158" priority="3">
      <formula>$L32="Reese stiff clay"</formula>
    </cfRule>
  </conditionalFormatting>
  <conditionalFormatting sqref="AB36">
    <cfRule type="expression" dxfId="2157" priority="2">
      <formula>$M36="API sand"</formula>
    </cfRule>
  </conditionalFormatting>
  <conditionalFormatting sqref="Z36:AB36">
    <cfRule type="expression" dxfId="2156" priority="1">
      <formula>$M36="API clay"</formula>
    </cfRule>
  </conditionalFormatting>
  <conditionalFormatting sqref="AE37:AH37">
    <cfRule type="expression" dxfId="2155" priority="13">
      <formula>#REF!="Modified Weak rock"</formula>
    </cfRule>
  </conditionalFormatting>
  <dataValidations count="4">
    <dataValidation type="textLength" showInputMessage="1" showErrorMessage="1" sqref="M27:M31" xr:uid="{B430778A-E5C5-4D39-A3BD-3FD01F6EC33F}">
      <formula1>0</formula1>
      <formula2>100</formula2>
    </dataValidation>
    <dataValidation showInputMessage="1" showErrorMessage="1" sqref="L6:M26" xr:uid="{A2AC9672-3000-4A33-BDAD-5BA64FE7A569}"/>
    <dataValidation type="list" showInputMessage="1" showErrorMessage="1" sqref="L32:L255" xr:uid="{B9E6F9D7-E102-4CC8-AE3D-3A2B69CF4EEE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65F9F607-1DDE-4201-B957-01257698C5C2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4372C-90FA-4C8B-9E07-CDC4E43952B3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Ak_Pisa_WTG60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8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EW_sand_Ruled_88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37</v>
      </c>
      <c r="R6" s="47">
        <f t="shared" ref="R6:R26" ca="1" si="7">IF(I6="","",IF(Q6&lt;&gt;0,Q6-5,NA()))</f>
        <v>32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8700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103.59999999999997</v>
      </c>
      <c r="AA6" s="47">
        <f t="shared" ref="AA6:AA26" ca="1" si="16">IF(I6="","",1)</f>
        <v>1</v>
      </c>
      <c r="AB6" s="47">
        <f t="shared" ref="AB6:AB26" ca="1" si="17">IF(I6="","",VLOOKUP(R6,$AE$39:$AG$59,3))</f>
        <v>10560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31250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44.000000000000007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88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0.3</v>
      </c>
      <c r="BF6" s="2">
        <v>0.8</v>
      </c>
      <c r="BG6" s="2">
        <v>1.2</v>
      </c>
      <c r="BH6" s="2">
        <v>2.2999999999999998</v>
      </c>
      <c r="BI6" s="2"/>
      <c r="BJ6" s="2"/>
      <c r="BK6" s="2"/>
      <c r="BL6" s="2"/>
      <c r="BM6" s="2"/>
      <c r="BN6" s="2">
        <v>88</v>
      </c>
      <c r="BO6" s="2">
        <v>30</v>
      </c>
      <c r="BP6" s="2">
        <v>37</v>
      </c>
      <c r="BQ6" s="2">
        <v>40</v>
      </c>
      <c r="BR6" s="2">
        <v>43</v>
      </c>
      <c r="BS6" s="2">
        <v>50</v>
      </c>
      <c r="BT6" s="2">
        <v>0</v>
      </c>
      <c r="BU6" s="2">
        <v>1</v>
      </c>
      <c r="BV6" s="2">
        <v>5</v>
      </c>
      <c r="BW6" s="2">
        <v>10</v>
      </c>
      <c r="BX6" s="2">
        <v>20</v>
      </c>
      <c r="BY6" s="2">
        <v>8.6999999999999993</v>
      </c>
      <c r="BZ6" s="2">
        <v>1</v>
      </c>
      <c r="CA6" s="2">
        <v>0.5</v>
      </c>
      <c r="CB6" s="2">
        <v>1.00456597921128E-4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02b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-0.8</v>
      </c>
      <c r="L7" s="116" t="str">
        <f t="shared" ca="1" si="1"/>
        <v>EW_sand_Ruled_81</v>
      </c>
      <c r="M7" s="105" t="str">
        <f t="shared" ca="1" si="2"/>
        <v>API sand</v>
      </c>
      <c r="N7" s="47">
        <f t="shared" ca="1" si="3"/>
        <v>9.3999999999999986</v>
      </c>
      <c r="O7" s="63">
        <f t="shared" ca="1" si="4"/>
        <v>0</v>
      </c>
      <c r="P7" s="63">
        <f t="shared" ca="1" si="5"/>
        <v>0</v>
      </c>
      <c r="Q7" s="47">
        <f t="shared" ca="1" si="6"/>
        <v>41</v>
      </c>
      <c r="R7" s="47">
        <f t="shared" ca="1" si="7"/>
        <v>36</v>
      </c>
      <c r="S7" s="47">
        <f t="shared" ca="1" si="8"/>
        <v>2.4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46600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37000</v>
      </c>
      <c r="AD7" s="63">
        <f t="shared" ca="1" si="19"/>
        <v>11153.846153846154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81</v>
      </c>
      <c r="AS7" s="33">
        <f t="shared" ca="1" si="34"/>
        <v>0.4</v>
      </c>
      <c r="AW7" s="2">
        <v>0.8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2.8</v>
      </c>
      <c r="BE7" s="2">
        <v>4.2</v>
      </c>
      <c r="BF7" s="2">
        <v>4.8</v>
      </c>
      <c r="BG7" s="2">
        <v>5.2</v>
      </c>
      <c r="BH7" s="2">
        <v>6.2</v>
      </c>
      <c r="BI7" s="2"/>
      <c r="BJ7" s="2"/>
      <c r="BK7" s="2"/>
      <c r="BL7" s="2"/>
      <c r="BM7" s="2"/>
      <c r="BN7" s="2">
        <v>88</v>
      </c>
      <c r="BO7" s="2">
        <v>30</v>
      </c>
      <c r="BP7" s="2">
        <v>37</v>
      </c>
      <c r="BQ7" s="2">
        <v>40</v>
      </c>
      <c r="BR7" s="2">
        <v>43</v>
      </c>
      <c r="BS7" s="2">
        <v>50</v>
      </c>
      <c r="BT7" s="2">
        <v>15</v>
      </c>
      <c r="BU7" s="2">
        <v>25</v>
      </c>
      <c r="BV7" s="2">
        <v>30</v>
      </c>
      <c r="BW7" s="2">
        <v>34</v>
      </c>
      <c r="BX7" s="2">
        <v>44</v>
      </c>
      <c r="BY7" s="2">
        <v>8.6999999999999993</v>
      </c>
      <c r="BZ7" s="2">
        <v>1</v>
      </c>
      <c r="CA7" s="2">
        <v>0.5</v>
      </c>
      <c r="CB7" s="2">
        <v>1.00456597921128E-4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02c</v>
      </c>
      <c r="J8" s="47">
        <f t="shared" ca="1" si="35"/>
        <v>3</v>
      </c>
      <c r="K8" s="19">
        <f t="shared" ca="1" si="36"/>
        <v>-3.4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8.5</v>
      </c>
      <c r="O8" s="63">
        <f t="shared" ca="1" si="4"/>
        <v>83</v>
      </c>
      <c r="P8" s="63">
        <f t="shared" ca="1" si="5"/>
        <v>-7.5000000000000018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15700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78000</v>
      </c>
      <c r="AD8" s="63">
        <f t="shared" ca="1" si="19"/>
        <v>-7500.0000000000018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0.8</v>
      </c>
      <c r="AX8" s="2" t="s">
        <v>257</v>
      </c>
      <c r="AY8" s="130">
        <v>29.7</v>
      </c>
      <c r="AZ8" s="2">
        <v>19.399999999999999</v>
      </c>
      <c r="BA8" s="2"/>
      <c r="BB8" s="2">
        <v>24</v>
      </c>
      <c r="BC8" s="2"/>
      <c r="BD8" s="2">
        <v>1.7</v>
      </c>
      <c r="BE8" s="2">
        <v>4.5</v>
      </c>
      <c r="BF8" s="2">
        <v>5.0999999999999996</v>
      </c>
      <c r="BG8" s="2">
        <v>5.6</v>
      </c>
      <c r="BH8" s="2">
        <v>8.3000000000000007</v>
      </c>
      <c r="BI8" s="2"/>
      <c r="BJ8" s="2"/>
      <c r="BK8" s="2"/>
      <c r="BL8" s="2"/>
      <c r="BM8" s="2"/>
      <c r="BN8" s="2">
        <v>81</v>
      </c>
      <c r="BO8" s="2">
        <v>34</v>
      </c>
      <c r="BP8" s="2">
        <v>41</v>
      </c>
      <c r="BQ8" s="2">
        <v>44</v>
      </c>
      <c r="BR8" s="2">
        <v>47</v>
      </c>
      <c r="BS8" s="2">
        <v>54</v>
      </c>
      <c r="BT8" s="2">
        <v>0</v>
      </c>
      <c r="BU8" s="2">
        <v>24</v>
      </c>
      <c r="BV8" s="2">
        <v>37</v>
      </c>
      <c r="BW8" s="2">
        <v>49</v>
      </c>
      <c r="BX8" s="2">
        <v>79</v>
      </c>
      <c r="BY8" s="2">
        <v>46.6</v>
      </c>
      <c r="BZ8" s="2">
        <v>13.2</v>
      </c>
      <c r="CA8" s="2">
        <v>2.4</v>
      </c>
      <c r="CB8" s="2">
        <v>1.8770076499166001E-4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10a</v>
      </c>
      <c r="J9" s="47">
        <f t="shared" ca="1" si="35"/>
        <v>4</v>
      </c>
      <c r="K9" s="19">
        <f t="shared" ca="1" si="36"/>
        <v>-3.8</v>
      </c>
      <c r="L9" s="116" t="str">
        <f t="shared" ca="1" si="1"/>
        <v>EW_sand_Ruled_75</v>
      </c>
      <c r="M9" s="105" t="str">
        <f t="shared" ca="1" si="2"/>
        <v>API sand</v>
      </c>
      <c r="N9" s="47">
        <f t="shared" ca="1" si="3"/>
        <v>10</v>
      </c>
      <c r="O9" s="63">
        <f t="shared" ca="1" si="4"/>
        <v>0</v>
      </c>
      <c r="P9" s="63">
        <f t="shared" ca="1" si="5"/>
        <v>0</v>
      </c>
      <c r="Q9" s="47">
        <f t="shared" ca="1" si="6"/>
        <v>40</v>
      </c>
      <c r="R9" s="47">
        <f t="shared" ca="1" si="7"/>
        <v>35</v>
      </c>
      <c r="S9" s="47">
        <f t="shared" ca="1" si="8"/>
        <v>1.6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55300</v>
      </c>
      <c r="Y9" s="47">
        <f t="shared" ca="1" si="14"/>
        <v>0</v>
      </c>
      <c r="Z9" s="47">
        <f t="shared" ca="1" si="15"/>
        <v>114.99999999999996</v>
      </c>
      <c r="AA9" s="47">
        <f t="shared" ca="1" si="16"/>
        <v>1</v>
      </c>
      <c r="AB9" s="47">
        <f t="shared" ca="1" si="17"/>
        <v>12000</v>
      </c>
      <c r="AC9" s="63">
        <f t="shared" ca="1" si="18"/>
        <v>74000</v>
      </c>
      <c r="AD9" s="63">
        <f t="shared" ca="1" si="19"/>
        <v>2499.9999999999995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50.000000000000007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75</v>
      </c>
      <c r="AS9" s="33">
        <f t="shared" ca="1" si="34"/>
        <v>0.4</v>
      </c>
      <c r="AW9" s="2">
        <v>3.4</v>
      </c>
      <c r="AX9" s="2" t="s">
        <v>257</v>
      </c>
      <c r="AY9" s="130">
        <v>29.7</v>
      </c>
      <c r="AZ9" s="2">
        <v>19.399999999999999</v>
      </c>
      <c r="BA9" s="2"/>
      <c r="BB9" s="2">
        <v>24</v>
      </c>
      <c r="BC9" s="2"/>
      <c r="BD9" s="2">
        <v>12.9</v>
      </c>
      <c r="BE9" s="2">
        <v>15.7</v>
      </c>
      <c r="BF9" s="2">
        <v>16.3</v>
      </c>
      <c r="BG9" s="2">
        <v>16.8</v>
      </c>
      <c r="BH9" s="2">
        <v>19.5</v>
      </c>
      <c r="BI9" s="2"/>
      <c r="BJ9" s="2"/>
      <c r="BK9" s="2"/>
      <c r="BL9" s="2"/>
      <c r="BM9" s="2"/>
      <c r="BN9" s="2">
        <v>81</v>
      </c>
      <c r="BO9" s="2">
        <v>34</v>
      </c>
      <c r="BP9" s="2">
        <v>41</v>
      </c>
      <c r="BQ9" s="2">
        <v>44</v>
      </c>
      <c r="BR9" s="2">
        <v>47</v>
      </c>
      <c r="BS9" s="2">
        <v>54</v>
      </c>
      <c r="BT9" s="2">
        <v>30</v>
      </c>
      <c r="BU9" s="2">
        <v>54</v>
      </c>
      <c r="BV9" s="2">
        <v>66</v>
      </c>
      <c r="BW9" s="2">
        <v>78</v>
      </c>
      <c r="BX9" s="2">
        <v>108</v>
      </c>
      <c r="BY9" s="2">
        <v>46.6</v>
      </c>
      <c r="BZ9" s="2">
        <v>13.2</v>
      </c>
      <c r="CA9" s="2">
        <v>2.4</v>
      </c>
      <c r="CB9" s="2">
        <v>1.8770076499166001E-4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10b</v>
      </c>
      <c r="J10" s="47">
        <f t="shared" ca="1" si="35"/>
        <v>5</v>
      </c>
      <c r="K10" s="19">
        <f t="shared" ca="1" si="36"/>
        <v>-6.2</v>
      </c>
      <c r="L10" s="116" t="str">
        <f t="shared" ca="1" si="1"/>
        <v>EW_sand_Ruled_80</v>
      </c>
      <c r="M10" s="105" t="str">
        <f t="shared" ca="1" si="2"/>
        <v>API sand</v>
      </c>
      <c r="N10" s="47">
        <f t="shared" ca="1" si="3"/>
        <v>9.8999999999999986</v>
      </c>
      <c r="O10" s="63">
        <f t="shared" ca="1" si="4"/>
        <v>0</v>
      </c>
      <c r="P10" s="63">
        <f t="shared" ca="1" si="5"/>
        <v>0</v>
      </c>
      <c r="Q10" s="47">
        <f t="shared" ca="1" si="6"/>
        <v>40</v>
      </c>
      <c r="R10" s="47">
        <f t="shared" ca="1" si="7"/>
        <v>35</v>
      </c>
      <c r="S10" s="47">
        <f t="shared" ca="1" si="8"/>
        <v>1.2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80800</v>
      </c>
      <c r="Y10" s="47">
        <f t="shared" ca="1" si="14"/>
        <v>0</v>
      </c>
      <c r="Z10" s="47">
        <f t="shared" ca="1" si="15"/>
        <v>114.99999999999996</v>
      </c>
      <c r="AA10" s="47">
        <f t="shared" ca="1" si="16"/>
        <v>1</v>
      </c>
      <c r="AB10" s="47">
        <f t="shared" ca="1" si="17"/>
        <v>12000</v>
      </c>
      <c r="AC10" s="63">
        <f t="shared" ca="1" si="18"/>
        <v>86000</v>
      </c>
      <c r="AD10" s="63">
        <f t="shared" ca="1" si="19"/>
        <v>6153.8461538461543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50.000000000000007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80</v>
      </c>
      <c r="AS10" s="33">
        <f t="shared" ca="1" si="34"/>
        <v>0.4</v>
      </c>
      <c r="AW10" s="2">
        <v>3.4</v>
      </c>
      <c r="AX10" s="2" t="s">
        <v>298</v>
      </c>
      <c r="AY10" s="130">
        <v>37.1</v>
      </c>
      <c r="AZ10" s="2">
        <v>18.5</v>
      </c>
      <c r="BA10" s="2">
        <v>30</v>
      </c>
      <c r="BB10" s="2">
        <v>88</v>
      </c>
      <c r="BC10" s="2">
        <v>3</v>
      </c>
      <c r="BD10" s="2">
        <v>1.7</v>
      </c>
      <c r="BE10" s="2">
        <v>1.8</v>
      </c>
      <c r="BF10" s="2">
        <v>2</v>
      </c>
      <c r="BG10" s="2">
        <v>2.2000000000000002</v>
      </c>
      <c r="BH10" s="2">
        <f>15+2.5</f>
        <v>17.5</v>
      </c>
      <c r="BI10" s="2">
        <v>36</v>
      </c>
      <c r="BJ10" s="2">
        <v>83</v>
      </c>
      <c r="BK10" s="2">
        <v>105</v>
      </c>
      <c r="BL10" s="2">
        <v>129</v>
      </c>
      <c r="BM10" s="2">
        <v>178</v>
      </c>
      <c r="BN10" s="2"/>
      <c r="BO10" s="2"/>
      <c r="BP10" s="2"/>
      <c r="BQ10" s="2"/>
      <c r="BR10" s="2"/>
      <c r="BS10" s="2"/>
      <c r="BT10" s="2">
        <v>6</v>
      </c>
      <c r="BU10" s="2">
        <v>51</v>
      </c>
      <c r="BV10" s="2">
        <v>78</v>
      </c>
      <c r="BW10" s="2">
        <v>106</v>
      </c>
      <c r="BX10" s="2">
        <v>160</v>
      </c>
      <c r="BY10" s="2">
        <v>15.7</v>
      </c>
      <c r="BZ10" s="2">
        <v>11.5</v>
      </c>
      <c r="CA10" s="2">
        <v>3</v>
      </c>
      <c r="CB10" s="2">
        <v>5.5233200331884502E-9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19b</v>
      </c>
      <c r="J11" s="47">
        <f t="shared" ca="1" si="35"/>
        <v>6</v>
      </c>
      <c r="K11" s="19">
        <f t="shared" ca="1" si="36"/>
        <v>-14</v>
      </c>
      <c r="L11" s="116" t="str">
        <f t="shared" ca="1" si="1"/>
        <v>EW_sand_Ruled_68</v>
      </c>
      <c r="M11" s="105" t="str">
        <f t="shared" ca="1" si="2"/>
        <v>API sand</v>
      </c>
      <c r="N11" s="47">
        <f t="shared" ca="1" si="3"/>
        <v>8.5</v>
      </c>
      <c r="O11" s="63">
        <f t="shared" ca="1" si="4"/>
        <v>0</v>
      </c>
      <c r="P11" s="63">
        <f t="shared" ca="1" si="5"/>
        <v>0</v>
      </c>
      <c r="Q11" s="47">
        <f t="shared" ca="1" si="6"/>
        <v>27</v>
      </c>
      <c r="R11" s="47">
        <f t="shared" ca="1" si="7"/>
        <v>22</v>
      </c>
      <c r="S11" s="47">
        <f t="shared" ca="1" si="8"/>
        <v>0.8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22100</v>
      </c>
      <c r="Y11" s="47">
        <f t="shared" ca="1" si="14"/>
        <v>0</v>
      </c>
      <c r="Z11" s="47">
        <f t="shared" ca="1" si="15"/>
        <v>72.59999999999998</v>
      </c>
      <c r="AA11" s="47">
        <f t="shared" ca="1" si="16"/>
        <v>1</v>
      </c>
      <c r="AB11" s="47">
        <f t="shared" ca="1" si="17"/>
        <v>3660</v>
      </c>
      <c r="AC11" s="63">
        <f t="shared" ca="1" si="18"/>
        <v>105000</v>
      </c>
      <c r="AD11" s="63">
        <f t="shared" ca="1" si="19"/>
        <v>2465.7534246575342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15.200000000000003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68</v>
      </c>
      <c r="AS11" s="33">
        <f t="shared" ca="1" si="34"/>
        <v>0.2</v>
      </c>
      <c r="AW11" s="2">
        <v>3.8</v>
      </c>
      <c r="AX11" s="2" t="s">
        <v>298</v>
      </c>
      <c r="AY11" s="130">
        <v>37.1</v>
      </c>
      <c r="AZ11" s="2">
        <v>18.5</v>
      </c>
      <c r="BA11" s="2">
        <v>30</v>
      </c>
      <c r="BB11" s="2">
        <v>88</v>
      </c>
      <c r="BC11" s="2">
        <v>3</v>
      </c>
      <c r="BD11" s="2">
        <v>1.6</v>
      </c>
      <c r="BE11" s="2">
        <v>1.8</v>
      </c>
      <c r="BF11" s="2">
        <v>1.9</v>
      </c>
      <c r="BG11" s="2">
        <v>2.1</v>
      </c>
      <c r="BH11" s="2">
        <f>15+2.4</f>
        <v>17.399999999999999</v>
      </c>
      <c r="BI11" s="2">
        <v>32</v>
      </c>
      <c r="BJ11" s="2">
        <v>80</v>
      </c>
      <c r="BK11" s="2">
        <v>102</v>
      </c>
      <c r="BL11" s="2">
        <v>125</v>
      </c>
      <c r="BM11" s="2">
        <v>175</v>
      </c>
      <c r="BN11" s="2"/>
      <c r="BO11" s="2"/>
      <c r="BP11" s="2"/>
      <c r="BQ11" s="2"/>
      <c r="BR11" s="2"/>
      <c r="BS11" s="2"/>
      <c r="BT11" s="2">
        <v>3</v>
      </c>
      <c r="BU11" s="2">
        <v>48</v>
      </c>
      <c r="BV11" s="2">
        <v>75</v>
      </c>
      <c r="BW11" s="2">
        <v>103</v>
      </c>
      <c r="BX11" s="2">
        <v>158</v>
      </c>
      <c r="BY11" s="2">
        <v>15.7</v>
      </c>
      <c r="BZ11" s="2">
        <v>11.5</v>
      </c>
      <c r="CA11" s="2">
        <v>3</v>
      </c>
      <c r="CB11" s="2">
        <v>5.5233200331884502E-9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21a</v>
      </c>
      <c r="J12" s="47">
        <f t="shared" ca="1" si="35"/>
        <v>7</v>
      </c>
      <c r="K12" s="19">
        <f t="shared" ca="1" si="36"/>
        <v>-50.5</v>
      </c>
      <c r="L12" s="116" t="str">
        <f t="shared" ca="1" si="1"/>
        <v>EW_sand_Ruled_37</v>
      </c>
      <c r="M12" s="105" t="str">
        <f t="shared" ca="1" si="2"/>
        <v>API sand</v>
      </c>
      <c r="N12" s="47">
        <f t="shared" ca="1" si="3"/>
        <v>9.8000000000000007</v>
      </c>
      <c r="O12" s="63">
        <f t="shared" ca="1" si="4"/>
        <v>0</v>
      </c>
      <c r="P12" s="63">
        <f t="shared" ca="1" si="5"/>
        <v>0</v>
      </c>
      <c r="Q12" s="47">
        <f t="shared" ca="1" si="6"/>
        <v>25.5</v>
      </c>
      <c r="R12" s="47">
        <f t="shared" ca="1" si="7"/>
        <v>20.5</v>
      </c>
      <c r="S12" s="47">
        <f t="shared" ca="1" si="8"/>
        <v>0.5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38700</v>
      </c>
      <c r="Y12" s="47">
        <f t="shared" ca="1" si="14"/>
        <v>0</v>
      </c>
      <c r="Z12" s="47">
        <f t="shared" ca="1" si="15"/>
        <v>66.999999999999986</v>
      </c>
      <c r="AA12" s="47">
        <f t="shared" ca="1" si="16"/>
        <v>1</v>
      </c>
      <c r="AB12" s="47">
        <f t="shared" ca="1" si="17"/>
        <v>2900</v>
      </c>
      <c r="AC12" s="63">
        <f t="shared" ca="1" si="18"/>
        <v>161000</v>
      </c>
      <c r="AD12" s="63">
        <f t="shared" ca="1" si="19"/>
        <v>784.31372549019579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12.000000000000004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37</v>
      </c>
      <c r="AS12" s="33">
        <f t="shared" ca="1" si="34"/>
        <v>0.2</v>
      </c>
      <c r="AW12" s="2">
        <v>3.8</v>
      </c>
      <c r="AX12" s="2" t="s">
        <v>259</v>
      </c>
      <c r="AY12" s="130">
        <v>25.5</v>
      </c>
      <c r="AZ12" s="2">
        <v>20</v>
      </c>
      <c r="BA12" s="2"/>
      <c r="BB12" s="2">
        <v>14</v>
      </c>
      <c r="BC12" s="2"/>
      <c r="BD12" s="2">
        <v>11.2</v>
      </c>
      <c r="BE12" s="2">
        <v>15.6</v>
      </c>
      <c r="BF12" s="2">
        <v>16.600000000000001</v>
      </c>
      <c r="BG12" s="2">
        <v>17.3</v>
      </c>
      <c r="BH12" s="2">
        <v>21</v>
      </c>
      <c r="BI12" s="2"/>
      <c r="BJ12" s="2"/>
      <c r="BK12" s="2"/>
      <c r="BL12" s="2"/>
      <c r="BM12" s="2"/>
      <c r="BN12" s="2">
        <v>75</v>
      </c>
      <c r="BO12" s="2">
        <v>34</v>
      </c>
      <c r="BP12" s="2">
        <v>40</v>
      </c>
      <c r="BQ12" s="2">
        <v>43</v>
      </c>
      <c r="BR12" s="2">
        <v>46</v>
      </c>
      <c r="BS12" s="2">
        <v>52</v>
      </c>
      <c r="BT12" s="2">
        <v>11</v>
      </c>
      <c r="BU12" s="2">
        <v>56</v>
      </c>
      <c r="BV12" s="2">
        <v>74</v>
      </c>
      <c r="BW12" s="2">
        <v>92</v>
      </c>
      <c r="BX12" s="2">
        <v>137</v>
      </c>
      <c r="BY12" s="2">
        <v>55.3</v>
      </c>
      <c r="BZ12" s="2">
        <v>7.2</v>
      </c>
      <c r="CA12" s="2">
        <v>1.6</v>
      </c>
      <c r="CB12" s="2">
        <v>4.1909999084929602E-5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23d</v>
      </c>
      <c r="J13" s="47">
        <f t="shared" ca="1" si="35"/>
        <v>8</v>
      </c>
      <c r="K13" s="19">
        <f t="shared" ca="1" si="36"/>
        <v>-55.6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8.8999999999999986</v>
      </c>
      <c r="O13" s="63">
        <f t="shared" ca="1" si="4"/>
        <v>423</v>
      </c>
      <c r="P13" s="63">
        <f t="shared" ca="1" si="5"/>
        <v>5.8196721311475414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1.9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43200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640000</v>
      </c>
      <c r="AD13" s="63">
        <f t="shared" ca="1" si="19"/>
        <v>10778.688524590165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6.2</v>
      </c>
      <c r="AX13" s="2" t="s">
        <v>259</v>
      </c>
      <c r="AY13" s="130">
        <v>25.5</v>
      </c>
      <c r="AZ13" s="2">
        <v>20</v>
      </c>
      <c r="BA13" s="2"/>
      <c r="BB13" s="2">
        <v>14</v>
      </c>
      <c r="BC13" s="2"/>
      <c r="BD13" s="2">
        <v>7.7</v>
      </c>
      <c r="BE13" s="2">
        <v>12.1</v>
      </c>
      <c r="BF13" s="2">
        <v>13.1</v>
      </c>
      <c r="BG13" s="2">
        <v>13.8</v>
      </c>
      <c r="BH13" s="2">
        <v>17.5</v>
      </c>
      <c r="BI13" s="2"/>
      <c r="BJ13" s="2"/>
      <c r="BK13" s="2"/>
      <c r="BL13" s="2"/>
      <c r="BM13" s="2"/>
      <c r="BN13" s="2">
        <v>75</v>
      </c>
      <c r="BO13" s="2">
        <v>34</v>
      </c>
      <c r="BP13" s="2">
        <v>40</v>
      </c>
      <c r="BQ13" s="2">
        <v>43</v>
      </c>
      <c r="BR13" s="2">
        <v>46</v>
      </c>
      <c r="BS13" s="2">
        <v>52</v>
      </c>
      <c r="BT13" s="2">
        <v>17</v>
      </c>
      <c r="BU13" s="2">
        <v>62</v>
      </c>
      <c r="BV13" s="2">
        <v>80</v>
      </c>
      <c r="BW13" s="2">
        <v>98</v>
      </c>
      <c r="BX13" s="2">
        <v>143</v>
      </c>
      <c r="BY13" s="2">
        <v>55.3</v>
      </c>
      <c r="BZ13" s="2">
        <v>7.2</v>
      </c>
      <c r="CA13" s="2">
        <v>1.6</v>
      </c>
      <c r="CB13" s="2">
        <v>4.1909999084929602E-5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/>
      </c>
      <c r="J14" s="47" t="str">
        <f t="shared" ca="1" si="35"/>
        <v/>
      </c>
      <c r="K14" s="19" t="str">
        <f t="shared" ca="1" si="36"/>
        <v/>
      </c>
      <c r="L14" s="116" t="str">
        <f t="shared" ca="1" si="1"/>
        <v/>
      </c>
      <c r="M14" s="105" t="str">
        <f t="shared" ca="1" si="2"/>
        <v/>
      </c>
      <c r="N14" s="47" t="str">
        <f t="shared" ca="1" si="3"/>
        <v/>
      </c>
      <c r="O14" s="63" t="str">
        <f t="shared" ca="1" si="4"/>
        <v/>
      </c>
      <c r="P14" s="63" t="str">
        <f t="shared" ca="1" si="5"/>
        <v/>
      </c>
      <c r="Q14" s="47" t="str">
        <f t="shared" ca="1" si="6"/>
        <v/>
      </c>
      <c r="R14" s="47" t="str">
        <f t="shared" ca="1" si="7"/>
        <v/>
      </c>
      <c r="S14" s="47" t="str">
        <f t="shared" ca="1" si="8"/>
        <v/>
      </c>
      <c r="T14" s="47" t="str">
        <f t="shared" ca="1" si="9"/>
        <v/>
      </c>
      <c r="U14" s="75" t="str">
        <f t="shared" ca="1" si="10"/>
        <v/>
      </c>
      <c r="V14" s="75" t="str">
        <f t="shared" ca="1" si="11"/>
        <v/>
      </c>
      <c r="W14" s="47" t="str">
        <f t="shared" ca="1" si="12"/>
        <v/>
      </c>
      <c r="X14" s="47" t="str">
        <f t="shared" ca="1" si="13"/>
        <v/>
      </c>
      <c r="Y14" s="47" t="str">
        <f t="shared" ca="1" si="14"/>
        <v/>
      </c>
      <c r="Z14" s="47" t="str">
        <f t="shared" ca="1" si="15"/>
        <v/>
      </c>
      <c r="AA14" s="47" t="str">
        <f t="shared" ca="1" si="16"/>
        <v/>
      </c>
      <c r="AB14" s="47" t="str">
        <f t="shared" ca="1" si="17"/>
        <v/>
      </c>
      <c r="AC14" s="63" t="str">
        <f t="shared" ca="1" si="18"/>
        <v/>
      </c>
      <c r="AD14" s="63" t="str">
        <f t="shared" ca="1" si="19"/>
        <v/>
      </c>
      <c r="AE14" s="63" t="str">
        <f t="shared" ca="1" si="20"/>
        <v/>
      </c>
      <c r="AF14" s="63" t="str">
        <f t="shared" ca="1" si="21"/>
        <v/>
      </c>
      <c r="AG14" s="63" t="str">
        <f t="shared" ca="1" si="22"/>
        <v/>
      </c>
      <c r="AH14" s="63" t="str">
        <f t="shared" ca="1" si="23"/>
        <v/>
      </c>
      <c r="AI14" s="63" t="str">
        <f t="shared" ca="1" si="24"/>
        <v/>
      </c>
      <c r="AJ14" s="47" t="str">
        <f t="shared" ca="1" si="25"/>
        <v/>
      </c>
      <c r="AK14" s="47" t="str">
        <f t="shared" ca="1" si="26"/>
        <v/>
      </c>
      <c r="AL14" s="47" t="str">
        <f t="shared" ca="1" si="27"/>
        <v/>
      </c>
      <c r="AM14" s="47" t="str">
        <f t="shared" ca="1" si="28"/>
        <v/>
      </c>
      <c r="AN14" s="47" t="str">
        <f t="shared" ca="1" si="29"/>
        <v/>
      </c>
      <c r="AO14" s="47" t="str">
        <f t="shared" ca="1" si="30"/>
        <v/>
      </c>
      <c r="AP14" s="47" t="str">
        <f t="shared" ca="1" si="31"/>
        <v/>
      </c>
      <c r="AQ14" s="47" t="str">
        <f t="shared" ca="1" si="32"/>
        <v/>
      </c>
      <c r="AR14" s="47" t="str">
        <f t="shared" ca="1" si="33"/>
        <v/>
      </c>
      <c r="AS14" s="33" t="str">
        <f t="shared" ca="1" si="34"/>
        <v/>
      </c>
      <c r="AW14" s="2">
        <v>6.2</v>
      </c>
      <c r="AX14" s="2" t="s">
        <v>261</v>
      </c>
      <c r="AY14" s="130">
        <v>24</v>
      </c>
      <c r="AZ14" s="2">
        <v>19.899999999999999</v>
      </c>
      <c r="BA14" s="2"/>
      <c r="BB14" s="2">
        <v>6</v>
      </c>
      <c r="BC14" s="2"/>
      <c r="BD14" s="2">
        <v>7.2</v>
      </c>
      <c r="BE14" s="2">
        <v>13.6</v>
      </c>
      <c r="BF14" s="2">
        <v>14.2</v>
      </c>
      <c r="BG14" s="2">
        <v>15</v>
      </c>
      <c r="BH14" s="2">
        <v>22.7</v>
      </c>
      <c r="BI14" s="2"/>
      <c r="BJ14" s="2"/>
      <c r="BK14" s="2"/>
      <c r="BL14" s="2"/>
      <c r="BM14" s="2"/>
      <c r="BN14" s="2">
        <v>80</v>
      </c>
      <c r="BO14" s="2">
        <v>34</v>
      </c>
      <c r="BP14" s="2">
        <v>40</v>
      </c>
      <c r="BQ14" s="2">
        <v>43</v>
      </c>
      <c r="BR14" s="2">
        <v>47</v>
      </c>
      <c r="BS14" s="2">
        <v>53</v>
      </c>
      <c r="BT14" s="2">
        <v>6</v>
      </c>
      <c r="BU14" s="2">
        <v>60</v>
      </c>
      <c r="BV14" s="2">
        <v>86</v>
      </c>
      <c r="BW14" s="2">
        <v>112</v>
      </c>
      <c r="BX14" s="2">
        <v>176</v>
      </c>
      <c r="BY14" s="2">
        <v>80.8</v>
      </c>
      <c r="BZ14" s="2">
        <v>4.0999999999999996</v>
      </c>
      <c r="CA14" s="2">
        <v>1.2</v>
      </c>
      <c r="CB14" s="2">
        <v>1.30628905575138E-5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/>
      </c>
      <c r="J15" s="47" t="str">
        <f t="shared" ca="1" si="35"/>
        <v/>
      </c>
      <c r="K15" s="19" t="str">
        <f t="shared" ca="1" si="36"/>
        <v/>
      </c>
      <c r="L15" s="116" t="str">
        <f t="shared" ca="1" si="1"/>
        <v/>
      </c>
      <c r="M15" s="105" t="str">
        <f t="shared" ca="1" si="2"/>
        <v/>
      </c>
      <c r="N15" s="47" t="str">
        <f t="shared" ca="1" si="3"/>
        <v/>
      </c>
      <c r="O15" s="63" t="str">
        <f t="shared" ca="1" si="4"/>
        <v/>
      </c>
      <c r="P15" s="63" t="str">
        <f t="shared" ca="1" si="5"/>
        <v/>
      </c>
      <c r="Q15" s="47" t="str">
        <f t="shared" ca="1" si="6"/>
        <v/>
      </c>
      <c r="R15" s="47" t="str">
        <f t="shared" ca="1" si="7"/>
        <v/>
      </c>
      <c r="S15" s="47" t="str">
        <f t="shared" ca="1" si="8"/>
        <v/>
      </c>
      <c r="T15" s="47" t="str">
        <f t="shared" ca="1" si="9"/>
        <v/>
      </c>
      <c r="U15" s="75" t="str">
        <f t="shared" ca="1" si="10"/>
        <v/>
      </c>
      <c r="V15" s="75" t="str">
        <f t="shared" ca="1" si="11"/>
        <v/>
      </c>
      <c r="W15" s="47" t="str">
        <f t="shared" ca="1" si="12"/>
        <v/>
      </c>
      <c r="X15" s="47" t="str">
        <f t="shared" ca="1" si="13"/>
        <v/>
      </c>
      <c r="Y15" s="47" t="str">
        <f t="shared" ca="1" si="14"/>
        <v/>
      </c>
      <c r="Z15" s="47" t="str">
        <f t="shared" ca="1" si="15"/>
        <v/>
      </c>
      <c r="AA15" s="47" t="str">
        <f t="shared" ca="1" si="16"/>
        <v/>
      </c>
      <c r="AB15" s="47" t="str">
        <f t="shared" ca="1" si="17"/>
        <v/>
      </c>
      <c r="AC15" s="63" t="str">
        <f t="shared" ca="1" si="18"/>
        <v/>
      </c>
      <c r="AD15" s="63" t="str">
        <f t="shared" ca="1" si="19"/>
        <v/>
      </c>
      <c r="AE15" s="63" t="str">
        <f t="shared" ca="1" si="20"/>
        <v/>
      </c>
      <c r="AF15" s="63" t="str">
        <f t="shared" ca="1" si="21"/>
        <v/>
      </c>
      <c r="AG15" s="63" t="str">
        <f t="shared" ca="1" si="22"/>
        <v/>
      </c>
      <c r="AH15" s="63" t="str">
        <f t="shared" ca="1" si="23"/>
        <v/>
      </c>
      <c r="AI15" s="63" t="str">
        <f t="shared" ca="1" si="24"/>
        <v/>
      </c>
      <c r="AJ15" s="47" t="str">
        <f t="shared" ca="1" si="25"/>
        <v/>
      </c>
      <c r="AK15" s="47" t="str">
        <f t="shared" ca="1" si="26"/>
        <v/>
      </c>
      <c r="AL15" s="47" t="str">
        <f t="shared" ca="1" si="27"/>
        <v/>
      </c>
      <c r="AM15" s="47" t="str">
        <f t="shared" ca="1" si="28"/>
        <v/>
      </c>
      <c r="AN15" s="47" t="str">
        <f t="shared" ca="1" si="29"/>
        <v/>
      </c>
      <c r="AO15" s="47" t="str">
        <f t="shared" ca="1" si="30"/>
        <v/>
      </c>
      <c r="AP15" s="47" t="str">
        <f t="shared" ca="1" si="31"/>
        <v/>
      </c>
      <c r="AQ15" s="47" t="str">
        <f t="shared" ca="1" si="32"/>
        <v/>
      </c>
      <c r="AR15" s="47" t="str">
        <f t="shared" ca="1" si="33"/>
        <v/>
      </c>
      <c r="AS15" s="33" t="str">
        <f t="shared" ca="1" si="34"/>
        <v/>
      </c>
      <c r="AW15" s="2">
        <v>14</v>
      </c>
      <c r="AX15" s="2" t="s">
        <v>261</v>
      </c>
      <c r="AY15" s="130">
        <v>24</v>
      </c>
      <c r="AZ15" s="2">
        <v>19.899999999999999</v>
      </c>
      <c r="BA15" s="2"/>
      <c r="BB15" s="2">
        <v>6</v>
      </c>
      <c r="BC15" s="2"/>
      <c r="BD15" s="2">
        <v>20.9</v>
      </c>
      <c r="BE15" s="2">
        <v>27.3</v>
      </c>
      <c r="BF15" s="2">
        <v>28</v>
      </c>
      <c r="BG15" s="2">
        <v>28.7</v>
      </c>
      <c r="BH15" s="2">
        <v>36.4</v>
      </c>
      <c r="BI15" s="2"/>
      <c r="BJ15" s="2"/>
      <c r="BK15" s="2"/>
      <c r="BL15" s="2"/>
      <c r="BM15" s="2"/>
      <c r="BN15" s="2">
        <v>80</v>
      </c>
      <c r="BO15" s="2">
        <v>34</v>
      </c>
      <c r="BP15" s="2">
        <v>40</v>
      </c>
      <c r="BQ15" s="2">
        <v>43</v>
      </c>
      <c r="BR15" s="2">
        <v>47</v>
      </c>
      <c r="BS15" s="2">
        <v>53</v>
      </c>
      <c r="BT15" s="2">
        <v>54</v>
      </c>
      <c r="BU15" s="2">
        <v>108</v>
      </c>
      <c r="BV15" s="2">
        <v>134</v>
      </c>
      <c r="BW15" s="2">
        <v>160</v>
      </c>
      <c r="BX15" s="2">
        <v>224</v>
      </c>
      <c r="BY15" s="2">
        <v>80.8</v>
      </c>
      <c r="BZ15" s="2">
        <v>4.0999999999999996</v>
      </c>
      <c r="CA15" s="2">
        <v>1.2</v>
      </c>
      <c r="CB15" s="2">
        <v>1.30628905575138E-5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/>
      </c>
      <c r="J16" s="47" t="str">
        <f t="shared" ca="1" si="35"/>
        <v/>
      </c>
      <c r="K16" s="19" t="str">
        <f t="shared" ca="1" si="36"/>
        <v/>
      </c>
      <c r="L16" s="116" t="str">
        <f t="shared" ca="1" si="1"/>
        <v/>
      </c>
      <c r="M16" s="105" t="str">
        <f t="shared" ca="1" si="2"/>
        <v/>
      </c>
      <c r="N16" s="47" t="str">
        <f t="shared" ca="1" si="3"/>
        <v/>
      </c>
      <c r="O16" s="63" t="str">
        <f t="shared" ca="1" si="4"/>
        <v/>
      </c>
      <c r="P16" s="63" t="str">
        <f t="shared" ca="1" si="5"/>
        <v/>
      </c>
      <c r="Q16" s="47" t="str">
        <f t="shared" ca="1" si="6"/>
        <v/>
      </c>
      <c r="R16" s="47" t="str">
        <f t="shared" ca="1" si="7"/>
        <v/>
      </c>
      <c r="S16" s="47" t="str">
        <f t="shared" ca="1" si="8"/>
        <v/>
      </c>
      <c r="T16" s="47" t="str">
        <f t="shared" ca="1" si="9"/>
        <v/>
      </c>
      <c r="U16" s="75" t="str">
        <f t="shared" ca="1" si="10"/>
        <v/>
      </c>
      <c r="V16" s="75" t="str">
        <f t="shared" ca="1" si="11"/>
        <v/>
      </c>
      <c r="W16" s="47" t="str">
        <f t="shared" ca="1" si="12"/>
        <v/>
      </c>
      <c r="X16" s="47" t="str">
        <f t="shared" ca="1" si="13"/>
        <v/>
      </c>
      <c r="Y16" s="47" t="str">
        <f t="shared" ca="1" si="14"/>
        <v/>
      </c>
      <c r="Z16" s="47" t="str">
        <f t="shared" ca="1" si="15"/>
        <v/>
      </c>
      <c r="AA16" s="47" t="str">
        <f t="shared" ca="1" si="16"/>
        <v/>
      </c>
      <c r="AB16" s="47" t="str">
        <f t="shared" ca="1" si="17"/>
        <v/>
      </c>
      <c r="AC16" s="63" t="str">
        <f t="shared" ca="1" si="18"/>
        <v/>
      </c>
      <c r="AD16" s="63" t="str">
        <f t="shared" ca="1" si="19"/>
        <v/>
      </c>
      <c r="AE16" s="63" t="str">
        <f t="shared" ca="1" si="20"/>
        <v/>
      </c>
      <c r="AF16" s="63" t="str">
        <f t="shared" ca="1" si="21"/>
        <v/>
      </c>
      <c r="AG16" s="63" t="str">
        <f t="shared" ca="1" si="22"/>
        <v/>
      </c>
      <c r="AH16" s="63" t="str">
        <f t="shared" ca="1" si="23"/>
        <v/>
      </c>
      <c r="AI16" s="63" t="str">
        <f t="shared" ca="1" si="24"/>
        <v/>
      </c>
      <c r="AJ16" s="47" t="str">
        <f t="shared" ca="1" si="25"/>
        <v/>
      </c>
      <c r="AK16" s="47" t="str">
        <f t="shared" ca="1" si="26"/>
        <v/>
      </c>
      <c r="AL16" s="47" t="str">
        <f t="shared" ca="1" si="27"/>
        <v/>
      </c>
      <c r="AM16" s="47" t="str">
        <f t="shared" ca="1" si="28"/>
        <v/>
      </c>
      <c r="AN16" s="47" t="str">
        <f t="shared" ca="1" si="29"/>
        <v/>
      </c>
      <c r="AO16" s="47" t="str">
        <f t="shared" ca="1" si="30"/>
        <v/>
      </c>
      <c r="AP16" s="47" t="str">
        <f t="shared" ca="1" si="31"/>
        <v/>
      </c>
      <c r="AQ16" s="47" t="str">
        <f t="shared" ca="1" si="32"/>
        <v/>
      </c>
      <c r="AR16" s="47" t="str">
        <f t="shared" ca="1" si="33"/>
        <v/>
      </c>
      <c r="AS16" s="33" t="str">
        <f t="shared" ca="1" si="34"/>
        <v/>
      </c>
      <c r="AW16" s="2">
        <v>14</v>
      </c>
      <c r="AX16" s="2" t="s">
        <v>291</v>
      </c>
      <c r="AY16" s="130">
        <v>35.4</v>
      </c>
      <c r="AZ16" s="2">
        <v>18.5</v>
      </c>
      <c r="BA16" s="2"/>
      <c r="BB16" s="2">
        <v>54</v>
      </c>
      <c r="BC16" s="2"/>
      <c r="BD16" s="2">
        <v>0.5</v>
      </c>
      <c r="BE16" s="2">
        <v>6</v>
      </c>
      <c r="BF16" s="2">
        <v>8.4</v>
      </c>
      <c r="BG16" s="2">
        <v>26.7</v>
      </c>
      <c r="BH16" s="2">
        <v>83.3</v>
      </c>
      <c r="BI16" s="2"/>
      <c r="BJ16" s="2"/>
      <c r="BK16" s="2"/>
      <c r="BL16" s="2"/>
      <c r="BM16" s="2"/>
      <c r="BN16" s="2">
        <v>68</v>
      </c>
      <c r="BO16" s="2">
        <v>26</v>
      </c>
      <c r="BP16" s="2">
        <v>27</v>
      </c>
      <c r="BQ16" s="2">
        <v>29</v>
      </c>
      <c r="BR16" s="2">
        <v>31</v>
      </c>
      <c r="BS16" s="2">
        <v>35</v>
      </c>
      <c r="BT16" s="2">
        <v>14</v>
      </c>
      <c r="BU16" s="2">
        <v>69</v>
      </c>
      <c r="BV16" s="2">
        <v>105</v>
      </c>
      <c r="BW16" s="2">
        <v>140</v>
      </c>
      <c r="BX16" s="2">
        <v>227</v>
      </c>
      <c r="BY16" s="2">
        <v>22.1</v>
      </c>
      <c r="BZ16" s="2">
        <v>2.2999999999999998</v>
      </c>
      <c r="CA16" s="2">
        <v>0.8</v>
      </c>
      <c r="CB16" s="2">
        <v>3.3209706467586699E-12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50.5</v>
      </c>
      <c r="AX17" s="2" t="s">
        <v>291</v>
      </c>
      <c r="AY17" s="130">
        <v>35.4</v>
      </c>
      <c r="AZ17" s="2">
        <v>18.5</v>
      </c>
      <c r="BA17" s="2"/>
      <c r="BB17" s="2">
        <v>54</v>
      </c>
      <c r="BC17" s="2"/>
      <c r="BD17" s="2">
        <v>12.5</v>
      </c>
      <c r="BE17" s="2">
        <v>18</v>
      </c>
      <c r="BF17" s="2">
        <v>20.399999999999999</v>
      </c>
      <c r="BG17" s="2">
        <v>38.700000000000003</v>
      </c>
      <c r="BH17" s="2">
        <v>95.3</v>
      </c>
      <c r="BI17" s="2"/>
      <c r="BJ17" s="2"/>
      <c r="BK17" s="2"/>
      <c r="BL17" s="2"/>
      <c r="BM17" s="2"/>
      <c r="BN17" s="2">
        <v>68</v>
      </c>
      <c r="BO17" s="2">
        <v>26</v>
      </c>
      <c r="BP17" s="2">
        <v>27</v>
      </c>
      <c r="BQ17" s="2">
        <v>29</v>
      </c>
      <c r="BR17" s="2">
        <v>31</v>
      </c>
      <c r="BS17" s="2">
        <v>35</v>
      </c>
      <c r="BT17" s="2">
        <v>104</v>
      </c>
      <c r="BU17" s="2">
        <v>160</v>
      </c>
      <c r="BV17" s="2">
        <v>195</v>
      </c>
      <c r="BW17" s="2">
        <v>230</v>
      </c>
      <c r="BX17" s="2">
        <v>318</v>
      </c>
      <c r="BY17" s="2">
        <v>22.1</v>
      </c>
      <c r="BZ17" s="2">
        <v>2.2999999999999998</v>
      </c>
      <c r="CA17" s="2">
        <v>0.8</v>
      </c>
      <c r="CB17" s="2">
        <v>3.3209706467586699E-12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50.5</v>
      </c>
      <c r="AX18" s="2" t="s">
        <v>271</v>
      </c>
      <c r="AY18" s="130">
        <v>24.7</v>
      </c>
      <c r="AZ18" s="2">
        <v>19.8</v>
      </c>
      <c r="BA18" s="2"/>
      <c r="BB18" s="2">
        <v>11</v>
      </c>
      <c r="BC18" s="2"/>
      <c r="BD18" s="2">
        <v>2.4</v>
      </c>
      <c r="BE18" s="2">
        <v>7.8</v>
      </c>
      <c r="BF18" s="2">
        <v>9.9</v>
      </c>
      <c r="BG18" s="2">
        <v>21.1</v>
      </c>
      <c r="BH18" s="2">
        <v>55.8</v>
      </c>
      <c r="BI18" s="2"/>
      <c r="BJ18" s="2"/>
      <c r="BK18" s="2"/>
      <c r="BL18" s="2"/>
      <c r="BM18" s="2"/>
      <c r="BN18" s="2">
        <v>37</v>
      </c>
      <c r="BO18" s="2">
        <v>25</v>
      </c>
      <c r="BP18" s="2">
        <v>25.5</v>
      </c>
      <c r="BQ18" s="2">
        <v>27</v>
      </c>
      <c r="BR18" s="2">
        <v>30</v>
      </c>
      <c r="BS18" s="2">
        <v>33</v>
      </c>
      <c r="BT18" s="2">
        <v>52</v>
      </c>
      <c r="BU18" s="2">
        <v>123</v>
      </c>
      <c r="BV18" s="2">
        <v>161</v>
      </c>
      <c r="BW18" s="2">
        <v>200</v>
      </c>
      <c r="BX18" s="2">
        <v>294</v>
      </c>
      <c r="BY18" s="2">
        <v>38.700000000000003</v>
      </c>
      <c r="BZ18" s="2">
        <v>1</v>
      </c>
      <c r="CA18" s="2">
        <v>0.5</v>
      </c>
      <c r="CB18" s="2">
        <v>2.7756600460791998E-13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55.6</v>
      </c>
      <c r="AX19" s="2" t="s">
        <v>271</v>
      </c>
      <c r="AY19" s="130">
        <v>24.7</v>
      </c>
      <c r="AZ19" s="2">
        <v>19.8</v>
      </c>
      <c r="BA19" s="2"/>
      <c r="BB19" s="2">
        <v>11</v>
      </c>
      <c r="BC19" s="2"/>
      <c r="BD19" s="2">
        <v>2</v>
      </c>
      <c r="BE19" s="2">
        <v>7.4</v>
      </c>
      <c r="BF19" s="2">
        <v>9.5</v>
      </c>
      <c r="BG19" s="2">
        <v>20.7</v>
      </c>
      <c r="BH19" s="2">
        <v>55.4</v>
      </c>
      <c r="BI19" s="2"/>
      <c r="BJ19" s="2"/>
      <c r="BK19" s="2"/>
      <c r="BL19" s="2"/>
      <c r="BM19" s="2"/>
      <c r="BN19" s="2">
        <v>37</v>
      </c>
      <c r="BO19" s="2">
        <v>25</v>
      </c>
      <c r="BP19" s="2">
        <v>25.5</v>
      </c>
      <c r="BQ19" s="2">
        <v>27</v>
      </c>
      <c r="BR19" s="2">
        <v>30</v>
      </c>
      <c r="BS19" s="2">
        <v>33</v>
      </c>
      <c r="BT19" s="2">
        <v>55</v>
      </c>
      <c r="BU19" s="2">
        <v>127</v>
      </c>
      <c r="BV19" s="2">
        <v>165</v>
      </c>
      <c r="BW19" s="2">
        <v>203</v>
      </c>
      <c r="BX19" s="2">
        <v>297</v>
      </c>
      <c r="BY19" s="2">
        <v>38.700000000000003</v>
      </c>
      <c r="BZ19" s="2">
        <v>1</v>
      </c>
      <c r="CA19" s="2">
        <v>0.5</v>
      </c>
      <c r="CB19" s="2">
        <v>2.7756600460791998E-13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55.6</v>
      </c>
      <c r="AX20" s="2" t="s">
        <v>273</v>
      </c>
      <c r="AY20" s="130">
        <v>32</v>
      </c>
      <c r="AZ20" s="2">
        <v>18.899999999999999</v>
      </c>
      <c r="BA20" s="2">
        <v>47</v>
      </c>
      <c r="BB20" s="2">
        <v>85</v>
      </c>
      <c r="BC20" s="2">
        <v>3</v>
      </c>
      <c r="BD20" s="2">
        <v>2</v>
      </c>
      <c r="BE20" s="2">
        <v>9.9</v>
      </c>
      <c r="BF20" s="2">
        <v>10.4</v>
      </c>
      <c r="BG20" s="2">
        <v>24.8</v>
      </c>
      <c r="BH20" s="2">
        <v>69.599999999999994</v>
      </c>
      <c r="BI20" s="2">
        <v>337</v>
      </c>
      <c r="BJ20" s="2">
        <v>423</v>
      </c>
      <c r="BK20" s="2">
        <v>466</v>
      </c>
      <c r="BL20" s="2">
        <v>510</v>
      </c>
      <c r="BM20" s="2">
        <v>596</v>
      </c>
      <c r="BN20" s="2"/>
      <c r="BO20" s="2"/>
      <c r="BP20" s="2"/>
      <c r="BQ20" s="2"/>
      <c r="BR20" s="2"/>
      <c r="BS20" s="2"/>
      <c r="BT20" s="2">
        <v>381</v>
      </c>
      <c r="BU20" s="2">
        <v>553</v>
      </c>
      <c r="BV20" s="2">
        <v>640</v>
      </c>
      <c r="BW20" s="2">
        <v>727</v>
      </c>
      <c r="BX20" s="2">
        <v>899</v>
      </c>
      <c r="BY20" s="2">
        <v>43.2</v>
      </c>
      <c r="BZ20" s="2">
        <v>5.4</v>
      </c>
      <c r="CA20" s="2">
        <v>1.9</v>
      </c>
      <c r="CB20" s="2">
        <v>3.9703778877905099E-12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80</v>
      </c>
      <c r="AX21" s="2" t="s">
        <v>273</v>
      </c>
      <c r="AY21" s="130">
        <v>32</v>
      </c>
      <c r="AZ21" s="2">
        <v>18.899999999999999</v>
      </c>
      <c r="BA21" s="2">
        <v>47</v>
      </c>
      <c r="BB21" s="2">
        <v>85</v>
      </c>
      <c r="BC21" s="2">
        <v>3</v>
      </c>
      <c r="BD21" s="2">
        <v>5.3</v>
      </c>
      <c r="BE21" s="2">
        <v>13.2</v>
      </c>
      <c r="BF21" s="2">
        <v>13.7</v>
      </c>
      <c r="BG21" s="2">
        <v>28.1</v>
      </c>
      <c r="BH21" s="2">
        <v>72.900000000000006</v>
      </c>
      <c r="BI21" s="2">
        <v>479</v>
      </c>
      <c r="BJ21" s="2">
        <v>565</v>
      </c>
      <c r="BK21" s="2">
        <v>608</v>
      </c>
      <c r="BL21" s="2">
        <v>652</v>
      </c>
      <c r="BM21" s="2">
        <v>738</v>
      </c>
      <c r="BN21" s="2"/>
      <c r="BO21" s="2"/>
      <c r="BP21" s="2"/>
      <c r="BQ21" s="2"/>
      <c r="BR21" s="2"/>
      <c r="BS21" s="2"/>
      <c r="BT21" s="2">
        <v>645</v>
      </c>
      <c r="BU21" s="2">
        <v>817</v>
      </c>
      <c r="BV21" s="2">
        <v>903</v>
      </c>
      <c r="BW21" s="2">
        <v>990</v>
      </c>
      <c r="BX21" s="2">
        <v>1162</v>
      </c>
      <c r="BY21" s="2">
        <v>43.2</v>
      </c>
      <c r="BZ21" s="2">
        <v>5.4</v>
      </c>
      <c r="CA21" s="2">
        <v>1.9</v>
      </c>
      <c r="CB21" s="2">
        <v>3.9703778877905099E-12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/>
      <c r="AX22" s="2"/>
      <c r="AY22" s="130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/>
      <c r="AX23" s="2"/>
      <c r="AY23" s="130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/>
      <c r="AX24" s="2"/>
      <c r="AY24" s="130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/>
      <c r="AX25" s="2"/>
      <c r="AY25" s="130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/>
      <c r="AX26" s="2"/>
      <c r="AY26" s="130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/>
      <c r="AX27" s="2"/>
      <c r="AY27" s="130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154" priority="12">
      <formula>$L32="API sand"</formula>
    </cfRule>
  </conditionalFormatting>
  <conditionalFormatting sqref="R32:S36 AB32:AB35 AJ32:AL36 Z32:Z36 N32:N36">
    <cfRule type="expression" dxfId="2153" priority="11">
      <formula>$M32="API sand"</formula>
    </cfRule>
  </conditionalFormatting>
  <conditionalFormatting sqref="R32:T36 Z32:AB35 AK32:AL36 N32:N36">
    <cfRule type="expression" dxfId="2152" priority="10">
      <formula>$M32="API clay"</formula>
    </cfRule>
  </conditionalFormatting>
  <conditionalFormatting sqref="U32:W36 AM32:AP36 N32:P36">
    <cfRule type="expression" dxfId="2151" priority="7">
      <formula>$L32="Stiff clay w/o free water"</formula>
    </cfRule>
    <cfRule type="expression" dxfId="2150" priority="9">
      <formula>$L32="API clay"</formula>
    </cfRule>
  </conditionalFormatting>
  <conditionalFormatting sqref="U32:Y36 AM32:AP36 N32:P36">
    <cfRule type="expression" dxfId="2149" priority="8">
      <formula>$L32="Kirsch soft clay"</formula>
    </cfRule>
  </conditionalFormatting>
  <conditionalFormatting sqref="U32:Y36 AM32:AP36 N32:P36">
    <cfRule type="expression" dxfId="2148" priority="6">
      <formula>$L32="Kirsch stiff clay"</formula>
    </cfRule>
  </conditionalFormatting>
  <conditionalFormatting sqref="AM32:AP36 Q32:Q36 X32:Y36 N32:N36">
    <cfRule type="expression" dxfId="2147" priority="5">
      <formula>$L32="Kirsch sand"</formula>
    </cfRule>
  </conditionalFormatting>
  <conditionalFormatting sqref="AC32:AD36 AI32:AI36 AM32:AP36 N32:N36">
    <cfRule type="expression" dxfId="2146" priority="4">
      <formula>$L32="Modified Weak rock"</formula>
    </cfRule>
  </conditionalFormatting>
  <conditionalFormatting sqref="AM32:AP36 N32:P36 U32:V36">
    <cfRule type="expression" dxfId="2145" priority="3">
      <formula>$L32="Reese stiff clay"</formula>
    </cfRule>
  </conditionalFormatting>
  <conditionalFormatting sqref="AB36">
    <cfRule type="expression" dxfId="2144" priority="2">
      <formula>$M36="API sand"</formula>
    </cfRule>
  </conditionalFormatting>
  <conditionalFormatting sqref="Z36:AB36">
    <cfRule type="expression" dxfId="2143" priority="1">
      <formula>$M36="API clay"</formula>
    </cfRule>
  </conditionalFormatting>
  <conditionalFormatting sqref="AE37:AH37">
    <cfRule type="expression" dxfId="2142" priority="13">
      <formula>#REF!="Modified Weak rock"</formula>
    </cfRule>
  </conditionalFormatting>
  <dataValidations count="4">
    <dataValidation type="list" showInputMessage="1" showErrorMessage="1" sqref="M32:M36" xr:uid="{6593530B-0FF9-419F-9DA9-6CB42745C6E0}">
      <formula1>"',API sand,API clay"</formula1>
    </dataValidation>
    <dataValidation type="list" showInputMessage="1" showErrorMessage="1" sqref="L32:L255" xr:uid="{64085493-EE53-4F4E-B9BE-F3EE446653F4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37BFEC71-D3AD-4D77-82AF-9933F14ECD4E}"/>
    <dataValidation type="textLength" showInputMessage="1" showErrorMessage="1" sqref="M27:M31" xr:uid="{79D04D8A-23AB-40DD-948F-BDAABBD37761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CFB60-E92B-47B9-B3C1-7D61B93C8846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Ak_Pisa_WTG62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15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EW_sand_Ruled_79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35</v>
      </c>
      <c r="R6" s="47">
        <f t="shared" ref="R6:R26" ca="1" si="7">IF(I6="","",IF(Q6&lt;&gt;0,Q6-5,NA()))</f>
        <v>30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5800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95.999999999999972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9600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30666.666666666668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40.000000000000007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79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0.8</v>
      </c>
      <c r="BG6" s="2">
        <v>1.4</v>
      </c>
      <c r="BH6" s="2">
        <v>3.2</v>
      </c>
      <c r="BI6" s="2"/>
      <c r="BJ6" s="2"/>
      <c r="BK6" s="2"/>
      <c r="BL6" s="2"/>
      <c r="BM6" s="2"/>
      <c r="BN6" s="2">
        <v>79</v>
      </c>
      <c r="BO6" s="2">
        <v>29</v>
      </c>
      <c r="BP6" s="2">
        <v>35</v>
      </c>
      <c r="BQ6" s="2">
        <v>38</v>
      </c>
      <c r="BR6" s="2">
        <v>42</v>
      </c>
      <c r="BS6" s="2">
        <v>48</v>
      </c>
      <c r="BT6" s="2">
        <v>0</v>
      </c>
      <c r="BU6" s="2">
        <v>1</v>
      </c>
      <c r="BV6" s="2">
        <v>5</v>
      </c>
      <c r="BW6" s="2">
        <v>10</v>
      </c>
      <c r="BX6" s="2">
        <v>19</v>
      </c>
      <c r="BY6" s="2">
        <v>5.8</v>
      </c>
      <c r="BZ6" s="2">
        <v>1</v>
      </c>
      <c r="CA6" s="2">
        <v>0.5</v>
      </c>
      <c r="CB6" s="2">
        <v>1.1664377447588899E-5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-0.75</v>
      </c>
      <c r="L7" s="116" t="str">
        <f t="shared" ca="1" si="1"/>
        <v>EW_sand_Ruled_78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39</v>
      </c>
      <c r="R7" s="47">
        <f t="shared" ca="1" si="7"/>
        <v>34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25300</v>
      </c>
      <c r="Y7" s="47">
        <f t="shared" ca="1" si="14"/>
        <v>0</v>
      </c>
      <c r="Z7" s="47">
        <f t="shared" ca="1" si="15"/>
        <v>111.19999999999996</v>
      </c>
      <c r="AA7" s="47">
        <f t="shared" ca="1" si="16"/>
        <v>1</v>
      </c>
      <c r="AB7" s="47">
        <f t="shared" ca="1" si="17"/>
        <v>11520</v>
      </c>
      <c r="AC7" s="63">
        <f t="shared" ca="1" si="18"/>
        <v>32000</v>
      </c>
      <c r="AD7" s="63">
        <f t="shared" ca="1" si="19"/>
        <v>8421.0526315789466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48.000000000000007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78</v>
      </c>
      <c r="AS7" s="33">
        <f t="shared" ca="1" si="34"/>
        <v>0.4</v>
      </c>
      <c r="AW7" s="2">
        <v>0.75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1.7</v>
      </c>
      <c r="BE7" s="2">
        <v>3.4</v>
      </c>
      <c r="BF7" s="2">
        <v>4</v>
      </c>
      <c r="BG7" s="2">
        <v>4.7</v>
      </c>
      <c r="BH7" s="2">
        <v>6.5</v>
      </c>
      <c r="BI7" s="2"/>
      <c r="BJ7" s="2"/>
      <c r="BK7" s="2"/>
      <c r="BL7" s="2"/>
      <c r="BM7" s="2"/>
      <c r="BN7" s="2">
        <v>79</v>
      </c>
      <c r="BO7" s="2">
        <v>29</v>
      </c>
      <c r="BP7" s="2">
        <v>35</v>
      </c>
      <c r="BQ7" s="2">
        <v>38</v>
      </c>
      <c r="BR7" s="2">
        <v>42</v>
      </c>
      <c r="BS7" s="2">
        <v>48</v>
      </c>
      <c r="BT7" s="2">
        <v>14</v>
      </c>
      <c r="BU7" s="2">
        <v>24</v>
      </c>
      <c r="BV7" s="2">
        <v>28</v>
      </c>
      <c r="BW7" s="2">
        <v>32</v>
      </c>
      <c r="BX7" s="2">
        <v>42</v>
      </c>
      <c r="BY7" s="2">
        <v>5.8</v>
      </c>
      <c r="BZ7" s="2">
        <v>1</v>
      </c>
      <c r="CA7" s="2">
        <v>0.5</v>
      </c>
      <c r="CB7" s="2">
        <v>1.1664377447588899E-5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02b</v>
      </c>
      <c r="J8" s="47">
        <f t="shared" ca="1" si="35"/>
        <v>3</v>
      </c>
      <c r="K8" s="19">
        <f t="shared" ca="1" si="36"/>
        <v>-1.7</v>
      </c>
      <c r="L8" s="116" t="str">
        <f t="shared" ca="1" si="1"/>
        <v>EW_sand_Ruled_60</v>
      </c>
      <c r="M8" s="105" t="str">
        <f t="shared" ca="1" si="2"/>
        <v>API sand</v>
      </c>
      <c r="N8" s="47">
        <f t="shared" ca="1" si="3"/>
        <v>9.3999999999999986</v>
      </c>
      <c r="O8" s="63">
        <f t="shared" ca="1" si="4"/>
        <v>0</v>
      </c>
      <c r="P8" s="63">
        <f t="shared" ca="1" si="5"/>
        <v>0</v>
      </c>
      <c r="Q8" s="47">
        <f t="shared" ca="1" si="6"/>
        <v>37</v>
      </c>
      <c r="R8" s="47">
        <f t="shared" ca="1" si="7"/>
        <v>32</v>
      </c>
      <c r="S8" s="47">
        <f t="shared" ca="1" si="8"/>
        <v>1.6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20800</v>
      </c>
      <c r="Y8" s="47">
        <f t="shared" ca="1" si="14"/>
        <v>0</v>
      </c>
      <c r="Z8" s="47">
        <f t="shared" ca="1" si="15"/>
        <v>103.59999999999997</v>
      </c>
      <c r="AA8" s="47">
        <f t="shared" ca="1" si="16"/>
        <v>1</v>
      </c>
      <c r="AB8" s="47">
        <f t="shared" ca="1" si="17"/>
        <v>10560</v>
      </c>
      <c r="AC8" s="63">
        <f t="shared" ca="1" si="18"/>
        <v>42000</v>
      </c>
      <c r="AD8" s="63">
        <f t="shared" ca="1" si="19"/>
        <v>3333.3333333333335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44.000000000000007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60</v>
      </c>
      <c r="AS8" s="33">
        <f t="shared" ca="1" si="34"/>
        <v>0.4</v>
      </c>
      <c r="AW8" s="2">
        <v>0.75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4.5999999999999996</v>
      </c>
      <c r="BE8" s="2">
        <v>5.7</v>
      </c>
      <c r="BF8" s="2">
        <v>6</v>
      </c>
      <c r="BG8" s="2">
        <v>6.4</v>
      </c>
      <c r="BH8" s="2">
        <v>7.6</v>
      </c>
      <c r="BI8" s="2"/>
      <c r="BJ8" s="2"/>
      <c r="BK8" s="2"/>
      <c r="BL8" s="2"/>
      <c r="BM8" s="2"/>
      <c r="BN8" s="2">
        <v>78</v>
      </c>
      <c r="BO8" s="2">
        <v>34</v>
      </c>
      <c r="BP8" s="2">
        <v>39</v>
      </c>
      <c r="BQ8" s="2">
        <v>42</v>
      </c>
      <c r="BR8" s="2">
        <v>46</v>
      </c>
      <c r="BS8" s="2">
        <v>51</v>
      </c>
      <c r="BT8" s="2">
        <v>2</v>
      </c>
      <c r="BU8" s="2">
        <v>23</v>
      </c>
      <c r="BV8" s="2">
        <v>32</v>
      </c>
      <c r="BW8" s="2">
        <v>41</v>
      </c>
      <c r="BX8" s="2">
        <v>61</v>
      </c>
      <c r="BY8" s="2">
        <v>25.3</v>
      </c>
      <c r="BZ8" s="2">
        <v>1</v>
      </c>
      <c r="CA8" s="2">
        <v>0.5</v>
      </c>
      <c r="CB8" s="2">
        <v>1.8836378568238302E-5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02b</v>
      </c>
      <c r="J9" s="47">
        <f t="shared" ca="1" si="35"/>
        <v>4</v>
      </c>
      <c r="K9" s="19">
        <f t="shared" ca="1" si="36"/>
        <v>-2.9</v>
      </c>
      <c r="L9" s="116" t="str">
        <f t="shared" ca="1" si="1"/>
        <v>EW_sand_Ruled_76</v>
      </c>
      <c r="M9" s="105" t="str">
        <f t="shared" ca="1" si="2"/>
        <v>API sand</v>
      </c>
      <c r="N9" s="47">
        <f t="shared" ca="1" si="3"/>
        <v>9.3999999999999986</v>
      </c>
      <c r="O9" s="63">
        <f t="shared" ca="1" si="4"/>
        <v>0</v>
      </c>
      <c r="P9" s="63">
        <f t="shared" ca="1" si="5"/>
        <v>0</v>
      </c>
      <c r="Q9" s="47">
        <f t="shared" ca="1" si="6"/>
        <v>39</v>
      </c>
      <c r="R9" s="47">
        <f t="shared" ca="1" si="7"/>
        <v>34</v>
      </c>
      <c r="S9" s="47">
        <f t="shared" ca="1" si="8"/>
        <v>1.6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47300</v>
      </c>
      <c r="Y9" s="47">
        <f t="shared" ca="1" si="14"/>
        <v>0</v>
      </c>
      <c r="Z9" s="47">
        <f t="shared" ca="1" si="15"/>
        <v>111.19999999999996</v>
      </c>
      <c r="AA9" s="47">
        <f t="shared" ca="1" si="16"/>
        <v>1</v>
      </c>
      <c r="AB9" s="47">
        <f t="shared" ca="1" si="17"/>
        <v>11520</v>
      </c>
      <c r="AC9" s="63">
        <f t="shared" ca="1" si="18"/>
        <v>57000</v>
      </c>
      <c r="AD9" s="63">
        <f t="shared" ca="1" si="19"/>
        <v>8148.1481481481487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48.000000000000007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76</v>
      </c>
      <c r="AS9" s="33">
        <f t="shared" ca="1" si="34"/>
        <v>0.4</v>
      </c>
      <c r="AW9" s="2">
        <v>1.7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4.5999999999999996</v>
      </c>
      <c r="BE9" s="2">
        <v>5.6</v>
      </c>
      <c r="BF9" s="2">
        <v>6</v>
      </c>
      <c r="BG9" s="2">
        <v>6.4</v>
      </c>
      <c r="BH9" s="2">
        <v>7.6</v>
      </c>
      <c r="BI9" s="2"/>
      <c r="BJ9" s="2"/>
      <c r="BK9" s="2"/>
      <c r="BL9" s="2"/>
      <c r="BM9" s="2"/>
      <c r="BN9" s="2">
        <v>78</v>
      </c>
      <c r="BO9" s="2">
        <v>34</v>
      </c>
      <c r="BP9" s="2">
        <v>39</v>
      </c>
      <c r="BQ9" s="2">
        <v>42</v>
      </c>
      <c r="BR9" s="2">
        <v>46</v>
      </c>
      <c r="BS9" s="2">
        <v>51</v>
      </c>
      <c r="BT9" s="2">
        <v>11</v>
      </c>
      <c r="BU9" s="2">
        <v>31</v>
      </c>
      <c r="BV9" s="2">
        <v>40</v>
      </c>
      <c r="BW9" s="2">
        <v>49</v>
      </c>
      <c r="BX9" s="2">
        <v>70</v>
      </c>
      <c r="BY9" s="2">
        <v>25.3</v>
      </c>
      <c r="BZ9" s="2">
        <v>1</v>
      </c>
      <c r="CA9" s="2">
        <v>0.5</v>
      </c>
      <c r="CB9" s="2">
        <v>1.8836378568238302E-5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10a</v>
      </c>
      <c r="J10" s="47">
        <f t="shared" ca="1" si="35"/>
        <v>5</v>
      </c>
      <c r="K10" s="19">
        <f t="shared" ca="1" si="36"/>
        <v>-5.6</v>
      </c>
      <c r="L10" s="116" t="str">
        <f t="shared" ca="1" si="1"/>
        <v>EW_sand_Ruled_69</v>
      </c>
      <c r="M10" s="105" t="str">
        <f t="shared" ca="1" si="2"/>
        <v>API sand</v>
      </c>
      <c r="N10" s="47">
        <f t="shared" ca="1" si="3"/>
        <v>10</v>
      </c>
      <c r="O10" s="63">
        <f t="shared" ca="1" si="4"/>
        <v>0</v>
      </c>
      <c r="P10" s="63">
        <f t="shared" ca="1" si="5"/>
        <v>0</v>
      </c>
      <c r="Q10" s="47">
        <f t="shared" ca="1" si="6"/>
        <v>39</v>
      </c>
      <c r="R10" s="47">
        <f t="shared" ca="1" si="7"/>
        <v>34</v>
      </c>
      <c r="S10" s="47">
        <f t="shared" ca="1" si="8"/>
        <v>1.3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48400</v>
      </c>
      <c r="Y10" s="47">
        <f t="shared" ca="1" si="14"/>
        <v>0</v>
      </c>
      <c r="Z10" s="47">
        <f t="shared" ca="1" si="15"/>
        <v>111.19999999999996</v>
      </c>
      <c r="AA10" s="47">
        <f t="shared" ca="1" si="16"/>
        <v>1</v>
      </c>
      <c r="AB10" s="47">
        <f t="shared" ca="1" si="17"/>
        <v>11520</v>
      </c>
      <c r="AC10" s="63">
        <f t="shared" ca="1" si="18"/>
        <v>75000</v>
      </c>
      <c r="AD10" s="63">
        <f t="shared" ca="1" si="19"/>
        <v>5789.4736842105258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48.000000000000007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69</v>
      </c>
      <c r="AS10" s="33">
        <f t="shared" ca="1" si="34"/>
        <v>0.4</v>
      </c>
      <c r="AW10" s="2">
        <v>1.7</v>
      </c>
      <c r="AX10" s="2" t="s">
        <v>257</v>
      </c>
      <c r="AY10" s="130">
        <v>29.7</v>
      </c>
      <c r="AZ10" s="2">
        <v>19.399999999999999</v>
      </c>
      <c r="BA10" s="2"/>
      <c r="BB10" s="2">
        <v>24</v>
      </c>
      <c r="BC10" s="2"/>
      <c r="BD10" s="2">
        <v>4.8</v>
      </c>
      <c r="BE10" s="2">
        <v>5.2</v>
      </c>
      <c r="BF10" s="2">
        <v>5.4</v>
      </c>
      <c r="BG10" s="2">
        <v>5.6</v>
      </c>
      <c r="BH10" s="2">
        <f>5+6.1</f>
        <v>11.1</v>
      </c>
      <c r="BI10" s="2"/>
      <c r="BJ10" s="2"/>
      <c r="BK10" s="2"/>
      <c r="BL10" s="2"/>
      <c r="BM10" s="2"/>
      <c r="BN10" s="2">
        <v>60</v>
      </c>
      <c r="BO10" s="2">
        <v>32</v>
      </c>
      <c r="BP10" s="2">
        <v>37</v>
      </c>
      <c r="BQ10" s="2">
        <v>40</v>
      </c>
      <c r="BR10" s="2">
        <v>43</v>
      </c>
      <c r="BS10" s="2">
        <v>48</v>
      </c>
      <c r="BT10" s="2">
        <v>6</v>
      </c>
      <c r="BU10" s="2">
        <v>31</v>
      </c>
      <c r="BV10" s="2">
        <v>42</v>
      </c>
      <c r="BW10" s="2">
        <v>53</v>
      </c>
      <c r="BX10" s="2">
        <v>78</v>
      </c>
      <c r="BY10" s="2">
        <v>20.8</v>
      </c>
      <c r="BZ10" s="2">
        <v>6.9</v>
      </c>
      <c r="CA10" s="2">
        <v>1.6</v>
      </c>
      <c r="CB10" s="2">
        <v>3.3472028996152E-6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10b</v>
      </c>
      <c r="J11" s="47">
        <f t="shared" ca="1" si="35"/>
        <v>6</v>
      </c>
      <c r="K11" s="19">
        <f t="shared" ca="1" si="36"/>
        <v>-7.5</v>
      </c>
      <c r="L11" s="116" t="str">
        <f t="shared" ca="1" si="1"/>
        <v>EW_sand_Ruled_75</v>
      </c>
      <c r="M11" s="105" t="str">
        <f t="shared" ca="1" si="2"/>
        <v>API sand</v>
      </c>
      <c r="N11" s="47">
        <f t="shared" ca="1" si="3"/>
        <v>9.8999999999999986</v>
      </c>
      <c r="O11" s="63">
        <f t="shared" ca="1" si="4"/>
        <v>0</v>
      </c>
      <c r="P11" s="63">
        <f t="shared" ca="1" si="5"/>
        <v>0</v>
      </c>
      <c r="Q11" s="47">
        <f t="shared" ca="1" si="6"/>
        <v>40</v>
      </c>
      <c r="R11" s="47">
        <f t="shared" ca="1" si="7"/>
        <v>35</v>
      </c>
      <c r="S11" s="47">
        <f t="shared" ca="1" si="8"/>
        <v>1.3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72100</v>
      </c>
      <c r="Y11" s="47">
        <f t="shared" ca="1" si="14"/>
        <v>0</v>
      </c>
      <c r="Z11" s="47">
        <f t="shared" ca="1" si="15"/>
        <v>114.99999999999996</v>
      </c>
      <c r="AA11" s="47">
        <f t="shared" ca="1" si="16"/>
        <v>1</v>
      </c>
      <c r="AB11" s="47">
        <f t="shared" ca="1" si="17"/>
        <v>12000</v>
      </c>
      <c r="AC11" s="63">
        <f t="shared" ca="1" si="18"/>
        <v>93000</v>
      </c>
      <c r="AD11" s="63">
        <f t="shared" ca="1" si="19"/>
        <v>5555.5555555555538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50.000000000000007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75</v>
      </c>
      <c r="AS11" s="33">
        <f t="shared" ca="1" si="34"/>
        <v>0.4</v>
      </c>
      <c r="AW11" s="2">
        <v>2.9</v>
      </c>
      <c r="AX11" s="2" t="s">
        <v>257</v>
      </c>
      <c r="AY11" s="130">
        <v>29.7</v>
      </c>
      <c r="AZ11" s="2">
        <v>19.399999999999999</v>
      </c>
      <c r="BA11" s="2"/>
      <c r="BB11" s="2">
        <v>24</v>
      </c>
      <c r="BC11" s="2"/>
      <c r="BD11" s="2">
        <v>4.3</v>
      </c>
      <c r="BE11" s="2">
        <v>4.7</v>
      </c>
      <c r="BF11" s="2">
        <v>4.9000000000000004</v>
      </c>
      <c r="BG11" s="2">
        <v>5.0999999999999996</v>
      </c>
      <c r="BH11" s="2">
        <f>5+5.6</f>
        <v>10.6</v>
      </c>
      <c r="BI11" s="2"/>
      <c r="BJ11" s="2"/>
      <c r="BK11" s="2"/>
      <c r="BL11" s="2"/>
      <c r="BM11" s="2"/>
      <c r="BN11" s="2">
        <v>60</v>
      </c>
      <c r="BO11" s="2">
        <v>32</v>
      </c>
      <c r="BP11" s="2">
        <v>37</v>
      </c>
      <c r="BQ11" s="2">
        <v>40</v>
      </c>
      <c r="BR11" s="2">
        <v>43</v>
      </c>
      <c r="BS11" s="2">
        <v>48</v>
      </c>
      <c r="BT11" s="2">
        <v>10</v>
      </c>
      <c r="BU11" s="2">
        <v>35</v>
      </c>
      <c r="BV11" s="2">
        <v>46</v>
      </c>
      <c r="BW11" s="2">
        <v>57</v>
      </c>
      <c r="BX11" s="2">
        <v>82</v>
      </c>
      <c r="BY11" s="2">
        <v>20.8</v>
      </c>
      <c r="BZ11" s="2">
        <v>6.9</v>
      </c>
      <c r="CA11" s="2">
        <v>1.6</v>
      </c>
      <c r="CB11" s="2">
        <v>3.3472028996152E-6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14a</v>
      </c>
      <c r="J12" s="47">
        <f t="shared" ca="1" si="35"/>
        <v>7</v>
      </c>
      <c r="K12" s="19">
        <f t="shared" ca="1" si="36"/>
        <v>-9.3000000000000007</v>
      </c>
      <c r="L12" s="116" t="str">
        <f t="shared" ca="1" si="1"/>
        <v>EW_sand_Ruled_59</v>
      </c>
      <c r="M12" s="105" t="str">
        <f t="shared" ca="1" si="2"/>
        <v>API sand</v>
      </c>
      <c r="N12" s="47">
        <f t="shared" ca="1" si="3"/>
        <v>8.5</v>
      </c>
      <c r="O12" s="63">
        <f t="shared" ca="1" si="4"/>
        <v>0</v>
      </c>
      <c r="P12" s="63">
        <f t="shared" ca="1" si="5"/>
        <v>0</v>
      </c>
      <c r="Q12" s="47">
        <f t="shared" ca="1" si="6"/>
        <v>26</v>
      </c>
      <c r="R12" s="47">
        <f t="shared" ca="1" si="7"/>
        <v>21</v>
      </c>
      <c r="S12" s="47">
        <f t="shared" ca="1" si="8"/>
        <v>1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10000</v>
      </c>
      <c r="Y12" s="47">
        <f t="shared" ca="1" si="14"/>
        <v>0</v>
      </c>
      <c r="Z12" s="47">
        <f t="shared" ca="1" si="15"/>
        <v>69.799999999999983</v>
      </c>
      <c r="AA12" s="47">
        <f t="shared" ca="1" si="16"/>
        <v>1</v>
      </c>
      <c r="AB12" s="47">
        <f t="shared" ca="1" si="17"/>
        <v>3280</v>
      </c>
      <c r="AC12" s="63">
        <f t="shared" ca="1" si="18"/>
        <v>79000</v>
      </c>
      <c r="AD12" s="63">
        <f t="shared" ca="1" si="19"/>
        <v>2588.2352941176473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13.600000000000003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59</v>
      </c>
      <c r="AS12" s="33">
        <f t="shared" ca="1" si="34"/>
        <v>0.2</v>
      </c>
      <c r="AW12" s="2">
        <v>2.9</v>
      </c>
      <c r="AX12" s="2" t="s">
        <v>257</v>
      </c>
      <c r="AY12" s="130">
        <v>29.7</v>
      </c>
      <c r="AZ12" s="2">
        <v>19.399999999999999</v>
      </c>
      <c r="BA12" s="2"/>
      <c r="BB12" s="2">
        <v>24</v>
      </c>
      <c r="BC12" s="2"/>
      <c r="BD12" s="2">
        <v>7.3</v>
      </c>
      <c r="BE12" s="2">
        <v>8.9</v>
      </c>
      <c r="BF12" s="2">
        <v>9.3000000000000007</v>
      </c>
      <c r="BG12" s="2">
        <v>9.6</v>
      </c>
      <c r="BH12" s="2">
        <v>10.8</v>
      </c>
      <c r="BI12" s="2"/>
      <c r="BJ12" s="2"/>
      <c r="BK12" s="2"/>
      <c r="BL12" s="2"/>
      <c r="BM12" s="2"/>
      <c r="BN12" s="2">
        <v>76</v>
      </c>
      <c r="BO12" s="2">
        <v>34</v>
      </c>
      <c r="BP12" s="2">
        <v>39</v>
      </c>
      <c r="BQ12" s="2">
        <v>43</v>
      </c>
      <c r="BR12" s="2">
        <v>46</v>
      </c>
      <c r="BS12" s="2">
        <v>51</v>
      </c>
      <c r="BT12" s="2">
        <v>2</v>
      </c>
      <c r="BU12" s="2">
        <v>41</v>
      </c>
      <c r="BV12" s="2">
        <v>57</v>
      </c>
      <c r="BW12" s="2">
        <v>74</v>
      </c>
      <c r="BX12" s="2">
        <v>113</v>
      </c>
      <c r="BY12" s="2">
        <v>47.3</v>
      </c>
      <c r="BZ12" s="2">
        <v>6.9</v>
      </c>
      <c r="CA12" s="2">
        <v>1.6</v>
      </c>
      <c r="CB12" s="2">
        <v>1.23205064826067E-5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14b</v>
      </c>
      <c r="J13" s="47">
        <f t="shared" ca="1" si="35"/>
        <v>8</v>
      </c>
      <c r="K13" s="19">
        <f t="shared" ca="1" si="36"/>
        <v>-17.8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8.5</v>
      </c>
      <c r="O13" s="63">
        <f t="shared" ca="1" si="4"/>
        <v>160</v>
      </c>
      <c r="P13" s="63">
        <f t="shared" ca="1" si="5"/>
        <v>1.847826086956522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0.5</v>
      </c>
      <c r="X13" s="47">
        <f t="shared" ca="1" si="13"/>
        <v>16900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192000</v>
      </c>
      <c r="AD13" s="63">
        <f t="shared" ca="1" si="19"/>
        <v>2934.7826086956525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5.6</v>
      </c>
      <c r="AX13" s="2" t="s">
        <v>257</v>
      </c>
      <c r="AY13" s="130">
        <v>29.7</v>
      </c>
      <c r="AZ13" s="2">
        <v>19.399999999999999</v>
      </c>
      <c r="BA13" s="2"/>
      <c r="BB13" s="2">
        <v>24</v>
      </c>
      <c r="BC13" s="2"/>
      <c r="BD13" s="2">
        <v>13</v>
      </c>
      <c r="BE13" s="2">
        <v>14.6</v>
      </c>
      <c r="BF13" s="2">
        <v>15</v>
      </c>
      <c r="BG13" s="2">
        <v>15.2</v>
      </c>
      <c r="BH13" s="2">
        <v>16.5</v>
      </c>
      <c r="BI13" s="2"/>
      <c r="BJ13" s="2"/>
      <c r="BK13" s="2"/>
      <c r="BL13" s="2"/>
      <c r="BM13" s="2"/>
      <c r="BN13" s="2">
        <v>76</v>
      </c>
      <c r="BO13" s="2">
        <v>34</v>
      </c>
      <c r="BP13" s="2">
        <v>39</v>
      </c>
      <c r="BQ13" s="2">
        <v>43</v>
      </c>
      <c r="BR13" s="2">
        <v>46</v>
      </c>
      <c r="BS13" s="2">
        <v>51</v>
      </c>
      <c r="BT13" s="2">
        <v>24</v>
      </c>
      <c r="BU13" s="2">
        <v>63</v>
      </c>
      <c r="BV13" s="2">
        <v>79</v>
      </c>
      <c r="BW13" s="2">
        <v>96</v>
      </c>
      <c r="BX13" s="2">
        <v>135</v>
      </c>
      <c r="BY13" s="2">
        <v>47.3</v>
      </c>
      <c r="BZ13" s="2">
        <v>6.9</v>
      </c>
      <c r="CA13" s="2">
        <v>1.6</v>
      </c>
      <c r="CB13" s="2">
        <v>1.23205064826067E-5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14b</v>
      </c>
      <c r="J14" s="47">
        <f t="shared" ca="1" si="35"/>
        <v>9</v>
      </c>
      <c r="K14" s="19">
        <f t="shared" ca="1" si="36"/>
        <v>-27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8.5</v>
      </c>
      <c r="O14" s="63">
        <f t="shared" ca="1" si="4"/>
        <v>185</v>
      </c>
      <c r="P14" s="63">
        <f t="shared" ca="1" si="5"/>
        <v>142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3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0.5</v>
      </c>
      <c r="X14" s="47">
        <f t="shared" ca="1" si="13"/>
        <v>26200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217000</v>
      </c>
      <c r="AD14" s="63">
        <f t="shared" ca="1" si="19"/>
        <v>203500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5.6</v>
      </c>
      <c r="AX14" s="2" t="s">
        <v>259</v>
      </c>
      <c r="AY14" s="130">
        <v>25.5</v>
      </c>
      <c r="AZ14" s="2">
        <v>20</v>
      </c>
      <c r="BA14" s="2"/>
      <c r="BB14" s="2">
        <v>14</v>
      </c>
      <c r="BC14" s="2"/>
      <c r="BD14" s="2">
        <v>8.1999999999999993</v>
      </c>
      <c r="BE14" s="2">
        <v>10.1</v>
      </c>
      <c r="BF14" s="2">
        <v>10.6</v>
      </c>
      <c r="BG14" s="2">
        <v>11.1</v>
      </c>
      <c r="BH14" s="2">
        <v>12.6</v>
      </c>
      <c r="BI14" s="2"/>
      <c r="BJ14" s="2"/>
      <c r="BK14" s="2"/>
      <c r="BL14" s="2"/>
      <c r="BM14" s="2"/>
      <c r="BN14" s="2">
        <v>69</v>
      </c>
      <c r="BO14" s="2">
        <v>33</v>
      </c>
      <c r="BP14" s="2">
        <v>39</v>
      </c>
      <c r="BQ14" s="2">
        <v>42</v>
      </c>
      <c r="BR14" s="2">
        <v>45</v>
      </c>
      <c r="BS14" s="2">
        <v>50</v>
      </c>
      <c r="BT14" s="2">
        <v>9</v>
      </c>
      <c r="BU14" s="2">
        <v>56</v>
      </c>
      <c r="BV14" s="2">
        <v>75</v>
      </c>
      <c r="BW14" s="2">
        <v>94</v>
      </c>
      <c r="BX14" s="2">
        <v>141</v>
      </c>
      <c r="BY14" s="2">
        <v>48.4</v>
      </c>
      <c r="BZ14" s="2">
        <v>4.5999999999999996</v>
      </c>
      <c r="CA14" s="2">
        <v>1.3</v>
      </c>
      <c r="CB14" s="2">
        <v>2.9547695064889102E-6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15b</v>
      </c>
      <c r="J15" s="47">
        <f t="shared" ca="1" si="35"/>
        <v>10</v>
      </c>
      <c r="K15" s="19">
        <f t="shared" ca="1" si="36"/>
        <v>-29</v>
      </c>
      <c r="L15" s="116" t="str">
        <f t="shared" ca="1" si="1"/>
        <v>EW_sand_Ruled_63</v>
      </c>
      <c r="M15" s="105" t="str">
        <f t="shared" ca="1" si="2"/>
        <v>API sand</v>
      </c>
      <c r="N15" s="47">
        <f t="shared" ca="1" si="3"/>
        <v>9</v>
      </c>
      <c r="O15" s="63">
        <f t="shared" ca="1" si="4"/>
        <v>0</v>
      </c>
      <c r="P15" s="63">
        <f t="shared" ca="1" si="5"/>
        <v>0</v>
      </c>
      <c r="Q15" s="47">
        <f t="shared" ca="1" si="6"/>
        <v>27</v>
      </c>
      <c r="R15" s="47">
        <f t="shared" ca="1" si="7"/>
        <v>22</v>
      </c>
      <c r="S15" s="47">
        <f t="shared" ca="1" si="8"/>
        <v>0.8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25700</v>
      </c>
      <c r="Y15" s="47">
        <f t="shared" ca="1" si="14"/>
        <v>0</v>
      </c>
      <c r="Z15" s="47">
        <f t="shared" ca="1" si="15"/>
        <v>72.59999999999998</v>
      </c>
      <c r="AA15" s="47">
        <f t="shared" ca="1" si="16"/>
        <v>1</v>
      </c>
      <c r="AB15" s="47">
        <f t="shared" ca="1" si="17"/>
        <v>3660</v>
      </c>
      <c r="AC15" s="63">
        <f t="shared" ca="1" si="18"/>
        <v>144000</v>
      </c>
      <c r="AD15" s="63">
        <f t="shared" ca="1" si="19"/>
        <v>666.66666666666663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15.200000000000003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63</v>
      </c>
      <c r="AS15" s="33">
        <f t="shared" ca="1" si="34"/>
        <v>0.2</v>
      </c>
      <c r="AW15" s="2">
        <v>7.5</v>
      </c>
      <c r="AX15" s="2" t="s">
        <v>259</v>
      </c>
      <c r="AY15" s="130">
        <v>25.5</v>
      </c>
      <c r="AZ15" s="2">
        <v>20</v>
      </c>
      <c r="BA15" s="2"/>
      <c r="BB15" s="2">
        <v>14</v>
      </c>
      <c r="BC15" s="2"/>
      <c r="BD15" s="2">
        <v>11.2</v>
      </c>
      <c r="BE15" s="2">
        <v>13.2</v>
      </c>
      <c r="BF15" s="2">
        <v>13.7</v>
      </c>
      <c r="BG15" s="2">
        <v>14.1</v>
      </c>
      <c r="BH15" s="2">
        <v>15.7</v>
      </c>
      <c r="BI15" s="2"/>
      <c r="BJ15" s="2"/>
      <c r="BK15" s="2"/>
      <c r="BL15" s="2"/>
      <c r="BM15" s="2"/>
      <c r="BN15" s="2">
        <v>69</v>
      </c>
      <c r="BO15" s="2">
        <v>33</v>
      </c>
      <c r="BP15" s="2">
        <v>39</v>
      </c>
      <c r="BQ15" s="2">
        <v>42</v>
      </c>
      <c r="BR15" s="2">
        <v>45</v>
      </c>
      <c r="BS15" s="2">
        <v>50</v>
      </c>
      <c r="BT15" s="2">
        <v>20</v>
      </c>
      <c r="BU15" s="2">
        <v>67</v>
      </c>
      <c r="BV15" s="2">
        <v>86</v>
      </c>
      <c r="BW15" s="2">
        <v>106</v>
      </c>
      <c r="BX15" s="2">
        <v>152</v>
      </c>
      <c r="BY15" s="2">
        <v>48.4</v>
      </c>
      <c r="BZ15" s="2">
        <v>4.5999999999999996</v>
      </c>
      <c r="CA15" s="2">
        <v>1.3</v>
      </c>
      <c r="CB15" s="2">
        <v>2.9547695064889102E-6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19b</v>
      </c>
      <c r="J16" s="47">
        <f t="shared" ca="1" si="35"/>
        <v>11</v>
      </c>
      <c r="K16" s="19">
        <f t="shared" ca="1" si="36"/>
        <v>-32</v>
      </c>
      <c r="L16" s="116" t="str">
        <f t="shared" ca="1" si="1"/>
        <v>EW_sand_Ruled_81</v>
      </c>
      <c r="M16" s="105" t="str">
        <f t="shared" ca="1" si="2"/>
        <v>API sand</v>
      </c>
      <c r="N16" s="47">
        <f t="shared" ca="1" si="3"/>
        <v>8.5</v>
      </c>
      <c r="O16" s="63">
        <f t="shared" ca="1" si="4"/>
        <v>0</v>
      </c>
      <c r="P16" s="63">
        <f t="shared" ca="1" si="5"/>
        <v>0</v>
      </c>
      <c r="Q16" s="47">
        <f t="shared" ca="1" si="6"/>
        <v>28</v>
      </c>
      <c r="R16" s="47">
        <f t="shared" ca="1" si="7"/>
        <v>23</v>
      </c>
      <c r="S16" s="47">
        <f t="shared" ca="1" si="8"/>
        <v>1.1000000000000001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30000</v>
      </c>
      <c r="Y16" s="47">
        <f t="shared" ca="1" si="14"/>
        <v>0</v>
      </c>
      <c r="Z16" s="47">
        <f t="shared" ca="1" si="15"/>
        <v>75.399999999999977</v>
      </c>
      <c r="AA16" s="47">
        <f t="shared" ca="1" si="16"/>
        <v>1</v>
      </c>
      <c r="AB16" s="47">
        <f t="shared" ca="1" si="17"/>
        <v>4040</v>
      </c>
      <c r="AC16" s="63">
        <f t="shared" ca="1" si="18"/>
        <v>174000</v>
      </c>
      <c r="AD16" s="63">
        <f t="shared" ca="1" si="19"/>
        <v>1860.465116279071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16.800000000000004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81</v>
      </c>
      <c r="AS16" s="33">
        <f t="shared" ca="1" si="34"/>
        <v>0.2</v>
      </c>
      <c r="AW16" s="2">
        <v>7.5</v>
      </c>
      <c r="AX16" s="2" t="s">
        <v>261</v>
      </c>
      <c r="AY16" s="130">
        <v>24</v>
      </c>
      <c r="AZ16" s="2">
        <v>19.899999999999999</v>
      </c>
      <c r="BA16" s="2"/>
      <c r="BB16" s="2">
        <v>6</v>
      </c>
      <c r="BC16" s="2"/>
      <c r="BD16" s="2">
        <v>9.8000000000000007</v>
      </c>
      <c r="BE16" s="2">
        <v>15.1</v>
      </c>
      <c r="BF16" s="2">
        <v>16.399999999999999</v>
      </c>
      <c r="BG16" s="2">
        <v>17.399999999999999</v>
      </c>
      <c r="BH16" s="2">
        <v>21.3</v>
      </c>
      <c r="BI16" s="2"/>
      <c r="BJ16" s="2"/>
      <c r="BK16" s="2"/>
      <c r="BL16" s="2"/>
      <c r="BM16" s="2"/>
      <c r="BN16" s="2">
        <v>75</v>
      </c>
      <c r="BO16" s="2">
        <v>34</v>
      </c>
      <c r="BP16" s="2">
        <v>40</v>
      </c>
      <c r="BQ16" s="2">
        <v>43</v>
      </c>
      <c r="BR16" s="2">
        <v>46</v>
      </c>
      <c r="BS16" s="2">
        <v>52</v>
      </c>
      <c r="BT16" s="2">
        <v>12</v>
      </c>
      <c r="BU16" s="2">
        <v>70</v>
      </c>
      <c r="BV16" s="2">
        <v>93</v>
      </c>
      <c r="BW16" s="2">
        <v>116</v>
      </c>
      <c r="BX16" s="2">
        <v>173</v>
      </c>
      <c r="BY16" s="2">
        <v>72.099999999999994</v>
      </c>
      <c r="BZ16" s="2">
        <v>4.7</v>
      </c>
      <c r="CA16" s="2">
        <v>1.3</v>
      </c>
      <c r="CB16" s="2">
        <v>3.56512937282079E-6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21a</v>
      </c>
      <c r="J17" s="47">
        <f t="shared" ca="1" si="35"/>
        <v>12</v>
      </c>
      <c r="K17" s="19">
        <f t="shared" ca="1" si="36"/>
        <v>-36.299999999999997</v>
      </c>
      <c r="L17" s="116" t="str">
        <f t="shared" ca="1" si="1"/>
        <v>EW_sand_Ruled_65</v>
      </c>
      <c r="M17" s="105" t="str">
        <f t="shared" ca="1" si="2"/>
        <v>API sand</v>
      </c>
      <c r="N17" s="47">
        <f t="shared" ca="1" si="3"/>
        <v>9.8000000000000007</v>
      </c>
      <c r="O17" s="63">
        <f t="shared" ca="1" si="4"/>
        <v>0</v>
      </c>
      <c r="P17" s="63">
        <f t="shared" ca="1" si="5"/>
        <v>0</v>
      </c>
      <c r="Q17" s="47">
        <f t="shared" ca="1" si="6"/>
        <v>28</v>
      </c>
      <c r="R17" s="47">
        <f t="shared" ca="1" si="7"/>
        <v>23</v>
      </c>
      <c r="S17" s="47">
        <f t="shared" ca="1" si="8"/>
        <v>0.9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26000</v>
      </c>
      <c r="Y17" s="47">
        <f t="shared" ca="1" si="14"/>
        <v>0</v>
      </c>
      <c r="Z17" s="47">
        <f t="shared" ca="1" si="15"/>
        <v>75.399999999999977</v>
      </c>
      <c r="AA17" s="47">
        <f t="shared" ca="1" si="16"/>
        <v>1</v>
      </c>
      <c r="AB17" s="47">
        <f t="shared" ca="1" si="17"/>
        <v>4040</v>
      </c>
      <c r="AC17" s="63">
        <f t="shared" ca="1" si="18"/>
        <v>189000</v>
      </c>
      <c r="AD17" s="63">
        <f t="shared" ca="1" si="19"/>
        <v>-2702.7027027027002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16.800000000000004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65</v>
      </c>
      <c r="AS17" s="33">
        <f t="shared" ca="1" si="34"/>
        <v>0.2</v>
      </c>
      <c r="AW17" s="2">
        <v>9.3000000000000007</v>
      </c>
      <c r="AX17" s="2" t="s">
        <v>261</v>
      </c>
      <c r="AY17" s="130">
        <v>24</v>
      </c>
      <c r="AZ17" s="2">
        <v>19.899999999999999</v>
      </c>
      <c r="BA17" s="2"/>
      <c r="BB17" s="2">
        <v>6</v>
      </c>
      <c r="BC17" s="2"/>
      <c r="BD17" s="2">
        <v>12.8</v>
      </c>
      <c r="BE17" s="2">
        <v>18.100000000000001</v>
      </c>
      <c r="BF17" s="2">
        <v>19.399999999999999</v>
      </c>
      <c r="BG17" s="2">
        <v>20.3</v>
      </c>
      <c r="BH17" s="2">
        <v>24.3</v>
      </c>
      <c r="BI17" s="2"/>
      <c r="BJ17" s="2"/>
      <c r="BK17" s="2"/>
      <c r="BL17" s="2"/>
      <c r="BM17" s="2"/>
      <c r="BN17" s="2">
        <v>75</v>
      </c>
      <c r="BO17" s="2">
        <v>34</v>
      </c>
      <c r="BP17" s="2">
        <v>40</v>
      </c>
      <c r="BQ17" s="2">
        <v>43</v>
      </c>
      <c r="BR17" s="2">
        <v>46</v>
      </c>
      <c r="BS17" s="2">
        <v>52</v>
      </c>
      <c r="BT17" s="2">
        <v>23</v>
      </c>
      <c r="BU17" s="2">
        <v>80</v>
      </c>
      <c r="BV17" s="2">
        <v>103</v>
      </c>
      <c r="BW17" s="2">
        <v>126</v>
      </c>
      <c r="BX17" s="2">
        <v>183</v>
      </c>
      <c r="BY17" s="2">
        <v>72.099999999999994</v>
      </c>
      <c r="BZ17" s="2">
        <v>4.7</v>
      </c>
      <c r="CA17" s="2">
        <v>1.3</v>
      </c>
      <c r="CB17" s="2">
        <v>3.56512937282079E-6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21a</v>
      </c>
      <c r="J18" s="47">
        <f t="shared" ca="1" si="35"/>
        <v>13</v>
      </c>
      <c r="K18" s="19">
        <f t="shared" ca="1" si="36"/>
        <v>-40</v>
      </c>
      <c r="L18" s="116" t="str">
        <f t="shared" ca="1" si="1"/>
        <v>EW_sand_Ruled_64</v>
      </c>
      <c r="M18" s="105" t="str">
        <f t="shared" ca="1" si="2"/>
        <v>API sand</v>
      </c>
      <c r="N18" s="47">
        <f t="shared" ca="1" si="3"/>
        <v>9.8000000000000007</v>
      </c>
      <c r="O18" s="63">
        <f t="shared" ca="1" si="4"/>
        <v>0</v>
      </c>
      <c r="P18" s="63">
        <f t="shared" ca="1" si="5"/>
        <v>0</v>
      </c>
      <c r="Q18" s="47">
        <f t="shared" ca="1" si="6"/>
        <v>28</v>
      </c>
      <c r="R18" s="47">
        <f t="shared" ca="1" si="7"/>
        <v>23</v>
      </c>
      <c r="S18" s="47">
        <f t="shared" ca="1" si="8"/>
        <v>0.9</v>
      </c>
      <c r="T18" s="47">
        <f t="shared" ca="1" si="9"/>
        <v>0</v>
      </c>
      <c r="U18" s="75">
        <f t="shared" ca="1" si="10"/>
        <v>0</v>
      </c>
      <c r="V18" s="75">
        <f t="shared" ca="1" si="11"/>
        <v>0</v>
      </c>
      <c r="W18" s="47">
        <f t="shared" ca="1" si="12"/>
        <v>0</v>
      </c>
      <c r="X18" s="47">
        <f t="shared" ca="1" si="13"/>
        <v>26000</v>
      </c>
      <c r="Y18" s="47">
        <f t="shared" ca="1" si="14"/>
        <v>0</v>
      </c>
      <c r="Z18" s="47">
        <f t="shared" ca="1" si="15"/>
        <v>75.399999999999977</v>
      </c>
      <c r="AA18" s="47">
        <f t="shared" ca="1" si="16"/>
        <v>1</v>
      </c>
      <c r="AB18" s="47">
        <f t="shared" ca="1" si="17"/>
        <v>4040</v>
      </c>
      <c r="AC18" s="63">
        <f t="shared" ca="1" si="18"/>
        <v>172000</v>
      </c>
      <c r="AD18" s="63">
        <f t="shared" ca="1" si="19"/>
        <v>8750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>
        <f t="shared" ca="1" si="25"/>
        <v>16.800000000000004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64</v>
      </c>
      <c r="AS18" s="33">
        <f t="shared" ca="1" si="34"/>
        <v>0.2</v>
      </c>
      <c r="AW18" s="2">
        <v>9.3000000000000007</v>
      </c>
      <c r="AX18" s="2" t="s">
        <v>264</v>
      </c>
      <c r="AY18" s="130">
        <v>31.6</v>
      </c>
      <c r="AZ18" s="2">
        <v>18.5</v>
      </c>
      <c r="BA18" s="2"/>
      <c r="BB18" s="2">
        <v>38</v>
      </c>
      <c r="BC18" s="2"/>
      <c r="BD18" s="2">
        <v>4.3</v>
      </c>
      <c r="BE18" s="2">
        <v>6</v>
      </c>
      <c r="BF18" s="2">
        <v>6.2</v>
      </c>
      <c r="BG18" s="2">
        <v>6.4</v>
      </c>
      <c r="BH18" s="2">
        <v>8</v>
      </c>
      <c r="BI18" s="2"/>
      <c r="BJ18" s="2"/>
      <c r="BK18" s="2"/>
      <c r="BL18" s="2"/>
      <c r="BM18" s="2"/>
      <c r="BN18" s="2">
        <v>59</v>
      </c>
      <c r="BO18" s="2">
        <v>26</v>
      </c>
      <c r="BP18" s="2">
        <v>26</v>
      </c>
      <c r="BQ18" s="2">
        <v>28</v>
      </c>
      <c r="BR18" s="2">
        <v>31</v>
      </c>
      <c r="BS18" s="2">
        <v>34</v>
      </c>
      <c r="BT18" s="2">
        <v>9</v>
      </c>
      <c r="BU18" s="2">
        <v>58</v>
      </c>
      <c r="BV18" s="2">
        <v>79</v>
      </c>
      <c r="BW18" s="2">
        <v>101</v>
      </c>
      <c r="BX18" s="2">
        <v>153</v>
      </c>
      <c r="BY18" s="2">
        <v>10</v>
      </c>
      <c r="BZ18" s="2">
        <v>2.9</v>
      </c>
      <c r="CA18" s="2">
        <v>1</v>
      </c>
      <c r="CB18" s="2">
        <v>1.1507819106582601E-8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21a</v>
      </c>
      <c r="J19" s="47">
        <f t="shared" ca="1" si="35"/>
        <v>14</v>
      </c>
      <c r="K19" s="19">
        <f t="shared" ca="1" si="36"/>
        <v>-44</v>
      </c>
      <c r="L19" s="116" t="str">
        <f t="shared" ca="1" si="1"/>
        <v>EW_sand_Ruled_74</v>
      </c>
      <c r="M19" s="105" t="str">
        <f t="shared" ca="1" si="2"/>
        <v>API sand</v>
      </c>
      <c r="N19" s="47">
        <f t="shared" ca="1" si="3"/>
        <v>9.8000000000000007</v>
      </c>
      <c r="O19" s="63">
        <f t="shared" ca="1" si="4"/>
        <v>0</v>
      </c>
      <c r="P19" s="63">
        <f t="shared" ca="1" si="5"/>
        <v>0</v>
      </c>
      <c r="Q19" s="47">
        <f t="shared" ca="1" si="6"/>
        <v>28</v>
      </c>
      <c r="R19" s="47">
        <f t="shared" ca="1" si="7"/>
        <v>23</v>
      </c>
      <c r="S19" s="47">
        <f t="shared" ca="1" si="8"/>
        <v>1</v>
      </c>
      <c r="T19" s="47">
        <f t="shared" ca="1" si="9"/>
        <v>0</v>
      </c>
      <c r="U19" s="75">
        <f t="shared" ca="1" si="10"/>
        <v>0</v>
      </c>
      <c r="V19" s="75">
        <f t="shared" ca="1" si="11"/>
        <v>0</v>
      </c>
      <c r="W19" s="47">
        <f t="shared" ca="1" si="12"/>
        <v>0</v>
      </c>
      <c r="X19" s="47">
        <f t="shared" ca="1" si="13"/>
        <v>60000</v>
      </c>
      <c r="Y19" s="47">
        <f t="shared" ca="1" si="14"/>
        <v>0</v>
      </c>
      <c r="Z19" s="47">
        <f t="shared" ca="1" si="15"/>
        <v>75.399999999999977</v>
      </c>
      <c r="AA19" s="47">
        <f t="shared" ca="1" si="16"/>
        <v>1</v>
      </c>
      <c r="AB19" s="47">
        <f t="shared" ca="1" si="17"/>
        <v>4040</v>
      </c>
      <c r="AC19" s="63">
        <f t="shared" ca="1" si="18"/>
        <v>245000</v>
      </c>
      <c r="AD19" s="63">
        <f t="shared" ca="1" si="19"/>
        <v>-5833.333333333333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>
        <f t="shared" ca="1" si="25"/>
        <v>16.800000000000004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74</v>
      </c>
      <c r="AS19" s="33">
        <f t="shared" ca="1" si="34"/>
        <v>0.2</v>
      </c>
      <c r="AW19" s="2">
        <v>17.8</v>
      </c>
      <c r="AX19" s="2" t="s">
        <v>264</v>
      </c>
      <c r="AY19" s="130">
        <v>31.6</v>
      </c>
      <c r="AZ19" s="2">
        <v>18.5</v>
      </c>
      <c r="BA19" s="2"/>
      <c r="BB19" s="2">
        <v>38</v>
      </c>
      <c r="BC19" s="2"/>
      <c r="BD19" s="2">
        <v>5.3</v>
      </c>
      <c r="BE19" s="2">
        <v>7</v>
      </c>
      <c r="BF19" s="2">
        <v>7.2</v>
      </c>
      <c r="BG19" s="2">
        <v>7.4</v>
      </c>
      <c r="BH19" s="2">
        <v>9</v>
      </c>
      <c r="BI19" s="2"/>
      <c r="BJ19" s="2"/>
      <c r="BK19" s="2"/>
      <c r="BL19" s="2"/>
      <c r="BM19" s="2"/>
      <c r="BN19" s="2">
        <v>59</v>
      </c>
      <c r="BO19" s="2">
        <v>26</v>
      </c>
      <c r="BP19" s="2">
        <v>26</v>
      </c>
      <c r="BQ19" s="2">
        <v>28</v>
      </c>
      <c r="BR19" s="2">
        <v>31</v>
      </c>
      <c r="BS19" s="2">
        <v>34</v>
      </c>
      <c r="BT19" s="2">
        <v>30</v>
      </c>
      <c r="BU19" s="2">
        <v>80</v>
      </c>
      <c r="BV19" s="2">
        <v>101</v>
      </c>
      <c r="BW19" s="2">
        <v>122</v>
      </c>
      <c r="BX19" s="2">
        <v>175</v>
      </c>
      <c r="BY19" s="2">
        <v>10</v>
      </c>
      <c r="BZ19" s="2">
        <v>2.9</v>
      </c>
      <c r="CA19" s="2">
        <v>1</v>
      </c>
      <c r="CB19" s="2">
        <v>1.1507819106582601E-8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23d</v>
      </c>
      <c r="J20" s="47">
        <f t="shared" ca="1" si="35"/>
        <v>15</v>
      </c>
      <c r="K20" s="19">
        <f t="shared" ca="1" si="36"/>
        <v>-50</v>
      </c>
      <c r="L20" s="116" t="str">
        <f t="shared" ca="1" si="1"/>
        <v>Cowden Clay</v>
      </c>
      <c r="M20" s="105" t="str">
        <f t="shared" ca="1" si="2"/>
        <v>API clay</v>
      </c>
      <c r="N20" s="47">
        <f t="shared" ca="1" si="3"/>
        <v>8.8999999999999986</v>
      </c>
      <c r="O20" s="63">
        <f t="shared" ca="1" si="4"/>
        <v>338</v>
      </c>
      <c r="P20" s="63">
        <f t="shared" ca="1" si="5"/>
        <v>6.5333333333333332</v>
      </c>
      <c r="Q20" s="47">
        <f t="shared" ca="1" si="6"/>
        <v>0</v>
      </c>
      <c r="R20" s="47" t="e">
        <f t="shared" ca="1" si="7"/>
        <v>#N/A</v>
      </c>
      <c r="S20" s="47">
        <f t="shared" ca="1" si="8"/>
        <v>2.6</v>
      </c>
      <c r="T20" s="47">
        <f t="shared" ca="1" si="9"/>
        <v>0</v>
      </c>
      <c r="U20" s="75">
        <f t="shared" ca="1" si="10"/>
        <v>1.7999999999999999E-2</v>
      </c>
      <c r="V20" s="75">
        <f t="shared" ca="1" si="11"/>
        <v>0</v>
      </c>
      <c r="W20" s="47">
        <f t="shared" ca="1" si="12"/>
        <v>0.25</v>
      </c>
      <c r="X20" s="47">
        <f t="shared" ca="1" si="13"/>
        <v>40600</v>
      </c>
      <c r="Y20" s="47">
        <f t="shared" ca="1" si="14"/>
        <v>0</v>
      </c>
      <c r="Z20" s="47" t="e">
        <f t="shared" ca="1" si="15"/>
        <v>#N/A</v>
      </c>
      <c r="AA20" s="47">
        <f t="shared" ca="1" si="16"/>
        <v>1</v>
      </c>
      <c r="AB20" s="47" t="e">
        <f t="shared" ca="1" si="17"/>
        <v>#N/A</v>
      </c>
      <c r="AC20" s="63">
        <f t="shared" ca="1" si="18"/>
        <v>502000</v>
      </c>
      <c r="AD20" s="63">
        <f t="shared" ca="1" si="19"/>
        <v>11300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 t="e">
        <f t="shared" ca="1" si="25"/>
        <v>#N/A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0</v>
      </c>
      <c r="AS20" s="33">
        <f t="shared" ca="1" si="34"/>
        <v>0.4</v>
      </c>
      <c r="AW20" s="2">
        <v>17.8</v>
      </c>
      <c r="AX20" s="2" t="s">
        <v>266</v>
      </c>
      <c r="AY20" s="130">
        <v>34.4</v>
      </c>
      <c r="AZ20" s="2">
        <v>18.5</v>
      </c>
      <c r="BA20" s="2">
        <v>23</v>
      </c>
      <c r="BB20" s="2">
        <v>76</v>
      </c>
      <c r="BC20" s="2">
        <v>4</v>
      </c>
      <c r="BD20" s="2">
        <v>3.5</v>
      </c>
      <c r="BE20" s="2">
        <v>3.9</v>
      </c>
      <c r="BF20" s="2">
        <v>4</v>
      </c>
      <c r="BG20" s="2">
        <v>4.2</v>
      </c>
      <c r="BH20" s="2">
        <v>5.4</v>
      </c>
      <c r="BI20" s="2">
        <v>63</v>
      </c>
      <c r="BJ20" s="2">
        <v>160</v>
      </c>
      <c r="BK20" s="2">
        <v>204</v>
      </c>
      <c r="BL20" s="2">
        <v>249</v>
      </c>
      <c r="BM20" s="2">
        <v>362</v>
      </c>
      <c r="BN20" s="2"/>
      <c r="BO20" s="2"/>
      <c r="BP20" s="2"/>
      <c r="BQ20" s="2"/>
      <c r="BR20" s="2"/>
      <c r="BS20" s="2"/>
      <c r="BT20" s="2">
        <v>17</v>
      </c>
      <c r="BU20" s="2">
        <v>121</v>
      </c>
      <c r="BV20" s="2">
        <v>192</v>
      </c>
      <c r="BW20" s="2">
        <v>263</v>
      </c>
      <c r="BX20" s="2">
        <v>420</v>
      </c>
      <c r="BY20" s="2">
        <v>16.899999999999999</v>
      </c>
      <c r="BZ20" s="2">
        <v>5.9</v>
      </c>
      <c r="CA20" s="2">
        <v>3</v>
      </c>
      <c r="CB20" s="2">
        <v>1.73215755723488E-10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27</v>
      </c>
      <c r="AX21" s="2" t="s">
        <v>266</v>
      </c>
      <c r="AY21" s="130">
        <v>34.4</v>
      </c>
      <c r="AZ21" s="2">
        <v>18.5</v>
      </c>
      <c r="BA21" s="2">
        <v>23</v>
      </c>
      <c r="BB21" s="2">
        <v>76</v>
      </c>
      <c r="BC21" s="2">
        <v>4</v>
      </c>
      <c r="BD21" s="2">
        <v>4</v>
      </c>
      <c r="BE21" s="2">
        <v>4.4000000000000004</v>
      </c>
      <c r="BF21" s="2">
        <v>4.5</v>
      </c>
      <c r="BG21" s="2">
        <v>4.5999999999999996</v>
      </c>
      <c r="BH21" s="2">
        <v>5.9</v>
      </c>
      <c r="BI21" s="2">
        <v>80</v>
      </c>
      <c r="BJ21" s="2">
        <v>177</v>
      </c>
      <c r="BK21" s="2">
        <v>221</v>
      </c>
      <c r="BL21" s="2">
        <v>266</v>
      </c>
      <c r="BM21" s="2">
        <v>379</v>
      </c>
      <c r="BN21" s="2"/>
      <c r="BO21" s="2"/>
      <c r="BP21" s="2"/>
      <c r="BQ21" s="2"/>
      <c r="BR21" s="2"/>
      <c r="BS21" s="2"/>
      <c r="BT21" s="2">
        <v>44</v>
      </c>
      <c r="BU21" s="2">
        <v>148</v>
      </c>
      <c r="BV21" s="2">
        <v>219</v>
      </c>
      <c r="BW21" s="2">
        <v>290</v>
      </c>
      <c r="BX21" s="2">
        <v>447</v>
      </c>
      <c r="BY21" s="2">
        <v>16.899999999999999</v>
      </c>
      <c r="BZ21" s="2">
        <v>5.9</v>
      </c>
      <c r="CA21" s="2">
        <v>3</v>
      </c>
      <c r="CB21" s="2">
        <v>1.73215755723488E-10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27</v>
      </c>
      <c r="AX22" s="2" t="s">
        <v>266</v>
      </c>
      <c r="AY22" s="130">
        <v>34.4</v>
      </c>
      <c r="AZ22" s="2">
        <v>18.5</v>
      </c>
      <c r="BA22" s="2">
        <v>23</v>
      </c>
      <c r="BB22" s="2">
        <v>76</v>
      </c>
      <c r="BC22" s="2">
        <v>4</v>
      </c>
      <c r="BD22" s="2">
        <v>1</v>
      </c>
      <c r="BE22" s="2">
        <v>4.3</v>
      </c>
      <c r="BF22" s="2">
        <v>5.4</v>
      </c>
      <c r="BG22" s="2">
        <v>6.8</v>
      </c>
      <c r="BH22" s="2">
        <v>12.9</v>
      </c>
      <c r="BI22" s="2">
        <v>37</v>
      </c>
      <c r="BJ22" s="2">
        <v>185</v>
      </c>
      <c r="BK22" s="2">
        <v>272</v>
      </c>
      <c r="BL22" s="2">
        <v>371</v>
      </c>
      <c r="BM22" s="2">
        <v>730</v>
      </c>
      <c r="BN22" s="2"/>
      <c r="BO22" s="2"/>
      <c r="BP22" s="2"/>
      <c r="BQ22" s="2"/>
      <c r="BR22" s="2"/>
      <c r="BS22" s="2"/>
      <c r="BT22" s="2">
        <v>27</v>
      </c>
      <c r="BU22" s="2">
        <v>94</v>
      </c>
      <c r="BV22" s="2">
        <v>217</v>
      </c>
      <c r="BW22" s="2">
        <v>358</v>
      </c>
      <c r="BX22" s="2">
        <v>817</v>
      </c>
      <c r="BY22" s="2">
        <v>26.2</v>
      </c>
      <c r="BZ22" s="2">
        <v>7.5</v>
      </c>
      <c r="CA22" s="2">
        <v>3</v>
      </c>
      <c r="CB22" s="2">
        <v>5.4036436019221203E-10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29</v>
      </c>
      <c r="AX23" s="2" t="s">
        <v>266</v>
      </c>
      <c r="AY23" s="130">
        <v>34.4</v>
      </c>
      <c r="AZ23" s="2">
        <v>18.5</v>
      </c>
      <c r="BA23" s="2">
        <v>23</v>
      </c>
      <c r="BB23" s="2">
        <v>76</v>
      </c>
      <c r="BC23" s="2">
        <v>4</v>
      </c>
      <c r="BD23" s="2">
        <v>6.1</v>
      </c>
      <c r="BE23" s="2">
        <v>9.4</v>
      </c>
      <c r="BF23" s="2">
        <v>10.5</v>
      </c>
      <c r="BG23" s="2">
        <v>12</v>
      </c>
      <c r="BH23" s="2">
        <v>18</v>
      </c>
      <c r="BI23" s="2">
        <v>321</v>
      </c>
      <c r="BJ23" s="2">
        <v>469</v>
      </c>
      <c r="BK23" s="2">
        <v>555</v>
      </c>
      <c r="BL23" s="2">
        <v>655</v>
      </c>
      <c r="BM23" s="2">
        <v>1013</v>
      </c>
      <c r="BN23" s="2"/>
      <c r="BO23" s="2"/>
      <c r="BP23" s="2"/>
      <c r="BQ23" s="2"/>
      <c r="BR23" s="2"/>
      <c r="BS23" s="2"/>
      <c r="BT23" s="2">
        <v>434</v>
      </c>
      <c r="BU23" s="2">
        <v>501</v>
      </c>
      <c r="BV23" s="2">
        <v>624</v>
      </c>
      <c r="BW23" s="2">
        <v>765</v>
      </c>
      <c r="BX23" s="2">
        <v>1224</v>
      </c>
      <c r="BY23" s="2">
        <v>26.2</v>
      </c>
      <c r="BZ23" s="2">
        <v>7.5</v>
      </c>
      <c r="CA23" s="2">
        <v>3</v>
      </c>
      <c r="CB23" s="2">
        <v>5.4036436019221203E-10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29</v>
      </c>
      <c r="AX24" s="2" t="s">
        <v>268</v>
      </c>
      <c r="AY24" s="130">
        <v>27.5</v>
      </c>
      <c r="AZ24" s="2">
        <v>19</v>
      </c>
      <c r="BA24" s="2"/>
      <c r="BB24" s="2">
        <v>28</v>
      </c>
      <c r="BC24" s="2"/>
      <c r="BD24" s="2">
        <v>5.5</v>
      </c>
      <c r="BE24" s="2">
        <v>12.6</v>
      </c>
      <c r="BF24" s="2">
        <v>13.9</v>
      </c>
      <c r="BG24" s="2">
        <v>15.2</v>
      </c>
      <c r="BH24" s="2">
        <v>22.3</v>
      </c>
      <c r="BI24" s="2"/>
      <c r="BJ24" s="2"/>
      <c r="BK24" s="2"/>
      <c r="BL24" s="2"/>
      <c r="BM24" s="2"/>
      <c r="BN24" s="2">
        <v>63</v>
      </c>
      <c r="BO24" s="2">
        <v>26</v>
      </c>
      <c r="BP24" s="2">
        <v>27</v>
      </c>
      <c r="BQ24" s="2">
        <v>29</v>
      </c>
      <c r="BR24" s="2">
        <v>31</v>
      </c>
      <c r="BS24" s="2">
        <v>36</v>
      </c>
      <c r="BT24" s="2">
        <v>30</v>
      </c>
      <c r="BU24" s="2">
        <v>110</v>
      </c>
      <c r="BV24" s="2">
        <v>144</v>
      </c>
      <c r="BW24" s="2">
        <v>179</v>
      </c>
      <c r="BX24" s="2">
        <v>264</v>
      </c>
      <c r="BY24" s="2">
        <v>25.7</v>
      </c>
      <c r="BZ24" s="2">
        <v>2.2000000000000002</v>
      </c>
      <c r="CA24" s="2">
        <v>0.8</v>
      </c>
      <c r="CB24" s="2">
        <v>5.1676007418308801E-10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32</v>
      </c>
      <c r="AX25" s="2" t="s">
        <v>268</v>
      </c>
      <c r="AY25" s="130">
        <v>27.5</v>
      </c>
      <c r="AZ25" s="2">
        <v>19</v>
      </c>
      <c r="BA25" s="2"/>
      <c r="BB25" s="2">
        <v>28</v>
      </c>
      <c r="BC25" s="2"/>
      <c r="BD25" s="2">
        <v>4</v>
      </c>
      <c r="BE25" s="2">
        <v>11</v>
      </c>
      <c r="BF25" s="2">
        <v>12.3</v>
      </c>
      <c r="BG25" s="2">
        <v>13.6</v>
      </c>
      <c r="BH25" s="2">
        <v>20.8</v>
      </c>
      <c r="BI25" s="2"/>
      <c r="BJ25" s="2"/>
      <c r="BK25" s="2"/>
      <c r="BL25" s="2"/>
      <c r="BM25" s="2"/>
      <c r="BN25" s="2">
        <v>63</v>
      </c>
      <c r="BO25" s="2">
        <v>26</v>
      </c>
      <c r="BP25" s="2">
        <v>27</v>
      </c>
      <c r="BQ25" s="2">
        <v>29</v>
      </c>
      <c r="BR25" s="2">
        <v>31</v>
      </c>
      <c r="BS25" s="2">
        <v>36</v>
      </c>
      <c r="BT25" s="2">
        <v>32</v>
      </c>
      <c r="BU25" s="2">
        <v>112</v>
      </c>
      <c r="BV25" s="2">
        <v>146</v>
      </c>
      <c r="BW25" s="2">
        <v>180</v>
      </c>
      <c r="BX25" s="2">
        <v>266</v>
      </c>
      <c r="BY25" s="2">
        <v>25.7</v>
      </c>
      <c r="BZ25" s="2">
        <v>2.2000000000000002</v>
      </c>
      <c r="CA25" s="2">
        <v>0.8</v>
      </c>
      <c r="CB25" s="2">
        <v>5.1676007418308801E-10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32</v>
      </c>
      <c r="AX26" s="2" t="s">
        <v>291</v>
      </c>
      <c r="AY26" s="130">
        <v>35.4</v>
      </c>
      <c r="AZ26" s="2">
        <v>18.5</v>
      </c>
      <c r="BA26" s="2"/>
      <c r="BB26" s="2">
        <v>54</v>
      </c>
      <c r="BC26" s="2"/>
      <c r="BD26" s="2">
        <v>21.2</v>
      </c>
      <c r="BE26" s="2">
        <v>25.1</v>
      </c>
      <c r="BF26" s="2">
        <v>25.9</v>
      </c>
      <c r="BG26" s="2">
        <v>28.1</v>
      </c>
      <c r="BH26" s="2">
        <v>38.6</v>
      </c>
      <c r="BI26" s="2"/>
      <c r="BJ26" s="2"/>
      <c r="BK26" s="2"/>
      <c r="BL26" s="2"/>
      <c r="BM26" s="2"/>
      <c r="BN26" s="2">
        <v>81</v>
      </c>
      <c r="BO26" s="2">
        <v>26</v>
      </c>
      <c r="BP26" s="2">
        <v>28</v>
      </c>
      <c r="BQ26" s="2">
        <v>31</v>
      </c>
      <c r="BR26" s="2">
        <v>33</v>
      </c>
      <c r="BS26" s="2">
        <v>37</v>
      </c>
      <c r="BT26" s="2">
        <v>32</v>
      </c>
      <c r="BU26" s="2">
        <v>133</v>
      </c>
      <c r="BV26" s="2">
        <v>174</v>
      </c>
      <c r="BW26" s="2">
        <v>216</v>
      </c>
      <c r="BX26" s="2">
        <v>320</v>
      </c>
      <c r="BY26" s="2">
        <v>30</v>
      </c>
      <c r="BZ26" s="2">
        <v>3.6</v>
      </c>
      <c r="CA26" s="2">
        <v>1.1000000000000001</v>
      </c>
      <c r="CB26" s="2">
        <v>1.8985291204565101E-10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36.299999999999997</v>
      </c>
      <c r="AX27" s="2" t="s">
        <v>291</v>
      </c>
      <c r="AY27" s="130">
        <v>35.4</v>
      </c>
      <c r="AZ27" s="2">
        <v>18.5</v>
      </c>
      <c r="BA27" s="2"/>
      <c r="BB27" s="2">
        <v>54</v>
      </c>
      <c r="BC27" s="2"/>
      <c r="BD27" s="2">
        <v>21.5</v>
      </c>
      <c r="BE27" s="2">
        <v>25.4</v>
      </c>
      <c r="BF27" s="2">
        <v>26.3</v>
      </c>
      <c r="BG27" s="2">
        <v>28.5</v>
      </c>
      <c r="BH27" s="2">
        <v>38.9</v>
      </c>
      <c r="BI27" s="2"/>
      <c r="BJ27" s="2"/>
      <c r="BK27" s="2"/>
      <c r="BL27" s="2"/>
      <c r="BM27" s="2"/>
      <c r="BN27" s="2">
        <v>81</v>
      </c>
      <c r="BO27" s="2">
        <v>26</v>
      </c>
      <c r="BP27" s="2">
        <v>28</v>
      </c>
      <c r="BQ27" s="2">
        <v>31</v>
      </c>
      <c r="BR27" s="2">
        <v>33</v>
      </c>
      <c r="BS27" s="2">
        <v>37</v>
      </c>
      <c r="BT27" s="2">
        <v>39</v>
      </c>
      <c r="BU27" s="2">
        <v>140</v>
      </c>
      <c r="BV27" s="2">
        <v>182</v>
      </c>
      <c r="BW27" s="2">
        <v>223</v>
      </c>
      <c r="BX27" s="2">
        <v>327</v>
      </c>
      <c r="BY27" s="2">
        <v>30</v>
      </c>
      <c r="BZ27" s="2">
        <v>3.6</v>
      </c>
      <c r="CA27" s="2">
        <v>1.1000000000000001</v>
      </c>
      <c r="CB27" s="2">
        <v>1.8985291204565101E-10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36.299999999999997</v>
      </c>
      <c r="AX28" s="2" t="s">
        <v>271</v>
      </c>
      <c r="AY28" s="130">
        <v>24.7</v>
      </c>
      <c r="AZ28" s="2">
        <v>19.8</v>
      </c>
      <c r="BA28" s="2"/>
      <c r="BB28" s="2">
        <v>11</v>
      </c>
      <c r="BC28" s="2"/>
      <c r="BD28" s="2">
        <v>25.6</v>
      </c>
      <c r="BE28" s="2">
        <v>27.4</v>
      </c>
      <c r="BF28" s="2">
        <v>27.9</v>
      </c>
      <c r="BG28" s="2">
        <v>28.7</v>
      </c>
      <c r="BH28" s="2">
        <v>31.9</v>
      </c>
      <c r="BI28" s="2"/>
      <c r="BJ28" s="2"/>
      <c r="BK28" s="2"/>
      <c r="BL28" s="2"/>
      <c r="BM28" s="2"/>
      <c r="BN28" s="2">
        <v>65</v>
      </c>
      <c r="BO28" s="2">
        <v>26</v>
      </c>
      <c r="BP28" s="2">
        <v>28</v>
      </c>
      <c r="BQ28" s="2">
        <v>30</v>
      </c>
      <c r="BR28" s="2">
        <v>33</v>
      </c>
      <c r="BS28" s="2">
        <v>37</v>
      </c>
      <c r="BT28" s="2">
        <v>49</v>
      </c>
      <c r="BU28" s="2">
        <v>146</v>
      </c>
      <c r="BV28" s="2">
        <v>189</v>
      </c>
      <c r="BW28" s="2">
        <v>231</v>
      </c>
      <c r="BX28" s="2">
        <v>336</v>
      </c>
      <c r="BY28" s="2">
        <v>26</v>
      </c>
      <c r="BZ28" s="2">
        <v>2.8</v>
      </c>
      <c r="CA28" s="2">
        <v>0.9</v>
      </c>
      <c r="CB28" s="2">
        <v>1.3981213603290501E-10</v>
      </c>
      <c r="CC28" s="2"/>
    </row>
    <row r="29" spans="1:81" x14ac:dyDescent="0.25">
      <c r="A29" s="66"/>
      <c r="B29" s="66"/>
      <c r="C29" s="67"/>
      <c r="D29" s="35"/>
      <c r="AW29" s="2">
        <v>40</v>
      </c>
      <c r="AX29" s="2" t="s">
        <v>271</v>
      </c>
      <c r="AY29" s="130">
        <v>24.7</v>
      </c>
      <c r="AZ29" s="2">
        <v>19.8</v>
      </c>
      <c r="BA29" s="2"/>
      <c r="BB29" s="2">
        <v>11</v>
      </c>
      <c r="BC29" s="2"/>
      <c r="BD29" s="2">
        <v>19.100000000000001</v>
      </c>
      <c r="BE29" s="2">
        <v>20.9</v>
      </c>
      <c r="BF29" s="2">
        <v>21.4</v>
      </c>
      <c r="BG29" s="2">
        <v>22.2</v>
      </c>
      <c r="BH29" s="2">
        <v>25.4</v>
      </c>
      <c r="BI29" s="2"/>
      <c r="BJ29" s="2"/>
      <c r="BK29" s="2"/>
      <c r="BL29" s="2"/>
      <c r="BM29" s="2"/>
      <c r="BN29" s="2">
        <v>65</v>
      </c>
      <c r="BO29" s="2">
        <v>26</v>
      </c>
      <c r="BP29" s="2">
        <v>28</v>
      </c>
      <c r="BQ29" s="2">
        <v>30</v>
      </c>
      <c r="BR29" s="2">
        <v>33</v>
      </c>
      <c r="BS29" s="2">
        <v>37</v>
      </c>
      <c r="BT29" s="2">
        <v>40</v>
      </c>
      <c r="BU29" s="2">
        <v>136</v>
      </c>
      <c r="BV29" s="2">
        <v>179</v>
      </c>
      <c r="BW29" s="2">
        <v>221</v>
      </c>
      <c r="BX29" s="2">
        <v>327</v>
      </c>
      <c r="BY29" s="2">
        <v>26</v>
      </c>
      <c r="BZ29" s="2">
        <v>2.8</v>
      </c>
      <c r="CA29" s="2">
        <v>0.9</v>
      </c>
      <c r="CB29" s="2">
        <v>1.3981213603290501E-10</v>
      </c>
      <c r="CC29" s="2"/>
    </row>
    <row r="30" spans="1:81" x14ac:dyDescent="0.25">
      <c r="A30" s="66"/>
      <c r="B30" s="66"/>
      <c r="C30" s="67"/>
      <c r="D30" s="35"/>
      <c r="AW30" s="2">
        <v>40</v>
      </c>
      <c r="AX30" s="2" t="s">
        <v>271</v>
      </c>
      <c r="AY30" s="130">
        <v>24.7</v>
      </c>
      <c r="AZ30" s="2">
        <v>19.8</v>
      </c>
      <c r="BA30" s="2"/>
      <c r="BB30" s="2">
        <v>11</v>
      </c>
      <c r="BC30" s="2"/>
      <c r="BD30" s="2">
        <v>9.5</v>
      </c>
      <c r="BE30" s="2">
        <v>14.6</v>
      </c>
      <c r="BF30" s="2">
        <v>15.8</v>
      </c>
      <c r="BG30" s="2">
        <v>18.5</v>
      </c>
      <c r="BH30" s="2">
        <v>31.3</v>
      </c>
      <c r="BI30" s="2"/>
      <c r="BJ30" s="2"/>
      <c r="BK30" s="2"/>
      <c r="BL30" s="2"/>
      <c r="BM30" s="2"/>
      <c r="BN30" s="2">
        <v>64</v>
      </c>
      <c r="BO30" s="2">
        <v>26</v>
      </c>
      <c r="BP30" s="2">
        <v>28</v>
      </c>
      <c r="BQ30" s="2">
        <v>30</v>
      </c>
      <c r="BR30" s="2">
        <v>32</v>
      </c>
      <c r="BS30" s="2">
        <v>37</v>
      </c>
      <c r="BT30" s="2">
        <v>40</v>
      </c>
      <c r="BU30" s="2">
        <v>129</v>
      </c>
      <c r="BV30" s="2">
        <v>172</v>
      </c>
      <c r="BW30" s="2">
        <v>215</v>
      </c>
      <c r="BX30" s="2">
        <v>324</v>
      </c>
      <c r="BY30" s="2">
        <v>26</v>
      </c>
      <c r="BZ30" s="2">
        <v>2.6</v>
      </c>
      <c r="CA30" s="2">
        <v>0.9</v>
      </c>
      <c r="CB30" s="2">
        <v>1.26598968166852E-10</v>
      </c>
      <c r="CC30" s="2"/>
    </row>
    <row r="31" spans="1:81" x14ac:dyDescent="0.25">
      <c r="A31" s="66"/>
      <c r="B31" s="66"/>
      <c r="C31" s="67"/>
      <c r="D31" s="35"/>
      <c r="AW31" s="2">
        <v>44</v>
      </c>
      <c r="AX31" s="2" t="s">
        <v>271</v>
      </c>
      <c r="AY31" s="130">
        <v>24.7</v>
      </c>
      <c r="AZ31" s="2">
        <v>19.8</v>
      </c>
      <c r="BA31" s="2"/>
      <c r="BB31" s="2">
        <v>11</v>
      </c>
      <c r="BC31" s="2"/>
      <c r="BD31" s="2">
        <v>26.5</v>
      </c>
      <c r="BE31" s="2">
        <v>31.6</v>
      </c>
      <c r="BF31" s="2">
        <v>32.700000000000003</v>
      </c>
      <c r="BG31" s="2">
        <v>35.5</v>
      </c>
      <c r="BH31" s="2">
        <v>48.3</v>
      </c>
      <c r="BI31" s="2"/>
      <c r="BJ31" s="2"/>
      <c r="BK31" s="2"/>
      <c r="BL31" s="2"/>
      <c r="BM31" s="2"/>
      <c r="BN31" s="2">
        <v>64</v>
      </c>
      <c r="BO31" s="2">
        <v>26</v>
      </c>
      <c r="BP31" s="2">
        <v>28</v>
      </c>
      <c r="BQ31" s="2">
        <v>30</v>
      </c>
      <c r="BR31" s="2">
        <v>32</v>
      </c>
      <c r="BS31" s="2">
        <v>37</v>
      </c>
      <c r="BT31" s="2">
        <v>75</v>
      </c>
      <c r="BU31" s="2">
        <v>164</v>
      </c>
      <c r="BV31" s="2">
        <v>207</v>
      </c>
      <c r="BW31" s="2">
        <v>251</v>
      </c>
      <c r="BX31" s="2">
        <v>360</v>
      </c>
      <c r="BY31" s="2">
        <v>26</v>
      </c>
      <c r="BZ31" s="2">
        <v>2.6</v>
      </c>
      <c r="CA31" s="2">
        <v>0.9</v>
      </c>
      <c r="CB31" s="2">
        <v>1.26598968166852E-10</v>
      </c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44</v>
      </c>
      <c r="AX32" s="2" t="s">
        <v>271</v>
      </c>
      <c r="AY32" s="130">
        <v>24.7</v>
      </c>
      <c r="AZ32" s="2">
        <v>19.8</v>
      </c>
      <c r="BA32" s="2"/>
      <c r="BB32" s="2">
        <v>11</v>
      </c>
      <c r="BC32" s="2"/>
      <c r="BD32" s="2">
        <v>32.5</v>
      </c>
      <c r="BE32" s="2">
        <v>50.8</v>
      </c>
      <c r="BF32" s="2">
        <v>56.8</v>
      </c>
      <c r="BG32" s="2">
        <v>62.7</v>
      </c>
      <c r="BH32" s="2">
        <v>80.400000000000006</v>
      </c>
      <c r="BI32" s="2"/>
      <c r="BJ32" s="2"/>
      <c r="BK32" s="2"/>
      <c r="BL32" s="2"/>
      <c r="BM32" s="2"/>
      <c r="BN32" s="2">
        <v>74</v>
      </c>
      <c r="BO32" s="2">
        <v>26</v>
      </c>
      <c r="BP32" s="2">
        <v>28</v>
      </c>
      <c r="BQ32" s="2">
        <v>31</v>
      </c>
      <c r="BR32" s="2">
        <v>33</v>
      </c>
      <c r="BS32" s="2">
        <v>38</v>
      </c>
      <c r="BT32" s="2">
        <v>84</v>
      </c>
      <c r="BU32" s="2">
        <v>192</v>
      </c>
      <c r="BV32" s="2">
        <v>245</v>
      </c>
      <c r="BW32" s="2">
        <v>297</v>
      </c>
      <c r="BX32" s="2">
        <v>428</v>
      </c>
      <c r="BY32" s="2">
        <v>60</v>
      </c>
      <c r="BZ32" s="2">
        <v>3.1</v>
      </c>
      <c r="CA32" s="2">
        <v>1</v>
      </c>
      <c r="CB32" s="2">
        <v>8.9988902638510296E-11</v>
      </c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50</v>
      </c>
      <c r="AX33" s="2" t="s">
        <v>271</v>
      </c>
      <c r="AY33" s="130">
        <v>24.7</v>
      </c>
      <c r="AZ33" s="2">
        <v>19.8</v>
      </c>
      <c r="BA33" s="2"/>
      <c r="BB33" s="2">
        <v>11</v>
      </c>
      <c r="BC33" s="2"/>
      <c r="BD33" s="2">
        <v>3.5</v>
      </c>
      <c r="BE33" s="2">
        <v>21.8</v>
      </c>
      <c r="BF33" s="2">
        <v>27.9</v>
      </c>
      <c r="BG33" s="2">
        <v>33.700000000000003</v>
      </c>
      <c r="BH33" s="2">
        <v>51.4</v>
      </c>
      <c r="BI33" s="2"/>
      <c r="BJ33" s="2"/>
      <c r="BK33" s="2"/>
      <c r="BL33" s="2"/>
      <c r="BM33" s="2"/>
      <c r="BN33" s="2">
        <v>74</v>
      </c>
      <c r="BO33" s="2">
        <v>26</v>
      </c>
      <c r="BP33" s="2">
        <v>28</v>
      </c>
      <c r="BQ33" s="2">
        <v>31</v>
      </c>
      <c r="BR33" s="2">
        <v>33</v>
      </c>
      <c r="BS33" s="2">
        <v>38</v>
      </c>
      <c r="BT33" s="2">
        <v>50</v>
      </c>
      <c r="BU33" s="2">
        <v>157</v>
      </c>
      <c r="BV33" s="2">
        <v>210</v>
      </c>
      <c r="BW33" s="2">
        <v>262</v>
      </c>
      <c r="BX33" s="2">
        <v>393</v>
      </c>
      <c r="BY33" s="2">
        <v>60</v>
      </c>
      <c r="BZ33" s="2">
        <v>3.1</v>
      </c>
      <c r="CA33" s="2">
        <v>1</v>
      </c>
      <c r="CB33" s="2">
        <v>8.9988902638510296E-11</v>
      </c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50</v>
      </c>
      <c r="AX34" s="2" t="s">
        <v>273</v>
      </c>
      <c r="AY34" s="130">
        <v>32</v>
      </c>
      <c r="AZ34" s="2">
        <v>18.899999999999999</v>
      </c>
      <c r="BA34" s="2">
        <v>47</v>
      </c>
      <c r="BB34" s="2">
        <v>85</v>
      </c>
      <c r="BC34" s="2">
        <v>3</v>
      </c>
      <c r="BD34" s="2">
        <v>7.4</v>
      </c>
      <c r="BE34" s="2">
        <v>8.5</v>
      </c>
      <c r="BF34" s="2">
        <v>8.6</v>
      </c>
      <c r="BG34" s="2">
        <v>8.8000000000000007</v>
      </c>
      <c r="BH34" s="2">
        <f>10+10.9</f>
        <v>20.9</v>
      </c>
      <c r="BI34" s="2">
        <v>241</v>
      </c>
      <c r="BJ34" s="2">
        <v>338</v>
      </c>
      <c r="BK34" s="2">
        <v>381</v>
      </c>
      <c r="BL34" s="2">
        <v>425</v>
      </c>
      <c r="BM34" s="2">
        <v>553</v>
      </c>
      <c r="BN34" s="2"/>
      <c r="BO34" s="2"/>
      <c r="BP34" s="2"/>
      <c r="BQ34" s="2"/>
      <c r="BR34" s="2"/>
      <c r="BS34" s="2"/>
      <c r="BT34" s="2">
        <v>231</v>
      </c>
      <c r="BU34" s="2">
        <v>416</v>
      </c>
      <c r="BV34" s="2">
        <v>502</v>
      </c>
      <c r="BW34" s="2">
        <v>589</v>
      </c>
      <c r="BX34" s="2">
        <v>820</v>
      </c>
      <c r="BY34" s="2">
        <v>40.6</v>
      </c>
      <c r="BZ34" s="2">
        <v>5.3</v>
      </c>
      <c r="CA34" s="2">
        <v>2.6</v>
      </c>
      <c r="CB34" s="2">
        <v>3.4906905963420002E-10</v>
      </c>
      <c r="CC34" s="2">
        <v>1.8</v>
      </c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80</v>
      </c>
      <c r="AX35" s="2" t="s">
        <v>273</v>
      </c>
      <c r="AY35" s="130">
        <v>32</v>
      </c>
      <c r="AZ35" s="2">
        <v>18.899999999999999</v>
      </c>
      <c r="BA35" s="2">
        <v>47</v>
      </c>
      <c r="BB35" s="2">
        <v>85</v>
      </c>
      <c r="BC35" s="2">
        <v>3</v>
      </c>
      <c r="BD35" s="2">
        <v>11.8</v>
      </c>
      <c r="BE35" s="2">
        <v>12.8</v>
      </c>
      <c r="BF35" s="2">
        <v>12.9</v>
      </c>
      <c r="BG35" s="2">
        <v>13.1</v>
      </c>
      <c r="BH35" s="2">
        <f>10+15.2</f>
        <v>25.2</v>
      </c>
      <c r="BI35" s="2">
        <v>437</v>
      </c>
      <c r="BJ35" s="2">
        <v>534</v>
      </c>
      <c r="BK35" s="2">
        <v>577</v>
      </c>
      <c r="BL35" s="2">
        <v>621</v>
      </c>
      <c r="BM35" s="2">
        <v>749</v>
      </c>
      <c r="BN35" s="2"/>
      <c r="BO35" s="2"/>
      <c r="BP35" s="2"/>
      <c r="BQ35" s="2"/>
      <c r="BR35" s="2"/>
      <c r="BS35" s="2"/>
      <c r="BT35" s="2">
        <v>570</v>
      </c>
      <c r="BU35" s="2">
        <v>754</v>
      </c>
      <c r="BV35" s="2">
        <v>841</v>
      </c>
      <c r="BW35" s="2">
        <v>928</v>
      </c>
      <c r="BX35" s="2">
        <v>1159</v>
      </c>
      <c r="BY35" s="2">
        <v>40.6</v>
      </c>
      <c r="BZ35" s="2">
        <v>5.3</v>
      </c>
      <c r="CA35" s="2">
        <v>2.6</v>
      </c>
      <c r="CB35" s="2">
        <v>3.4906905963420002E-10</v>
      </c>
      <c r="CC35" s="2">
        <v>1.8</v>
      </c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141" priority="12">
      <formula>$L32="API sand"</formula>
    </cfRule>
  </conditionalFormatting>
  <conditionalFormatting sqref="R32:S36 AB32:AB35 AJ32:AL36 Z32:Z36 N32:N36">
    <cfRule type="expression" dxfId="2140" priority="11">
      <formula>$M32="API sand"</formula>
    </cfRule>
  </conditionalFormatting>
  <conditionalFormatting sqref="R32:T36 Z32:AB35 AK32:AL36 N32:N36">
    <cfRule type="expression" dxfId="2139" priority="10">
      <formula>$M32="API clay"</formula>
    </cfRule>
  </conditionalFormatting>
  <conditionalFormatting sqref="U32:W36 AM32:AP36 N32:P36">
    <cfRule type="expression" dxfId="2138" priority="7">
      <formula>$L32="Stiff clay w/o free water"</formula>
    </cfRule>
    <cfRule type="expression" dxfId="2137" priority="9">
      <formula>$L32="API clay"</formula>
    </cfRule>
  </conditionalFormatting>
  <conditionalFormatting sqref="U32:Y36 AM32:AP36 N32:P36">
    <cfRule type="expression" dxfId="2136" priority="8">
      <formula>$L32="Kirsch soft clay"</formula>
    </cfRule>
  </conditionalFormatting>
  <conditionalFormatting sqref="U32:Y36 AM32:AP36 N32:P36">
    <cfRule type="expression" dxfId="2135" priority="6">
      <formula>$L32="Kirsch stiff clay"</formula>
    </cfRule>
  </conditionalFormatting>
  <conditionalFormatting sqref="AM32:AP36 Q32:Q36 X32:Y36 N32:N36">
    <cfRule type="expression" dxfId="2134" priority="5">
      <formula>$L32="Kirsch sand"</formula>
    </cfRule>
  </conditionalFormatting>
  <conditionalFormatting sqref="AC32:AD36 AI32:AI36 AM32:AP36 N32:N36">
    <cfRule type="expression" dxfId="2133" priority="4">
      <formula>$L32="Modified Weak rock"</formula>
    </cfRule>
  </conditionalFormatting>
  <conditionalFormatting sqref="AM32:AP36 N32:P36 U32:V36">
    <cfRule type="expression" dxfId="2132" priority="3">
      <formula>$L32="Reese stiff clay"</formula>
    </cfRule>
  </conditionalFormatting>
  <conditionalFormatting sqref="AB36">
    <cfRule type="expression" dxfId="2131" priority="2">
      <formula>$M36="API sand"</formula>
    </cfRule>
  </conditionalFormatting>
  <conditionalFormatting sqref="Z36:AB36">
    <cfRule type="expression" dxfId="2130" priority="1">
      <formula>$M36="API clay"</formula>
    </cfRule>
  </conditionalFormatting>
  <conditionalFormatting sqref="AE37:AH37">
    <cfRule type="expression" dxfId="2129" priority="13">
      <formula>#REF!="Modified Weak rock"</formula>
    </cfRule>
  </conditionalFormatting>
  <dataValidations count="4">
    <dataValidation type="textLength" showInputMessage="1" showErrorMessage="1" sqref="M27:M31" xr:uid="{7CD6C97C-6585-4D06-8515-90FF18F675C4}">
      <formula1>0</formula1>
      <formula2>100</formula2>
    </dataValidation>
    <dataValidation showInputMessage="1" showErrorMessage="1" sqref="L6:M26" xr:uid="{0928F43E-6E93-4081-B2E0-F8093733BAA3}"/>
    <dataValidation type="list" showInputMessage="1" showErrorMessage="1" sqref="L32:L255" xr:uid="{E5F92D8F-0C96-43A0-8A0A-4DC345D76A97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D9108E68-129B-4459-80D1-9986C4EBC243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20251-7EF9-4FE3-9DF7-0BFE4CCC1196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Ak_Pisa_WTG63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10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EW_sand_Ruled_90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38</v>
      </c>
      <c r="R6" s="47">
        <f t="shared" ref="R6:R26" ca="1" si="7">IF(I6="","",IF(Q6&lt;&gt;0,Q6-5,NA()))</f>
        <v>33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11100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107.39999999999996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11040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33333.333333333336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46.000000000000007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90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0.2</v>
      </c>
      <c r="BF6" s="2">
        <v>1.2</v>
      </c>
      <c r="BG6" s="2">
        <v>2.1</v>
      </c>
      <c r="BH6" s="2">
        <v>4.5999999999999996</v>
      </c>
      <c r="BI6" s="2"/>
      <c r="BJ6" s="2"/>
      <c r="BK6" s="2"/>
      <c r="BL6" s="2"/>
      <c r="BM6" s="2"/>
      <c r="BN6" s="2">
        <v>90</v>
      </c>
      <c r="BO6" s="2">
        <v>30</v>
      </c>
      <c r="BP6" s="2">
        <v>38</v>
      </c>
      <c r="BQ6" s="2">
        <v>41</v>
      </c>
      <c r="BR6" s="2">
        <v>44</v>
      </c>
      <c r="BS6" s="2">
        <v>52</v>
      </c>
      <c r="BT6" s="2">
        <v>0</v>
      </c>
      <c r="BU6" s="2">
        <v>0</v>
      </c>
      <c r="BV6" s="2">
        <v>5</v>
      </c>
      <c r="BW6" s="2">
        <v>11</v>
      </c>
      <c r="BX6" s="2">
        <v>22</v>
      </c>
      <c r="BY6" s="2">
        <v>11.1</v>
      </c>
      <c r="BZ6" s="2">
        <v>1</v>
      </c>
      <c r="CA6" s="2">
        <v>0.5</v>
      </c>
      <c r="CB6" s="2">
        <v>9.8184338066335905E-5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02a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-0.9</v>
      </c>
      <c r="L7" s="116" t="str">
        <f t="shared" ca="1" si="1"/>
        <v>Cowden Clay</v>
      </c>
      <c r="M7" s="105" t="str">
        <f t="shared" ca="1" si="2"/>
        <v>API clay</v>
      </c>
      <c r="N7" s="47">
        <f t="shared" ca="1" si="3"/>
        <v>10.199999999999999</v>
      </c>
      <c r="O7" s="63">
        <f t="shared" ca="1" si="4"/>
        <v>117</v>
      </c>
      <c r="P7" s="63">
        <f t="shared" ca="1" si="5"/>
        <v>38.18181818181818</v>
      </c>
      <c r="Q7" s="47">
        <f t="shared" ca="1" si="6"/>
        <v>0</v>
      </c>
      <c r="R7" s="47" t="e">
        <f t="shared" ca="1" si="7"/>
        <v>#N/A</v>
      </c>
      <c r="S7" s="47">
        <f t="shared" ca="1" si="8"/>
        <v>3</v>
      </c>
      <c r="T7" s="47">
        <f t="shared" ca="1" si="9"/>
        <v>0</v>
      </c>
      <c r="U7" s="75">
        <f t="shared" ca="1" si="10"/>
        <v>1.7999999999999999E-2</v>
      </c>
      <c r="V7" s="75">
        <f t="shared" ca="1" si="11"/>
        <v>0</v>
      </c>
      <c r="W7" s="47">
        <f t="shared" ca="1" si="12"/>
        <v>0.5</v>
      </c>
      <c r="X7" s="47">
        <f t="shared" ca="1" si="13"/>
        <v>26400</v>
      </c>
      <c r="Y7" s="47">
        <f t="shared" ca="1" si="14"/>
        <v>0</v>
      </c>
      <c r="Z7" s="47" t="e">
        <f t="shared" ca="1" si="15"/>
        <v>#N/A</v>
      </c>
      <c r="AA7" s="47">
        <f t="shared" ca="1" si="16"/>
        <v>1</v>
      </c>
      <c r="AB7" s="47" t="e">
        <f t="shared" ca="1" si="17"/>
        <v>#N/A</v>
      </c>
      <c r="AC7" s="63">
        <f t="shared" ca="1" si="18"/>
        <v>136000</v>
      </c>
      <c r="AD7" s="63">
        <f t="shared" ca="1" si="19"/>
        <v>43636.363636363632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 t="e">
        <f t="shared" ca="1" si="25"/>
        <v>#N/A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0</v>
      </c>
      <c r="AS7" s="33">
        <f t="shared" ca="1" si="34"/>
        <v>0.4</v>
      </c>
      <c r="AW7" s="2">
        <v>0.9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3.7</v>
      </c>
      <c r="BE7" s="2">
        <v>7</v>
      </c>
      <c r="BF7" s="2">
        <v>8</v>
      </c>
      <c r="BG7" s="2">
        <v>8.8000000000000007</v>
      </c>
      <c r="BH7" s="2">
        <v>11.4</v>
      </c>
      <c r="BI7" s="2"/>
      <c r="BJ7" s="2"/>
      <c r="BK7" s="2"/>
      <c r="BL7" s="2"/>
      <c r="BM7" s="2"/>
      <c r="BN7" s="2">
        <v>90</v>
      </c>
      <c r="BO7" s="2">
        <v>30</v>
      </c>
      <c r="BP7" s="2">
        <v>38</v>
      </c>
      <c r="BQ7" s="2">
        <v>41</v>
      </c>
      <c r="BR7" s="2">
        <v>44</v>
      </c>
      <c r="BS7" s="2">
        <v>52</v>
      </c>
      <c r="BT7" s="2">
        <v>18</v>
      </c>
      <c r="BU7" s="2">
        <v>30</v>
      </c>
      <c r="BV7" s="2">
        <v>35</v>
      </c>
      <c r="BW7" s="2">
        <v>40</v>
      </c>
      <c r="BX7" s="2">
        <v>52</v>
      </c>
      <c r="BY7" s="2">
        <v>11.1</v>
      </c>
      <c r="BZ7" s="2">
        <v>1</v>
      </c>
      <c r="CA7" s="2">
        <v>0.5</v>
      </c>
      <c r="CB7" s="2">
        <v>9.8184338066335905E-5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10b</v>
      </c>
      <c r="J8" s="47">
        <f t="shared" ca="1" si="35"/>
        <v>3</v>
      </c>
      <c r="K8" s="19">
        <f t="shared" ca="1" si="36"/>
        <v>-2</v>
      </c>
      <c r="L8" s="116" t="str">
        <f t="shared" ca="1" si="1"/>
        <v>EW_sand_Ruled_63</v>
      </c>
      <c r="M8" s="105" t="str">
        <f t="shared" ca="1" si="2"/>
        <v>API sand</v>
      </c>
      <c r="N8" s="47">
        <f t="shared" ca="1" si="3"/>
        <v>9.8999999999999986</v>
      </c>
      <c r="O8" s="63">
        <f t="shared" ca="1" si="4"/>
        <v>0</v>
      </c>
      <c r="P8" s="63">
        <f t="shared" ca="1" si="5"/>
        <v>0</v>
      </c>
      <c r="Q8" s="47">
        <f t="shared" ca="1" si="6"/>
        <v>39</v>
      </c>
      <c r="R8" s="47">
        <f t="shared" ca="1" si="7"/>
        <v>34</v>
      </c>
      <c r="S8" s="47">
        <f t="shared" ca="1" si="8"/>
        <v>1.7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38300</v>
      </c>
      <c r="Y8" s="47">
        <f t="shared" ca="1" si="14"/>
        <v>0</v>
      </c>
      <c r="Z8" s="47">
        <f t="shared" ca="1" si="15"/>
        <v>111.19999999999996</v>
      </c>
      <c r="AA8" s="47">
        <f t="shared" ca="1" si="16"/>
        <v>1</v>
      </c>
      <c r="AB8" s="47">
        <f t="shared" ca="1" si="17"/>
        <v>11520</v>
      </c>
      <c r="AC8" s="63">
        <f t="shared" ca="1" si="18"/>
        <v>46000</v>
      </c>
      <c r="AD8" s="63">
        <f t="shared" ca="1" si="19"/>
        <v>10333.333333333334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48.000000000000007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63</v>
      </c>
      <c r="AS8" s="33">
        <f t="shared" ca="1" si="34"/>
        <v>0.4</v>
      </c>
      <c r="AW8" s="2">
        <v>0.9</v>
      </c>
      <c r="AX8" s="2" t="s">
        <v>255</v>
      </c>
      <c r="AY8" s="130">
        <v>23.1</v>
      </c>
      <c r="AZ8" s="2">
        <v>20.2</v>
      </c>
      <c r="BA8" s="2">
        <v>18</v>
      </c>
      <c r="BB8" s="2">
        <v>28</v>
      </c>
      <c r="BC8" s="2">
        <v>5</v>
      </c>
      <c r="BD8" s="2">
        <v>1.6</v>
      </c>
      <c r="BE8" s="2">
        <v>2.5</v>
      </c>
      <c r="BF8" s="2">
        <v>2.9</v>
      </c>
      <c r="BG8" s="2">
        <v>3.3</v>
      </c>
      <c r="BH8" s="2">
        <v>4.7</v>
      </c>
      <c r="BI8" s="2">
        <v>23</v>
      </c>
      <c r="BJ8" s="2">
        <v>117</v>
      </c>
      <c r="BK8" s="2">
        <v>157</v>
      </c>
      <c r="BL8" s="2">
        <v>202</v>
      </c>
      <c r="BM8" s="2">
        <v>311</v>
      </c>
      <c r="BN8" s="2"/>
      <c r="BO8" s="2"/>
      <c r="BP8" s="2"/>
      <c r="BQ8" s="2"/>
      <c r="BR8" s="2"/>
      <c r="BS8" s="2"/>
      <c r="BT8" s="2">
        <v>0</v>
      </c>
      <c r="BU8" s="2">
        <v>78</v>
      </c>
      <c r="BV8" s="2">
        <v>136</v>
      </c>
      <c r="BW8" s="2">
        <v>198</v>
      </c>
      <c r="BX8" s="2">
        <v>336</v>
      </c>
      <c r="BY8" s="2">
        <v>26.4</v>
      </c>
      <c r="BZ8" s="2">
        <v>30</v>
      </c>
      <c r="CA8" s="2">
        <v>3</v>
      </c>
      <c r="CB8" s="2">
        <v>4.2923017592449599E-6</v>
      </c>
      <c r="CC8" s="2">
        <v>1.8</v>
      </c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10b</v>
      </c>
      <c r="J9" s="47">
        <f t="shared" ca="1" si="35"/>
        <v>4</v>
      </c>
      <c r="K9" s="19">
        <f t="shared" ca="1" si="36"/>
        <v>-5</v>
      </c>
      <c r="L9" s="116" t="str">
        <f t="shared" ca="1" si="1"/>
        <v>EW_sand_Ruled_72</v>
      </c>
      <c r="M9" s="105" t="str">
        <f t="shared" ca="1" si="2"/>
        <v>API sand</v>
      </c>
      <c r="N9" s="47">
        <f t="shared" ca="1" si="3"/>
        <v>9.8999999999999986</v>
      </c>
      <c r="O9" s="63">
        <f t="shared" ca="1" si="4"/>
        <v>0</v>
      </c>
      <c r="P9" s="63">
        <f t="shared" ca="1" si="5"/>
        <v>0</v>
      </c>
      <c r="Q9" s="47">
        <f t="shared" ca="1" si="6"/>
        <v>39</v>
      </c>
      <c r="R9" s="47">
        <f t="shared" ca="1" si="7"/>
        <v>34</v>
      </c>
      <c r="S9" s="47">
        <f t="shared" ca="1" si="8"/>
        <v>1.1000000000000001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66800</v>
      </c>
      <c r="Y9" s="47">
        <f t="shared" ca="1" si="14"/>
        <v>0</v>
      </c>
      <c r="Z9" s="47">
        <f t="shared" ca="1" si="15"/>
        <v>111.19999999999996</v>
      </c>
      <c r="AA9" s="47">
        <f t="shared" ca="1" si="16"/>
        <v>1</v>
      </c>
      <c r="AB9" s="47">
        <f t="shared" ca="1" si="17"/>
        <v>11520</v>
      </c>
      <c r="AC9" s="63">
        <f t="shared" ca="1" si="18"/>
        <v>86000</v>
      </c>
      <c r="AD9" s="63">
        <f t="shared" ca="1" si="19"/>
        <v>3100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48.000000000000007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72</v>
      </c>
      <c r="AS9" s="33">
        <f t="shared" ca="1" si="34"/>
        <v>0.4</v>
      </c>
      <c r="AW9" s="2">
        <v>2</v>
      </c>
      <c r="AX9" s="2" t="s">
        <v>255</v>
      </c>
      <c r="AY9" s="130">
        <v>23.1</v>
      </c>
      <c r="AZ9" s="2">
        <v>20.2</v>
      </c>
      <c r="BA9" s="2">
        <v>18</v>
      </c>
      <c r="BB9" s="2">
        <v>28</v>
      </c>
      <c r="BC9" s="2">
        <v>5</v>
      </c>
      <c r="BD9" s="2">
        <v>2.4</v>
      </c>
      <c r="BE9" s="2">
        <v>3.3</v>
      </c>
      <c r="BF9" s="2">
        <v>3.6</v>
      </c>
      <c r="BG9" s="2">
        <v>4.0999999999999996</v>
      </c>
      <c r="BH9" s="2">
        <v>5.5</v>
      </c>
      <c r="BI9" s="2">
        <v>66</v>
      </c>
      <c r="BJ9" s="2">
        <v>159</v>
      </c>
      <c r="BK9" s="2">
        <v>199</v>
      </c>
      <c r="BL9" s="2">
        <v>244</v>
      </c>
      <c r="BM9" s="2">
        <v>353</v>
      </c>
      <c r="BN9" s="2"/>
      <c r="BO9" s="2"/>
      <c r="BP9" s="2"/>
      <c r="BQ9" s="2"/>
      <c r="BR9" s="2"/>
      <c r="BS9" s="2"/>
      <c r="BT9" s="2">
        <v>48</v>
      </c>
      <c r="BU9" s="2">
        <v>125</v>
      </c>
      <c r="BV9" s="2">
        <v>184</v>
      </c>
      <c r="BW9" s="2">
        <v>246</v>
      </c>
      <c r="BX9" s="2">
        <v>384</v>
      </c>
      <c r="BY9" s="2">
        <v>26.4</v>
      </c>
      <c r="BZ9" s="2">
        <v>30</v>
      </c>
      <c r="CA9" s="2">
        <v>3</v>
      </c>
      <c r="CB9" s="2">
        <v>4.2923017592449599E-6</v>
      </c>
      <c r="CC9" s="2">
        <v>1.8</v>
      </c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10c</v>
      </c>
      <c r="J10" s="47">
        <f t="shared" ca="1" si="35"/>
        <v>5</v>
      </c>
      <c r="K10" s="19">
        <f t="shared" ca="1" si="36"/>
        <v>-15</v>
      </c>
      <c r="L10" s="116" t="str">
        <f t="shared" ca="1" si="1"/>
        <v>Cowden Clay</v>
      </c>
      <c r="M10" s="105" t="str">
        <f t="shared" ca="1" si="2"/>
        <v>API clay</v>
      </c>
      <c r="N10" s="47">
        <f t="shared" ca="1" si="3"/>
        <v>8.3999999999999986</v>
      </c>
      <c r="O10" s="63">
        <f t="shared" ca="1" si="4"/>
        <v>74</v>
      </c>
      <c r="P10" s="63">
        <f t="shared" ca="1" si="5"/>
        <v>-2</v>
      </c>
      <c r="Q10" s="47">
        <f t="shared" ca="1" si="6"/>
        <v>0</v>
      </c>
      <c r="R10" s="47" t="e">
        <f t="shared" ca="1" si="7"/>
        <v>#N/A</v>
      </c>
      <c r="S10" s="47">
        <f t="shared" ca="1" si="8"/>
        <v>1.4</v>
      </c>
      <c r="T10" s="47">
        <f t="shared" ca="1" si="9"/>
        <v>0</v>
      </c>
      <c r="U10" s="75">
        <f t="shared" ca="1" si="10"/>
        <v>1.7999999999999999E-2</v>
      </c>
      <c r="V10" s="75">
        <f t="shared" ca="1" si="11"/>
        <v>0</v>
      </c>
      <c r="W10" s="47">
        <f t="shared" ca="1" si="12"/>
        <v>0.5</v>
      </c>
      <c r="X10" s="47">
        <f t="shared" ca="1" si="13"/>
        <v>13600</v>
      </c>
      <c r="Y10" s="47">
        <f t="shared" ca="1" si="14"/>
        <v>0</v>
      </c>
      <c r="Z10" s="47" t="e">
        <f t="shared" ca="1" si="15"/>
        <v>#N/A</v>
      </c>
      <c r="AA10" s="47">
        <f t="shared" ca="1" si="16"/>
        <v>1</v>
      </c>
      <c r="AB10" s="47" t="e">
        <f t="shared" ca="1" si="17"/>
        <v>#N/A</v>
      </c>
      <c r="AC10" s="63">
        <f t="shared" ca="1" si="18"/>
        <v>78000</v>
      </c>
      <c r="AD10" s="63">
        <f t="shared" ca="1" si="19"/>
        <v>-1000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 t="e">
        <f t="shared" ca="1" si="25"/>
        <v>#N/A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0</v>
      </c>
      <c r="AS10" s="33">
        <f t="shared" ca="1" si="34"/>
        <v>0.4</v>
      </c>
      <c r="AW10" s="2">
        <v>2</v>
      </c>
      <c r="AX10" s="2" t="s">
        <v>261</v>
      </c>
      <c r="AY10" s="130">
        <v>24</v>
      </c>
      <c r="AZ10" s="2">
        <v>19.899999999999999</v>
      </c>
      <c r="BA10" s="2"/>
      <c r="BB10" s="2">
        <v>6</v>
      </c>
      <c r="BC10" s="2"/>
      <c r="BD10" s="2">
        <v>2.4</v>
      </c>
      <c r="BE10" s="2">
        <v>5.2</v>
      </c>
      <c r="BF10" s="2">
        <v>5.7</v>
      </c>
      <c r="BG10" s="2">
        <v>6.5</v>
      </c>
      <c r="BH10" s="2">
        <v>10.7</v>
      </c>
      <c r="BI10" s="2"/>
      <c r="BJ10" s="2"/>
      <c r="BK10" s="2"/>
      <c r="BL10" s="2"/>
      <c r="BM10" s="2"/>
      <c r="BN10" s="2">
        <v>63</v>
      </c>
      <c r="BO10" s="2">
        <v>33</v>
      </c>
      <c r="BP10" s="2">
        <v>39</v>
      </c>
      <c r="BQ10" s="2">
        <v>42</v>
      </c>
      <c r="BR10" s="2">
        <v>45</v>
      </c>
      <c r="BS10" s="2">
        <v>51</v>
      </c>
      <c r="BT10" s="2">
        <v>2</v>
      </c>
      <c r="BU10" s="2">
        <v>31</v>
      </c>
      <c r="BV10" s="2">
        <v>46</v>
      </c>
      <c r="BW10" s="2">
        <v>61</v>
      </c>
      <c r="BX10" s="2">
        <v>96</v>
      </c>
      <c r="BY10" s="2">
        <v>38.299999999999997</v>
      </c>
      <c r="BZ10" s="2">
        <v>7.4</v>
      </c>
      <c r="CA10" s="2">
        <v>1.7</v>
      </c>
      <c r="CB10" s="2">
        <v>2.0427437900714699E-5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15a</v>
      </c>
      <c r="J11" s="47">
        <f t="shared" ca="1" si="35"/>
        <v>6</v>
      </c>
      <c r="K11" s="19">
        <f t="shared" ca="1" si="36"/>
        <v>-16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9.3000000000000007</v>
      </c>
      <c r="O11" s="63">
        <f t="shared" ca="1" si="4"/>
        <v>225</v>
      </c>
      <c r="P11" s="63">
        <f t="shared" ca="1" si="5"/>
        <v>85.333333333333329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0.5</v>
      </c>
      <c r="X11" s="47">
        <f t="shared" ca="1" si="13"/>
        <v>28800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297000</v>
      </c>
      <c r="AD11" s="63">
        <f t="shared" ca="1" si="19"/>
        <v>109000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5</v>
      </c>
      <c r="AX11" s="2" t="s">
        <v>261</v>
      </c>
      <c r="AY11" s="130">
        <v>24</v>
      </c>
      <c r="AZ11" s="2">
        <v>19.899999999999999</v>
      </c>
      <c r="BA11" s="2"/>
      <c r="BB11" s="2">
        <v>6</v>
      </c>
      <c r="BC11" s="2"/>
      <c r="BD11" s="2">
        <v>11.8</v>
      </c>
      <c r="BE11" s="2">
        <v>14.7</v>
      </c>
      <c r="BF11" s="2">
        <v>15.2</v>
      </c>
      <c r="BG11" s="2">
        <v>16</v>
      </c>
      <c r="BH11" s="2">
        <v>20.100000000000001</v>
      </c>
      <c r="BI11" s="2"/>
      <c r="BJ11" s="2"/>
      <c r="BK11" s="2"/>
      <c r="BL11" s="2"/>
      <c r="BM11" s="2"/>
      <c r="BN11" s="2">
        <v>63</v>
      </c>
      <c r="BO11" s="2">
        <v>33</v>
      </c>
      <c r="BP11" s="2">
        <v>39</v>
      </c>
      <c r="BQ11" s="2">
        <v>42</v>
      </c>
      <c r="BR11" s="2">
        <v>45</v>
      </c>
      <c r="BS11" s="2">
        <v>51</v>
      </c>
      <c r="BT11" s="2">
        <v>33</v>
      </c>
      <c r="BU11" s="2">
        <v>62</v>
      </c>
      <c r="BV11" s="2">
        <v>77</v>
      </c>
      <c r="BW11" s="2">
        <v>92</v>
      </c>
      <c r="BX11" s="2">
        <v>127</v>
      </c>
      <c r="BY11" s="2">
        <v>38.299999999999997</v>
      </c>
      <c r="BZ11" s="2">
        <v>7.4</v>
      </c>
      <c r="CA11" s="2">
        <v>1.7</v>
      </c>
      <c r="CB11" s="2">
        <v>2.0427437900714699E-5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15a</v>
      </c>
      <c r="J12" s="47">
        <f t="shared" ca="1" si="35"/>
        <v>7</v>
      </c>
      <c r="K12" s="19">
        <f t="shared" ca="1" si="36"/>
        <v>-19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9.3000000000000007</v>
      </c>
      <c r="O12" s="63">
        <f t="shared" ca="1" si="4"/>
        <v>643</v>
      </c>
      <c r="P12" s="63">
        <f t="shared" ca="1" si="5"/>
        <v>-24.8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0.25</v>
      </c>
      <c r="X12" s="47">
        <f t="shared" ca="1" si="13"/>
        <v>46100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864000</v>
      </c>
      <c r="AD12" s="63">
        <f t="shared" ca="1" si="19"/>
        <v>-35600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5</v>
      </c>
      <c r="AX12" s="2" t="s">
        <v>261</v>
      </c>
      <c r="AY12" s="130">
        <v>24</v>
      </c>
      <c r="AZ12" s="2">
        <v>19.899999999999999</v>
      </c>
      <c r="BA12" s="2"/>
      <c r="BB12" s="2">
        <v>6</v>
      </c>
      <c r="BC12" s="2"/>
      <c r="BD12" s="2">
        <v>13.2</v>
      </c>
      <c r="BE12" s="2">
        <v>18</v>
      </c>
      <c r="BF12" s="2">
        <v>18.399999999999999</v>
      </c>
      <c r="BG12" s="2">
        <v>19</v>
      </c>
      <c r="BH12" s="2">
        <v>25.2</v>
      </c>
      <c r="BI12" s="2"/>
      <c r="BJ12" s="2"/>
      <c r="BK12" s="2"/>
      <c r="BL12" s="2"/>
      <c r="BM12" s="2"/>
      <c r="BN12" s="2">
        <v>72</v>
      </c>
      <c r="BO12" s="2">
        <v>33</v>
      </c>
      <c r="BP12" s="2">
        <v>39</v>
      </c>
      <c r="BQ12" s="2">
        <v>42</v>
      </c>
      <c r="BR12" s="2">
        <v>45</v>
      </c>
      <c r="BS12" s="2">
        <v>52</v>
      </c>
      <c r="BT12" s="2">
        <v>5</v>
      </c>
      <c r="BU12" s="2">
        <v>62</v>
      </c>
      <c r="BV12" s="2">
        <v>86</v>
      </c>
      <c r="BW12" s="2">
        <v>109</v>
      </c>
      <c r="BX12" s="2">
        <v>169</v>
      </c>
      <c r="BY12" s="2">
        <v>66.8</v>
      </c>
      <c r="BZ12" s="2">
        <v>3.9</v>
      </c>
      <c r="CA12" s="2">
        <v>1.1000000000000001</v>
      </c>
      <c r="CB12" s="2">
        <v>5.47176163568709E-6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19b</v>
      </c>
      <c r="J13" s="47">
        <f t="shared" ca="1" si="35"/>
        <v>8</v>
      </c>
      <c r="K13" s="19">
        <f t="shared" ca="1" si="36"/>
        <v>-24</v>
      </c>
      <c r="L13" s="116" t="str">
        <f t="shared" ca="1" si="1"/>
        <v>EW_sand_Ruled_59</v>
      </c>
      <c r="M13" s="105" t="str">
        <f t="shared" ca="1" si="2"/>
        <v>API sand</v>
      </c>
      <c r="N13" s="47">
        <f t="shared" ca="1" si="3"/>
        <v>8.5</v>
      </c>
      <c r="O13" s="63">
        <f t="shared" ca="1" si="4"/>
        <v>0</v>
      </c>
      <c r="P13" s="63">
        <f t="shared" ca="1" si="5"/>
        <v>0</v>
      </c>
      <c r="Q13" s="47">
        <f t="shared" ca="1" si="6"/>
        <v>26</v>
      </c>
      <c r="R13" s="47">
        <f t="shared" ca="1" si="7"/>
        <v>21</v>
      </c>
      <c r="S13" s="47">
        <f t="shared" ca="1" si="8"/>
        <v>0.7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29900</v>
      </c>
      <c r="Y13" s="47">
        <f t="shared" ca="1" si="14"/>
        <v>0</v>
      </c>
      <c r="Z13" s="47">
        <f t="shared" ca="1" si="15"/>
        <v>69.799999999999983</v>
      </c>
      <c r="AA13" s="47">
        <f t="shared" ca="1" si="16"/>
        <v>1</v>
      </c>
      <c r="AB13" s="47">
        <f t="shared" ca="1" si="17"/>
        <v>3280</v>
      </c>
      <c r="AC13" s="63">
        <f t="shared" ca="1" si="18"/>
        <v>118000</v>
      </c>
      <c r="AD13" s="63">
        <f t="shared" ca="1" si="19"/>
        <v>885.41666666666652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13.600000000000003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59</v>
      </c>
      <c r="AS13" s="33">
        <f t="shared" ca="1" si="34"/>
        <v>0.2</v>
      </c>
      <c r="AW13" s="2">
        <v>15</v>
      </c>
      <c r="AX13" s="2" t="s">
        <v>261</v>
      </c>
      <c r="AY13" s="130">
        <v>24</v>
      </c>
      <c r="AZ13" s="2">
        <v>19.899999999999999</v>
      </c>
      <c r="BA13" s="2"/>
      <c r="BB13" s="2">
        <v>6</v>
      </c>
      <c r="BC13" s="2"/>
      <c r="BD13" s="2">
        <v>8.9</v>
      </c>
      <c r="BE13" s="2">
        <v>13.7</v>
      </c>
      <c r="BF13" s="2">
        <v>14.1</v>
      </c>
      <c r="BG13" s="2">
        <v>14.7</v>
      </c>
      <c r="BH13" s="2">
        <v>20.9</v>
      </c>
      <c r="BI13" s="2"/>
      <c r="BJ13" s="2"/>
      <c r="BK13" s="2"/>
      <c r="BL13" s="2"/>
      <c r="BM13" s="2"/>
      <c r="BN13" s="2">
        <v>72</v>
      </c>
      <c r="BO13" s="2">
        <v>33</v>
      </c>
      <c r="BP13" s="2">
        <v>39</v>
      </c>
      <c r="BQ13" s="2">
        <v>42</v>
      </c>
      <c r="BR13" s="2">
        <v>45</v>
      </c>
      <c r="BS13" s="2">
        <v>52</v>
      </c>
      <c r="BT13" s="2">
        <v>36</v>
      </c>
      <c r="BU13" s="2">
        <v>93</v>
      </c>
      <c r="BV13" s="2">
        <v>117</v>
      </c>
      <c r="BW13" s="2">
        <v>141</v>
      </c>
      <c r="BX13" s="2">
        <v>201</v>
      </c>
      <c r="BY13" s="2">
        <v>66.8</v>
      </c>
      <c r="BZ13" s="2">
        <v>3.9</v>
      </c>
      <c r="CA13" s="2">
        <v>1.1000000000000001</v>
      </c>
      <c r="CB13" s="2">
        <v>5.47176163568709E-6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21a</v>
      </c>
      <c r="J14" s="47">
        <f t="shared" ca="1" si="35"/>
        <v>9</v>
      </c>
      <c r="K14" s="19">
        <f t="shared" ca="1" si="36"/>
        <v>-43.2</v>
      </c>
      <c r="L14" s="116" t="str">
        <f t="shared" ca="1" si="1"/>
        <v>EW_sand_Ruled_10</v>
      </c>
      <c r="M14" s="105" t="str">
        <f t="shared" ca="1" si="2"/>
        <v>API sand</v>
      </c>
      <c r="N14" s="47">
        <f t="shared" ca="1" si="3"/>
        <v>9.8000000000000007</v>
      </c>
      <c r="O14" s="63">
        <f t="shared" ca="1" si="4"/>
        <v>0</v>
      </c>
      <c r="P14" s="63">
        <f t="shared" ca="1" si="5"/>
        <v>0</v>
      </c>
      <c r="Q14" s="47">
        <f t="shared" ca="1" si="6"/>
        <v>24.5</v>
      </c>
      <c r="R14" s="47">
        <f t="shared" ca="1" si="7"/>
        <v>19.5</v>
      </c>
      <c r="S14" s="47">
        <f t="shared" ca="1" si="8"/>
        <v>0.5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13600</v>
      </c>
      <c r="Y14" s="47">
        <f t="shared" ca="1" si="14"/>
        <v>0</v>
      </c>
      <c r="Z14" s="47">
        <f t="shared" ca="1" si="15"/>
        <v>63.199999999999989</v>
      </c>
      <c r="AA14" s="47">
        <f t="shared" ca="1" si="16"/>
        <v>1</v>
      </c>
      <c r="AB14" s="47">
        <f t="shared" ca="1" si="17"/>
        <v>2700</v>
      </c>
      <c r="AC14" s="63">
        <f t="shared" ca="1" si="18"/>
        <v>115000</v>
      </c>
      <c r="AD14" s="63">
        <f t="shared" ca="1" si="19"/>
        <v>1351.3513513513519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11.200000000000003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10</v>
      </c>
      <c r="AS14" s="33">
        <f t="shared" ca="1" si="34"/>
        <v>0.2</v>
      </c>
      <c r="AW14" s="2">
        <v>15</v>
      </c>
      <c r="AX14" s="2" t="s">
        <v>287</v>
      </c>
      <c r="AY14" s="130">
        <v>36</v>
      </c>
      <c r="AZ14" s="2">
        <v>18.399999999999999</v>
      </c>
      <c r="BA14" s="2">
        <v>23</v>
      </c>
      <c r="BB14" s="2">
        <v>53</v>
      </c>
      <c r="BC14" s="2">
        <v>4</v>
      </c>
      <c r="BD14" s="2">
        <v>1.8</v>
      </c>
      <c r="BE14" s="2">
        <v>1.9</v>
      </c>
      <c r="BF14" s="2">
        <v>2</v>
      </c>
      <c r="BG14" s="2">
        <v>2.1</v>
      </c>
      <c r="BH14" s="2">
        <v>2.2000000000000002</v>
      </c>
      <c r="BI14" s="2">
        <v>32</v>
      </c>
      <c r="BJ14" s="2">
        <v>74</v>
      </c>
      <c r="BK14" s="2">
        <v>93</v>
      </c>
      <c r="BL14" s="2">
        <v>113</v>
      </c>
      <c r="BM14" s="2">
        <v>154</v>
      </c>
      <c r="BN14" s="2"/>
      <c r="BO14" s="2"/>
      <c r="BP14" s="2"/>
      <c r="BQ14" s="2"/>
      <c r="BR14" s="2"/>
      <c r="BS14" s="2"/>
      <c r="BT14" s="2">
        <v>17</v>
      </c>
      <c r="BU14" s="2">
        <v>51</v>
      </c>
      <c r="BV14" s="2">
        <v>78</v>
      </c>
      <c r="BW14" s="2">
        <v>106</v>
      </c>
      <c r="BX14" s="2">
        <v>159</v>
      </c>
      <c r="BY14" s="2">
        <v>13.6</v>
      </c>
      <c r="BZ14" s="2">
        <v>2.2000000000000002</v>
      </c>
      <c r="CA14" s="2">
        <v>1.4</v>
      </c>
      <c r="CB14" s="2">
        <v>3.0440780780672698E-11</v>
      </c>
      <c r="CC14" s="2">
        <v>1.8</v>
      </c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23d</v>
      </c>
      <c r="J15" s="47">
        <f t="shared" ca="1" si="35"/>
        <v>10</v>
      </c>
      <c r="K15" s="19">
        <f t="shared" ca="1" si="36"/>
        <v>-54.3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8.8999999999999986</v>
      </c>
      <c r="O15" s="63">
        <f t="shared" ca="1" si="4"/>
        <v>416</v>
      </c>
      <c r="P15" s="63">
        <f t="shared" ca="1" si="5"/>
        <v>5.7976653696498044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1.8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42900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631000</v>
      </c>
      <c r="AD15" s="63">
        <f t="shared" ca="1" si="19"/>
        <v>10661.478599221789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16</v>
      </c>
      <c r="AX15" s="2" t="s">
        <v>287</v>
      </c>
      <c r="AY15" s="130">
        <v>36</v>
      </c>
      <c r="AZ15" s="2">
        <v>18.399999999999999</v>
      </c>
      <c r="BA15" s="2">
        <v>23</v>
      </c>
      <c r="BB15" s="2">
        <v>53</v>
      </c>
      <c r="BC15" s="2">
        <v>4</v>
      </c>
      <c r="BD15" s="2">
        <v>1.8</v>
      </c>
      <c r="BE15" s="2">
        <v>1.9</v>
      </c>
      <c r="BF15" s="2">
        <v>2</v>
      </c>
      <c r="BG15" s="2">
        <v>2</v>
      </c>
      <c r="BH15" s="2">
        <v>2.1</v>
      </c>
      <c r="BI15" s="2">
        <v>31</v>
      </c>
      <c r="BJ15" s="2">
        <v>72</v>
      </c>
      <c r="BK15" s="2">
        <v>91</v>
      </c>
      <c r="BL15" s="2">
        <v>111</v>
      </c>
      <c r="BM15" s="2">
        <v>153</v>
      </c>
      <c r="BN15" s="2"/>
      <c r="BO15" s="2"/>
      <c r="BP15" s="2"/>
      <c r="BQ15" s="2"/>
      <c r="BR15" s="2"/>
      <c r="BS15" s="2"/>
      <c r="BT15" s="2">
        <v>16</v>
      </c>
      <c r="BU15" s="2">
        <v>50</v>
      </c>
      <c r="BV15" s="2">
        <v>77</v>
      </c>
      <c r="BW15" s="2">
        <v>104</v>
      </c>
      <c r="BX15" s="2">
        <v>158</v>
      </c>
      <c r="BY15" s="2">
        <v>13.6</v>
      </c>
      <c r="BZ15" s="2">
        <v>2.2000000000000002</v>
      </c>
      <c r="CA15" s="2">
        <v>1.4</v>
      </c>
      <c r="CB15" s="2">
        <v>3.0440780780672698E-11</v>
      </c>
      <c r="CC15" s="2">
        <v>1.8</v>
      </c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/>
      </c>
      <c r="J16" s="47" t="str">
        <f t="shared" ca="1" si="35"/>
        <v/>
      </c>
      <c r="K16" s="19" t="str">
        <f t="shared" ca="1" si="36"/>
        <v/>
      </c>
      <c r="L16" s="116" t="str">
        <f t="shared" ca="1" si="1"/>
        <v/>
      </c>
      <c r="M16" s="105" t="str">
        <f t="shared" ca="1" si="2"/>
        <v/>
      </c>
      <c r="N16" s="47" t="str">
        <f t="shared" ca="1" si="3"/>
        <v/>
      </c>
      <c r="O16" s="63" t="str">
        <f t="shared" ca="1" si="4"/>
        <v/>
      </c>
      <c r="P16" s="63" t="str">
        <f t="shared" ca="1" si="5"/>
        <v/>
      </c>
      <c r="Q16" s="47" t="str">
        <f t="shared" ca="1" si="6"/>
        <v/>
      </c>
      <c r="R16" s="47" t="str">
        <f t="shared" ca="1" si="7"/>
        <v/>
      </c>
      <c r="S16" s="47" t="str">
        <f t="shared" ca="1" si="8"/>
        <v/>
      </c>
      <c r="T16" s="47" t="str">
        <f t="shared" ca="1" si="9"/>
        <v/>
      </c>
      <c r="U16" s="75" t="str">
        <f t="shared" ca="1" si="10"/>
        <v/>
      </c>
      <c r="V16" s="75" t="str">
        <f t="shared" ca="1" si="11"/>
        <v/>
      </c>
      <c r="W16" s="47" t="str">
        <f t="shared" ca="1" si="12"/>
        <v/>
      </c>
      <c r="X16" s="47" t="str">
        <f t="shared" ca="1" si="13"/>
        <v/>
      </c>
      <c r="Y16" s="47" t="str">
        <f t="shared" ca="1" si="14"/>
        <v/>
      </c>
      <c r="Z16" s="47" t="str">
        <f t="shared" ca="1" si="15"/>
        <v/>
      </c>
      <c r="AA16" s="47" t="str">
        <f t="shared" ca="1" si="16"/>
        <v/>
      </c>
      <c r="AB16" s="47" t="str">
        <f t="shared" ca="1" si="17"/>
        <v/>
      </c>
      <c r="AC16" s="63" t="str">
        <f t="shared" ca="1" si="18"/>
        <v/>
      </c>
      <c r="AD16" s="63" t="str">
        <f t="shared" ca="1" si="19"/>
        <v/>
      </c>
      <c r="AE16" s="63" t="str">
        <f t="shared" ca="1" si="20"/>
        <v/>
      </c>
      <c r="AF16" s="63" t="str">
        <f t="shared" ca="1" si="21"/>
        <v/>
      </c>
      <c r="AG16" s="63" t="str">
        <f t="shared" ca="1" si="22"/>
        <v/>
      </c>
      <c r="AH16" s="63" t="str">
        <f t="shared" ca="1" si="23"/>
        <v/>
      </c>
      <c r="AI16" s="63" t="str">
        <f t="shared" ca="1" si="24"/>
        <v/>
      </c>
      <c r="AJ16" s="47" t="str">
        <f t="shared" ca="1" si="25"/>
        <v/>
      </c>
      <c r="AK16" s="47" t="str">
        <f t="shared" ca="1" si="26"/>
        <v/>
      </c>
      <c r="AL16" s="47" t="str">
        <f t="shared" ca="1" si="27"/>
        <v/>
      </c>
      <c r="AM16" s="47" t="str">
        <f t="shared" ca="1" si="28"/>
        <v/>
      </c>
      <c r="AN16" s="47" t="str">
        <f t="shared" ca="1" si="29"/>
        <v/>
      </c>
      <c r="AO16" s="47" t="str">
        <f t="shared" ca="1" si="30"/>
        <v/>
      </c>
      <c r="AP16" s="47" t="str">
        <f t="shared" ca="1" si="31"/>
        <v/>
      </c>
      <c r="AQ16" s="47" t="str">
        <f t="shared" ca="1" si="32"/>
        <v/>
      </c>
      <c r="AR16" s="47" t="str">
        <f t="shared" ca="1" si="33"/>
        <v/>
      </c>
      <c r="AS16" s="33" t="str">
        <f t="shared" ca="1" si="34"/>
        <v/>
      </c>
      <c r="AW16" s="2">
        <v>16</v>
      </c>
      <c r="AX16" s="2" t="s">
        <v>305</v>
      </c>
      <c r="AY16" s="130">
        <v>28.5</v>
      </c>
      <c r="AZ16" s="2">
        <v>19.3</v>
      </c>
      <c r="BA16" s="2">
        <v>16</v>
      </c>
      <c r="BB16" s="2">
        <v>49</v>
      </c>
      <c r="BC16" s="2">
        <v>5</v>
      </c>
      <c r="BD16" s="2">
        <v>1.5</v>
      </c>
      <c r="BE16" s="2">
        <v>4.9000000000000004</v>
      </c>
      <c r="BF16" s="2">
        <v>5.5</v>
      </c>
      <c r="BG16" s="2">
        <v>6</v>
      </c>
      <c r="BH16" s="2">
        <v>8.6999999999999993</v>
      </c>
      <c r="BI16" s="2">
        <v>22</v>
      </c>
      <c r="BJ16" s="2">
        <v>225</v>
      </c>
      <c r="BK16" s="2">
        <v>287</v>
      </c>
      <c r="BL16" s="2">
        <v>348</v>
      </c>
      <c r="BM16" s="2">
        <v>531</v>
      </c>
      <c r="BN16" s="2"/>
      <c r="BO16" s="2"/>
      <c r="BP16" s="2"/>
      <c r="BQ16" s="2"/>
      <c r="BR16" s="2"/>
      <c r="BS16" s="2"/>
      <c r="BT16" s="2">
        <v>16</v>
      </c>
      <c r="BU16" s="2">
        <v>198</v>
      </c>
      <c r="BV16" s="2">
        <v>297</v>
      </c>
      <c r="BW16" s="2">
        <v>394</v>
      </c>
      <c r="BX16" s="2">
        <v>647</v>
      </c>
      <c r="BY16" s="2">
        <v>28.8</v>
      </c>
      <c r="BZ16" s="2">
        <v>12.7</v>
      </c>
      <c r="CA16" s="2">
        <v>3</v>
      </c>
      <c r="CB16" s="2">
        <v>4.5961202678960903E-9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19</v>
      </c>
      <c r="AX17" s="2" t="s">
        <v>305</v>
      </c>
      <c r="AY17" s="130">
        <v>28.5</v>
      </c>
      <c r="AZ17" s="2">
        <v>19.3</v>
      </c>
      <c r="BA17" s="2">
        <v>16</v>
      </c>
      <c r="BB17" s="2">
        <v>49</v>
      </c>
      <c r="BC17" s="2">
        <v>5</v>
      </c>
      <c r="BD17" s="2">
        <v>6.2</v>
      </c>
      <c r="BE17" s="2">
        <v>9.5</v>
      </c>
      <c r="BF17" s="2">
        <v>10.199999999999999</v>
      </c>
      <c r="BG17" s="2">
        <v>10.7</v>
      </c>
      <c r="BH17" s="2">
        <v>13.4</v>
      </c>
      <c r="BI17" s="2">
        <v>278</v>
      </c>
      <c r="BJ17" s="2">
        <v>481</v>
      </c>
      <c r="BK17" s="2">
        <v>544</v>
      </c>
      <c r="BL17" s="2">
        <v>604</v>
      </c>
      <c r="BM17" s="2">
        <v>788</v>
      </c>
      <c r="BN17" s="2"/>
      <c r="BO17" s="2"/>
      <c r="BP17" s="2"/>
      <c r="BQ17" s="2"/>
      <c r="BR17" s="2"/>
      <c r="BS17" s="2"/>
      <c r="BT17" s="2">
        <v>342</v>
      </c>
      <c r="BU17" s="2">
        <v>525</v>
      </c>
      <c r="BV17" s="2">
        <v>624</v>
      </c>
      <c r="BW17" s="2">
        <v>721</v>
      </c>
      <c r="BX17" s="2">
        <v>974</v>
      </c>
      <c r="BY17" s="2">
        <v>28.8</v>
      </c>
      <c r="BZ17" s="2">
        <v>12.7</v>
      </c>
      <c r="CA17" s="2">
        <v>3</v>
      </c>
      <c r="CB17" s="2">
        <v>4.5961202678960903E-9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19</v>
      </c>
      <c r="AX18" s="2" t="s">
        <v>305</v>
      </c>
      <c r="AY18" s="130">
        <v>28.5</v>
      </c>
      <c r="AZ18" s="2">
        <v>19.3</v>
      </c>
      <c r="BA18" s="2">
        <v>16</v>
      </c>
      <c r="BB18" s="2">
        <v>49</v>
      </c>
      <c r="BC18" s="2">
        <v>5</v>
      </c>
      <c r="BD18" s="2">
        <v>10.5</v>
      </c>
      <c r="BE18" s="2">
        <v>12.6</v>
      </c>
      <c r="BF18" s="2">
        <v>12.9</v>
      </c>
      <c r="BG18" s="2">
        <v>13.2</v>
      </c>
      <c r="BH18" s="2">
        <v>15.3</v>
      </c>
      <c r="BI18" s="2">
        <v>485</v>
      </c>
      <c r="BJ18" s="2">
        <v>643</v>
      </c>
      <c r="BK18" s="2">
        <v>697</v>
      </c>
      <c r="BL18" s="2">
        <v>751</v>
      </c>
      <c r="BM18" s="2">
        <v>904</v>
      </c>
      <c r="BN18" s="2"/>
      <c r="BO18" s="2"/>
      <c r="BP18" s="2"/>
      <c r="BQ18" s="2"/>
      <c r="BR18" s="2"/>
      <c r="BS18" s="2"/>
      <c r="BT18" s="2">
        <v>540</v>
      </c>
      <c r="BU18" s="2">
        <v>775</v>
      </c>
      <c r="BV18" s="2">
        <v>864</v>
      </c>
      <c r="BW18" s="2">
        <v>953</v>
      </c>
      <c r="BX18" s="2">
        <v>1181</v>
      </c>
      <c r="BY18" s="2">
        <v>46.1</v>
      </c>
      <c r="BZ18" s="2">
        <v>16.2</v>
      </c>
      <c r="CA18" s="2">
        <v>3</v>
      </c>
      <c r="CB18" s="2">
        <v>1.9002466763327901E-8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24</v>
      </c>
      <c r="AX19" s="2" t="s">
        <v>305</v>
      </c>
      <c r="AY19" s="130">
        <v>28.5</v>
      </c>
      <c r="AZ19" s="2">
        <v>19.3</v>
      </c>
      <c r="BA19" s="2">
        <v>16</v>
      </c>
      <c r="BB19" s="2">
        <v>49</v>
      </c>
      <c r="BC19" s="2">
        <v>5</v>
      </c>
      <c r="BD19" s="2">
        <v>8.3000000000000007</v>
      </c>
      <c r="BE19" s="2">
        <v>10.5</v>
      </c>
      <c r="BF19" s="2">
        <v>10.8</v>
      </c>
      <c r="BG19" s="2">
        <v>11.1</v>
      </c>
      <c r="BH19" s="2">
        <v>13.1</v>
      </c>
      <c r="BI19" s="2">
        <v>361</v>
      </c>
      <c r="BJ19" s="2">
        <v>519</v>
      </c>
      <c r="BK19" s="2">
        <v>573</v>
      </c>
      <c r="BL19" s="2">
        <v>627</v>
      </c>
      <c r="BM19" s="2">
        <v>780</v>
      </c>
      <c r="BN19" s="2"/>
      <c r="BO19" s="2"/>
      <c r="BP19" s="2"/>
      <c r="BQ19" s="2"/>
      <c r="BR19" s="2"/>
      <c r="BS19" s="2"/>
      <c r="BT19" s="2">
        <v>363</v>
      </c>
      <c r="BU19" s="2">
        <v>597</v>
      </c>
      <c r="BV19" s="2">
        <v>686</v>
      </c>
      <c r="BW19" s="2">
        <v>775</v>
      </c>
      <c r="BX19" s="2">
        <v>1004</v>
      </c>
      <c r="BY19" s="2">
        <v>46.1</v>
      </c>
      <c r="BZ19" s="2">
        <v>16.2</v>
      </c>
      <c r="CA19" s="2">
        <v>3</v>
      </c>
      <c r="CB19" s="2">
        <v>1.9002466763327901E-8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24</v>
      </c>
      <c r="AX20" s="2" t="s">
        <v>291</v>
      </c>
      <c r="AY20" s="130">
        <v>35.4</v>
      </c>
      <c r="AZ20" s="2">
        <v>18.5</v>
      </c>
      <c r="BA20" s="2"/>
      <c r="BB20" s="2">
        <v>54</v>
      </c>
      <c r="BC20" s="2"/>
      <c r="BD20" s="2">
        <v>4.5</v>
      </c>
      <c r="BE20" s="2">
        <v>7.2</v>
      </c>
      <c r="BF20" s="2">
        <v>7.6</v>
      </c>
      <c r="BG20" s="2">
        <v>8.4</v>
      </c>
      <c r="BH20" s="2">
        <v>15.2</v>
      </c>
      <c r="BI20" s="2"/>
      <c r="BJ20" s="2"/>
      <c r="BK20" s="2"/>
      <c r="BL20" s="2"/>
      <c r="BM20" s="2"/>
      <c r="BN20" s="2">
        <v>59</v>
      </c>
      <c r="BO20" s="2">
        <v>26</v>
      </c>
      <c r="BP20" s="2">
        <v>26</v>
      </c>
      <c r="BQ20" s="2">
        <v>28</v>
      </c>
      <c r="BR20" s="2">
        <v>30</v>
      </c>
      <c r="BS20" s="2">
        <v>34</v>
      </c>
      <c r="BT20" s="2">
        <v>25</v>
      </c>
      <c r="BU20" s="2">
        <v>88</v>
      </c>
      <c r="BV20" s="2">
        <v>118</v>
      </c>
      <c r="BW20" s="2">
        <v>148</v>
      </c>
      <c r="BX20" s="2">
        <v>223</v>
      </c>
      <c r="BY20" s="2">
        <v>29.9</v>
      </c>
      <c r="BZ20" s="2">
        <v>1.9</v>
      </c>
      <c r="CA20" s="2">
        <v>0.7</v>
      </c>
      <c r="CB20" s="2">
        <v>3.4944583436086398E-10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43.2</v>
      </c>
      <c r="AX21" s="2" t="s">
        <v>291</v>
      </c>
      <c r="AY21" s="130">
        <v>35.4</v>
      </c>
      <c r="AZ21" s="2">
        <v>18.5</v>
      </c>
      <c r="BA21" s="2"/>
      <c r="BB21" s="2">
        <v>54</v>
      </c>
      <c r="BC21" s="2"/>
      <c r="BD21" s="2">
        <v>7.4</v>
      </c>
      <c r="BE21" s="2">
        <v>10.1</v>
      </c>
      <c r="BF21" s="2">
        <v>10.5</v>
      </c>
      <c r="BG21" s="2">
        <v>11.3</v>
      </c>
      <c r="BH21" s="2">
        <v>18.100000000000001</v>
      </c>
      <c r="BI21" s="2"/>
      <c r="BJ21" s="2"/>
      <c r="BK21" s="2"/>
      <c r="BL21" s="2"/>
      <c r="BM21" s="2"/>
      <c r="BN21" s="2">
        <v>59</v>
      </c>
      <c r="BO21" s="2">
        <v>26</v>
      </c>
      <c r="BP21" s="2">
        <v>26</v>
      </c>
      <c r="BQ21" s="2">
        <v>28</v>
      </c>
      <c r="BR21" s="2">
        <v>30</v>
      </c>
      <c r="BS21" s="2">
        <v>34</v>
      </c>
      <c r="BT21" s="2">
        <v>43</v>
      </c>
      <c r="BU21" s="2">
        <v>105</v>
      </c>
      <c r="BV21" s="2">
        <v>135</v>
      </c>
      <c r="BW21" s="2">
        <v>165</v>
      </c>
      <c r="BX21" s="2">
        <v>240</v>
      </c>
      <c r="BY21" s="2">
        <v>29.9</v>
      </c>
      <c r="BZ21" s="2">
        <v>1.9</v>
      </c>
      <c r="CA21" s="2">
        <v>0.7</v>
      </c>
      <c r="CB21" s="2">
        <v>3.4944583436086398E-10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43.2</v>
      </c>
      <c r="AX22" s="2" t="s">
        <v>271</v>
      </c>
      <c r="AY22" s="130">
        <v>24.7</v>
      </c>
      <c r="AZ22" s="2">
        <v>19.8</v>
      </c>
      <c r="BA22" s="2"/>
      <c r="BB22" s="2">
        <v>11</v>
      </c>
      <c r="BC22" s="2"/>
      <c r="BD22" s="2">
        <v>1.6</v>
      </c>
      <c r="BE22" s="2">
        <v>2</v>
      </c>
      <c r="BF22" s="2">
        <v>3.1</v>
      </c>
      <c r="BG22" s="2">
        <v>15.6</v>
      </c>
      <c r="BH22" s="2">
        <v>54.5</v>
      </c>
      <c r="BI22" s="2"/>
      <c r="BJ22" s="2"/>
      <c r="BK22" s="2"/>
      <c r="BL22" s="2"/>
      <c r="BM22" s="2"/>
      <c r="BN22" s="2">
        <v>10</v>
      </c>
      <c r="BO22" s="2">
        <v>24</v>
      </c>
      <c r="BP22" s="2">
        <v>24.5</v>
      </c>
      <c r="BQ22" s="2">
        <v>25</v>
      </c>
      <c r="BR22" s="2">
        <v>27</v>
      </c>
      <c r="BS22" s="2">
        <v>30</v>
      </c>
      <c r="BT22" s="2">
        <v>43</v>
      </c>
      <c r="BU22" s="2">
        <v>86</v>
      </c>
      <c r="BV22" s="2">
        <v>115</v>
      </c>
      <c r="BW22" s="2">
        <v>144</v>
      </c>
      <c r="BX22" s="2">
        <v>215</v>
      </c>
      <c r="BY22" s="2">
        <v>13.6</v>
      </c>
      <c r="BZ22" s="2">
        <v>1</v>
      </c>
      <c r="CA22" s="2">
        <v>0.5</v>
      </c>
      <c r="CB22" s="2">
        <v>3.3932473916715899E-14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54.3</v>
      </c>
      <c r="AX23" s="2" t="s">
        <v>271</v>
      </c>
      <c r="AY23" s="130">
        <v>24.7</v>
      </c>
      <c r="AZ23" s="2">
        <v>19.8</v>
      </c>
      <c r="BA23" s="2"/>
      <c r="BB23" s="2">
        <v>11</v>
      </c>
      <c r="BC23" s="2"/>
      <c r="BD23" s="2">
        <v>2.2000000000000002</v>
      </c>
      <c r="BE23" s="2">
        <v>3</v>
      </c>
      <c r="BF23" s="2">
        <v>3.7</v>
      </c>
      <c r="BG23" s="2">
        <v>16.3</v>
      </c>
      <c r="BH23" s="2">
        <v>55.1</v>
      </c>
      <c r="BI23" s="2"/>
      <c r="BJ23" s="2"/>
      <c r="BK23" s="2"/>
      <c r="BL23" s="2"/>
      <c r="BM23" s="2"/>
      <c r="BN23" s="2">
        <v>10</v>
      </c>
      <c r="BO23" s="2">
        <v>24</v>
      </c>
      <c r="BP23" s="2">
        <v>24.5</v>
      </c>
      <c r="BQ23" s="2">
        <v>25</v>
      </c>
      <c r="BR23" s="2">
        <v>27</v>
      </c>
      <c r="BS23" s="2">
        <v>30</v>
      </c>
      <c r="BT23" s="2">
        <v>58</v>
      </c>
      <c r="BU23" s="2">
        <v>101</v>
      </c>
      <c r="BV23" s="2">
        <v>130</v>
      </c>
      <c r="BW23" s="2">
        <v>159</v>
      </c>
      <c r="BX23" s="2">
        <v>230</v>
      </c>
      <c r="BY23" s="2">
        <v>13.6</v>
      </c>
      <c r="BZ23" s="2">
        <v>1</v>
      </c>
      <c r="CA23" s="2">
        <v>0.5</v>
      </c>
      <c r="CB23" s="2">
        <v>3.3932473916715899E-14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54.3</v>
      </c>
      <c r="AX24" s="2" t="s">
        <v>273</v>
      </c>
      <c r="AY24" s="130">
        <v>32</v>
      </c>
      <c r="AZ24" s="2">
        <v>18.899999999999999</v>
      </c>
      <c r="BA24" s="2">
        <v>47</v>
      </c>
      <c r="BB24" s="2">
        <v>85</v>
      </c>
      <c r="BC24" s="2">
        <v>3</v>
      </c>
      <c r="BD24" s="2">
        <v>2</v>
      </c>
      <c r="BE24" s="2">
        <v>9.8000000000000007</v>
      </c>
      <c r="BF24" s="2">
        <v>10.3</v>
      </c>
      <c r="BG24" s="2">
        <v>24.7</v>
      </c>
      <c r="BH24" s="2">
        <v>69.3</v>
      </c>
      <c r="BI24" s="2">
        <v>331</v>
      </c>
      <c r="BJ24" s="2">
        <v>416</v>
      </c>
      <c r="BK24" s="2">
        <v>460</v>
      </c>
      <c r="BL24" s="2">
        <v>504</v>
      </c>
      <c r="BM24" s="2">
        <v>590</v>
      </c>
      <c r="BN24" s="2"/>
      <c r="BO24" s="2"/>
      <c r="BP24" s="2"/>
      <c r="BQ24" s="2"/>
      <c r="BR24" s="2"/>
      <c r="BS24" s="2"/>
      <c r="BT24" s="2">
        <v>372</v>
      </c>
      <c r="BU24" s="2">
        <v>544</v>
      </c>
      <c r="BV24" s="2">
        <v>631</v>
      </c>
      <c r="BW24" s="2">
        <v>718</v>
      </c>
      <c r="BX24" s="2">
        <v>890</v>
      </c>
      <c r="BY24" s="2">
        <v>42.9</v>
      </c>
      <c r="BZ24" s="2">
        <v>5.2</v>
      </c>
      <c r="CA24" s="2">
        <v>1.8</v>
      </c>
      <c r="CB24" s="2">
        <v>3.9783429177202301E-12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80</v>
      </c>
      <c r="AX25" s="2" t="s">
        <v>273</v>
      </c>
      <c r="AY25" s="130">
        <v>32</v>
      </c>
      <c r="AZ25" s="2">
        <v>18.899999999999999</v>
      </c>
      <c r="BA25" s="2">
        <v>47</v>
      </c>
      <c r="BB25" s="2">
        <v>85</v>
      </c>
      <c r="BC25" s="2">
        <v>3</v>
      </c>
      <c r="BD25" s="2">
        <v>5.4</v>
      </c>
      <c r="BE25" s="2">
        <v>13.3</v>
      </c>
      <c r="BF25" s="2">
        <v>13.7</v>
      </c>
      <c r="BG25" s="2">
        <v>28.1</v>
      </c>
      <c r="BH25" s="2">
        <v>72.8</v>
      </c>
      <c r="BI25" s="2">
        <v>479</v>
      </c>
      <c r="BJ25" s="2">
        <v>565</v>
      </c>
      <c r="BK25" s="2">
        <v>608</v>
      </c>
      <c r="BL25" s="2">
        <v>652</v>
      </c>
      <c r="BM25" s="2">
        <v>738</v>
      </c>
      <c r="BN25" s="2"/>
      <c r="BO25" s="2"/>
      <c r="BP25" s="2"/>
      <c r="BQ25" s="2"/>
      <c r="BR25" s="2"/>
      <c r="BS25" s="2"/>
      <c r="BT25" s="2">
        <v>646</v>
      </c>
      <c r="BU25" s="2">
        <v>819</v>
      </c>
      <c r="BV25" s="2">
        <v>905</v>
      </c>
      <c r="BW25" s="2">
        <v>992</v>
      </c>
      <c r="BX25" s="2">
        <v>1164</v>
      </c>
      <c r="BY25" s="2">
        <v>42.9</v>
      </c>
      <c r="BZ25" s="2">
        <v>5.2</v>
      </c>
      <c r="CA25" s="2">
        <v>1.8</v>
      </c>
      <c r="CB25" s="2">
        <v>3.9783429177202301E-12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/>
      <c r="AX26" s="2"/>
      <c r="AY26" s="130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/>
      <c r="AX27" s="2"/>
      <c r="AY27" s="130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128" priority="12">
      <formula>$L32="API sand"</formula>
    </cfRule>
  </conditionalFormatting>
  <conditionalFormatting sqref="R32:S36 AB32:AB35 AJ32:AL36 Z32:Z36 N32:N36">
    <cfRule type="expression" dxfId="2127" priority="11">
      <formula>$M32="API sand"</formula>
    </cfRule>
  </conditionalFormatting>
  <conditionalFormatting sqref="R32:T36 Z32:AB35 AK32:AL36 N32:N36">
    <cfRule type="expression" dxfId="2126" priority="10">
      <formula>$M32="API clay"</formula>
    </cfRule>
  </conditionalFormatting>
  <conditionalFormatting sqref="U32:W36 AM32:AP36 N32:P36">
    <cfRule type="expression" dxfId="2125" priority="7">
      <formula>$L32="Stiff clay w/o free water"</formula>
    </cfRule>
    <cfRule type="expression" dxfId="2124" priority="9">
      <formula>$L32="API clay"</formula>
    </cfRule>
  </conditionalFormatting>
  <conditionalFormatting sqref="U32:Y36 AM32:AP36 N32:P36">
    <cfRule type="expression" dxfId="2123" priority="8">
      <formula>$L32="Kirsch soft clay"</formula>
    </cfRule>
  </conditionalFormatting>
  <conditionalFormatting sqref="U32:Y36 AM32:AP36 N32:P36">
    <cfRule type="expression" dxfId="2122" priority="6">
      <formula>$L32="Kirsch stiff clay"</formula>
    </cfRule>
  </conditionalFormatting>
  <conditionalFormatting sqref="AM32:AP36 Q32:Q36 X32:Y36 N32:N36">
    <cfRule type="expression" dxfId="2121" priority="5">
      <formula>$L32="Kirsch sand"</formula>
    </cfRule>
  </conditionalFormatting>
  <conditionalFormatting sqref="AC32:AD36 AI32:AI36 AM32:AP36 N32:N36">
    <cfRule type="expression" dxfId="2120" priority="4">
      <formula>$L32="Modified Weak rock"</formula>
    </cfRule>
  </conditionalFormatting>
  <conditionalFormatting sqref="AM32:AP36 N32:P36 U32:V36">
    <cfRule type="expression" dxfId="2119" priority="3">
      <formula>$L32="Reese stiff clay"</formula>
    </cfRule>
  </conditionalFormatting>
  <conditionalFormatting sqref="AB36">
    <cfRule type="expression" dxfId="2118" priority="2">
      <formula>$M36="API sand"</formula>
    </cfRule>
  </conditionalFormatting>
  <conditionalFormatting sqref="Z36:AB36">
    <cfRule type="expression" dxfId="2117" priority="1">
      <formula>$M36="API clay"</formula>
    </cfRule>
  </conditionalFormatting>
  <conditionalFormatting sqref="AE37:AH37">
    <cfRule type="expression" dxfId="2116" priority="13">
      <formula>#REF!="Modified Weak rock"</formula>
    </cfRule>
  </conditionalFormatting>
  <dataValidations count="4">
    <dataValidation type="list" showInputMessage="1" showErrorMessage="1" sqref="M32:M36" xr:uid="{745EF44D-BC84-47B1-A46F-F3D234AC11B8}">
      <formula1>"',API sand,API clay"</formula1>
    </dataValidation>
    <dataValidation type="list" showInputMessage="1" showErrorMessage="1" sqref="L32:L255" xr:uid="{B82E0A79-FEB0-4056-898C-A7B1098AD935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C7F8CA27-BCD8-47B0-B35E-9260AC3AA109}"/>
    <dataValidation type="textLength" showInputMessage="1" showErrorMessage="1" sqref="M27:M31" xr:uid="{BC1D4D30-6D52-46BA-8D95-C67DCFA72F6D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DF91-F016-4401-A003-D5A9F9D08883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Ak_Pisa_WTG64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EW_sand_Ruled_87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38</v>
      </c>
      <c r="R6" s="47">
        <f t="shared" ref="R6:R26" ca="1" si="7">IF(I6="","",IF(Q6&lt;&gt;0,Q6-5,NA()))</f>
        <v>33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11600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107.39999999999996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11040</v>
      </c>
      <c r="AC6" s="63">
        <f t="shared" ref="AC6:AC26" ca="1" si="18">IF(I6="","",IF(OFFSET($BV$6,(ROW()-6)*2,0)=0,0,OFFSET($BV$6,(ROW()-6)*2,0)*1000))</f>
        <v>11000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21000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46.000000000000007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87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1</v>
      </c>
      <c r="BF6" s="2">
        <v>2.2000000000000002</v>
      </c>
      <c r="BG6" s="2">
        <v>3.3</v>
      </c>
      <c r="BH6" s="2">
        <v>6.3</v>
      </c>
      <c r="BI6" s="2"/>
      <c r="BJ6" s="2"/>
      <c r="BK6" s="2"/>
      <c r="BL6" s="2"/>
      <c r="BM6" s="2"/>
      <c r="BN6" s="2">
        <v>87</v>
      </c>
      <c r="BO6" s="2">
        <v>29</v>
      </c>
      <c r="BP6" s="2">
        <v>38</v>
      </c>
      <c r="BQ6" s="2">
        <v>41</v>
      </c>
      <c r="BR6" s="2">
        <v>44</v>
      </c>
      <c r="BS6" s="2">
        <v>53</v>
      </c>
      <c r="BT6" s="2">
        <v>0</v>
      </c>
      <c r="BU6" s="2">
        <v>6</v>
      </c>
      <c r="BV6" s="2">
        <v>11</v>
      </c>
      <c r="BW6" s="2">
        <v>17</v>
      </c>
      <c r="BX6" s="2">
        <v>30</v>
      </c>
      <c r="BY6" s="2">
        <v>11.6</v>
      </c>
      <c r="BZ6" s="2">
        <v>1</v>
      </c>
      <c r="CA6" s="2">
        <v>0.5</v>
      </c>
      <c r="CB6" s="2">
        <v>5.08554668407683E-5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-1</v>
      </c>
      <c r="L7" s="116" t="str">
        <f t="shared" ca="1" si="1"/>
        <v>EW_sand_Ruled_100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42</v>
      </c>
      <c r="R7" s="47">
        <f t="shared" ca="1" si="7"/>
        <v>37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48000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45000</v>
      </c>
      <c r="AD7" s="63">
        <f t="shared" ca="1" si="19"/>
        <v>6000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100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2.1</v>
      </c>
      <c r="BE7" s="2">
        <v>5</v>
      </c>
      <c r="BF7" s="2">
        <v>6.2</v>
      </c>
      <c r="BG7" s="2">
        <v>7.3</v>
      </c>
      <c r="BH7" s="2">
        <v>10.3</v>
      </c>
      <c r="BI7" s="2"/>
      <c r="BJ7" s="2"/>
      <c r="BK7" s="2"/>
      <c r="BL7" s="2"/>
      <c r="BM7" s="2"/>
      <c r="BN7" s="2">
        <v>87</v>
      </c>
      <c r="BO7" s="2">
        <v>29</v>
      </c>
      <c r="BP7" s="2">
        <v>38</v>
      </c>
      <c r="BQ7" s="2">
        <v>41</v>
      </c>
      <c r="BR7" s="2">
        <v>44</v>
      </c>
      <c r="BS7" s="2">
        <v>53</v>
      </c>
      <c r="BT7" s="2">
        <v>14</v>
      </c>
      <c r="BU7" s="2">
        <v>27</v>
      </c>
      <c r="BV7" s="2">
        <v>32</v>
      </c>
      <c r="BW7" s="2">
        <v>38</v>
      </c>
      <c r="BX7" s="2">
        <v>51</v>
      </c>
      <c r="BY7" s="2">
        <v>11.6</v>
      </c>
      <c r="BZ7" s="2">
        <v>1</v>
      </c>
      <c r="CA7" s="2">
        <v>0.5</v>
      </c>
      <c r="CB7" s="2">
        <v>5.08554668407683E-5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-2</v>
      </c>
      <c r="L8" s="116" t="str">
        <f t="shared" ca="1" si="1"/>
        <v>EW_sand_Ruled_89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40</v>
      </c>
      <c r="R8" s="47">
        <f t="shared" ca="1" si="7"/>
        <v>35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43900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57000</v>
      </c>
      <c r="AD8" s="63">
        <f t="shared" ca="1" si="19"/>
        <v>2666.6666666666665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89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12.8</v>
      </c>
      <c r="BE8" s="2">
        <v>13.5</v>
      </c>
      <c r="BF8" s="2">
        <v>13.8</v>
      </c>
      <c r="BG8" s="2">
        <v>14.1</v>
      </c>
      <c r="BH8" s="2">
        <v>14.8</v>
      </c>
      <c r="BI8" s="2"/>
      <c r="BJ8" s="2"/>
      <c r="BK8" s="2"/>
      <c r="BL8" s="2"/>
      <c r="BM8" s="2"/>
      <c r="BN8" s="2">
        <v>100</v>
      </c>
      <c r="BO8" s="2">
        <v>36</v>
      </c>
      <c r="BP8" s="2">
        <v>42</v>
      </c>
      <c r="BQ8" s="2">
        <v>46</v>
      </c>
      <c r="BR8" s="2">
        <v>49</v>
      </c>
      <c r="BS8" s="2">
        <v>54</v>
      </c>
      <c r="BT8" s="2">
        <v>5</v>
      </c>
      <c r="BU8" s="2">
        <v>33</v>
      </c>
      <c r="BV8" s="2">
        <v>45</v>
      </c>
      <c r="BW8" s="2">
        <v>57</v>
      </c>
      <c r="BX8" s="2">
        <v>85</v>
      </c>
      <c r="BY8" s="2">
        <v>48</v>
      </c>
      <c r="BZ8" s="2">
        <v>1</v>
      </c>
      <c r="CA8" s="2">
        <v>0.5</v>
      </c>
      <c r="CB8" s="2">
        <v>2.322248936449E-4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10a</v>
      </c>
      <c r="J9" s="47">
        <f t="shared" ca="1" si="35"/>
        <v>4</v>
      </c>
      <c r="K9" s="19">
        <f t="shared" ca="1" si="36"/>
        <v>-3.5</v>
      </c>
      <c r="L9" s="116" t="str">
        <f t="shared" ca="1" si="1"/>
        <v>EW_sand_Ruled_64</v>
      </c>
      <c r="M9" s="105" t="str">
        <f t="shared" ca="1" si="2"/>
        <v>API sand</v>
      </c>
      <c r="N9" s="47">
        <f t="shared" ca="1" si="3"/>
        <v>10</v>
      </c>
      <c r="O9" s="63">
        <f t="shared" ca="1" si="4"/>
        <v>0</v>
      </c>
      <c r="P9" s="63">
        <f t="shared" ca="1" si="5"/>
        <v>0</v>
      </c>
      <c r="Q9" s="47">
        <f t="shared" ca="1" si="6"/>
        <v>38</v>
      </c>
      <c r="R9" s="47">
        <f t="shared" ca="1" si="7"/>
        <v>33</v>
      </c>
      <c r="S9" s="47">
        <f t="shared" ca="1" si="8"/>
        <v>1.2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39000</v>
      </c>
      <c r="Y9" s="47">
        <f t="shared" ca="1" si="14"/>
        <v>0</v>
      </c>
      <c r="Z9" s="47">
        <f t="shared" ca="1" si="15"/>
        <v>107.39999999999996</v>
      </c>
      <c r="AA9" s="47">
        <f t="shared" ca="1" si="16"/>
        <v>1</v>
      </c>
      <c r="AB9" s="47">
        <f t="shared" ca="1" si="17"/>
        <v>11040</v>
      </c>
      <c r="AC9" s="63">
        <f t="shared" ca="1" si="18"/>
        <v>65000</v>
      </c>
      <c r="AD9" s="63">
        <f t="shared" ca="1" si="19"/>
        <v>2571.4285714285716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46.000000000000007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64</v>
      </c>
      <c r="AS9" s="33">
        <f t="shared" ca="1" si="34"/>
        <v>0.4</v>
      </c>
      <c r="AW9" s="2">
        <v>2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13.4</v>
      </c>
      <c r="BE9" s="2">
        <v>14.1</v>
      </c>
      <c r="BF9" s="2">
        <v>14.4</v>
      </c>
      <c r="BG9" s="2">
        <v>14.7</v>
      </c>
      <c r="BH9" s="2">
        <v>15.4</v>
      </c>
      <c r="BI9" s="2"/>
      <c r="BJ9" s="2"/>
      <c r="BK9" s="2"/>
      <c r="BL9" s="2"/>
      <c r="BM9" s="2"/>
      <c r="BN9" s="2">
        <v>100</v>
      </c>
      <c r="BO9" s="2">
        <v>36</v>
      </c>
      <c r="BP9" s="2">
        <v>42</v>
      </c>
      <c r="BQ9" s="2">
        <v>46</v>
      </c>
      <c r="BR9" s="2">
        <v>49</v>
      </c>
      <c r="BS9" s="2">
        <v>54</v>
      </c>
      <c r="BT9" s="2">
        <v>12</v>
      </c>
      <c r="BU9" s="2">
        <v>40</v>
      </c>
      <c r="BV9" s="2">
        <v>51</v>
      </c>
      <c r="BW9" s="2">
        <v>63</v>
      </c>
      <c r="BX9" s="2">
        <v>91</v>
      </c>
      <c r="BY9" s="2">
        <v>48</v>
      </c>
      <c r="BZ9" s="2">
        <v>1</v>
      </c>
      <c r="CA9" s="2">
        <v>0.5</v>
      </c>
      <c r="CB9" s="2">
        <v>2.322248936449E-4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10b</v>
      </c>
      <c r="J10" s="47">
        <f t="shared" ca="1" si="35"/>
        <v>5</v>
      </c>
      <c r="K10" s="19">
        <f t="shared" ca="1" si="36"/>
        <v>-7</v>
      </c>
      <c r="L10" s="116" t="str">
        <f t="shared" ca="1" si="1"/>
        <v>EW_sand_Ruled_62</v>
      </c>
      <c r="M10" s="105" t="str">
        <f t="shared" ca="1" si="2"/>
        <v>API sand</v>
      </c>
      <c r="N10" s="47">
        <f t="shared" ca="1" si="3"/>
        <v>9.8999999999999986</v>
      </c>
      <c r="O10" s="63">
        <f t="shared" ca="1" si="4"/>
        <v>0</v>
      </c>
      <c r="P10" s="63">
        <f t="shared" ca="1" si="5"/>
        <v>0</v>
      </c>
      <c r="Q10" s="47">
        <f t="shared" ca="1" si="6"/>
        <v>38</v>
      </c>
      <c r="R10" s="47">
        <f t="shared" ca="1" si="7"/>
        <v>33</v>
      </c>
      <c r="S10" s="47">
        <f t="shared" ca="1" si="8"/>
        <v>1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50700</v>
      </c>
      <c r="Y10" s="47">
        <f t="shared" ca="1" si="14"/>
        <v>0</v>
      </c>
      <c r="Z10" s="47">
        <f t="shared" ca="1" si="15"/>
        <v>107.39999999999996</v>
      </c>
      <c r="AA10" s="47">
        <f t="shared" ca="1" si="16"/>
        <v>1</v>
      </c>
      <c r="AB10" s="47">
        <f t="shared" ca="1" si="17"/>
        <v>11040</v>
      </c>
      <c r="AC10" s="63">
        <f t="shared" ca="1" si="18"/>
        <v>75000</v>
      </c>
      <c r="AD10" s="63">
        <f t="shared" ca="1" si="19"/>
        <v>8444.4444444444453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46.000000000000007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62</v>
      </c>
      <c r="AS10" s="33">
        <f t="shared" ca="1" si="34"/>
        <v>0.4</v>
      </c>
      <c r="AW10" s="2">
        <v>2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11.4</v>
      </c>
      <c r="BE10" s="2">
        <v>13.9</v>
      </c>
      <c r="BF10" s="2">
        <v>14.6</v>
      </c>
      <c r="BG10" s="2">
        <v>15.2</v>
      </c>
      <c r="BH10" s="2">
        <v>17.100000000000001</v>
      </c>
      <c r="BI10" s="2"/>
      <c r="BJ10" s="2"/>
      <c r="BK10" s="2"/>
      <c r="BL10" s="2"/>
      <c r="BM10" s="2"/>
      <c r="BN10" s="2">
        <v>89</v>
      </c>
      <c r="BO10" s="2">
        <v>35</v>
      </c>
      <c r="BP10" s="2">
        <v>40</v>
      </c>
      <c r="BQ10" s="2">
        <v>44</v>
      </c>
      <c r="BR10" s="2">
        <v>47</v>
      </c>
      <c r="BS10" s="2">
        <v>53</v>
      </c>
      <c r="BT10" s="2">
        <v>9</v>
      </c>
      <c r="BU10" s="2">
        <v>43</v>
      </c>
      <c r="BV10" s="2">
        <v>57</v>
      </c>
      <c r="BW10" s="2">
        <v>71</v>
      </c>
      <c r="BX10" s="2">
        <v>106</v>
      </c>
      <c r="BY10" s="2">
        <v>43.9</v>
      </c>
      <c r="BZ10" s="2">
        <v>1</v>
      </c>
      <c r="CA10" s="2">
        <v>0.5</v>
      </c>
      <c r="CB10" s="2">
        <v>4.7261468941687402E-5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15a</v>
      </c>
      <c r="J11" s="47">
        <f t="shared" ca="1" si="35"/>
        <v>6</v>
      </c>
      <c r="K11" s="19">
        <f t="shared" ca="1" si="36"/>
        <v>-11.5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9.3000000000000007</v>
      </c>
      <c r="O11" s="63">
        <f t="shared" ca="1" si="4"/>
        <v>362</v>
      </c>
      <c r="P11" s="63">
        <f t="shared" ca="1" si="5"/>
        <v>-65.2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0.25</v>
      </c>
      <c r="X11" s="47">
        <f t="shared" ca="1" si="13"/>
        <v>25400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446000</v>
      </c>
      <c r="AD11" s="63">
        <f t="shared" ca="1" si="19"/>
        <v>-80000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3.5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7.7</v>
      </c>
      <c r="BE11" s="2">
        <v>10.199999999999999</v>
      </c>
      <c r="BF11" s="2">
        <v>10.9</v>
      </c>
      <c r="BG11" s="2">
        <v>11.5</v>
      </c>
      <c r="BH11" s="2">
        <v>13.3</v>
      </c>
      <c r="BI11" s="2"/>
      <c r="BJ11" s="2"/>
      <c r="BK11" s="2"/>
      <c r="BL11" s="2"/>
      <c r="BM11" s="2"/>
      <c r="BN11" s="2">
        <v>89</v>
      </c>
      <c r="BO11" s="2">
        <v>35</v>
      </c>
      <c r="BP11" s="2">
        <v>40</v>
      </c>
      <c r="BQ11" s="2">
        <v>44</v>
      </c>
      <c r="BR11" s="2">
        <v>47</v>
      </c>
      <c r="BS11" s="2">
        <v>53</v>
      </c>
      <c r="BT11" s="2">
        <v>12</v>
      </c>
      <c r="BU11" s="2">
        <v>47</v>
      </c>
      <c r="BV11" s="2">
        <v>61</v>
      </c>
      <c r="BW11" s="2">
        <v>75</v>
      </c>
      <c r="BX11" s="2">
        <v>109</v>
      </c>
      <c r="BY11" s="2">
        <v>43.9</v>
      </c>
      <c r="BZ11" s="2">
        <v>1</v>
      </c>
      <c r="CA11" s="2">
        <v>0.5</v>
      </c>
      <c r="CB11" s="2">
        <v>4.7261468941687402E-5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15a</v>
      </c>
      <c r="J12" s="47">
        <f t="shared" ca="1" si="35"/>
        <v>7</v>
      </c>
      <c r="K12" s="19">
        <f t="shared" ca="1" si="36"/>
        <v>-14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9.3000000000000007</v>
      </c>
      <c r="O12" s="63">
        <f t="shared" ca="1" si="4"/>
        <v>397</v>
      </c>
      <c r="P12" s="63">
        <f t="shared" ca="1" si="5"/>
        <v>0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0.25</v>
      </c>
      <c r="X12" s="47">
        <f t="shared" ca="1" si="13"/>
        <v>33700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511000</v>
      </c>
      <c r="AD12" s="63">
        <f t="shared" ca="1" si="19"/>
        <v>0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3.5</v>
      </c>
      <c r="AX12" s="2" t="s">
        <v>259</v>
      </c>
      <c r="AY12" s="130">
        <v>25.5</v>
      </c>
      <c r="AZ12" s="2">
        <v>20</v>
      </c>
      <c r="BA12" s="2"/>
      <c r="BB12" s="2">
        <v>14</v>
      </c>
      <c r="BC12" s="2"/>
      <c r="BD12" s="2">
        <v>8.8000000000000007</v>
      </c>
      <c r="BE12" s="2">
        <v>10.4</v>
      </c>
      <c r="BF12" s="2">
        <v>10.7</v>
      </c>
      <c r="BG12" s="2">
        <v>11.1</v>
      </c>
      <c r="BH12" s="2">
        <f>5+13.3</f>
        <v>18.3</v>
      </c>
      <c r="BI12" s="2"/>
      <c r="BJ12" s="2"/>
      <c r="BK12" s="2"/>
      <c r="BL12" s="2"/>
      <c r="BM12" s="2"/>
      <c r="BN12" s="2">
        <v>64</v>
      </c>
      <c r="BO12" s="2">
        <v>32</v>
      </c>
      <c r="BP12" s="2">
        <v>38</v>
      </c>
      <c r="BQ12" s="2">
        <v>41</v>
      </c>
      <c r="BR12" s="2">
        <v>44</v>
      </c>
      <c r="BS12" s="2">
        <v>50</v>
      </c>
      <c r="BT12" s="2">
        <v>8</v>
      </c>
      <c r="BU12" s="2">
        <v>48</v>
      </c>
      <c r="BV12" s="2">
        <v>65</v>
      </c>
      <c r="BW12" s="2">
        <v>81</v>
      </c>
      <c r="BX12" s="2">
        <v>122</v>
      </c>
      <c r="BY12" s="2">
        <v>39</v>
      </c>
      <c r="BZ12" s="2">
        <v>4.5</v>
      </c>
      <c r="CA12" s="2">
        <v>1.2</v>
      </c>
      <c r="CB12" s="2">
        <v>2.7106251775194702E-6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19b</v>
      </c>
      <c r="J13" s="47">
        <f t="shared" ca="1" si="35"/>
        <v>8</v>
      </c>
      <c r="K13" s="19">
        <f t="shared" ca="1" si="36"/>
        <v>-18</v>
      </c>
      <c r="L13" s="116" t="str">
        <f t="shared" ca="1" si="1"/>
        <v>EW_sand_Ruled_61</v>
      </c>
      <c r="M13" s="105" t="str">
        <f t="shared" ca="1" si="2"/>
        <v>API sand</v>
      </c>
      <c r="N13" s="47">
        <f t="shared" ca="1" si="3"/>
        <v>8.5</v>
      </c>
      <c r="O13" s="63">
        <f t="shared" ca="1" si="4"/>
        <v>0</v>
      </c>
      <c r="P13" s="63">
        <f t="shared" ca="1" si="5"/>
        <v>0</v>
      </c>
      <c r="Q13" s="47">
        <f t="shared" ca="1" si="6"/>
        <v>26</v>
      </c>
      <c r="R13" s="47">
        <f t="shared" ca="1" si="7"/>
        <v>21</v>
      </c>
      <c r="S13" s="47">
        <f t="shared" ca="1" si="8"/>
        <v>0.8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19900</v>
      </c>
      <c r="Y13" s="47">
        <f t="shared" ca="1" si="14"/>
        <v>0</v>
      </c>
      <c r="Z13" s="47">
        <f t="shared" ca="1" si="15"/>
        <v>69.799999999999983</v>
      </c>
      <c r="AA13" s="47">
        <f t="shared" ca="1" si="16"/>
        <v>1</v>
      </c>
      <c r="AB13" s="47">
        <f t="shared" ca="1" si="17"/>
        <v>3280</v>
      </c>
      <c r="AC13" s="63">
        <f t="shared" ca="1" si="18"/>
        <v>115000</v>
      </c>
      <c r="AD13" s="63">
        <f t="shared" ca="1" si="19"/>
        <v>125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13.600000000000003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61</v>
      </c>
      <c r="AS13" s="33">
        <f t="shared" ca="1" si="34"/>
        <v>0.2</v>
      </c>
      <c r="AW13" s="2">
        <v>7</v>
      </c>
      <c r="AX13" s="2" t="s">
        <v>259</v>
      </c>
      <c r="AY13" s="130">
        <v>25.5</v>
      </c>
      <c r="AZ13" s="2">
        <v>20</v>
      </c>
      <c r="BA13" s="2"/>
      <c r="BB13" s="2">
        <v>14</v>
      </c>
      <c r="BC13" s="2"/>
      <c r="BD13" s="2">
        <f>-3+5.7</f>
        <v>2.7</v>
      </c>
      <c r="BE13" s="2">
        <v>7.3</v>
      </c>
      <c r="BF13" s="2">
        <v>7.6</v>
      </c>
      <c r="BG13" s="2">
        <v>8</v>
      </c>
      <c r="BH13" s="2">
        <f>5+10.2</f>
        <v>15.2</v>
      </c>
      <c r="BI13" s="2"/>
      <c r="BJ13" s="2"/>
      <c r="BK13" s="2"/>
      <c r="BL13" s="2"/>
      <c r="BM13" s="2"/>
      <c r="BN13" s="2">
        <v>64</v>
      </c>
      <c r="BO13" s="2">
        <v>32</v>
      </c>
      <c r="BP13" s="2">
        <v>38</v>
      </c>
      <c r="BQ13" s="2">
        <v>41</v>
      </c>
      <c r="BR13" s="2">
        <v>44</v>
      </c>
      <c r="BS13" s="2">
        <v>50</v>
      </c>
      <c r="BT13" s="2">
        <v>17</v>
      </c>
      <c r="BU13" s="2">
        <v>58</v>
      </c>
      <c r="BV13" s="2">
        <v>74</v>
      </c>
      <c r="BW13" s="2">
        <v>91</v>
      </c>
      <c r="BX13" s="2">
        <v>131</v>
      </c>
      <c r="BY13" s="2">
        <v>39</v>
      </c>
      <c r="BZ13" s="2">
        <v>4.5</v>
      </c>
      <c r="CA13" s="2">
        <v>1.2</v>
      </c>
      <c r="CB13" s="2">
        <v>2.7106251775194702E-6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19b</v>
      </c>
      <c r="J14" s="47">
        <f t="shared" ca="1" si="35"/>
        <v>9</v>
      </c>
      <c r="K14" s="19">
        <f t="shared" ca="1" si="36"/>
        <v>-26</v>
      </c>
      <c r="L14" s="116" t="str">
        <f t="shared" ca="1" si="1"/>
        <v>EW_sand_Ruled_83</v>
      </c>
      <c r="M14" s="105" t="str">
        <f t="shared" ca="1" si="2"/>
        <v>API sand</v>
      </c>
      <c r="N14" s="47">
        <f t="shared" ca="1" si="3"/>
        <v>8.5</v>
      </c>
      <c r="O14" s="63">
        <f t="shared" ca="1" si="4"/>
        <v>0</v>
      </c>
      <c r="P14" s="63">
        <f t="shared" ca="1" si="5"/>
        <v>0</v>
      </c>
      <c r="Q14" s="47">
        <f t="shared" ca="1" si="6"/>
        <v>29</v>
      </c>
      <c r="R14" s="47">
        <f t="shared" ca="1" si="7"/>
        <v>24</v>
      </c>
      <c r="S14" s="47">
        <f t="shared" ca="1" si="8"/>
        <v>1.3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30000</v>
      </c>
      <c r="Y14" s="47">
        <f t="shared" ca="1" si="14"/>
        <v>0</v>
      </c>
      <c r="Z14" s="47">
        <f t="shared" ca="1" si="15"/>
        <v>78.199999999999974</v>
      </c>
      <c r="AA14" s="47">
        <f t="shared" ca="1" si="16"/>
        <v>1</v>
      </c>
      <c r="AB14" s="47">
        <f t="shared" ca="1" si="17"/>
        <v>4420</v>
      </c>
      <c r="AC14" s="63">
        <f t="shared" ca="1" si="18"/>
        <v>158000</v>
      </c>
      <c r="AD14" s="63">
        <f t="shared" ca="1" si="19"/>
        <v>5666.666666666667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18.400000000000006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83</v>
      </c>
      <c r="AS14" s="33">
        <f t="shared" ca="1" si="34"/>
        <v>0.2</v>
      </c>
      <c r="AW14" s="2">
        <v>7</v>
      </c>
      <c r="AX14" s="2" t="s">
        <v>261</v>
      </c>
      <c r="AY14" s="130">
        <v>24</v>
      </c>
      <c r="AZ14" s="2">
        <v>19.899999999999999</v>
      </c>
      <c r="BA14" s="2"/>
      <c r="BB14" s="2">
        <v>6</v>
      </c>
      <c r="BC14" s="2"/>
      <c r="BD14" s="2">
        <f>-3+4</f>
        <v>1</v>
      </c>
      <c r="BE14" s="2">
        <v>6.5</v>
      </c>
      <c r="BF14" s="2">
        <v>6.9</v>
      </c>
      <c r="BG14" s="2">
        <v>7.4</v>
      </c>
      <c r="BH14" s="2">
        <v>10.5</v>
      </c>
      <c r="BI14" s="2"/>
      <c r="BJ14" s="2"/>
      <c r="BK14" s="2"/>
      <c r="BL14" s="2"/>
      <c r="BM14" s="2"/>
      <c r="BN14" s="2">
        <v>62</v>
      </c>
      <c r="BO14" s="2">
        <v>32</v>
      </c>
      <c r="BP14" s="2">
        <v>38</v>
      </c>
      <c r="BQ14" s="2">
        <v>41</v>
      </c>
      <c r="BR14" s="2">
        <v>44</v>
      </c>
      <c r="BS14" s="2">
        <v>50</v>
      </c>
      <c r="BT14" s="2">
        <v>7</v>
      </c>
      <c r="BU14" s="2">
        <v>53</v>
      </c>
      <c r="BV14" s="2">
        <v>75</v>
      </c>
      <c r="BW14" s="2">
        <v>97</v>
      </c>
      <c r="BX14" s="2">
        <v>152</v>
      </c>
      <c r="BY14" s="2">
        <v>50.7</v>
      </c>
      <c r="BZ14" s="2">
        <v>3.2</v>
      </c>
      <c r="CA14" s="2">
        <v>1</v>
      </c>
      <c r="CB14" s="2">
        <v>1.5421326389173399E-6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19b</v>
      </c>
      <c r="J15" s="47">
        <f t="shared" ca="1" si="35"/>
        <v>10</v>
      </c>
      <c r="K15" s="19">
        <f t="shared" ca="1" si="36"/>
        <v>-29</v>
      </c>
      <c r="L15" s="116" t="str">
        <f t="shared" ca="1" si="1"/>
        <v>EW_sand_Ruled_72</v>
      </c>
      <c r="M15" s="105" t="str">
        <f t="shared" ca="1" si="2"/>
        <v>API sand</v>
      </c>
      <c r="N15" s="47">
        <f t="shared" ca="1" si="3"/>
        <v>8.5</v>
      </c>
      <c r="O15" s="63">
        <f t="shared" ca="1" si="4"/>
        <v>0</v>
      </c>
      <c r="P15" s="63">
        <f t="shared" ca="1" si="5"/>
        <v>0</v>
      </c>
      <c r="Q15" s="47">
        <f t="shared" ca="1" si="6"/>
        <v>27</v>
      </c>
      <c r="R15" s="47">
        <f t="shared" ca="1" si="7"/>
        <v>22</v>
      </c>
      <c r="S15" s="47">
        <f t="shared" ca="1" si="8"/>
        <v>0.8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30000</v>
      </c>
      <c r="Y15" s="47">
        <f t="shared" ca="1" si="14"/>
        <v>0</v>
      </c>
      <c r="Z15" s="47">
        <f t="shared" ca="1" si="15"/>
        <v>72.59999999999998</v>
      </c>
      <c r="AA15" s="47">
        <f t="shared" ca="1" si="16"/>
        <v>1</v>
      </c>
      <c r="AB15" s="47">
        <f t="shared" ca="1" si="17"/>
        <v>3660</v>
      </c>
      <c r="AC15" s="63">
        <f t="shared" ca="1" si="18"/>
        <v>146000</v>
      </c>
      <c r="AD15" s="63">
        <f t="shared" ca="1" si="19"/>
        <v>2710.2803738317757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15.200000000000003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72</v>
      </c>
      <c r="AS15" s="33">
        <f t="shared" ca="1" si="34"/>
        <v>0.2</v>
      </c>
      <c r="AW15" s="2">
        <v>11.5</v>
      </c>
      <c r="AX15" s="2" t="s">
        <v>261</v>
      </c>
      <c r="AY15" s="130">
        <v>24</v>
      </c>
      <c r="AZ15" s="2">
        <v>19.899999999999999</v>
      </c>
      <c r="BA15" s="2"/>
      <c r="BB15" s="2">
        <v>6</v>
      </c>
      <c r="BC15" s="2"/>
      <c r="BD15" s="2">
        <v>15.5</v>
      </c>
      <c r="BE15" s="2">
        <v>18</v>
      </c>
      <c r="BF15" s="2">
        <v>18.399999999999999</v>
      </c>
      <c r="BG15" s="2">
        <v>18.8</v>
      </c>
      <c r="BH15" s="2">
        <v>21.9</v>
      </c>
      <c r="BI15" s="2"/>
      <c r="BJ15" s="2"/>
      <c r="BK15" s="2"/>
      <c r="BL15" s="2"/>
      <c r="BM15" s="2"/>
      <c r="BN15" s="2">
        <v>62</v>
      </c>
      <c r="BO15" s="2">
        <v>32</v>
      </c>
      <c r="BP15" s="2">
        <v>38</v>
      </c>
      <c r="BQ15" s="2">
        <v>41</v>
      </c>
      <c r="BR15" s="2">
        <v>44</v>
      </c>
      <c r="BS15" s="2">
        <v>50</v>
      </c>
      <c r="BT15" s="2">
        <v>44</v>
      </c>
      <c r="BU15" s="2">
        <v>91</v>
      </c>
      <c r="BV15" s="2">
        <v>113</v>
      </c>
      <c r="BW15" s="2">
        <v>135</v>
      </c>
      <c r="BX15" s="2">
        <v>190</v>
      </c>
      <c r="BY15" s="2">
        <v>50.7</v>
      </c>
      <c r="BZ15" s="2">
        <v>3.2</v>
      </c>
      <c r="CA15" s="2">
        <v>1</v>
      </c>
      <c r="CB15" s="2">
        <v>1.5421326389173399E-6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21a</v>
      </c>
      <c r="J16" s="47">
        <f t="shared" ca="1" si="35"/>
        <v>11</v>
      </c>
      <c r="K16" s="19">
        <f t="shared" ca="1" si="36"/>
        <v>-50.4</v>
      </c>
      <c r="L16" s="116" t="str">
        <f t="shared" ca="1" si="1"/>
        <v>EW_sand_Ruled_73</v>
      </c>
      <c r="M16" s="105" t="str">
        <f t="shared" ca="1" si="2"/>
        <v>API sand</v>
      </c>
      <c r="N16" s="47">
        <f t="shared" ca="1" si="3"/>
        <v>9.8000000000000007</v>
      </c>
      <c r="O16" s="63">
        <f t="shared" ca="1" si="4"/>
        <v>0</v>
      </c>
      <c r="P16" s="63">
        <f t="shared" ca="1" si="5"/>
        <v>0</v>
      </c>
      <c r="Q16" s="47">
        <f t="shared" ca="1" si="6"/>
        <v>28</v>
      </c>
      <c r="R16" s="47">
        <f t="shared" ca="1" si="7"/>
        <v>23</v>
      </c>
      <c r="S16" s="47">
        <f t="shared" ca="1" si="8"/>
        <v>0.9</v>
      </c>
      <c r="T16" s="47">
        <f t="shared" ca="1" si="9"/>
        <v>0</v>
      </c>
      <c r="U16" s="75">
        <f t="shared" ca="1" si="10"/>
        <v>0</v>
      </c>
      <c r="V16" s="75">
        <f t="shared" ca="1" si="11"/>
        <v>0</v>
      </c>
      <c r="W16" s="47">
        <f t="shared" ca="1" si="12"/>
        <v>0</v>
      </c>
      <c r="X16" s="47">
        <f t="shared" ca="1" si="13"/>
        <v>45000</v>
      </c>
      <c r="Y16" s="47">
        <f t="shared" ca="1" si="14"/>
        <v>0</v>
      </c>
      <c r="Z16" s="47">
        <f t="shared" ca="1" si="15"/>
        <v>75.399999999999977</v>
      </c>
      <c r="AA16" s="47">
        <f t="shared" ca="1" si="16"/>
        <v>1</v>
      </c>
      <c r="AB16" s="47">
        <f t="shared" ca="1" si="17"/>
        <v>4040</v>
      </c>
      <c r="AC16" s="63">
        <f t="shared" ca="1" si="18"/>
        <v>196000</v>
      </c>
      <c r="AD16" s="63">
        <f t="shared" ca="1" si="19"/>
        <v>3306.4516129032259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>
        <f t="shared" ca="1" si="25"/>
        <v>16.800000000000004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73</v>
      </c>
      <c r="AS16" s="33">
        <f t="shared" ca="1" si="34"/>
        <v>0.2</v>
      </c>
      <c r="AW16" s="2">
        <v>11.5</v>
      </c>
      <c r="AX16" s="2" t="s">
        <v>305</v>
      </c>
      <c r="AY16" s="130">
        <v>28.5</v>
      </c>
      <c r="AZ16" s="2">
        <v>19.3</v>
      </c>
      <c r="BA16" s="2">
        <v>16</v>
      </c>
      <c r="BB16" s="2">
        <v>49</v>
      </c>
      <c r="BC16" s="2">
        <v>5</v>
      </c>
      <c r="BD16" s="2">
        <v>6.5</v>
      </c>
      <c r="BE16" s="2">
        <v>7.4</v>
      </c>
      <c r="BF16" s="2">
        <v>7.7</v>
      </c>
      <c r="BG16" s="2">
        <v>7.9</v>
      </c>
      <c r="BH16" s="2">
        <v>8.8000000000000007</v>
      </c>
      <c r="BI16" s="2">
        <v>242</v>
      </c>
      <c r="BJ16" s="2">
        <v>362</v>
      </c>
      <c r="BK16" s="2">
        <v>413</v>
      </c>
      <c r="BL16" s="2">
        <v>466</v>
      </c>
      <c r="BM16" s="2">
        <v>584</v>
      </c>
      <c r="BN16" s="2"/>
      <c r="BO16" s="2"/>
      <c r="BP16" s="2"/>
      <c r="BQ16" s="2"/>
      <c r="BR16" s="2"/>
      <c r="BS16" s="2"/>
      <c r="BT16" s="2">
        <v>214</v>
      </c>
      <c r="BU16" s="2">
        <v>360</v>
      </c>
      <c r="BV16" s="2">
        <v>446</v>
      </c>
      <c r="BW16" s="2">
        <v>531</v>
      </c>
      <c r="BX16" s="2">
        <v>708</v>
      </c>
      <c r="BY16" s="2">
        <v>25.4</v>
      </c>
      <c r="BZ16" s="2">
        <v>14.4</v>
      </c>
      <c r="CA16" s="2">
        <v>3</v>
      </c>
      <c r="CB16" s="2">
        <v>2.4096910053713799E-8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23d</v>
      </c>
      <c r="J17" s="47">
        <f t="shared" ca="1" si="35"/>
        <v>12</v>
      </c>
      <c r="K17" s="19">
        <f t="shared" ca="1" si="36"/>
        <v>-62.8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8.8999999999999986</v>
      </c>
      <c r="O17" s="63">
        <f t="shared" ca="1" si="4"/>
        <v>468</v>
      </c>
      <c r="P17" s="63">
        <f t="shared" ca="1" si="5"/>
        <v>5.7558139534883708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2.1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45800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725000</v>
      </c>
      <c r="AD17" s="63">
        <f t="shared" ca="1" si="19"/>
        <v>10755.81395348837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14</v>
      </c>
      <c r="AX17" s="2" t="s">
        <v>305</v>
      </c>
      <c r="AY17" s="130">
        <v>28.5</v>
      </c>
      <c r="AZ17" s="2">
        <v>19.3</v>
      </c>
      <c r="BA17" s="2">
        <v>16</v>
      </c>
      <c r="BB17" s="2">
        <v>49</v>
      </c>
      <c r="BC17" s="2">
        <v>5</v>
      </c>
      <c r="BD17" s="2">
        <v>3.6</v>
      </c>
      <c r="BE17" s="2">
        <v>4.5999999999999996</v>
      </c>
      <c r="BF17" s="2">
        <v>4.8</v>
      </c>
      <c r="BG17" s="2">
        <v>5</v>
      </c>
      <c r="BH17" s="2">
        <v>5.9</v>
      </c>
      <c r="BI17" s="2">
        <v>80</v>
      </c>
      <c r="BJ17" s="2">
        <v>199</v>
      </c>
      <c r="BK17" s="2">
        <v>251</v>
      </c>
      <c r="BL17" s="2">
        <v>303</v>
      </c>
      <c r="BM17" s="2">
        <v>422</v>
      </c>
      <c r="BN17" s="2"/>
      <c r="BO17" s="2"/>
      <c r="BP17" s="2"/>
      <c r="BQ17" s="2"/>
      <c r="BR17" s="2"/>
      <c r="BS17" s="2"/>
      <c r="BT17" s="2">
        <v>14</v>
      </c>
      <c r="BU17" s="2">
        <v>160</v>
      </c>
      <c r="BV17" s="2">
        <v>246</v>
      </c>
      <c r="BW17" s="2">
        <v>331</v>
      </c>
      <c r="BX17" s="2">
        <v>508</v>
      </c>
      <c r="BY17" s="2">
        <v>25.4</v>
      </c>
      <c r="BZ17" s="2">
        <v>14.4</v>
      </c>
      <c r="CA17" s="2">
        <v>3</v>
      </c>
      <c r="CB17" s="2">
        <v>2.4096910053713799E-8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14</v>
      </c>
      <c r="AX18" s="2" t="s">
        <v>305</v>
      </c>
      <c r="AY18" s="130">
        <v>28.5</v>
      </c>
      <c r="AZ18" s="2">
        <v>19.3</v>
      </c>
      <c r="BA18" s="2">
        <v>16</v>
      </c>
      <c r="BB18" s="2">
        <v>49</v>
      </c>
      <c r="BC18" s="2">
        <v>5</v>
      </c>
      <c r="BD18" s="2">
        <v>4.5</v>
      </c>
      <c r="BE18" s="2">
        <v>7.9</v>
      </c>
      <c r="BF18" s="2">
        <v>8.5</v>
      </c>
      <c r="BG18" s="2">
        <v>8.9</v>
      </c>
      <c r="BH18" s="2">
        <v>11.5</v>
      </c>
      <c r="BI18" s="2">
        <v>183</v>
      </c>
      <c r="BJ18" s="2">
        <v>397</v>
      </c>
      <c r="BK18" s="2">
        <v>455</v>
      </c>
      <c r="BL18" s="2">
        <v>512</v>
      </c>
      <c r="BM18" s="2">
        <v>687</v>
      </c>
      <c r="BN18" s="2"/>
      <c r="BO18" s="2"/>
      <c r="BP18" s="2"/>
      <c r="BQ18" s="2"/>
      <c r="BR18" s="2"/>
      <c r="BS18" s="2"/>
      <c r="BT18" s="2">
        <v>130</v>
      </c>
      <c r="BU18" s="2">
        <v>417</v>
      </c>
      <c r="BV18" s="2">
        <v>511</v>
      </c>
      <c r="BW18" s="2">
        <v>601</v>
      </c>
      <c r="BX18" s="2">
        <v>845</v>
      </c>
      <c r="BY18" s="2">
        <v>33.700000000000003</v>
      </c>
      <c r="BZ18" s="2">
        <v>16.100000000000001</v>
      </c>
      <c r="CA18" s="2">
        <v>3</v>
      </c>
      <c r="CB18" s="2">
        <v>4.9532746282949102E-9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18</v>
      </c>
      <c r="AX19" s="2" t="s">
        <v>305</v>
      </c>
      <c r="AY19" s="130">
        <v>28.5</v>
      </c>
      <c r="AZ19" s="2">
        <v>19.3</v>
      </c>
      <c r="BA19" s="2">
        <v>16</v>
      </c>
      <c r="BB19" s="2">
        <v>49</v>
      </c>
      <c r="BC19" s="2">
        <v>5</v>
      </c>
      <c r="BD19" s="2">
        <v>4.5999999999999996</v>
      </c>
      <c r="BE19" s="2">
        <v>8</v>
      </c>
      <c r="BF19" s="2">
        <v>8.6</v>
      </c>
      <c r="BG19" s="2">
        <v>9</v>
      </c>
      <c r="BH19" s="2">
        <v>11.5</v>
      </c>
      <c r="BI19" s="2">
        <v>183</v>
      </c>
      <c r="BJ19" s="2">
        <v>397</v>
      </c>
      <c r="BK19" s="2">
        <v>455</v>
      </c>
      <c r="BL19" s="2">
        <v>512</v>
      </c>
      <c r="BM19" s="2">
        <v>687</v>
      </c>
      <c r="BN19" s="2"/>
      <c r="BO19" s="2"/>
      <c r="BP19" s="2"/>
      <c r="BQ19" s="2"/>
      <c r="BR19" s="2"/>
      <c r="BS19" s="2"/>
      <c r="BT19" s="2">
        <v>130</v>
      </c>
      <c r="BU19" s="2">
        <v>418</v>
      </c>
      <c r="BV19" s="2">
        <v>511</v>
      </c>
      <c r="BW19" s="2">
        <v>602</v>
      </c>
      <c r="BX19" s="2">
        <v>846</v>
      </c>
      <c r="BY19" s="2">
        <v>33.700000000000003</v>
      </c>
      <c r="BZ19" s="2">
        <v>16.100000000000001</v>
      </c>
      <c r="CA19" s="2">
        <v>3</v>
      </c>
      <c r="CB19" s="2">
        <v>4.9532746282949102E-9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18</v>
      </c>
      <c r="AX20" s="2" t="s">
        <v>291</v>
      </c>
      <c r="AY20" s="130">
        <v>35.4</v>
      </c>
      <c r="AZ20" s="2">
        <v>18.5</v>
      </c>
      <c r="BA20" s="2"/>
      <c r="BB20" s="2">
        <v>54</v>
      </c>
      <c r="BC20" s="2"/>
      <c r="BD20" s="2">
        <v>7.9</v>
      </c>
      <c r="BE20" s="2">
        <v>10.7</v>
      </c>
      <c r="BF20" s="2">
        <v>11</v>
      </c>
      <c r="BG20" s="2">
        <v>11.8</v>
      </c>
      <c r="BH20" s="2">
        <v>20</v>
      </c>
      <c r="BI20" s="2"/>
      <c r="BJ20" s="2"/>
      <c r="BK20" s="2"/>
      <c r="BL20" s="2"/>
      <c r="BM20" s="2"/>
      <c r="BN20" s="2">
        <v>61</v>
      </c>
      <c r="BO20" s="2">
        <v>26</v>
      </c>
      <c r="BP20" s="2">
        <v>26</v>
      </c>
      <c r="BQ20" s="2">
        <v>28</v>
      </c>
      <c r="BR20" s="2">
        <v>31</v>
      </c>
      <c r="BS20" s="2">
        <v>35</v>
      </c>
      <c r="BT20" s="2">
        <v>25</v>
      </c>
      <c r="BU20" s="2">
        <v>88</v>
      </c>
      <c r="BV20" s="2">
        <v>115</v>
      </c>
      <c r="BW20" s="2">
        <v>143</v>
      </c>
      <c r="BX20" s="2">
        <v>212</v>
      </c>
      <c r="BY20" s="2">
        <v>19.899999999999999</v>
      </c>
      <c r="BZ20" s="2">
        <v>2.2999999999999998</v>
      </c>
      <c r="CA20" s="2">
        <v>0.8</v>
      </c>
      <c r="CB20" s="2">
        <v>9.3414399642712701E-10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26</v>
      </c>
      <c r="AX21" s="2" t="s">
        <v>291</v>
      </c>
      <c r="AY21" s="130">
        <v>35.4</v>
      </c>
      <c r="AZ21" s="2">
        <v>18.5</v>
      </c>
      <c r="BA21" s="2"/>
      <c r="BB21" s="2">
        <v>54</v>
      </c>
      <c r="BC21" s="2"/>
      <c r="BD21" s="2">
        <v>3.4</v>
      </c>
      <c r="BE21" s="2">
        <v>6.2</v>
      </c>
      <c r="BF21" s="2">
        <v>6.6</v>
      </c>
      <c r="BG21" s="2">
        <v>7.4</v>
      </c>
      <c r="BH21" s="2">
        <v>15.5</v>
      </c>
      <c r="BI21" s="2"/>
      <c r="BJ21" s="2"/>
      <c r="BK21" s="2"/>
      <c r="BL21" s="2"/>
      <c r="BM21" s="2"/>
      <c r="BN21" s="2">
        <v>61</v>
      </c>
      <c r="BO21" s="2">
        <v>26</v>
      </c>
      <c r="BP21" s="2">
        <v>26</v>
      </c>
      <c r="BQ21" s="2">
        <v>28</v>
      </c>
      <c r="BR21" s="2">
        <v>31</v>
      </c>
      <c r="BS21" s="2">
        <v>35</v>
      </c>
      <c r="BT21" s="2">
        <v>25</v>
      </c>
      <c r="BU21" s="2">
        <v>89</v>
      </c>
      <c r="BV21" s="2">
        <v>116</v>
      </c>
      <c r="BW21" s="2">
        <v>143</v>
      </c>
      <c r="BX21" s="2">
        <v>212</v>
      </c>
      <c r="BY21" s="2">
        <v>19.899999999999999</v>
      </c>
      <c r="BZ21" s="2">
        <v>2.2999999999999998</v>
      </c>
      <c r="CA21" s="2">
        <v>0.8</v>
      </c>
      <c r="CB21" s="2">
        <v>9.3414399642712701E-10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26</v>
      </c>
      <c r="AX22" s="2" t="s">
        <v>291</v>
      </c>
      <c r="AY22" s="130">
        <v>35.4</v>
      </c>
      <c r="AZ22" s="2">
        <v>18.5</v>
      </c>
      <c r="BA22" s="2"/>
      <c r="BB22" s="2">
        <v>54</v>
      </c>
      <c r="BC22" s="2"/>
      <c r="BD22" s="2">
        <v>6.2</v>
      </c>
      <c r="BE22" s="2">
        <v>18.899999999999999</v>
      </c>
      <c r="BF22" s="2">
        <v>22.1</v>
      </c>
      <c r="BG22" s="2">
        <v>25.3</v>
      </c>
      <c r="BH22" s="2">
        <v>38</v>
      </c>
      <c r="BI22" s="2"/>
      <c r="BJ22" s="2"/>
      <c r="BK22" s="2"/>
      <c r="BL22" s="2"/>
      <c r="BM22" s="2"/>
      <c r="BN22" s="2">
        <v>83</v>
      </c>
      <c r="BO22" s="2">
        <v>26</v>
      </c>
      <c r="BP22" s="2">
        <v>29</v>
      </c>
      <c r="BQ22" s="2">
        <v>31</v>
      </c>
      <c r="BR22" s="2">
        <v>33</v>
      </c>
      <c r="BS22" s="2">
        <v>38</v>
      </c>
      <c r="BT22" s="2">
        <v>26</v>
      </c>
      <c r="BU22" s="2">
        <v>118</v>
      </c>
      <c r="BV22" s="2">
        <v>158</v>
      </c>
      <c r="BW22" s="2">
        <v>197</v>
      </c>
      <c r="BX22" s="2">
        <v>296</v>
      </c>
      <c r="BY22" s="2">
        <v>30</v>
      </c>
      <c r="BZ22" s="2">
        <v>4.8</v>
      </c>
      <c r="CA22" s="2">
        <v>1.3</v>
      </c>
      <c r="CB22" s="2">
        <v>1.7511684532276901E-7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29</v>
      </c>
      <c r="AX23" s="2" t="s">
        <v>291</v>
      </c>
      <c r="AY23" s="130">
        <v>35.4</v>
      </c>
      <c r="AZ23" s="2">
        <v>18.5</v>
      </c>
      <c r="BA23" s="2"/>
      <c r="BB23" s="2">
        <v>54</v>
      </c>
      <c r="BC23" s="2"/>
      <c r="BD23" s="2">
        <v>17.600000000000001</v>
      </c>
      <c r="BE23" s="2">
        <v>30.3</v>
      </c>
      <c r="BF23" s="2">
        <v>33.6</v>
      </c>
      <c r="BG23" s="2">
        <v>36.799999999999997</v>
      </c>
      <c r="BH23" s="2">
        <v>49.4</v>
      </c>
      <c r="BI23" s="2"/>
      <c r="BJ23" s="2"/>
      <c r="BK23" s="2"/>
      <c r="BL23" s="2"/>
      <c r="BM23" s="2"/>
      <c r="BN23" s="2">
        <v>83</v>
      </c>
      <c r="BO23" s="2">
        <v>26</v>
      </c>
      <c r="BP23" s="2">
        <v>29</v>
      </c>
      <c r="BQ23" s="2">
        <v>31</v>
      </c>
      <c r="BR23" s="2">
        <v>33</v>
      </c>
      <c r="BS23" s="2">
        <v>38</v>
      </c>
      <c r="BT23" s="2">
        <v>43</v>
      </c>
      <c r="BU23" s="2">
        <v>136</v>
      </c>
      <c r="BV23" s="2">
        <v>175</v>
      </c>
      <c r="BW23" s="2">
        <v>214</v>
      </c>
      <c r="BX23" s="2">
        <v>313</v>
      </c>
      <c r="BY23" s="2">
        <v>30</v>
      </c>
      <c r="BZ23" s="2">
        <v>4.8</v>
      </c>
      <c r="CA23" s="2">
        <v>1.3</v>
      </c>
      <c r="CB23" s="2">
        <v>1.7511684532276901E-7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29</v>
      </c>
      <c r="AX24" s="2" t="s">
        <v>291</v>
      </c>
      <c r="AY24" s="130">
        <v>35.4</v>
      </c>
      <c r="AZ24" s="2">
        <v>18.5</v>
      </c>
      <c r="BA24" s="2"/>
      <c r="BB24" s="2">
        <v>54</v>
      </c>
      <c r="BC24" s="2"/>
      <c r="BD24" s="2">
        <v>1</v>
      </c>
      <c r="BE24" s="2">
        <v>11.2</v>
      </c>
      <c r="BF24" s="2">
        <v>12.5</v>
      </c>
      <c r="BG24" s="2">
        <v>13.8</v>
      </c>
      <c r="BH24" s="2">
        <v>31</v>
      </c>
      <c r="BI24" s="2"/>
      <c r="BJ24" s="2"/>
      <c r="BK24" s="2"/>
      <c r="BL24" s="2"/>
      <c r="BM24" s="2"/>
      <c r="BN24" s="2">
        <v>72</v>
      </c>
      <c r="BO24" s="2">
        <v>26</v>
      </c>
      <c r="BP24" s="2">
        <v>27</v>
      </c>
      <c r="BQ24" s="2">
        <v>30</v>
      </c>
      <c r="BR24" s="2">
        <v>32</v>
      </c>
      <c r="BS24" s="2">
        <v>37</v>
      </c>
      <c r="BT24" s="2">
        <v>29</v>
      </c>
      <c r="BU24" s="2">
        <v>105</v>
      </c>
      <c r="BV24" s="2">
        <v>146</v>
      </c>
      <c r="BW24" s="2">
        <v>186</v>
      </c>
      <c r="BX24" s="2">
        <v>292</v>
      </c>
      <c r="BY24" s="2">
        <v>30</v>
      </c>
      <c r="BZ24" s="2">
        <v>2.4</v>
      </c>
      <c r="CA24" s="2">
        <v>0.8</v>
      </c>
      <c r="CB24" s="2">
        <v>4.1697997885450701E-10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50.4</v>
      </c>
      <c r="AX25" s="2" t="s">
        <v>291</v>
      </c>
      <c r="AY25" s="130">
        <v>35.4</v>
      </c>
      <c r="AZ25" s="2">
        <v>18.5</v>
      </c>
      <c r="BA25" s="2"/>
      <c r="BB25" s="2">
        <v>54</v>
      </c>
      <c r="BC25" s="2"/>
      <c r="BD25" s="2">
        <v>14.7</v>
      </c>
      <c r="BE25" s="2">
        <v>24.9</v>
      </c>
      <c r="BF25" s="2">
        <v>26.1</v>
      </c>
      <c r="BG25" s="2">
        <v>27.4</v>
      </c>
      <c r="BH25" s="2">
        <v>44.6</v>
      </c>
      <c r="BI25" s="2"/>
      <c r="BJ25" s="2"/>
      <c r="BK25" s="2"/>
      <c r="BL25" s="2"/>
      <c r="BM25" s="2"/>
      <c r="BN25" s="2">
        <v>72</v>
      </c>
      <c r="BO25" s="2">
        <v>26</v>
      </c>
      <c r="BP25" s="2">
        <v>27</v>
      </c>
      <c r="BQ25" s="2">
        <v>30</v>
      </c>
      <c r="BR25" s="2">
        <v>32</v>
      </c>
      <c r="BS25" s="2">
        <v>37</v>
      </c>
      <c r="BT25" s="2">
        <v>87</v>
      </c>
      <c r="BU25" s="2">
        <v>164</v>
      </c>
      <c r="BV25" s="2">
        <v>204</v>
      </c>
      <c r="BW25" s="2">
        <v>245</v>
      </c>
      <c r="BX25" s="2">
        <v>351</v>
      </c>
      <c r="BY25" s="2">
        <v>30</v>
      </c>
      <c r="BZ25" s="2">
        <v>2.4</v>
      </c>
      <c r="CA25" s="2">
        <v>0.8</v>
      </c>
      <c r="CB25" s="2">
        <v>4.1697997885450701E-10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50.4</v>
      </c>
      <c r="AX26" s="2" t="s">
        <v>271</v>
      </c>
      <c r="AY26" s="130">
        <v>24.7</v>
      </c>
      <c r="AZ26" s="2">
        <v>19.8</v>
      </c>
      <c r="BA26" s="2"/>
      <c r="BB26" s="2">
        <v>11</v>
      </c>
      <c r="BC26" s="2"/>
      <c r="BD26" s="2">
        <v>12.7</v>
      </c>
      <c r="BE26" s="2">
        <v>19.3</v>
      </c>
      <c r="BF26" s="2">
        <v>20.3</v>
      </c>
      <c r="BG26" s="2">
        <v>23.1</v>
      </c>
      <c r="BH26" s="2">
        <v>42</v>
      </c>
      <c r="BI26" s="2"/>
      <c r="BJ26" s="2"/>
      <c r="BK26" s="2"/>
      <c r="BL26" s="2"/>
      <c r="BM26" s="2"/>
      <c r="BN26" s="2">
        <v>73</v>
      </c>
      <c r="BO26" s="2">
        <v>26</v>
      </c>
      <c r="BP26" s="2">
        <v>28</v>
      </c>
      <c r="BQ26" s="2">
        <v>31</v>
      </c>
      <c r="BR26" s="2">
        <v>33</v>
      </c>
      <c r="BS26" s="2">
        <v>37</v>
      </c>
      <c r="BT26" s="2">
        <v>50</v>
      </c>
      <c r="BU26" s="2">
        <v>145</v>
      </c>
      <c r="BV26" s="2">
        <v>196</v>
      </c>
      <c r="BW26" s="2">
        <v>246</v>
      </c>
      <c r="BX26" s="2">
        <v>375</v>
      </c>
      <c r="BY26" s="2">
        <v>45</v>
      </c>
      <c r="BZ26" s="2">
        <v>2.7</v>
      </c>
      <c r="CA26" s="2">
        <v>0.9</v>
      </c>
      <c r="CB26" s="2">
        <v>1.9341956477876201E-10</v>
      </c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62.8</v>
      </c>
      <c r="AX27" s="2" t="s">
        <v>271</v>
      </c>
      <c r="AY27" s="130">
        <v>24.7</v>
      </c>
      <c r="AZ27" s="2">
        <v>19.8</v>
      </c>
      <c r="BA27" s="2"/>
      <c r="BB27" s="2">
        <v>11</v>
      </c>
      <c r="BC27" s="2"/>
      <c r="BD27" s="2">
        <v>31.1</v>
      </c>
      <c r="BE27" s="2">
        <v>37.700000000000003</v>
      </c>
      <c r="BF27" s="2">
        <v>38.700000000000003</v>
      </c>
      <c r="BG27" s="2">
        <v>41.5</v>
      </c>
      <c r="BH27" s="2">
        <v>60.4</v>
      </c>
      <c r="BI27" s="2"/>
      <c r="BJ27" s="2"/>
      <c r="BK27" s="2"/>
      <c r="BL27" s="2"/>
      <c r="BM27" s="2"/>
      <c r="BN27" s="2">
        <v>73</v>
      </c>
      <c r="BO27" s="2">
        <v>26</v>
      </c>
      <c r="BP27" s="2">
        <v>28</v>
      </c>
      <c r="BQ27" s="2">
        <v>31</v>
      </c>
      <c r="BR27" s="2">
        <v>33</v>
      </c>
      <c r="BS27" s="2">
        <v>37</v>
      </c>
      <c r="BT27" s="2">
        <v>91</v>
      </c>
      <c r="BU27" s="2">
        <v>186</v>
      </c>
      <c r="BV27" s="2">
        <v>237</v>
      </c>
      <c r="BW27" s="2">
        <v>287</v>
      </c>
      <c r="BX27" s="2">
        <v>416</v>
      </c>
      <c r="BY27" s="2">
        <v>45</v>
      </c>
      <c r="BZ27" s="2">
        <v>2.7</v>
      </c>
      <c r="CA27" s="2">
        <v>0.9</v>
      </c>
      <c r="CB27" s="2">
        <v>1.9341956477876201E-10</v>
      </c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62.8</v>
      </c>
      <c r="AX28" s="2" t="s">
        <v>273</v>
      </c>
      <c r="AY28" s="130">
        <v>32</v>
      </c>
      <c r="AZ28" s="2">
        <v>18.899999999999999</v>
      </c>
      <c r="BA28" s="2">
        <v>47</v>
      </c>
      <c r="BB28" s="2">
        <v>85</v>
      </c>
      <c r="BC28" s="2">
        <v>3</v>
      </c>
      <c r="BD28" s="2">
        <v>2.2999999999999998</v>
      </c>
      <c r="BE28" s="2">
        <v>10.3</v>
      </c>
      <c r="BF28" s="2">
        <v>11.5</v>
      </c>
      <c r="BG28" s="2">
        <v>26.4</v>
      </c>
      <c r="BH28" s="2">
        <v>72.5</v>
      </c>
      <c r="BI28" s="2">
        <v>382</v>
      </c>
      <c r="BJ28" s="2">
        <v>468</v>
      </c>
      <c r="BK28" s="2">
        <v>511</v>
      </c>
      <c r="BL28" s="2">
        <v>556</v>
      </c>
      <c r="BM28" s="2">
        <v>641</v>
      </c>
      <c r="BN28" s="2"/>
      <c r="BO28" s="2"/>
      <c r="BP28" s="2"/>
      <c r="BQ28" s="2"/>
      <c r="BR28" s="2"/>
      <c r="BS28" s="2"/>
      <c r="BT28" s="2">
        <v>466</v>
      </c>
      <c r="BU28" s="2">
        <v>638</v>
      </c>
      <c r="BV28" s="2">
        <v>725</v>
      </c>
      <c r="BW28" s="2">
        <v>812</v>
      </c>
      <c r="BX28" s="2">
        <v>983</v>
      </c>
      <c r="BY28" s="2">
        <v>45.8</v>
      </c>
      <c r="BZ28" s="2">
        <v>5.2</v>
      </c>
      <c r="CA28" s="2">
        <v>2.1</v>
      </c>
      <c r="CB28" s="2">
        <v>3.8714150297719997E-12</v>
      </c>
      <c r="CC28" s="2">
        <v>1.8</v>
      </c>
    </row>
    <row r="29" spans="1:81" x14ac:dyDescent="0.25">
      <c r="A29" s="66"/>
      <c r="B29" s="66"/>
      <c r="C29" s="67"/>
      <c r="D29" s="35"/>
      <c r="AW29" s="2">
        <v>80</v>
      </c>
      <c r="AX29" s="2" t="s">
        <v>273</v>
      </c>
      <c r="AY29" s="130">
        <v>32</v>
      </c>
      <c r="AZ29" s="2">
        <v>18.899999999999999</v>
      </c>
      <c r="BA29" s="2">
        <v>47</v>
      </c>
      <c r="BB29" s="2">
        <v>85</v>
      </c>
      <c r="BC29" s="2">
        <v>3</v>
      </c>
      <c r="BD29" s="2">
        <v>4.5999999999999996</v>
      </c>
      <c r="BE29" s="2">
        <v>12.6</v>
      </c>
      <c r="BF29" s="2">
        <v>13.7</v>
      </c>
      <c r="BG29" s="2">
        <v>28.6</v>
      </c>
      <c r="BH29" s="2">
        <v>74.8</v>
      </c>
      <c r="BI29" s="2">
        <v>481</v>
      </c>
      <c r="BJ29" s="2">
        <v>567</v>
      </c>
      <c r="BK29" s="2">
        <v>610</v>
      </c>
      <c r="BL29" s="2">
        <v>654</v>
      </c>
      <c r="BM29" s="2">
        <v>740</v>
      </c>
      <c r="BN29" s="2"/>
      <c r="BO29" s="2"/>
      <c r="BP29" s="2"/>
      <c r="BQ29" s="2"/>
      <c r="BR29" s="2"/>
      <c r="BS29" s="2"/>
      <c r="BT29" s="2">
        <v>652</v>
      </c>
      <c r="BU29" s="2">
        <v>823</v>
      </c>
      <c r="BV29" s="2">
        <v>910</v>
      </c>
      <c r="BW29" s="2">
        <v>997</v>
      </c>
      <c r="BX29" s="2">
        <v>1169</v>
      </c>
      <c r="BY29" s="2">
        <v>45.8</v>
      </c>
      <c r="BZ29" s="2">
        <v>5.2</v>
      </c>
      <c r="CA29" s="2">
        <v>2.1</v>
      </c>
      <c r="CB29" s="2">
        <v>3.8714150297719997E-12</v>
      </c>
      <c r="CC29" s="2">
        <v>1.8</v>
      </c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115" priority="12">
      <formula>$L32="API sand"</formula>
    </cfRule>
  </conditionalFormatting>
  <conditionalFormatting sqref="R32:S36 AB32:AB35 AJ32:AL36 Z32:Z36 N32:N36">
    <cfRule type="expression" dxfId="2114" priority="11">
      <formula>$M32="API sand"</formula>
    </cfRule>
  </conditionalFormatting>
  <conditionalFormatting sqref="R32:T36 Z32:AB35 AK32:AL36 N32:N36">
    <cfRule type="expression" dxfId="2113" priority="10">
      <formula>$M32="API clay"</formula>
    </cfRule>
  </conditionalFormatting>
  <conditionalFormatting sqref="U32:W36 AM32:AP36 N32:P36">
    <cfRule type="expression" dxfId="2112" priority="7">
      <formula>$L32="Stiff clay w/o free water"</formula>
    </cfRule>
    <cfRule type="expression" dxfId="2111" priority="9">
      <formula>$L32="API clay"</formula>
    </cfRule>
  </conditionalFormatting>
  <conditionalFormatting sqref="U32:Y36 AM32:AP36 N32:P36">
    <cfRule type="expression" dxfId="2110" priority="8">
      <formula>$L32="Kirsch soft clay"</formula>
    </cfRule>
  </conditionalFormatting>
  <conditionalFormatting sqref="U32:Y36 AM32:AP36 N32:P36">
    <cfRule type="expression" dxfId="2109" priority="6">
      <formula>$L32="Kirsch stiff clay"</formula>
    </cfRule>
  </conditionalFormatting>
  <conditionalFormatting sqref="AM32:AP36 Q32:Q36 X32:Y36 N32:N36">
    <cfRule type="expression" dxfId="2108" priority="5">
      <formula>$L32="Kirsch sand"</formula>
    </cfRule>
  </conditionalFormatting>
  <conditionalFormatting sqref="AC32:AD36 AI32:AI36 AM32:AP36 N32:N36">
    <cfRule type="expression" dxfId="2107" priority="4">
      <formula>$L32="Modified Weak rock"</formula>
    </cfRule>
  </conditionalFormatting>
  <conditionalFormatting sqref="AM32:AP36 N32:P36 U32:V36">
    <cfRule type="expression" dxfId="2106" priority="3">
      <formula>$L32="Reese stiff clay"</formula>
    </cfRule>
  </conditionalFormatting>
  <conditionalFormatting sqref="AB36">
    <cfRule type="expression" dxfId="2105" priority="2">
      <formula>$M36="API sand"</formula>
    </cfRule>
  </conditionalFormatting>
  <conditionalFormatting sqref="Z36:AB36">
    <cfRule type="expression" dxfId="2104" priority="1">
      <formula>$M36="API clay"</formula>
    </cfRule>
  </conditionalFormatting>
  <conditionalFormatting sqref="AE37:AH37">
    <cfRule type="expression" dxfId="2103" priority="13">
      <formula>#REF!="Modified Weak rock"</formula>
    </cfRule>
  </conditionalFormatting>
  <dataValidations count="4">
    <dataValidation type="textLength" showInputMessage="1" showErrorMessage="1" sqref="M27:M31" xr:uid="{3EA658BE-9CBA-421D-91D3-907E1A63C9F2}">
      <formula1>0</formula1>
      <formula2>100</formula2>
    </dataValidation>
    <dataValidation showInputMessage="1" showErrorMessage="1" sqref="L6:M26" xr:uid="{4EDE2569-FA16-49D9-B4E8-82F781735200}"/>
    <dataValidation type="list" showInputMessage="1" showErrorMessage="1" sqref="L32:L255" xr:uid="{E1EAD4B5-3B78-490B-BCFB-3AEE3A5024A8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696BD137-C724-42E8-9793-749CEE262006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BA303-500E-4596-B427-089E0FE1FDD2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Ak_Pisa_WTG65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15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EW_sand_Ruled_74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35</v>
      </c>
      <c r="R6" s="47">
        <f t="shared" ref="R6:R26" ca="1" si="7">IF(I6="","",IF(Q6&lt;&gt;0,Q6-5,NA()))</f>
        <v>30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6100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95.999999999999972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9600</v>
      </c>
      <c r="AC6" s="63">
        <f t="shared" ref="AC6:AC26" ca="1" si="18">IF(I6="","",IF(OFFSET($BV$6,(ROW()-6)*2,0)=0,0,OFFSET($BV$6,(ROW()-6)*2,0)*1000))</f>
        <v>10000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17000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40.000000000000007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74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0.6</v>
      </c>
      <c r="BF6" s="2">
        <v>0.9</v>
      </c>
      <c r="BG6" s="2">
        <v>1.3</v>
      </c>
      <c r="BH6" s="2">
        <v>2.1</v>
      </c>
      <c r="BI6" s="2"/>
      <c r="BJ6" s="2"/>
      <c r="BK6" s="2"/>
      <c r="BL6" s="2"/>
      <c r="BM6" s="2"/>
      <c r="BN6" s="2">
        <v>74</v>
      </c>
      <c r="BO6" s="2">
        <v>29</v>
      </c>
      <c r="BP6" s="2">
        <v>35</v>
      </c>
      <c r="BQ6" s="2">
        <v>38</v>
      </c>
      <c r="BR6" s="2">
        <v>41</v>
      </c>
      <c r="BS6" s="2">
        <v>47</v>
      </c>
      <c r="BT6" s="2">
        <v>0</v>
      </c>
      <c r="BU6" s="2">
        <v>5</v>
      </c>
      <c r="BV6" s="2">
        <v>10</v>
      </c>
      <c r="BW6" s="2">
        <v>15</v>
      </c>
      <c r="BX6" s="2">
        <v>26</v>
      </c>
      <c r="BY6" s="2">
        <v>6.1</v>
      </c>
      <c r="BZ6" s="2">
        <v>1</v>
      </c>
      <c r="CA6" s="2">
        <v>0.5</v>
      </c>
      <c r="CB6" s="2">
        <v>1.5696509306487101E-5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-1</v>
      </c>
      <c r="L7" s="116" t="str">
        <f t="shared" ca="1" si="1"/>
        <v>EW_sand_Ruled_91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41</v>
      </c>
      <c r="R7" s="47">
        <f t="shared" ca="1" si="7"/>
        <v>36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36600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34000</v>
      </c>
      <c r="AD7" s="63">
        <f t="shared" ca="1" si="19"/>
        <v>17500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91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1.4</v>
      </c>
      <c r="BE7" s="2">
        <v>2.1</v>
      </c>
      <c r="BF7" s="2">
        <v>2.4</v>
      </c>
      <c r="BG7" s="2">
        <v>2.8</v>
      </c>
      <c r="BH7" s="2">
        <v>3.6</v>
      </c>
      <c r="BI7" s="2"/>
      <c r="BJ7" s="2"/>
      <c r="BK7" s="2"/>
      <c r="BL7" s="2"/>
      <c r="BM7" s="2"/>
      <c r="BN7" s="2">
        <v>74</v>
      </c>
      <c r="BO7" s="2">
        <v>29</v>
      </c>
      <c r="BP7" s="2">
        <v>35</v>
      </c>
      <c r="BQ7" s="2">
        <v>38</v>
      </c>
      <c r="BR7" s="2">
        <v>41</v>
      </c>
      <c r="BS7" s="2">
        <v>47</v>
      </c>
      <c r="BT7" s="2">
        <v>10</v>
      </c>
      <c r="BU7" s="2">
        <v>22</v>
      </c>
      <c r="BV7" s="2">
        <v>27</v>
      </c>
      <c r="BW7" s="2">
        <v>32</v>
      </c>
      <c r="BX7" s="2">
        <v>43</v>
      </c>
      <c r="BY7" s="2">
        <v>6.1</v>
      </c>
      <c r="BZ7" s="2">
        <v>1</v>
      </c>
      <c r="CA7" s="2">
        <v>0.5</v>
      </c>
      <c r="CB7" s="2">
        <v>1.5696509306487101E-5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-1.8</v>
      </c>
      <c r="L8" s="116" t="str">
        <f t="shared" ca="1" si="1"/>
        <v>EW_sand_Ruled_100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42</v>
      </c>
      <c r="R8" s="47">
        <f t="shared" ca="1" si="7"/>
        <v>37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48800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55000</v>
      </c>
      <c r="AD8" s="63">
        <f t="shared" ca="1" si="19"/>
        <v>6000.0000000000009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100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0.5</v>
      </c>
      <c r="BE8" s="2">
        <v>3.4</v>
      </c>
      <c r="BF8" s="2">
        <v>4.4000000000000004</v>
      </c>
      <c r="BG8" s="2">
        <v>5.3</v>
      </c>
      <c r="BH8" s="2">
        <v>7.9</v>
      </c>
      <c r="BI8" s="2"/>
      <c r="BJ8" s="2"/>
      <c r="BK8" s="2"/>
      <c r="BL8" s="2"/>
      <c r="BM8" s="2"/>
      <c r="BN8" s="2">
        <v>91</v>
      </c>
      <c r="BO8" s="2">
        <v>34</v>
      </c>
      <c r="BP8" s="2">
        <v>41</v>
      </c>
      <c r="BQ8" s="2">
        <v>44</v>
      </c>
      <c r="BR8" s="2">
        <v>47</v>
      </c>
      <c r="BS8" s="2">
        <v>53</v>
      </c>
      <c r="BT8" s="2">
        <v>1</v>
      </c>
      <c r="BU8" s="2">
        <v>24</v>
      </c>
      <c r="BV8" s="2">
        <v>34</v>
      </c>
      <c r="BW8" s="2">
        <v>44</v>
      </c>
      <c r="BX8" s="2">
        <v>68</v>
      </c>
      <c r="BY8" s="2">
        <v>36.6</v>
      </c>
      <c r="BZ8" s="2">
        <v>1</v>
      </c>
      <c r="CA8" s="2">
        <v>0.5</v>
      </c>
      <c r="CB8" s="2">
        <v>1.3878756748213599E-4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02a</v>
      </c>
      <c r="J9" s="47">
        <f t="shared" ca="1" si="35"/>
        <v>4</v>
      </c>
      <c r="K9" s="19">
        <f t="shared" ca="1" si="36"/>
        <v>-3.3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10.199999999999999</v>
      </c>
      <c r="O9" s="63">
        <f t="shared" ca="1" si="4"/>
        <v>54</v>
      </c>
      <c r="P9" s="63">
        <f t="shared" ca="1" si="5"/>
        <v>224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27200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74000</v>
      </c>
      <c r="AD9" s="63">
        <f t="shared" ca="1" si="19"/>
        <v>244000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1.8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7.7</v>
      </c>
      <c r="BE9" s="2">
        <v>10.6</v>
      </c>
      <c r="BF9" s="2">
        <v>11.6</v>
      </c>
      <c r="BG9" s="2">
        <v>12.5</v>
      </c>
      <c r="BH9" s="2">
        <v>15</v>
      </c>
      <c r="BI9" s="2"/>
      <c r="BJ9" s="2"/>
      <c r="BK9" s="2"/>
      <c r="BL9" s="2"/>
      <c r="BM9" s="2"/>
      <c r="BN9" s="2">
        <v>91</v>
      </c>
      <c r="BO9" s="2">
        <v>34</v>
      </c>
      <c r="BP9" s="2">
        <v>41</v>
      </c>
      <c r="BQ9" s="2">
        <v>44</v>
      </c>
      <c r="BR9" s="2">
        <v>47</v>
      </c>
      <c r="BS9" s="2">
        <v>53</v>
      </c>
      <c r="BT9" s="2">
        <v>15</v>
      </c>
      <c r="BU9" s="2">
        <v>38</v>
      </c>
      <c r="BV9" s="2">
        <v>48</v>
      </c>
      <c r="BW9" s="2">
        <v>58</v>
      </c>
      <c r="BX9" s="2">
        <v>82</v>
      </c>
      <c r="BY9" s="2">
        <v>36.6</v>
      </c>
      <c r="BZ9" s="2">
        <v>1</v>
      </c>
      <c r="CA9" s="2">
        <v>0.5</v>
      </c>
      <c r="CB9" s="2">
        <v>1.3878756748213599E-4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09a</v>
      </c>
      <c r="J10" s="47">
        <f t="shared" ca="1" si="35"/>
        <v>5</v>
      </c>
      <c r="K10" s="19">
        <f t="shared" ca="1" si="36"/>
        <v>-3.8</v>
      </c>
      <c r="L10" s="116" t="str">
        <f t="shared" ca="1" si="1"/>
        <v>EW_sand_Ruled_89</v>
      </c>
      <c r="M10" s="105" t="str">
        <f t="shared" ca="1" si="2"/>
        <v>API sand</v>
      </c>
      <c r="N10" s="47">
        <f t="shared" ca="1" si="3"/>
        <v>9.3999999999999986</v>
      </c>
      <c r="O10" s="63">
        <f t="shared" ca="1" si="4"/>
        <v>0</v>
      </c>
      <c r="P10" s="63">
        <f t="shared" ca="1" si="5"/>
        <v>0</v>
      </c>
      <c r="Q10" s="47">
        <f t="shared" ca="1" si="6"/>
        <v>42</v>
      </c>
      <c r="R10" s="47">
        <f t="shared" ca="1" si="7"/>
        <v>37</v>
      </c>
      <c r="S10" s="47">
        <f t="shared" ca="1" si="8"/>
        <v>1.8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89300</v>
      </c>
      <c r="Y10" s="47">
        <f t="shared" ca="1" si="14"/>
        <v>0</v>
      </c>
      <c r="Z10" s="47">
        <f t="shared" ca="1" si="15"/>
        <v>114.99999999999996</v>
      </c>
      <c r="AA10" s="47">
        <f t="shared" ca="1" si="16"/>
        <v>1</v>
      </c>
      <c r="AB10" s="47">
        <f t="shared" ca="1" si="17"/>
        <v>12000</v>
      </c>
      <c r="AC10" s="63">
        <f t="shared" ca="1" si="18"/>
        <v>61000</v>
      </c>
      <c r="AD10" s="63">
        <f t="shared" ca="1" si="19"/>
        <v>13437.5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50.000000000000007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89</v>
      </c>
      <c r="AS10" s="33">
        <f t="shared" ca="1" si="34"/>
        <v>0.4</v>
      </c>
      <c r="AW10" s="2">
        <v>1.8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11.2</v>
      </c>
      <c r="BE10" s="2">
        <v>13.7</v>
      </c>
      <c r="BF10" s="2">
        <v>14.5</v>
      </c>
      <c r="BG10" s="2">
        <v>15.1</v>
      </c>
      <c r="BH10" s="2">
        <v>17.3</v>
      </c>
      <c r="BI10" s="2"/>
      <c r="BJ10" s="2"/>
      <c r="BK10" s="2"/>
      <c r="BL10" s="2"/>
      <c r="BM10" s="2"/>
      <c r="BN10" s="2">
        <v>100</v>
      </c>
      <c r="BO10" s="2">
        <v>35</v>
      </c>
      <c r="BP10" s="2">
        <v>42</v>
      </c>
      <c r="BQ10" s="2">
        <v>45</v>
      </c>
      <c r="BR10" s="2">
        <v>48</v>
      </c>
      <c r="BS10" s="2">
        <v>54</v>
      </c>
      <c r="BT10" s="2">
        <v>6</v>
      </c>
      <c r="BU10" s="2">
        <v>41</v>
      </c>
      <c r="BV10" s="2">
        <v>55</v>
      </c>
      <c r="BW10" s="2">
        <v>69</v>
      </c>
      <c r="BX10" s="2">
        <v>104</v>
      </c>
      <c r="BY10" s="2">
        <v>48.8</v>
      </c>
      <c r="BZ10" s="2">
        <v>1</v>
      </c>
      <c r="CA10" s="2">
        <v>0.5</v>
      </c>
      <c r="CB10" s="2">
        <v>1.46535289397759E-4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10a</v>
      </c>
      <c r="J11" s="47">
        <f t="shared" ca="1" si="35"/>
        <v>6</v>
      </c>
      <c r="K11" s="19">
        <f t="shared" ca="1" si="36"/>
        <v>-7</v>
      </c>
      <c r="L11" s="116" t="str">
        <f t="shared" ca="1" si="1"/>
        <v>EW_sand_Ruled_68</v>
      </c>
      <c r="M11" s="105" t="str">
        <f t="shared" ca="1" si="2"/>
        <v>API sand</v>
      </c>
      <c r="N11" s="47">
        <f t="shared" ca="1" si="3"/>
        <v>10</v>
      </c>
      <c r="O11" s="63">
        <f t="shared" ca="1" si="4"/>
        <v>0</v>
      </c>
      <c r="P11" s="63">
        <f t="shared" ca="1" si="5"/>
        <v>0</v>
      </c>
      <c r="Q11" s="47">
        <f t="shared" ca="1" si="6"/>
        <v>38</v>
      </c>
      <c r="R11" s="47">
        <f t="shared" ca="1" si="7"/>
        <v>33</v>
      </c>
      <c r="S11" s="47">
        <f t="shared" ca="1" si="8"/>
        <v>1.1000000000000001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53200</v>
      </c>
      <c r="Y11" s="47">
        <f t="shared" ca="1" si="14"/>
        <v>0</v>
      </c>
      <c r="Z11" s="47">
        <f t="shared" ca="1" si="15"/>
        <v>107.39999999999996</v>
      </c>
      <c r="AA11" s="47">
        <f t="shared" ca="1" si="16"/>
        <v>1</v>
      </c>
      <c r="AB11" s="47">
        <f t="shared" ca="1" si="17"/>
        <v>11040</v>
      </c>
      <c r="AC11" s="63">
        <f t="shared" ca="1" si="18"/>
        <v>96000</v>
      </c>
      <c r="AD11" s="63">
        <f t="shared" ca="1" si="19"/>
        <v>-2666.6666666666665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46.000000000000007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68</v>
      </c>
      <c r="AS11" s="33">
        <f t="shared" ca="1" si="34"/>
        <v>0.4</v>
      </c>
      <c r="AW11" s="2">
        <v>3.3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11.1</v>
      </c>
      <c r="BE11" s="2">
        <v>13.6</v>
      </c>
      <c r="BF11" s="2">
        <v>14.4</v>
      </c>
      <c r="BG11" s="2">
        <v>15</v>
      </c>
      <c r="BH11" s="2">
        <v>17.2</v>
      </c>
      <c r="BI11" s="2"/>
      <c r="BJ11" s="2"/>
      <c r="BK11" s="2"/>
      <c r="BL11" s="2"/>
      <c r="BM11" s="2"/>
      <c r="BN11" s="2">
        <v>100</v>
      </c>
      <c r="BO11" s="2">
        <v>35</v>
      </c>
      <c r="BP11" s="2">
        <v>42</v>
      </c>
      <c r="BQ11" s="2">
        <v>45</v>
      </c>
      <c r="BR11" s="2">
        <v>48</v>
      </c>
      <c r="BS11" s="2">
        <v>54</v>
      </c>
      <c r="BT11" s="2">
        <v>15</v>
      </c>
      <c r="BU11" s="2">
        <v>50</v>
      </c>
      <c r="BV11" s="2">
        <v>64</v>
      </c>
      <c r="BW11" s="2">
        <v>78</v>
      </c>
      <c r="BX11" s="2">
        <v>113</v>
      </c>
      <c r="BY11" s="2">
        <v>48.8</v>
      </c>
      <c r="BZ11" s="2">
        <v>1</v>
      </c>
      <c r="CA11" s="2">
        <v>0.5</v>
      </c>
      <c r="CB11" s="2">
        <v>1.46535289397759E-4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10b</v>
      </c>
      <c r="J12" s="47">
        <f t="shared" ca="1" si="35"/>
        <v>7</v>
      </c>
      <c r="K12" s="19">
        <f t="shared" ca="1" si="36"/>
        <v>-10</v>
      </c>
      <c r="L12" s="116" t="str">
        <f t="shared" ca="1" si="1"/>
        <v>EW_sand_Ruled_67</v>
      </c>
      <c r="M12" s="105" t="str">
        <f t="shared" ca="1" si="2"/>
        <v>API sand</v>
      </c>
      <c r="N12" s="47">
        <f t="shared" ca="1" si="3"/>
        <v>9.8999999999999986</v>
      </c>
      <c r="O12" s="63">
        <f t="shared" ca="1" si="4"/>
        <v>0</v>
      </c>
      <c r="P12" s="63">
        <f t="shared" ca="1" si="5"/>
        <v>0</v>
      </c>
      <c r="Q12" s="47">
        <f t="shared" ca="1" si="6"/>
        <v>38</v>
      </c>
      <c r="R12" s="47">
        <f t="shared" ca="1" si="7"/>
        <v>33</v>
      </c>
      <c r="S12" s="47">
        <f t="shared" ca="1" si="8"/>
        <v>0.9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66300</v>
      </c>
      <c r="Y12" s="47">
        <f t="shared" ca="1" si="14"/>
        <v>0</v>
      </c>
      <c r="Z12" s="47">
        <f t="shared" ca="1" si="15"/>
        <v>107.39999999999996</v>
      </c>
      <c r="AA12" s="47">
        <f t="shared" ca="1" si="16"/>
        <v>1</v>
      </c>
      <c r="AB12" s="47">
        <f t="shared" ca="1" si="17"/>
        <v>11040</v>
      </c>
      <c r="AC12" s="63">
        <f t="shared" ca="1" si="18"/>
        <v>97000</v>
      </c>
      <c r="AD12" s="63">
        <f t="shared" ca="1" si="19"/>
        <v>5079.3650793650795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46.000000000000007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67</v>
      </c>
      <c r="AS12" s="33">
        <f t="shared" ca="1" si="34"/>
        <v>0.4</v>
      </c>
      <c r="AW12" s="2">
        <v>3.3</v>
      </c>
      <c r="AX12" s="2" t="s">
        <v>255</v>
      </c>
      <c r="AY12" s="130">
        <v>23.1</v>
      </c>
      <c r="AZ12" s="2">
        <v>20.2</v>
      </c>
      <c r="BA12" s="2">
        <v>18</v>
      </c>
      <c r="BB12" s="2">
        <v>28</v>
      </c>
      <c r="BC12" s="2">
        <v>5</v>
      </c>
      <c r="BD12" s="2">
        <v>0.1</v>
      </c>
      <c r="BE12" s="2">
        <v>1.2</v>
      </c>
      <c r="BF12" s="2">
        <v>1.8</v>
      </c>
      <c r="BG12" s="2">
        <v>2.7</v>
      </c>
      <c r="BH12" s="2">
        <v>4.5999999999999996</v>
      </c>
      <c r="BI12" s="2">
        <v>4</v>
      </c>
      <c r="BJ12" s="2">
        <v>54</v>
      </c>
      <c r="BK12" s="2">
        <v>97</v>
      </c>
      <c r="BL12" s="2">
        <v>154</v>
      </c>
      <c r="BM12" s="2">
        <v>279</v>
      </c>
      <c r="BN12" s="2"/>
      <c r="BO12" s="2"/>
      <c r="BP12" s="2"/>
      <c r="BQ12" s="2"/>
      <c r="BR12" s="2"/>
      <c r="BS12" s="2"/>
      <c r="BT12" s="2">
        <v>3</v>
      </c>
      <c r="BU12" s="2">
        <v>18</v>
      </c>
      <c r="BV12" s="2">
        <v>74</v>
      </c>
      <c r="BW12" s="2">
        <v>146</v>
      </c>
      <c r="BX12" s="2">
        <v>297</v>
      </c>
      <c r="BY12" s="2">
        <v>27.2</v>
      </c>
      <c r="BZ12" s="2">
        <v>19.3</v>
      </c>
      <c r="CA12" s="2">
        <v>3</v>
      </c>
      <c r="CB12" s="2">
        <v>9.2530466644039098E-8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17a</v>
      </c>
      <c r="J13" s="47">
        <f t="shared" ca="1" si="35"/>
        <v>8</v>
      </c>
      <c r="K13" s="19">
        <f t="shared" ca="1" si="36"/>
        <v>-16.3</v>
      </c>
      <c r="L13" s="116" t="str">
        <f t="shared" ca="1" si="1"/>
        <v>EW_sand_Ruled_52</v>
      </c>
      <c r="M13" s="105" t="str">
        <f t="shared" ca="1" si="2"/>
        <v>API sand</v>
      </c>
      <c r="N13" s="47">
        <f t="shared" ca="1" si="3"/>
        <v>8.6999999999999993</v>
      </c>
      <c r="O13" s="63">
        <f t="shared" ca="1" si="4"/>
        <v>0</v>
      </c>
      <c r="P13" s="63">
        <f t="shared" ca="1" si="5"/>
        <v>0</v>
      </c>
      <c r="Q13" s="47">
        <f t="shared" ca="1" si="6"/>
        <v>27</v>
      </c>
      <c r="R13" s="47">
        <f t="shared" ca="1" si="7"/>
        <v>22</v>
      </c>
      <c r="S13" s="47">
        <f t="shared" ca="1" si="8"/>
        <v>1.1000000000000001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21000</v>
      </c>
      <c r="Y13" s="47">
        <f t="shared" ca="1" si="14"/>
        <v>0</v>
      </c>
      <c r="Z13" s="47">
        <f t="shared" ca="1" si="15"/>
        <v>72.59999999999998</v>
      </c>
      <c r="AA13" s="47">
        <f t="shared" ca="1" si="16"/>
        <v>1</v>
      </c>
      <c r="AB13" s="47">
        <f t="shared" ca="1" si="17"/>
        <v>3660</v>
      </c>
      <c r="AC13" s="63">
        <f t="shared" ca="1" si="18"/>
        <v>107000</v>
      </c>
      <c r="AD13" s="63">
        <f t="shared" ca="1" si="19"/>
        <v>5844.1558441558445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15.200000000000003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52</v>
      </c>
      <c r="AS13" s="33">
        <f t="shared" ca="1" si="34"/>
        <v>0.2</v>
      </c>
      <c r="AW13" s="2">
        <v>3.8</v>
      </c>
      <c r="AX13" s="2" t="s">
        <v>255</v>
      </c>
      <c r="AY13" s="130">
        <v>23.1</v>
      </c>
      <c r="AZ13" s="2">
        <v>20.2</v>
      </c>
      <c r="BA13" s="2">
        <v>18</v>
      </c>
      <c r="BB13" s="2">
        <v>28</v>
      </c>
      <c r="BC13" s="2">
        <v>5</v>
      </c>
      <c r="BD13" s="2">
        <v>2.1</v>
      </c>
      <c r="BE13" s="2">
        <v>3.3</v>
      </c>
      <c r="BF13" s="2">
        <v>3.8</v>
      </c>
      <c r="BG13" s="2">
        <v>4.7</v>
      </c>
      <c r="BH13" s="2">
        <v>6.6</v>
      </c>
      <c r="BI13" s="2">
        <v>117</v>
      </c>
      <c r="BJ13" s="2">
        <v>166</v>
      </c>
      <c r="BK13" s="2">
        <v>209</v>
      </c>
      <c r="BL13" s="2">
        <v>267</v>
      </c>
      <c r="BM13" s="2">
        <v>392</v>
      </c>
      <c r="BN13" s="2"/>
      <c r="BO13" s="2"/>
      <c r="BP13" s="2"/>
      <c r="BQ13" s="2"/>
      <c r="BR13" s="2"/>
      <c r="BS13" s="2"/>
      <c r="BT13" s="2">
        <v>124</v>
      </c>
      <c r="BU13" s="2">
        <v>140</v>
      </c>
      <c r="BV13" s="2">
        <v>196</v>
      </c>
      <c r="BW13" s="2">
        <v>267</v>
      </c>
      <c r="BX13" s="2">
        <v>418</v>
      </c>
      <c r="BY13" s="2">
        <v>27.2</v>
      </c>
      <c r="BZ13" s="2">
        <v>19.3</v>
      </c>
      <c r="CA13" s="2">
        <v>3</v>
      </c>
      <c r="CB13" s="2">
        <v>9.2530466644039098E-8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17a</v>
      </c>
      <c r="J14" s="47">
        <f t="shared" ca="1" si="35"/>
        <v>9</v>
      </c>
      <c r="K14" s="19">
        <f t="shared" ca="1" si="36"/>
        <v>-24</v>
      </c>
      <c r="L14" s="116" t="str">
        <f t="shared" ca="1" si="1"/>
        <v>EW_sand_Ruled_71</v>
      </c>
      <c r="M14" s="105" t="str">
        <f t="shared" ca="1" si="2"/>
        <v>API sand</v>
      </c>
      <c r="N14" s="47">
        <f t="shared" ca="1" si="3"/>
        <v>8.6999999999999993</v>
      </c>
      <c r="O14" s="63">
        <f t="shared" ca="1" si="4"/>
        <v>0</v>
      </c>
      <c r="P14" s="63">
        <f t="shared" ca="1" si="5"/>
        <v>0</v>
      </c>
      <c r="Q14" s="47">
        <f t="shared" ca="1" si="6"/>
        <v>29</v>
      </c>
      <c r="R14" s="47">
        <f t="shared" ca="1" si="7"/>
        <v>24</v>
      </c>
      <c r="S14" s="47">
        <f t="shared" ca="1" si="8"/>
        <v>1.3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40000</v>
      </c>
      <c r="Y14" s="47">
        <f t="shared" ca="1" si="14"/>
        <v>0</v>
      </c>
      <c r="Z14" s="47">
        <f t="shared" ca="1" si="15"/>
        <v>78.199999999999974</v>
      </c>
      <c r="AA14" s="47">
        <f t="shared" ca="1" si="16"/>
        <v>1</v>
      </c>
      <c r="AB14" s="47">
        <f t="shared" ca="1" si="17"/>
        <v>4420</v>
      </c>
      <c r="AC14" s="63">
        <f t="shared" ca="1" si="18"/>
        <v>165000</v>
      </c>
      <c r="AD14" s="63">
        <f t="shared" ca="1" si="19"/>
        <v>-3500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18.400000000000006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71</v>
      </c>
      <c r="AS14" s="33">
        <f t="shared" ca="1" si="34"/>
        <v>0.2</v>
      </c>
      <c r="AW14" s="2">
        <v>3.8</v>
      </c>
      <c r="AX14" s="2" t="s">
        <v>295</v>
      </c>
      <c r="AY14" s="130">
        <v>25.8</v>
      </c>
      <c r="AZ14" s="2">
        <v>19.399999999999999</v>
      </c>
      <c r="BA14" s="2"/>
      <c r="BB14" s="2">
        <v>2</v>
      </c>
      <c r="BC14" s="2"/>
      <c r="BD14" s="2">
        <v>0.2</v>
      </c>
      <c r="BE14" s="2">
        <v>6.1</v>
      </c>
      <c r="BF14" s="2">
        <v>7.1</v>
      </c>
      <c r="BG14" s="2">
        <v>8.5</v>
      </c>
      <c r="BH14" s="2">
        <v>16.600000000000001</v>
      </c>
      <c r="BI14" s="2"/>
      <c r="BJ14" s="2"/>
      <c r="BK14" s="2"/>
      <c r="BL14" s="2"/>
      <c r="BM14" s="2"/>
      <c r="BN14" s="2">
        <v>89</v>
      </c>
      <c r="BO14" s="2">
        <v>33</v>
      </c>
      <c r="BP14" s="2">
        <v>42</v>
      </c>
      <c r="BQ14" s="2">
        <v>46</v>
      </c>
      <c r="BR14" s="2">
        <v>49</v>
      </c>
      <c r="BS14" s="2">
        <v>54</v>
      </c>
      <c r="BT14" s="2">
        <v>3</v>
      </c>
      <c r="BU14" s="2">
        <v>42</v>
      </c>
      <c r="BV14" s="2">
        <v>61</v>
      </c>
      <c r="BW14" s="2">
        <v>81</v>
      </c>
      <c r="BX14" s="2">
        <v>130</v>
      </c>
      <c r="BY14" s="2">
        <v>89.3</v>
      </c>
      <c r="BZ14" s="2">
        <v>8.3000000000000007</v>
      </c>
      <c r="CA14" s="2">
        <v>1.8</v>
      </c>
      <c r="CB14" s="2">
        <v>7.7578125198257694E-5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17a</v>
      </c>
      <c r="J15" s="47">
        <f t="shared" ca="1" si="35"/>
        <v>10</v>
      </c>
      <c r="K15" s="19">
        <f t="shared" ca="1" si="36"/>
        <v>-26</v>
      </c>
      <c r="L15" s="116" t="str">
        <f t="shared" ca="1" si="1"/>
        <v>EW_sand_Ruled_40</v>
      </c>
      <c r="M15" s="105" t="str">
        <f t="shared" ca="1" si="2"/>
        <v>API sand</v>
      </c>
      <c r="N15" s="47">
        <f t="shared" ca="1" si="3"/>
        <v>8.6999999999999993</v>
      </c>
      <c r="O15" s="63">
        <f t="shared" ca="1" si="4"/>
        <v>0</v>
      </c>
      <c r="P15" s="63">
        <f t="shared" ca="1" si="5"/>
        <v>0</v>
      </c>
      <c r="Q15" s="47">
        <f t="shared" ca="1" si="6"/>
        <v>26</v>
      </c>
      <c r="R15" s="47">
        <f t="shared" ca="1" si="7"/>
        <v>21</v>
      </c>
      <c r="S15" s="47">
        <f t="shared" ca="1" si="8"/>
        <v>0.8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22200</v>
      </c>
      <c r="Y15" s="47">
        <f t="shared" ca="1" si="14"/>
        <v>0</v>
      </c>
      <c r="Z15" s="47">
        <f t="shared" ca="1" si="15"/>
        <v>69.799999999999983</v>
      </c>
      <c r="AA15" s="47">
        <f t="shared" ca="1" si="16"/>
        <v>1</v>
      </c>
      <c r="AB15" s="47">
        <f t="shared" ca="1" si="17"/>
        <v>3280</v>
      </c>
      <c r="AC15" s="63">
        <f t="shared" ca="1" si="18"/>
        <v>137000</v>
      </c>
      <c r="AD15" s="63">
        <f t="shared" ca="1" si="19"/>
        <v>-1750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13.600000000000003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40</v>
      </c>
      <c r="AS15" s="33">
        <f t="shared" ca="1" si="34"/>
        <v>0.2</v>
      </c>
      <c r="AW15" s="2">
        <v>7</v>
      </c>
      <c r="AX15" s="2" t="s">
        <v>295</v>
      </c>
      <c r="AY15" s="130">
        <v>25.8</v>
      </c>
      <c r="AZ15" s="2">
        <v>19.399999999999999</v>
      </c>
      <c r="BA15" s="2"/>
      <c r="BB15" s="2">
        <v>2</v>
      </c>
      <c r="BC15" s="2"/>
      <c r="BD15" s="2">
        <v>25.7</v>
      </c>
      <c r="BE15" s="2">
        <v>31.6</v>
      </c>
      <c r="BF15" s="2">
        <v>32.6</v>
      </c>
      <c r="BG15" s="2">
        <v>34</v>
      </c>
      <c r="BH15" s="2">
        <v>42.1</v>
      </c>
      <c r="BI15" s="2"/>
      <c r="BJ15" s="2"/>
      <c r="BK15" s="2"/>
      <c r="BL15" s="2"/>
      <c r="BM15" s="2"/>
      <c r="BN15" s="2">
        <v>89</v>
      </c>
      <c r="BO15" s="2">
        <v>33</v>
      </c>
      <c r="BP15" s="2">
        <v>42</v>
      </c>
      <c r="BQ15" s="2">
        <v>46</v>
      </c>
      <c r="BR15" s="2">
        <v>49</v>
      </c>
      <c r="BS15" s="2">
        <v>54</v>
      </c>
      <c r="BT15" s="2">
        <v>46</v>
      </c>
      <c r="BU15" s="2">
        <v>84</v>
      </c>
      <c r="BV15" s="2">
        <v>104</v>
      </c>
      <c r="BW15" s="2">
        <v>123</v>
      </c>
      <c r="BX15" s="2">
        <v>172</v>
      </c>
      <c r="BY15" s="2">
        <v>89.3</v>
      </c>
      <c r="BZ15" s="2">
        <v>8.3000000000000007</v>
      </c>
      <c r="CA15" s="2">
        <v>1.8</v>
      </c>
      <c r="CB15" s="2">
        <v>7.7578125198257694E-5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17c</v>
      </c>
      <c r="J16" s="47">
        <f t="shared" ca="1" si="35"/>
        <v>11</v>
      </c>
      <c r="K16" s="19">
        <f t="shared" ca="1" si="36"/>
        <v>-30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8.6999999999999993</v>
      </c>
      <c r="O16" s="63">
        <f t="shared" ca="1" si="4"/>
        <v>207</v>
      </c>
      <c r="P16" s="63">
        <f t="shared" ca="1" si="5"/>
        <v>-15.29411764705883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1.6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0.5</v>
      </c>
      <c r="X16" s="47">
        <f t="shared" ca="1" si="13"/>
        <v>16100.000000000002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261000</v>
      </c>
      <c r="AD16" s="63">
        <f t="shared" ca="1" si="19"/>
        <v>-15000.000000000007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7</v>
      </c>
      <c r="AX16" s="2" t="s">
        <v>259</v>
      </c>
      <c r="AY16" s="130">
        <v>25.5</v>
      </c>
      <c r="AZ16" s="2">
        <v>20</v>
      </c>
      <c r="BA16" s="2"/>
      <c r="BB16" s="2">
        <v>14</v>
      </c>
      <c r="BC16" s="2"/>
      <c r="BD16" s="2">
        <v>16.8</v>
      </c>
      <c r="BE16" s="2">
        <v>19.600000000000001</v>
      </c>
      <c r="BF16" s="2">
        <v>20.100000000000001</v>
      </c>
      <c r="BG16" s="2">
        <v>21.4</v>
      </c>
      <c r="BH16" s="2">
        <v>28.7</v>
      </c>
      <c r="BI16" s="2"/>
      <c r="BJ16" s="2"/>
      <c r="BK16" s="2"/>
      <c r="BL16" s="2"/>
      <c r="BM16" s="2"/>
      <c r="BN16" s="2">
        <v>68</v>
      </c>
      <c r="BO16" s="2">
        <v>33</v>
      </c>
      <c r="BP16" s="2">
        <v>38</v>
      </c>
      <c r="BQ16" s="2">
        <v>41</v>
      </c>
      <c r="BR16" s="2">
        <v>44</v>
      </c>
      <c r="BS16" s="2">
        <v>51</v>
      </c>
      <c r="BT16" s="2">
        <v>21</v>
      </c>
      <c r="BU16" s="2">
        <v>74</v>
      </c>
      <c r="BV16" s="2">
        <v>96</v>
      </c>
      <c r="BW16" s="2">
        <v>117</v>
      </c>
      <c r="BX16" s="2">
        <v>171</v>
      </c>
      <c r="BY16" s="2">
        <v>53.2</v>
      </c>
      <c r="BZ16" s="2">
        <v>3.6</v>
      </c>
      <c r="CA16" s="2">
        <v>1.1000000000000001</v>
      </c>
      <c r="CB16" s="2">
        <v>2.93129884862868E-6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19b</v>
      </c>
      <c r="J17" s="47">
        <f t="shared" ca="1" si="35"/>
        <v>12</v>
      </c>
      <c r="K17" s="19">
        <f t="shared" ca="1" si="36"/>
        <v>-33.4</v>
      </c>
      <c r="L17" s="116" t="str">
        <f t="shared" ca="1" si="1"/>
        <v>EW_sand_Ruled_62</v>
      </c>
      <c r="M17" s="105" t="str">
        <f t="shared" ca="1" si="2"/>
        <v>API sand</v>
      </c>
      <c r="N17" s="47">
        <f t="shared" ca="1" si="3"/>
        <v>8.5</v>
      </c>
      <c r="O17" s="63">
        <f t="shared" ca="1" si="4"/>
        <v>0</v>
      </c>
      <c r="P17" s="63">
        <f t="shared" ca="1" si="5"/>
        <v>0</v>
      </c>
      <c r="Q17" s="47">
        <f t="shared" ca="1" si="6"/>
        <v>26</v>
      </c>
      <c r="R17" s="47">
        <f t="shared" ca="1" si="7"/>
        <v>21</v>
      </c>
      <c r="S17" s="47">
        <f t="shared" ca="1" si="8"/>
        <v>0.7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33000</v>
      </c>
      <c r="Y17" s="47">
        <f t="shared" ca="1" si="14"/>
        <v>0</v>
      </c>
      <c r="Z17" s="47">
        <f t="shared" ca="1" si="15"/>
        <v>69.799999999999983</v>
      </c>
      <c r="AA17" s="47">
        <f t="shared" ca="1" si="16"/>
        <v>1</v>
      </c>
      <c r="AB17" s="47">
        <f t="shared" ca="1" si="17"/>
        <v>3280</v>
      </c>
      <c r="AC17" s="63">
        <f t="shared" ca="1" si="18"/>
        <v>129000</v>
      </c>
      <c r="AD17" s="63">
        <f t="shared" ca="1" si="19"/>
        <v>5303.0303030303021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13.600000000000003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62</v>
      </c>
      <c r="AS17" s="33">
        <f t="shared" ca="1" si="34"/>
        <v>0.2</v>
      </c>
      <c r="AW17" s="2">
        <v>10</v>
      </c>
      <c r="AX17" s="2" t="s">
        <v>259</v>
      </c>
      <c r="AY17" s="130">
        <v>25.5</v>
      </c>
      <c r="AZ17" s="2">
        <v>20</v>
      </c>
      <c r="BA17" s="2"/>
      <c r="BB17" s="2">
        <v>14</v>
      </c>
      <c r="BC17" s="2"/>
      <c r="BD17" s="2">
        <v>4.7</v>
      </c>
      <c r="BE17" s="2">
        <v>7.5</v>
      </c>
      <c r="BF17" s="2">
        <v>8</v>
      </c>
      <c r="BG17" s="2">
        <v>9.3000000000000007</v>
      </c>
      <c r="BH17" s="2">
        <v>16.600000000000001</v>
      </c>
      <c r="BI17" s="2"/>
      <c r="BJ17" s="2"/>
      <c r="BK17" s="2"/>
      <c r="BL17" s="2"/>
      <c r="BM17" s="2"/>
      <c r="BN17" s="2">
        <v>68</v>
      </c>
      <c r="BO17" s="2">
        <v>33</v>
      </c>
      <c r="BP17" s="2">
        <v>38</v>
      </c>
      <c r="BQ17" s="2">
        <v>41</v>
      </c>
      <c r="BR17" s="2">
        <v>44</v>
      </c>
      <c r="BS17" s="2">
        <v>51</v>
      </c>
      <c r="BT17" s="2">
        <v>13</v>
      </c>
      <c r="BU17" s="2">
        <v>66</v>
      </c>
      <c r="BV17" s="2">
        <v>88</v>
      </c>
      <c r="BW17" s="2">
        <v>110</v>
      </c>
      <c r="BX17" s="2">
        <v>164</v>
      </c>
      <c r="BY17" s="2">
        <v>53.2</v>
      </c>
      <c r="BZ17" s="2">
        <v>3.6</v>
      </c>
      <c r="CA17" s="2">
        <v>1.1000000000000001</v>
      </c>
      <c r="CB17" s="2">
        <v>2.93129884862868E-6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19b</v>
      </c>
      <c r="J18" s="47">
        <f t="shared" ca="1" si="35"/>
        <v>13</v>
      </c>
      <c r="K18" s="19">
        <f t="shared" ca="1" si="36"/>
        <v>-40</v>
      </c>
      <c r="L18" s="116" t="str">
        <f t="shared" ca="1" si="1"/>
        <v>EW_sand_Ruled_72</v>
      </c>
      <c r="M18" s="105" t="str">
        <f t="shared" ca="1" si="2"/>
        <v>API sand</v>
      </c>
      <c r="N18" s="47">
        <f t="shared" ca="1" si="3"/>
        <v>8.5</v>
      </c>
      <c r="O18" s="63">
        <f t="shared" ca="1" si="4"/>
        <v>0</v>
      </c>
      <c r="P18" s="63">
        <f t="shared" ca="1" si="5"/>
        <v>0</v>
      </c>
      <c r="Q18" s="47">
        <f t="shared" ca="1" si="6"/>
        <v>27</v>
      </c>
      <c r="R18" s="47">
        <f t="shared" ca="1" si="7"/>
        <v>22</v>
      </c>
      <c r="S18" s="47">
        <f t="shared" ca="1" si="8"/>
        <v>0.8</v>
      </c>
      <c r="T18" s="47">
        <f t="shared" ca="1" si="9"/>
        <v>0</v>
      </c>
      <c r="U18" s="75">
        <f t="shared" ca="1" si="10"/>
        <v>0</v>
      </c>
      <c r="V18" s="75">
        <f t="shared" ca="1" si="11"/>
        <v>0</v>
      </c>
      <c r="W18" s="47">
        <f t="shared" ca="1" si="12"/>
        <v>0</v>
      </c>
      <c r="X18" s="47">
        <f t="shared" ca="1" si="13"/>
        <v>45000</v>
      </c>
      <c r="Y18" s="47">
        <f t="shared" ca="1" si="14"/>
        <v>0</v>
      </c>
      <c r="Z18" s="47">
        <f t="shared" ca="1" si="15"/>
        <v>72.59999999999998</v>
      </c>
      <c r="AA18" s="47">
        <f t="shared" ca="1" si="16"/>
        <v>1</v>
      </c>
      <c r="AB18" s="47">
        <f t="shared" ca="1" si="17"/>
        <v>3660</v>
      </c>
      <c r="AC18" s="63">
        <f t="shared" ca="1" si="18"/>
        <v>171000</v>
      </c>
      <c r="AD18" s="63">
        <f t="shared" ca="1" si="19"/>
        <v>2146.8926553672313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>
        <f t="shared" ca="1" si="25"/>
        <v>15.200000000000003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72</v>
      </c>
      <c r="AS18" s="33">
        <f t="shared" ca="1" si="34"/>
        <v>0.2</v>
      </c>
      <c r="AW18" s="2">
        <v>10</v>
      </c>
      <c r="AX18" s="2" t="s">
        <v>261</v>
      </c>
      <c r="AY18" s="130">
        <v>24</v>
      </c>
      <c r="AZ18" s="2">
        <v>19.899999999999999</v>
      </c>
      <c r="BA18" s="2"/>
      <c r="BB18" s="2">
        <v>6</v>
      </c>
      <c r="BC18" s="2"/>
      <c r="BD18" s="2">
        <v>9</v>
      </c>
      <c r="BE18" s="2">
        <v>11.9</v>
      </c>
      <c r="BF18" s="2">
        <v>12.2</v>
      </c>
      <c r="BG18" s="2">
        <v>12.8</v>
      </c>
      <c r="BH18" s="2">
        <v>17.100000000000001</v>
      </c>
      <c r="BI18" s="2"/>
      <c r="BJ18" s="2"/>
      <c r="BK18" s="2"/>
      <c r="BL18" s="2"/>
      <c r="BM18" s="2"/>
      <c r="BN18" s="2">
        <v>67</v>
      </c>
      <c r="BO18" s="2">
        <v>33</v>
      </c>
      <c r="BP18" s="2">
        <v>38</v>
      </c>
      <c r="BQ18" s="2">
        <v>41</v>
      </c>
      <c r="BR18" s="2">
        <v>44</v>
      </c>
      <c r="BS18" s="2">
        <v>50</v>
      </c>
      <c r="BT18" s="2">
        <v>10</v>
      </c>
      <c r="BU18" s="2">
        <v>70</v>
      </c>
      <c r="BV18" s="2">
        <v>97</v>
      </c>
      <c r="BW18" s="2">
        <v>123</v>
      </c>
      <c r="BX18" s="2">
        <v>189</v>
      </c>
      <c r="BY18" s="2">
        <v>66.3</v>
      </c>
      <c r="BZ18" s="2">
        <v>2.8</v>
      </c>
      <c r="CA18" s="2">
        <v>0.9</v>
      </c>
      <c r="CB18" s="2">
        <v>1.46553098312349E-6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21a</v>
      </c>
      <c r="J19" s="47">
        <f t="shared" ca="1" si="35"/>
        <v>14</v>
      </c>
      <c r="K19" s="19">
        <f t="shared" ca="1" si="36"/>
        <v>-57.7</v>
      </c>
      <c r="L19" s="116" t="str">
        <f t="shared" ca="1" si="1"/>
        <v>EW_sand_Ruled_77</v>
      </c>
      <c r="M19" s="105" t="str">
        <f t="shared" ca="1" si="2"/>
        <v>API sand</v>
      </c>
      <c r="N19" s="47">
        <f t="shared" ca="1" si="3"/>
        <v>9.8000000000000007</v>
      </c>
      <c r="O19" s="63">
        <f t="shared" ca="1" si="4"/>
        <v>0</v>
      </c>
      <c r="P19" s="63">
        <f t="shared" ca="1" si="5"/>
        <v>0</v>
      </c>
      <c r="Q19" s="47">
        <f t="shared" ca="1" si="6"/>
        <v>29</v>
      </c>
      <c r="R19" s="47">
        <f t="shared" ca="1" si="7"/>
        <v>24</v>
      </c>
      <c r="S19" s="47">
        <f t="shared" ca="1" si="8"/>
        <v>0.9</v>
      </c>
      <c r="T19" s="47">
        <f t="shared" ca="1" si="9"/>
        <v>0</v>
      </c>
      <c r="U19" s="75">
        <f t="shared" ca="1" si="10"/>
        <v>0</v>
      </c>
      <c r="V19" s="75">
        <f t="shared" ca="1" si="11"/>
        <v>0</v>
      </c>
      <c r="W19" s="47">
        <f t="shared" ca="1" si="12"/>
        <v>0</v>
      </c>
      <c r="X19" s="47">
        <f t="shared" ca="1" si="13"/>
        <v>60800</v>
      </c>
      <c r="Y19" s="47">
        <f t="shared" ca="1" si="14"/>
        <v>0</v>
      </c>
      <c r="Z19" s="47">
        <f t="shared" ca="1" si="15"/>
        <v>78.199999999999974</v>
      </c>
      <c r="AA19" s="47">
        <f t="shared" ca="1" si="16"/>
        <v>1</v>
      </c>
      <c r="AB19" s="47">
        <f t="shared" ca="1" si="17"/>
        <v>4420</v>
      </c>
      <c r="AC19" s="63">
        <f t="shared" ca="1" si="18"/>
        <v>238000</v>
      </c>
      <c r="AD19" s="63">
        <f t="shared" ca="1" si="19"/>
        <v>2032.5203252032527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>
        <f t="shared" ca="1" si="25"/>
        <v>18.400000000000006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77</v>
      </c>
      <c r="AS19" s="33">
        <f t="shared" ca="1" si="34"/>
        <v>0.2</v>
      </c>
      <c r="AW19" s="2">
        <v>16.3</v>
      </c>
      <c r="AX19" s="2" t="s">
        <v>261</v>
      </c>
      <c r="AY19" s="130">
        <v>24</v>
      </c>
      <c r="AZ19" s="2">
        <v>19.899999999999999</v>
      </c>
      <c r="BA19" s="2"/>
      <c r="BB19" s="2">
        <v>6</v>
      </c>
      <c r="BC19" s="2"/>
      <c r="BD19" s="2">
        <v>16.3</v>
      </c>
      <c r="BE19" s="2">
        <v>19.100000000000001</v>
      </c>
      <c r="BF19" s="2">
        <v>19.5</v>
      </c>
      <c r="BG19" s="2">
        <v>20</v>
      </c>
      <c r="BH19" s="2">
        <v>24.4</v>
      </c>
      <c r="BI19" s="2"/>
      <c r="BJ19" s="2"/>
      <c r="BK19" s="2"/>
      <c r="BL19" s="2"/>
      <c r="BM19" s="2"/>
      <c r="BN19" s="2">
        <v>67</v>
      </c>
      <c r="BO19" s="2">
        <v>33</v>
      </c>
      <c r="BP19" s="2">
        <v>38</v>
      </c>
      <c r="BQ19" s="2">
        <v>41</v>
      </c>
      <c r="BR19" s="2">
        <v>44</v>
      </c>
      <c r="BS19" s="2">
        <v>50</v>
      </c>
      <c r="BT19" s="2">
        <v>42</v>
      </c>
      <c r="BU19" s="2">
        <v>102</v>
      </c>
      <c r="BV19" s="2">
        <v>129</v>
      </c>
      <c r="BW19" s="2">
        <v>155</v>
      </c>
      <c r="BX19" s="2">
        <v>221</v>
      </c>
      <c r="BY19" s="2">
        <v>66.3</v>
      </c>
      <c r="BZ19" s="2">
        <v>2.8</v>
      </c>
      <c r="CA19" s="2">
        <v>0.9</v>
      </c>
      <c r="CB19" s="2">
        <v>1.46553098312349E-6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23d</v>
      </c>
      <c r="J20" s="47">
        <f t="shared" ca="1" si="35"/>
        <v>15</v>
      </c>
      <c r="K20" s="19">
        <f t="shared" ca="1" si="36"/>
        <v>-70</v>
      </c>
      <c r="L20" s="116" t="str">
        <f t="shared" ca="1" si="1"/>
        <v>Cowden Clay</v>
      </c>
      <c r="M20" s="105" t="str">
        <f t="shared" ca="1" si="2"/>
        <v>API clay</v>
      </c>
      <c r="N20" s="47">
        <f t="shared" ca="1" si="3"/>
        <v>8.8999999999999986</v>
      </c>
      <c r="O20" s="63">
        <f t="shared" ca="1" si="4"/>
        <v>510</v>
      </c>
      <c r="P20" s="63">
        <f t="shared" ca="1" si="5"/>
        <v>5.6</v>
      </c>
      <c r="Q20" s="47">
        <f t="shared" ca="1" si="6"/>
        <v>0</v>
      </c>
      <c r="R20" s="47" t="e">
        <f t="shared" ca="1" si="7"/>
        <v>#N/A</v>
      </c>
      <c r="S20" s="47">
        <f t="shared" ca="1" si="8"/>
        <v>1.9</v>
      </c>
      <c r="T20" s="47">
        <f t="shared" ca="1" si="9"/>
        <v>0</v>
      </c>
      <c r="U20" s="75">
        <f t="shared" ca="1" si="10"/>
        <v>1.7999999999999999E-2</v>
      </c>
      <c r="V20" s="75">
        <f t="shared" ca="1" si="11"/>
        <v>0</v>
      </c>
      <c r="W20" s="47">
        <f t="shared" ca="1" si="12"/>
        <v>0.25</v>
      </c>
      <c r="X20" s="47">
        <f t="shared" ca="1" si="13"/>
        <v>46800</v>
      </c>
      <c r="Y20" s="47">
        <f t="shared" ca="1" si="14"/>
        <v>0</v>
      </c>
      <c r="Z20" s="47" t="e">
        <f t="shared" ca="1" si="15"/>
        <v>#N/A</v>
      </c>
      <c r="AA20" s="47">
        <f t="shared" ca="1" si="16"/>
        <v>1</v>
      </c>
      <c r="AB20" s="47" t="e">
        <f t="shared" ca="1" si="17"/>
        <v>#N/A</v>
      </c>
      <c r="AC20" s="63">
        <f t="shared" ca="1" si="18"/>
        <v>803000</v>
      </c>
      <c r="AD20" s="63">
        <f t="shared" ca="1" si="19"/>
        <v>10500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 t="e">
        <f t="shared" ca="1" si="25"/>
        <v>#N/A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0</v>
      </c>
      <c r="AS20" s="33">
        <f t="shared" ca="1" si="34"/>
        <v>0.4</v>
      </c>
      <c r="AW20" s="2">
        <v>16.3</v>
      </c>
      <c r="AX20" s="2" t="s">
        <v>290</v>
      </c>
      <c r="AY20" s="130">
        <v>34.799999999999997</v>
      </c>
      <c r="AZ20" s="2">
        <v>18.7</v>
      </c>
      <c r="BA20" s="2"/>
      <c r="BB20" s="2">
        <v>4</v>
      </c>
      <c r="BC20" s="2"/>
      <c r="BD20" s="2">
        <v>2.4</v>
      </c>
      <c r="BE20" s="2">
        <v>8.1</v>
      </c>
      <c r="BF20" s="2">
        <v>8.6999999999999993</v>
      </c>
      <c r="BG20" s="2">
        <v>9.4</v>
      </c>
      <c r="BH20" s="2">
        <v>15.1</v>
      </c>
      <c r="BI20" s="2"/>
      <c r="BJ20" s="2"/>
      <c r="BK20" s="2"/>
      <c r="BL20" s="2"/>
      <c r="BM20" s="2"/>
      <c r="BN20" s="2">
        <v>52</v>
      </c>
      <c r="BO20" s="2">
        <v>26</v>
      </c>
      <c r="BP20" s="2">
        <v>27</v>
      </c>
      <c r="BQ20" s="2">
        <v>30</v>
      </c>
      <c r="BR20" s="2">
        <v>32</v>
      </c>
      <c r="BS20" s="2">
        <v>36</v>
      </c>
      <c r="BT20" s="2">
        <v>16</v>
      </c>
      <c r="BU20" s="2">
        <v>77</v>
      </c>
      <c r="BV20" s="2">
        <v>107</v>
      </c>
      <c r="BW20" s="2">
        <v>138</v>
      </c>
      <c r="BX20" s="2">
        <v>214</v>
      </c>
      <c r="BY20" s="2">
        <v>21</v>
      </c>
      <c r="BZ20" s="2">
        <v>3.4</v>
      </c>
      <c r="CA20" s="2">
        <v>1.1000000000000001</v>
      </c>
      <c r="CB20" s="2">
        <v>2.4748638414205601E-7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24</v>
      </c>
      <c r="AX21" s="2" t="s">
        <v>290</v>
      </c>
      <c r="AY21" s="130">
        <v>34.799999999999997</v>
      </c>
      <c r="AZ21" s="2">
        <v>18.7</v>
      </c>
      <c r="BA21" s="2"/>
      <c r="BB21" s="2">
        <v>4</v>
      </c>
      <c r="BC21" s="2"/>
      <c r="BD21" s="2">
        <v>15</v>
      </c>
      <c r="BE21" s="2">
        <v>20.7</v>
      </c>
      <c r="BF21" s="2">
        <v>21.3</v>
      </c>
      <c r="BG21" s="2">
        <v>21.9</v>
      </c>
      <c r="BH21" s="2">
        <v>27.6</v>
      </c>
      <c r="BI21" s="2"/>
      <c r="BJ21" s="2"/>
      <c r="BK21" s="2"/>
      <c r="BL21" s="2"/>
      <c r="BM21" s="2"/>
      <c r="BN21" s="2">
        <v>52</v>
      </c>
      <c r="BO21" s="2">
        <v>26</v>
      </c>
      <c r="BP21" s="2">
        <v>27</v>
      </c>
      <c r="BQ21" s="2">
        <v>30</v>
      </c>
      <c r="BR21" s="2">
        <v>32</v>
      </c>
      <c r="BS21" s="2">
        <v>36</v>
      </c>
      <c r="BT21" s="2">
        <v>60</v>
      </c>
      <c r="BU21" s="2">
        <v>121</v>
      </c>
      <c r="BV21" s="2">
        <v>152</v>
      </c>
      <c r="BW21" s="2">
        <v>182</v>
      </c>
      <c r="BX21" s="2">
        <v>258</v>
      </c>
      <c r="BY21" s="2">
        <v>21</v>
      </c>
      <c r="BZ21" s="2">
        <v>3.4</v>
      </c>
      <c r="CA21" s="2">
        <v>1.1000000000000001</v>
      </c>
      <c r="CB21" s="2">
        <v>2.4748638414205601E-7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24</v>
      </c>
      <c r="AX22" s="2" t="s">
        <v>290</v>
      </c>
      <c r="AY22" s="130">
        <v>34.799999999999997</v>
      </c>
      <c r="AZ22" s="2">
        <v>18.7</v>
      </c>
      <c r="BA22" s="2"/>
      <c r="BB22" s="2">
        <v>4</v>
      </c>
      <c r="BC22" s="2"/>
      <c r="BD22" s="2">
        <v>25.6</v>
      </c>
      <c r="BE22" s="2">
        <v>29.1</v>
      </c>
      <c r="BF22" s="2">
        <v>29.9</v>
      </c>
      <c r="BG22" s="2">
        <v>30.6</v>
      </c>
      <c r="BH22" s="2">
        <v>33.4</v>
      </c>
      <c r="BI22" s="2"/>
      <c r="BJ22" s="2"/>
      <c r="BK22" s="2"/>
      <c r="BL22" s="2"/>
      <c r="BM22" s="2"/>
      <c r="BN22" s="2">
        <v>71</v>
      </c>
      <c r="BO22" s="2">
        <v>26</v>
      </c>
      <c r="BP22" s="2">
        <v>29</v>
      </c>
      <c r="BQ22" s="2">
        <v>31</v>
      </c>
      <c r="BR22" s="2">
        <v>33</v>
      </c>
      <c r="BS22" s="2">
        <v>38</v>
      </c>
      <c r="BT22" s="2">
        <v>34</v>
      </c>
      <c r="BU22" s="2">
        <v>127</v>
      </c>
      <c r="BV22" s="2">
        <v>165</v>
      </c>
      <c r="BW22" s="2">
        <v>202</v>
      </c>
      <c r="BX22" s="2">
        <v>296</v>
      </c>
      <c r="BY22" s="2">
        <v>40</v>
      </c>
      <c r="BZ22" s="2">
        <v>4.8</v>
      </c>
      <c r="CA22" s="2">
        <v>1.3</v>
      </c>
      <c r="CB22" s="2">
        <v>1.50330568623955E-6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26</v>
      </c>
      <c r="AX23" s="2" t="s">
        <v>290</v>
      </c>
      <c r="AY23" s="130">
        <v>34.799999999999997</v>
      </c>
      <c r="AZ23" s="2">
        <v>18.7</v>
      </c>
      <c r="BA23" s="2"/>
      <c r="BB23" s="2">
        <v>4</v>
      </c>
      <c r="BC23" s="2"/>
      <c r="BD23" s="2">
        <v>18.7</v>
      </c>
      <c r="BE23" s="2">
        <v>22.2</v>
      </c>
      <c r="BF23" s="2">
        <v>23</v>
      </c>
      <c r="BG23" s="2">
        <v>23.7</v>
      </c>
      <c r="BH23" s="2">
        <v>26.5</v>
      </c>
      <c r="BI23" s="2"/>
      <c r="BJ23" s="2"/>
      <c r="BK23" s="2"/>
      <c r="BL23" s="2"/>
      <c r="BM23" s="2"/>
      <c r="BN23" s="2">
        <v>71</v>
      </c>
      <c r="BO23" s="2">
        <v>26</v>
      </c>
      <c r="BP23" s="2">
        <v>29</v>
      </c>
      <c r="BQ23" s="2">
        <v>31</v>
      </c>
      <c r="BR23" s="2">
        <v>33</v>
      </c>
      <c r="BS23" s="2">
        <v>38</v>
      </c>
      <c r="BT23" s="2">
        <v>26</v>
      </c>
      <c r="BU23" s="2">
        <v>120</v>
      </c>
      <c r="BV23" s="2">
        <v>158</v>
      </c>
      <c r="BW23" s="2">
        <v>195</v>
      </c>
      <c r="BX23" s="2">
        <v>289</v>
      </c>
      <c r="BY23" s="2">
        <v>40</v>
      </c>
      <c r="BZ23" s="2">
        <v>4.8</v>
      </c>
      <c r="CA23" s="2">
        <v>1.3</v>
      </c>
      <c r="CB23" s="2">
        <v>1.50330568623955E-6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26</v>
      </c>
      <c r="AX24" s="2" t="s">
        <v>290</v>
      </c>
      <c r="AY24" s="130">
        <v>34.799999999999997</v>
      </c>
      <c r="AZ24" s="2">
        <v>18.7</v>
      </c>
      <c r="BA24" s="2"/>
      <c r="BB24" s="2">
        <v>4</v>
      </c>
      <c r="BC24" s="2"/>
      <c r="BD24" s="2">
        <f>-4+9.8</f>
        <v>5.8000000000000007</v>
      </c>
      <c r="BE24" s="2">
        <v>12.2</v>
      </c>
      <c r="BF24" s="2">
        <v>12.6</v>
      </c>
      <c r="BG24" s="2">
        <v>13.2</v>
      </c>
      <c r="BH24" s="2">
        <f>5+17.3</f>
        <v>22.3</v>
      </c>
      <c r="BI24" s="2"/>
      <c r="BJ24" s="2"/>
      <c r="BK24" s="2"/>
      <c r="BL24" s="2"/>
      <c r="BM24" s="2"/>
      <c r="BN24" s="2">
        <v>40</v>
      </c>
      <c r="BO24" s="2">
        <v>26</v>
      </c>
      <c r="BP24" s="2">
        <v>26</v>
      </c>
      <c r="BQ24" s="2">
        <v>29</v>
      </c>
      <c r="BR24" s="2">
        <v>31</v>
      </c>
      <c r="BS24" s="2">
        <v>35</v>
      </c>
      <c r="BT24" s="2">
        <v>36</v>
      </c>
      <c r="BU24" s="2">
        <v>105</v>
      </c>
      <c r="BV24" s="2">
        <v>137</v>
      </c>
      <c r="BW24" s="2">
        <v>168</v>
      </c>
      <c r="BX24" s="2">
        <v>246</v>
      </c>
      <c r="BY24" s="2">
        <v>22.2</v>
      </c>
      <c r="BZ24" s="2">
        <v>2.1</v>
      </c>
      <c r="CA24" s="2">
        <v>0.8</v>
      </c>
      <c r="CB24" s="2">
        <v>3.64561093259998E-9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30</v>
      </c>
      <c r="AX25" s="2" t="s">
        <v>290</v>
      </c>
      <c r="AY25" s="130">
        <v>34.799999999999997</v>
      </c>
      <c r="AZ25" s="2">
        <v>18.7</v>
      </c>
      <c r="BA25" s="2"/>
      <c r="BB25" s="2">
        <v>4</v>
      </c>
      <c r="BC25" s="2"/>
      <c r="BD25" s="2">
        <f>-4+5.9</f>
        <v>1.9000000000000004</v>
      </c>
      <c r="BE25" s="2">
        <v>8.1999999999999993</v>
      </c>
      <c r="BF25" s="2">
        <v>8.6</v>
      </c>
      <c r="BG25" s="2">
        <v>9.3000000000000007</v>
      </c>
      <c r="BH25" s="2">
        <f>5+13.3</f>
        <v>18.3</v>
      </c>
      <c r="BI25" s="2"/>
      <c r="BJ25" s="2"/>
      <c r="BK25" s="2"/>
      <c r="BL25" s="2"/>
      <c r="BM25" s="2"/>
      <c r="BN25" s="2">
        <v>40</v>
      </c>
      <c r="BO25" s="2">
        <v>26</v>
      </c>
      <c r="BP25" s="2">
        <v>26</v>
      </c>
      <c r="BQ25" s="2">
        <v>29</v>
      </c>
      <c r="BR25" s="2">
        <v>31</v>
      </c>
      <c r="BS25" s="2">
        <v>35</v>
      </c>
      <c r="BT25" s="2">
        <v>29</v>
      </c>
      <c r="BU25" s="2">
        <v>99</v>
      </c>
      <c r="BV25" s="2">
        <v>130</v>
      </c>
      <c r="BW25" s="2">
        <v>161</v>
      </c>
      <c r="BX25" s="2">
        <v>239</v>
      </c>
      <c r="BY25" s="2">
        <v>22.2</v>
      </c>
      <c r="BZ25" s="2">
        <v>2.1</v>
      </c>
      <c r="CA25" s="2">
        <v>0.8</v>
      </c>
      <c r="CB25" s="2">
        <v>3.64561093259998E-9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30</v>
      </c>
      <c r="AX26" s="2" t="s">
        <v>301</v>
      </c>
      <c r="AY26" s="130">
        <v>32.5</v>
      </c>
      <c r="AZ26" s="2">
        <v>18.7</v>
      </c>
      <c r="BA26" s="2">
        <v>21</v>
      </c>
      <c r="BB26" s="2">
        <v>82</v>
      </c>
      <c r="BC26" s="2">
        <v>7</v>
      </c>
      <c r="BD26" s="2">
        <v>4.4000000000000004</v>
      </c>
      <c r="BE26" s="2">
        <v>5</v>
      </c>
      <c r="BF26" s="2">
        <v>5.2</v>
      </c>
      <c r="BG26" s="2">
        <v>5.6</v>
      </c>
      <c r="BH26" s="2">
        <v>8.3000000000000007</v>
      </c>
      <c r="BI26" s="2">
        <v>100</v>
      </c>
      <c r="BJ26" s="2">
        <v>207</v>
      </c>
      <c r="BK26" s="2">
        <v>254</v>
      </c>
      <c r="BL26" s="2">
        <v>308</v>
      </c>
      <c r="BM26" s="2">
        <v>482</v>
      </c>
      <c r="BN26" s="2"/>
      <c r="BO26" s="2"/>
      <c r="BP26" s="2"/>
      <c r="BQ26" s="2"/>
      <c r="BR26" s="2"/>
      <c r="BS26" s="2"/>
      <c r="BT26" s="2">
        <v>84</v>
      </c>
      <c r="BU26" s="2">
        <v>179</v>
      </c>
      <c r="BV26" s="2">
        <v>261</v>
      </c>
      <c r="BW26" s="2">
        <v>348</v>
      </c>
      <c r="BX26" s="2">
        <v>584</v>
      </c>
      <c r="BY26" s="2">
        <v>16.100000000000001</v>
      </c>
      <c r="BZ26" s="2">
        <v>4</v>
      </c>
      <c r="CA26" s="2">
        <v>1.6</v>
      </c>
      <c r="CB26" s="2">
        <v>7.6999623130318403E-11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33.4</v>
      </c>
      <c r="AX27" s="2" t="s">
        <v>301</v>
      </c>
      <c r="AY27" s="130">
        <v>32.5</v>
      </c>
      <c r="AZ27" s="2">
        <v>18.7</v>
      </c>
      <c r="BA27" s="2">
        <v>21</v>
      </c>
      <c r="BB27" s="2">
        <v>82</v>
      </c>
      <c r="BC27" s="2">
        <v>7</v>
      </c>
      <c r="BD27" s="2">
        <v>3.5</v>
      </c>
      <c r="BE27" s="2">
        <v>4.0999999999999996</v>
      </c>
      <c r="BF27" s="2">
        <v>4.3</v>
      </c>
      <c r="BG27" s="2">
        <v>4.8</v>
      </c>
      <c r="BH27" s="2">
        <v>7.4</v>
      </c>
      <c r="BI27" s="2">
        <v>48</v>
      </c>
      <c r="BJ27" s="2">
        <v>155</v>
      </c>
      <c r="BK27" s="2">
        <v>202</v>
      </c>
      <c r="BL27" s="2">
        <v>256</v>
      </c>
      <c r="BM27" s="2">
        <v>430</v>
      </c>
      <c r="BN27" s="2"/>
      <c r="BO27" s="2"/>
      <c r="BP27" s="2"/>
      <c r="BQ27" s="2"/>
      <c r="BR27" s="2"/>
      <c r="BS27" s="2"/>
      <c r="BT27" s="2">
        <v>33</v>
      </c>
      <c r="BU27" s="2">
        <v>128</v>
      </c>
      <c r="BV27" s="2">
        <v>210</v>
      </c>
      <c r="BW27" s="2">
        <v>296</v>
      </c>
      <c r="BX27" s="2">
        <v>533</v>
      </c>
      <c r="BY27" s="2">
        <v>16.100000000000001</v>
      </c>
      <c r="BZ27" s="2">
        <v>4</v>
      </c>
      <c r="CA27" s="2">
        <v>1.6</v>
      </c>
      <c r="CB27" s="2">
        <v>7.6999623130318403E-11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33.4</v>
      </c>
      <c r="AX28" s="2" t="s">
        <v>291</v>
      </c>
      <c r="AY28" s="130">
        <v>35.4</v>
      </c>
      <c r="AZ28" s="2">
        <v>18.5</v>
      </c>
      <c r="BA28" s="2"/>
      <c r="BB28" s="2">
        <v>54</v>
      </c>
      <c r="BC28" s="2"/>
      <c r="BD28" s="2">
        <v>1.2</v>
      </c>
      <c r="BE28" s="2">
        <v>1.7</v>
      </c>
      <c r="BF28" s="2">
        <v>1.8</v>
      </c>
      <c r="BG28" s="2">
        <v>3.6</v>
      </c>
      <c r="BH28" s="2">
        <v>13.8</v>
      </c>
      <c r="BI28" s="2"/>
      <c r="BJ28" s="2"/>
      <c r="BK28" s="2"/>
      <c r="BL28" s="2"/>
      <c r="BM28" s="2"/>
      <c r="BN28" s="2">
        <v>62</v>
      </c>
      <c r="BO28" s="2">
        <v>26</v>
      </c>
      <c r="BP28" s="2">
        <v>26</v>
      </c>
      <c r="BQ28" s="2">
        <v>28</v>
      </c>
      <c r="BR28" s="2">
        <v>31</v>
      </c>
      <c r="BS28" s="2">
        <v>35</v>
      </c>
      <c r="BT28" s="2">
        <v>33</v>
      </c>
      <c r="BU28" s="2">
        <v>94</v>
      </c>
      <c r="BV28" s="2">
        <v>129</v>
      </c>
      <c r="BW28" s="2">
        <v>163</v>
      </c>
      <c r="BX28" s="2">
        <v>253</v>
      </c>
      <c r="BY28" s="2">
        <v>33</v>
      </c>
      <c r="BZ28" s="2">
        <v>1.7</v>
      </c>
      <c r="CA28" s="2">
        <v>0.7</v>
      </c>
      <c r="CB28" s="2">
        <v>2.2359087075925601E-9</v>
      </c>
      <c r="CC28" s="2"/>
    </row>
    <row r="29" spans="1:81" x14ac:dyDescent="0.25">
      <c r="A29" s="66"/>
      <c r="B29" s="66"/>
      <c r="C29" s="67"/>
      <c r="D29" s="35"/>
      <c r="AW29" s="2">
        <v>40</v>
      </c>
      <c r="AX29" s="2" t="s">
        <v>291</v>
      </c>
      <c r="AY29" s="130">
        <v>35.4</v>
      </c>
      <c r="AZ29" s="2">
        <v>18.5</v>
      </c>
      <c r="BA29" s="2"/>
      <c r="BB29" s="2">
        <v>54</v>
      </c>
      <c r="BC29" s="2"/>
      <c r="BD29" s="2">
        <v>21.4</v>
      </c>
      <c r="BE29" s="2">
        <v>21.8</v>
      </c>
      <c r="BF29" s="2">
        <v>22</v>
      </c>
      <c r="BG29" s="2">
        <v>23.8</v>
      </c>
      <c r="BH29" s="2">
        <v>34</v>
      </c>
      <c r="BI29" s="2"/>
      <c r="BJ29" s="2"/>
      <c r="BK29" s="2"/>
      <c r="BL29" s="2"/>
      <c r="BM29" s="2"/>
      <c r="BN29" s="2">
        <v>62</v>
      </c>
      <c r="BO29" s="2">
        <v>26</v>
      </c>
      <c r="BP29" s="2">
        <v>26</v>
      </c>
      <c r="BQ29" s="2">
        <v>28</v>
      </c>
      <c r="BR29" s="2">
        <v>31</v>
      </c>
      <c r="BS29" s="2">
        <v>35</v>
      </c>
      <c r="BT29" s="2">
        <v>68</v>
      </c>
      <c r="BU29" s="2">
        <v>129</v>
      </c>
      <c r="BV29" s="2">
        <v>164</v>
      </c>
      <c r="BW29" s="2">
        <v>199</v>
      </c>
      <c r="BX29" s="2">
        <v>288</v>
      </c>
      <c r="BY29" s="2">
        <v>33</v>
      </c>
      <c r="BZ29" s="2">
        <v>1.7</v>
      </c>
      <c r="CA29" s="2">
        <v>0.7</v>
      </c>
      <c r="CB29" s="2">
        <v>2.2359087075925601E-9</v>
      </c>
      <c r="CC29" s="2"/>
    </row>
    <row r="30" spans="1:81" x14ac:dyDescent="0.25">
      <c r="A30" s="66"/>
      <c r="B30" s="66"/>
      <c r="C30" s="67"/>
      <c r="D30" s="35"/>
      <c r="AW30" s="2">
        <v>40</v>
      </c>
      <c r="AX30" s="2" t="s">
        <v>291</v>
      </c>
      <c r="AY30" s="130">
        <v>35.4</v>
      </c>
      <c r="AZ30" s="2">
        <v>18.5</v>
      </c>
      <c r="BA30" s="2"/>
      <c r="BB30" s="2">
        <v>54</v>
      </c>
      <c r="BC30" s="2"/>
      <c r="BD30" s="2">
        <v>1.5</v>
      </c>
      <c r="BE30" s="2">
        <v>13.6</v>
      </c>
      <c r="BF30" s="2">
        <v>17.100000000000001</v>
      </c>
      <c r="BG30" s="2">
        <v>40</v>
      </c>
      <c r="BH30" s="2">
        <v>111</v>
      </c>
      <c r="BI30" s="2"/>
      <c r="BJ30" s="2"/>
      <c r="BK30" s="2"/>
      <c r="BL30" s="2"/>
      <c r="BM30" s="2"/>
      <c r="BN30" s="2">
        <v>72</v>
      </c>
      <c r="BO30" s="2">
        <v>26</v>
      </c>
      <c r="BP30" s="2">
        <v>27</v>
      </c>
      <c r="BQ30" s="2">
        <v>29</v>
      </c>
      <c r="BR30" s="2">
        <v>32</v>
      </c>
      <c r="BS30" s="2">
        <v>36</v>
      </c>
      <c r="BT30" s="2">
        <v>40</v>
      </c>
      <c r="BU30" s="2">
        <v>127</v>
      </c>
      <c r="BV30" s="2">
        <v>171</v>
      </c>
      <c r="BW30" s="2">
        <v>216</v>
      </c>
      <c r="BX30" s="2">
        <v>326</v>
      </c>
      <c r="BY30" s="2">
        <v>45</v>
      </c>
      <c r="BZ30" s="2">
        <v>2</v>
      </c>
      <c r="CA30" s="2">
        <v>0.8</v>
      </c>
      <c r="CB30" s="2">
        <v>2.9401852627164902E-12</v>
      </c>
      <c r="CC30" s="2"/>
    </row>
    <row r="31" spans="1:81" x14ac:dyDescent="0.25">
      <c r="A31" s="66"/>
      <c r="B31" s="66"/>
      <c r="C31" s="67"/>
      <c r="D31" s="35"/>
      <c r="AW31" s="2">
        <v>57.7</v>
      </c>
      <c r="AX31" s="2" t="s">
        <v>291</v>
      </c>
      <c r="AY31" s="130">
        <v>35.4</v>
      </c>
      <c r="AZ31" s="2">
        <v>18.5</v>
      </c>
      <c r="BA31" s="2"/>
      <c r="BB31" s="2">
        <v>54</v>
      </c>
      <c r="BC31" s="2"/>
      <c r="BD31" s="2">
        <v>7.3</v>
      </c>
      <c r="BE31" s="2">
        <v>19.5</v>
      </c>
      <c r="BF31" s="2">
        <v>22.9</v>
      </c>
      <c r="BG31" s="2">
        <v>45.8</v>
      </c>
      <c r="BH31" s="2">
        <v>116.9</v>
      </c>
      <c r="BI31" s="2"/>
      <c r="BJ31" s="2"/>
      <c r="BK31" s="2"/>
      <c r="BL31" s="2"/>
      <c r="BM31" s="2"/>
      <c r="BN31" s="2">
        <v>72</v>
      </c>
      <c r="BO31" s="2">
        <v>26</v>
      </c>
      <c r="BP31" s="2">
        <v>27</v>
      </c>
      <c r="BQ31" s="2">
        <v>29</v>
      </c>
      <c r="BR31" s="2">
        <v>32</v>
      </c>
      <c r="BS31" s="2">
        <v>36</v>
      </c>
      <c r="BT31" s="2">
        <v>77</v>
      </c>
      <c r="BU31" s="2">
        <v>164</v>
      </c>
      <c r="BV31" s="2">
        <v>209</v>
      </c>
      <c r="BW31" s="2">
        <v>253</v>
      </c>
      <c r="BX31" s="2">
        <v>363</v>
      </c>
      <c r="BY31" s="2">
        <v>45</v>
      </c>
      <c r="BZ31" s="2">
        <v>2</v>
      </c>
      <c r="CA31" s="2">
        <v>0.8</v>
      </c>
      <c r="CB31" s="2">
        <v>2.9401852627164902E-12</v>
      </c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57.7</v>
      </c>
      <c r="AX32" s="2" t="s">
        <v>271</v>
      </c>
      <c r="AY32" s="130">
        <v>24.7</v>
      </c>
      <c r="AZ32" s="2">
        <v>19.8</v>
      </c>
      <c r="BA32" s="2"/>
      <c r="BB32" s="2">
        <v>11</v>
      </c>
      <c r="BC32" s="2"/>
      <c r="BD32" s="2">
        <v>2.1</v>
      </c>
      <c r="BE32" s="2">
        <v>24.6</v>
      </c>
      <c r="BF32" s="2">
        <v>38.1</v>
      </c>
      <c r="BG32" s="2">
        <v>85.3</v>
      </c>
      <c r="BH32" s="2">
        <v>231.6</v>
      </c>
      <c r="BI32" s="2"/>
      <c r="BJ32" s="2"/>
      <c r="BK32" s="2"/>
      <c r="BL32" s="2"/>
      <c r="BM32" s="2"/>
      <c r="BN32" s="2">
        <v>77</v>
      </c>
      <c r="BO32" s="2">
        <v>26</v>
      </c>
      <c r="BP32" s="2">
        <v>29</v>
      </c>
      <c r="BQ32" s="2">
        <v>31</v>
      </c>
      <c r="BR32" s="2">
        <v>33</v>
      </c>
      <c r="BS32" s="2">
        <v>38</v>
      </c>
      <c r="BT32" s="2">
        <v>57</v>
      </c>
      <c r="BU32" s="2">
        <v>180</v>
      </c>
      <c r="BV32" s="2">
        <v>238</v>
      </c>
      <c r="BW32" s="2">
        <v>297</v>
      </c>
      <c r="BX32" s="2">
        <v>441</v>
      </c>
      <c r="BY32" s="2">
        <v>60.8</v>
      </c>
      <c r="BZ32" s="2">
        <v>2.7</v>
      </c>
      <c r="CA32" s="2">
        <v>0.9</v>
      </c>
      <c r="CB32" s="2">
        <v>2.83422373748788E-12</v>
      </c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70</v>
      </c>
      <c r="AX33" s="2" t="s">
        <v>271</v>
      </c>
      <c r="AY33" s="130">
        <v>24.7</v>
      </c>
      <c r="AZ33" s="2">
        <v>19.8</v>
      </c>
      <c r="BA33" s="2"/>
      <c r="BB33" s="2">
        <v>11</v>
      </c>
      <c r="BC33" s="2"/>
      <c r="BD33" s="2">
        <v>6.8</v>
      </c>
      <c r="BE33" s="2">
        <v>29.4</v>
      </c>
      <c r="BF33" s="2">
        <v>42.9</v>
      </c>
      <c r="BG33" s="2">
        <v>90</v>
      </c>
      <c r="BH33" s="2">
        <v>236.3</v>
      </c>
      <c r="BI33" s="2"/>
      <c r="BJ33" s="2"/>
      <c r="BK33" s="2"/>
      <c r="BL33" s="2"/>
      <c r="BM33" s="2"/>
      <c r="BN33" s="2">
        <v>77</v>
      </c>
      <c r="BO33" s="2">
        <v>26</v>
      </c>
      <c r="BP33" s="2">
        <v>29</v>
      </c>
      <c r="BQ33" s="2">
        <v>31</v>
      </c>
      <c r="BR33" s="2">
        <v>33</v>
      </c>
      <c r="BS33" s="2">
        <v>38</v>
      </c>
      <c r="BT33" s="2">
        <v>82</v>
      </c>
      <c r="BU33" s="2">
        <v>205</v>
      </c>
      <c r="BV33" s="2">
        <v>263</v>
      </c>
      <c r="BW33" s="2">
        <v>322</v>
      </c>
      <c r="BX33" s="2">
        <v>466</v>
      </c>
      <c r="BY33" s="2">
        <v>60.8</v>
      </c>
      <c r="BZ33" s="2">
        <v>2.7</v>
      </c>
      <c r="CA33" s="2">
        <v>0.9</v>
      </c>
      <c r="CB33" s="2">
        <v>2.83422373748788E-12</v>
      </c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70</v>
      </c>
      <c r="AX34" s="2" t="s">
        <v>273</v>
      </c>
      <c r="AY34" s="130">
        <v>32</v>
      </c>
      <c r="AZ34" s="2">
        <v>18.899999999999999</v>
      </c>
      <c r="BA34" s="2">
        <v>47</v>
      </c>
      <c r="BB34" s="2">
        <v>85</v>
      </c>
      <c r="BC34" s="2">
        <v>3</v>
      </c>
      <c r="BD34" s="2">
        <v>2.6</v>
      </c>
      <c r="BE34" s="2">
        <v>10.7</v>
      </c>
      <c r="BF34" s="2">
        <v>12.4</v>
      </c>
      <c r="BG34" s="2">
        <v>27.4</v>
      </c>
      <c r="BH34" s="2">
        <v>73.7</v>
      </c>
      <c r="BI34" s="2">
        <v>424</v>
      </c>
      <c r="BJ34" s="2">
        <v>510</v>
      </c>
      <c r="BK34" s="2">
        <v>553</v>
      </c>
      <c r="BL34" s="2">
        <v>597</v>
      </c>
      <c r="BM34" s="2">
        <v>683</v>
      </c>
      <c r="BN34" s="2"/>
      <c r="BO34" s="2"/>
      <c r="BP34" s="2"/>
      <c r="BQ34" s="2"/>
      <c r="BR34" s="2"/>
      <c r="BS34" s="2"/>
      <c r="BT34" s="2">
        <v>544</v>
      </c>
      <c r="BU34" s="2">
        <v>716</v>
      </c>
      <c r="BV34" s="2">
        <v>803</v>
      </c>
      <c r="BW34" s="2">
        <v>890</v>
      </c>
      <c r="BX34" s="2">
        <v>1061</v>
      </c>
      <c r="BY34" s="2">
        <v>46.8</v>
      </c>
      <c r="BZ34" s="2">
        <v>5.0999999999999996</v>
      </c>
      <c r="CA34" s="2">
        <v>1.9</v>
      </c>
      <c r="CB34" s="2">
        <v>3.8166780967727601E-12</v>
      </c>
      <c r="CC34" s="2">
        <v>1.8</v>
      </c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80</v>
      </c>
      <c r="AX35" s="2" t="s">
        <v>273</v>
      </c>
      <c r="AY35" s="130">
        <v>32</v>
      </c>
      <c r="AZ35" s="2">
        <v>18.899999999999999</v>
      </c>
      <c r="BA35" s="2">
        <v>47</v>
      </c>
      <c r="BB35" s="2">
        <v>85</v>
      </c>
      <c r="BC35" s="2">
        <v>3</v>
      </c>
      <c r="BD35" s="2">
        <v>3.9</v>
      </c>
      <c r="BE35" s="2">
        <v>12</v>
      </c>
      <c r="BF35" s="2">
        <v>13.7</v>
      </c>
      <c r="BG35" s="2">
        <v>28.7</v>
      </c>
      <c r="BH35" s="2">
        <v>75</v>
      </c>
      <c r="BI35" s="2">
        <v>480</v>
      </c>
      <c r="BJ35" s="2">
        <v>566</v>
      </c>
      <c r="BK35" s="2">
        <v>609</v>
      </c>
      <c r="BL35" s="2">
        <v>653</v>
      </c>
      <c r="BM35" s="2">
        <v>739</v>
      </c>
      <c r="BN35" s="2"/>
      <c r="BO35" s="2"/>
      <c r="BP35" s="2"/>
      <c r="BQ35" s="2"/>
      <c r="BR35" s="2"/>
      <c r="BS35" s="2"/>
      <c r="BT35" s="2">
        <v>650</v>
      </c>
      <c r="BU35" s="2">
        <v>821</v>
      </c>
      <c r="BV35" s="2">
        <v>908</v>
      </c>
      <c r="BW35" s="2">
        <v>995</v>
      </c>
      <c r="BX35" s="2">
        <v>1167</v>
      </c>
      <c r="BY35" s="2">
        <v>46.8</v>
      </c>
      <c r="BZ35" s="2">
        <v>5.0999999999999996</v>
      </c>
      <c r="CA35" s="2">
        <v>1.9</v>
      </c>
      <c r="CB35" s="2">
        <v>3.8166780967727601E-12</v>
      </c>
      <c r="CC35" s="2">
        <v>1.8</v>
      </c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102" priority="12">
      <formula>$L32="API sand"</formula>
    </cfRule>
  </conditionalFormatting>
  <conditionalFormatting sqref="R32:S36 AB32:AB35 AJ32:AL36 Z32:Z36 N32:N36">
    <cfRule type="expression" dxfId="2101" priority="11">
      <formula>$M32="API sand"</formula>
    </cfRule>
  </conditionalFormatting>
  <conditionalFormatting sqref="R32:T36 Z32:AB35 AK32:AL36 N32:N36">
    <cfRule type="expression" dxfId="2100" priority="10">
      <formula>$M32="API clay"</formula>
    </cfRule>
  </conditionalFormatting>
  <conditionalFormatting sqref="U32:W36 AM32:AP36 N32:P36">
    <cfRule type="expression" dxfId="2099" priority="7">
      <formula>$L32="Stiff clay w/o free water"</formula>
    </cfRule>
    <cfRule type="expression" dxfId="2098" priority="9">
      <formula>$L32="API clay"</formula>
    </cfRule>
  </conditionalFormatting>
  <conditionalFormatting sqref="U32:Y36 AM32:AP36 N32:P36">
    <cfRule type="expression" dxfId="2097" priority="8">
      <formula>$L32="Kirsch soft clay"</formula>
    </cfRule>
  </conditionalFormatting>
  <conditionalFormatting sqref="U32:Y36 AM32:AP36 N32:P36">
    <cfRule type="expression" dxfId="2096" priority="6">
      <formula>$L32="Kirsch stiff clay"</formula>
    </cfRule>
  </conditionalFormatting>
  <conditionalFormatting sqref="AM32:AP36 Q32:Q36 X32:Y36 N32:N36">
    <cfRule type="expression" dxfId="2095" priority="5">
      <formula>$L32="Kirsch sand"</formula>
    </cfRule>
  </conditionalFormatting>
  <conditionalFormatting sqref="AC32:AD36 AI32:AI36 AM32:AP36 N32:N36">
    <cfRule type="expression" dxfId="2094" priority="4">
      <formula>$L32="Modified Weak rock"</formula>
    </cfRule>
  </conditionalFormatting>
  <conditionalFormatting sqref="AM32:AP36 N32:P36 U32:V36">
    <cfRule type="expression" dxfId="2093" priority="3">
      <formula>$L32="Reese stiff clay"</formula>
    </cfRule>
  </conditionalFormatting>
  <conditionalFormatting sqref="AB36">
    <cfRule type="expression" dxfId="2092" priority="2">
      <formula>$M36="API sand"</formula>
    </cfRule>
  </conditionalFormatting>
  <conditionalFormatting sqref="Z36:AB36">
    <cfRule type="expression" dxfId="2091" priority="1">
      <formula>$M36="API clay"</formula>
    </cfRule>
  </conditionalFormatting>
  <conditionalFormatting sqref="AE37:AH37">
    <cfRule type="expression" dxfId="2090" priority="13">
      <formula>#REF!="Modified Weak rock"</formula>
    </cfRule>
  </conditionalFormatting>
  <dataValidations count="4">
    <dataValidation type="list" showInputMessage="1" showErrorMessage="1" sqref="M32:M36" xr:uid="{A678678D-E0C0-4BA9-B647-AE5604EBFE2B}">
      <formula1>"',API sand,API clay"</formula1>
    </dataValidation>
    <dataValidation type="list" showInputMessage="1" showErrorMessage="1" sqref="L32:L255" xr:uid="{307C0762-F71D-4F2D-893B-6098227E9508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B76AC083-DDDB-4F65-A9D1-AD7DA03DC992}"/>
    <dataValidation type="textLength" showInputMessage="1" showErrorMessage="1" sqref="M27:M31" xr:uid="{95F23548-D082-45BA-97D2-4E210F238700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9C6BD-A8B0-4E88-8B5E-F8925F4DA471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Ak_Pisa_WTG67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12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EW_sand_Ruled_87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38</v>
      </c>
      <c r="R6" s="47">
        <f t="shared" ref="R6:R26" ca="1" si="7">IF(I6="","",IF(Q6&lt;&gt;0,Q6-5,NA()))</f>
        <v>33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11600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107.39999999999996</v>
      </c>
      <c r="AA6" s="47">
        <f t="shared" ref="AA6:AA26" ca="1" si="16">IF(I6="","",1)</f>
        <v>1</v>
      </c>
      <c r="AB6" s="47">
        <f t="shared" ref="AB6:AB26" ca="1" si="17">IF(I6="","",VLOOKUP(R6,$AE$39:$AG$59,3))</f>
        <v>11040</v>
      </c>
      <c r="AC6" s="63">
        <f t="shared" ref="AC6:AC26" ca="1" si="18">IF(I6="","",IF(OFFSET($BV$6,(ROW()-6)*2,0)=0,0,OFFSET($BV$6,(ROW()-6)*2,0)*1000))</f>
        <v>11000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21000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46.000000000000007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87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0.9</v>
      </c>
      <c r="BF6" s="2">
        <v>2.1</v>
      </c>
      <c r="BG6" s="2">
        <v>3.2</v>
      </c>
      <c r="BH6" s="2">
        <v>6</v>
      </c>
      <c r="BI6" s="2"/>
      <c r="BJ6" s="2"/>
      <c r="BK6" s="2"/>
      <c r="BL6" s="2"/>
      <c r="BM6" s="2"/>
      <c r="BN6" s="2">
        <v>87</v>
      </c>
      <c r="BO6" s="2">
        <v>27</v>
      </c>
      <c r="BP6" s="2">
        <v>38</v>
      </c>
      <c r="BQ6" s="2">
        <v>41</v>
      </c>
      <c r="BR6" s="2">
        <v>44</v>
      </c>
      <c r="BS6" s="2">
        <v>53</v>
      </c>
      <c r="BT6" s="2">
        <v>0</v>
      </c>
      <c r="BU6" s="2">
        <v>6</v>
      </c>
      <c r="BV6" s="2">
        <v>11</v>
      </c>
      <c r="BW6" s="2">
        <v>17</v>
      </c>
      <c r="BX6" s="2">
        <v>29</v>
      </c>
      <c r="BY6" s="2">
        <v>11.6</v>
      </c>
      <c r="BZ6" s="2">
        <v>1</v>
      </c>
      <c r="CA6" s="2">
        <v>0.5</v>
      </c>
      <c r="CB6" s="2">
        <v>1.5036240547997099E-5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-1</v>
      </c>
      <c r="L7" s="116" t="str">
        <f t="shared" ca="1" si="1"/>
        <v>EW_sand_Ruled_100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42</v>
      </c>
      <c r="R7" s="47">
        <f t="shared" ca="1" si="7"/>
        <v>37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47800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46000</v>
      </c>
      <c r="AD7" s="63">
        <f t="shared" ca="1" si="19"/>
        <v>5714.2857142857147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100</v>
      </c>
      <c r="AS7" s="33">
        <f t="shared" ca="1" si="34"/>
        <v>0.4</v>
      </c>
      <c r="AW7" s="2">
        <v>1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1.7</v>
      </c>
      <c r="BE7" s="2">
        <v>4.8</v>
      </c>
      <c r="BF7" s="2">
        <v>6</v>
      </c>
      <c r="BG7" s="2">
        <v>7</v>
      </c>
      <c r="BH7" s="2">
        <v>9.9</v>
      </c>
      <c r="BI7" s="2"/>
      <c r="BJ7" s="2"/>
      <c r="BK7" s="2"/>
      <c r="BL7" s="2"/>
      <c r="BM7" s="2"/>
      <c r="BN7" s="2">
        <v>87</v>
      </c>
      <c r="BO7" s="2">
        <v>27</v>
      </c>
      <c r="BP7" s="2">
        <v>38</v>
      </c>
      <c r="BQ7" s="2">
        <v>41</v>
      </c>
      <c r="BR7" s="2">
        <v>44</v>
      </c>
      <c r="BS7" s="2">
        <v>53</v>
      </c>
      <c r="BT7" s="2">
        <v>14</v>
      </c>
      <c r="BU7" s="2">
        <v>27</v>
      </c>
      <c r="BV7" s="2">
        <v>32</v>
      </c>
      <c r="BW7" s="2">
        <v>38</v>
      </c>
      <c r="BX7" s="2">
        <v>50</v>
      </c>
      <c r="BY7" s="2">
        <v>11.6</v>
      </c>
      <c r="BZ7" s="2">
        <v>1</v>
      </c>
      <c r="CA7" s="2">
        <v>0.5</v>
      </c>
      <c r="CB7" s="2">
        <v>1.5036240547997099E-5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02a</v>
      </c>
      <c r="J8" s="47">
        <f t="shared" ca="1" si="35"/>
        <v>3</v>
      </c>
      <c r="K8" s="19">
        <f t="shared" ca="1" si="36"/>
        <v>-2.4</v>
      </c>
      <c r="L8" s="116" t="str">
        <f t="shared" ca="1" si="1"/>
        <v>Cowden Clay</v>
      </c>
      <c r="M8" s="105" t="str">
        <f t="shared" ca="1" si="2"/>
        <v>API clay</v>
      </c>
      <c r="N8" s="47">
        <f t="shared" ca="1" si="3"/>
        <v>10.199999999999999</v>
      </c>
      <c r="O8" s="63">
        <f t="shared" ca="1" si="4"/>
        <v>71</v>
      </c>
      <c r="P8" s="63">
        <f t="shared" ca="1" si="5"/>
        <v>-15</v>
      </c>
      <c r="Q8" s="47">
        <f t="shared" ca="1" si="6"/>
        <v>0</v>
      </c>
      <c r="R8" s="47" t="e">
        <f t="shared" ca="1" si="7"/>
        <v>#N/A</v>
      </c>
      <c r="S8" s="47">
        <f t="shared" ca="1" si="8"/>
        <v>3</v>
      </c>
      <c r="T8" s="47">
        <f t="shared" ca="1" si="9"/>
        <v>0</v>
      </c>
      <c r="U8" s="75">
        <f t="shared" ca="1" si="10"/>
        <v>1.7999999999999999E-2</v>
      </c>
      <c r="V8" s="75">
        <f t="shared" ca="1" si="11"/>
        <v>0</v>
      </c>
      <c r="W8" s="47">
        <f t="shared" ca="1" si="12"/>
        <v>0.5</v>
      </c>
      <c r="X8" s="47">
        <f t="shared" ca="1" si="13"/>
        <v>12700</v>
      </c>
      <c r="Y8" s="47">
        <f t="shared" ca="1" si="14"/>
        <v>0</v>
      </c>
      <c r="Z8" s="47" t="e">
        <f t="shared" ca="1" si="15"/>
        <v>#N/A</v>
      </c>
      <c r="AA8" s="47">
        <f t="shared" ca="1" si="16"/>
        <v>1</v>
      </c>
      <c r="AB8" s="47" t="e">
        <f t="shared" ca="1" si="17"/>
        <v>#N/A</v>
      </c>
      <c r="AC8" s="63">
        <f t="shared" ca="1" si="18"/>
        <v>69000</v>
      </c>
      <c r="AD8" s="63">
        <f t="shared" ca="1" si="19"/>
        <v>-14000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 t="e">
        <f t="shared" ca="1" si="25"/>
        <v>#N/A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0</v>
      </c>
      <c r="AS8" s="33">
        <f t="shared" ca="1" si="34"/>
        <v>0.4</v>
      </c>
      <c r="AW8" s="2">
        <v>1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13.5</v>
      </c>
      <c r="BE8" s="2">
        <v>14.8</v>
      </c>
      <c r="BF8" s="2">
        <v>15.2</v>
      </c>
      <c r="BG8" s="2">
        <v>15.5</v>
      </c>
      <c r="BH8" s="2">
        <v>16.399999999999999</v>
      </c>
      <c r="BI8" s="2"/>
      <c r="BJ8" s="2"/>
      <c r="BK8" s="2"/>
      <c r="BL8" s="2"/>
      <c r="BM8" s="2"/>
      <c r="BN8" s="2">
        <v>100</v>
      </c>
      <c r="BO8" s="2">
        <v>36</v>
      </c>
      <c r="BP8" s="2">
        <v>42</v>
      </c>
      <c r="BQ8" s="2">
        <v>45</v>
      </c>
      <c r="BR8" s="2">
        <v>49</v>
      </c>
      <c r="BS8" s="2">
        <v>54</v>
      </c>
      <c r="BT8" s="2">
        <v>5</v>
      </c>
      <c r="BU8" s="2">
        <v>34</v>
      </c>
      <c r="BV8" s="2">
        <v>46</v>
      </c>
      <c r="BW8" s="2">
        <v>59</v>
      </c>
      <c r="BX8" s="2">
        <v>88</v>
      </c>
      <c r="BY8" s="2">
        <v>47.8</v>
      </c>
      <c r="BZ8" s="2">
        <v>1</v>
      </c>
      <c r="CA8" s="2">
        <v>0.5</v>
      </c>
      <c r="CB8" s="2">
        <v>1.2585866271224E-4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10a</v>
      </c>
      <c r="J9" s="47">
        <f t="shared" ca="1" si="35"/>
        <v>4</v>
      </c>
      <c r="K9" s="19">
        <f t="shared" ca="1" si="36"/>
        <v>-3.4</v>
      </c>
      <c r="L9" s="116" t="str">
        <f t="shared" ca="1" si="1"/>
        <v>EW_sand_Ruled_76</v>
      </c>
      <c r="M9" s="105" t="str">
        <f t="shared" ca="1" si="2"/>
        <v>API sand</v>
      </c>
      <c r="N9" s="47">
        <f t="shared" ca="1" si="3"/>
        <v>10</v>
      </c>
      <c r="O9" s="63">
        <f t="shared" ca="1" si="4"/>
        <v>0</v>
      </c>
      <c r="P9" s="63">
        <f t="shared" ca="1" si="5"/>
        <v>0</v>
      </c>
      <c r="Q9" s="47">
        <f t="shared" ca="1" si="6"/>
        <v>40</v>
      </c>
      <c r="R9" s="47">
        <f t="shared" ca="1" si="7"/>
        <v>35</v>
      </c>
      <c r="S9" s="47">
        <f t="shared" ca="1" si="8"/>
        <v>1.5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57900</v>
      </c>
      <c r="Y9" s="47">
        <f t="shared" ca="1" si="14"/>
        <v>0</v>
      </c>
      <c r="Z9" s="47">
        <f t="shared" ca="1" si="15"/>
        <v>114.99999999999996</v>
      </c>
      <c r="AA9" s="47">
        <f t="shared" ca="1" si="16"/>
        <v>1</v>
      </c>
      <c r="AB9" s="47">
        <f t="shared" ca="1" si="17"/>
        <v>12000</v>
      </c>
      <c r="AC9" s="63">
        <f t="shared" ca="1" si="18"/>
        <v>71000</v>
      </c>
      <c r="AD9" s="63">
        <f t="shared" ca="1" si="19"/>
        <v>4782.6086956521749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50.000000000000007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76</v>
      </c>
      <c r="AS9" s="33">
        <f t="shared" ca="1" si="34"/>
        <v>0.4</v>
      </c>
      <c r="AW9" s="2">
        <v>2.4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11</v>
      </c>
      <c r="BE9" s="2">
        <v>12.3</v>
      </c>
      <c r="BF9" s="2">
        <v>12.7</v>
      </c>
      <c r="BG9" s="2">
        <v>13</v>
      </c>
      <c r="BH9" s="2">
        <v>13.9</v>
      </c>
      <c r="BI9" s="2"/>
      <c r="BJ9" s="2"/>
      <c r="BK9" s="2"/>
      <c r="BL9" s="2"/>
      <c r="BM9" s="2"/>
      <c r="BN9" s="2">
        <v>100</v>
      </c>
      <c r="BO9" s="2">
        <v>36</v>
      </c>
      <c r="BP9" s="2">
        <v>42</v>
      </c>
      <c r="BQ9" s="2">
        <v>45</v>
      </c>
      <c r="BR9" s="2">
        <v>49</v>
      </c>
      <c r="BS9" s="2">
        <v>54</v>
      </c>
      <c r="BT9" s="2">
        <v>13</v>
      </c>
      <c r="BU9" s="2">
        <v>42</v>
      </c>
      <c r="BV9" s="2">
        <v>54</v>
      </c>
      <c r="BW9" s="2">
        <v>66</v>
      </c>
      <c r="BX9" s="2">
        <v>96</v>
      </c>
      <c r="BY9" s="2">
        <v>47.8</v>
      </c>
      <c r="BZ9" s="2">
        <v>1</v>
      </c>
      <c r="CA9" s="2">
        <v>0.5</v>
      </c>
      <c r="CB9" s="2">
        <v>1.2585866271224E-4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10b</v>
      </c>
      <c r="J10" s="47">
        <f t="shared" ca="1" si="35"/>
        <v>5</v>
      </c>
      <c r="K10" s="19">
        <f t="shared" ca="1" si="36"/>
        <v>-8</v>
      </c>
      <c r="L10" s="116" t="str">
        <f t="shared" ca="1" si="1"/>
        <v>EW_sand_Ruled_80</v>
      </c>
      <c r="M10" s="105" t="str">
        <f t="shared" ca="1" si="2"/>
        <v>API sand</v>
      </c>
      <c r="N10" s="47">
        <f t="shared" ca="1" si="3"/>
        <v>9.8999999999999986</v>
      </c>
      <c r="O10" s="63">
        <f t="shared" ca="1" si="4"/>
        <v>0</v>
      </c>
      <c r="P10" s="63">
        <f t="shared" ca="1" si="5"/>
        <v>0</v>
      </c>
      <c r="Q10" s="47">
        <f t="shared" ca="1" si="6"/>
        <v>40</v>
      </c>
      <c r="R10" s="47">
        <f t="shared" ca="1" si="7"/>
        <v>35</v>
      </c>
      <c r="S10" s="47">
        <f t="shared" ca="1" si="8"/>
        <v>1.3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89200</v>
      </c>
      <c r="Y10" s="47">
        <f t="shared" ca="1" si="14"/>
        <v>0</v>
      </c>
      <c r="Z10" s="47">
        <f t="shared" ca="1" si="15"/>
        <v>114.99999999999996</v>
      </c>
      <c r="AA10" s="47">
        <f t="shared" ca="1" si="16"/>
        <v>1</v>
      </c>
      <c r="AB10" s="47">
        <f t="shared" ca="1" si="17"/>
        <v>12000</v>
      </c>
      <c r="AC10" s="63">
        <f t="shared" ca="1" si="18"/>
        <v>99000</v>
      </c>
      <c r="AD10" s="63">
        <f t="shared" ca="1" si="19"/>
        <v>7714.2857142857147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50.000000000000007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80</v>
      </c>
      <c r="AS10" s="33">
        <f t="shared" ca="1" si="34"/>
        <v>0.4</v>
      </c>
      <c r="AW10" s="2">
        <v>2.4</v>
      </c>
      <c r="AX10" s="2" t="s">
        <v>255</v>
      </c>
      <c r="AY10" s="130">
        <v>23.1</v>
      </c>
      <c r="AZ10" s="2">
        <v>20.2</v>
      </c>
      <c r="BA10" s="2">
        <v>18</v>
      </c>
      <c r="BB10" s="2">
        <v>28</v>
      </c>
      <c r="BC10" s="2">
        <v>5</v>
      </c>
      <c r="BD10" s="2">
        <v>1.3</v>
      </c>
      <c r="BE10" s="2">
        <v>1.5</v>
      </c>
      <c r="BF10" s="2">
        <v>1.7</v>
      </c>
      <c r="BG10" s="2">
        <v>1.9</v>
      </c>
      <c r="BH10" s="2">
        <v>2.4</v>
      </c>
      <c r="BI10" s="2">
        <v>33</v>
      </c>
      <c r="BJ10" s="2">
        <v>71</v>
      </c>
      <c r="BK10" s="2">
        <v>89</v>
      </c>
      <c r="BL10" s="2">
        <v>110</v>
      </c>
      <c r="BM10" s="2">
        <v>157</v>
      </c>
      <c r="BN10" s="2"/>
      <c r="BO10" s="2"/>
      <c r="BP10" s="2"/>
      <c r="BQ10" s="2"/>
      <c r="BR10" s="2"/>
      <c r="BS10" s="2"/>
      <c r="BT10" s="2">
        <v>16</v>
      </c>
      <c r="BU10" s="2">
        <v>46</v>
      </c>
      <c r="BV10" s="2">
        <v>69</v>
      </c>
      <c r="BW10" s="2">
        <v>93</v>
      </c>
      <c r="BX10" s="2">
        <v>144</v>
      </c>
      <c r="BY10" s="2">
        <v>12.7</v>
      </c>
      <c r="BZ10" s="2">
        <v>11.3</v>
      </c>
      <c r="CA10" s="2">
        <v>3</v>
      </c>
      <c r="CB10" s="2">
        <v>2.3416587111807E-9</v>
      </c>
      <c r="CC10" s="2">
        <v>1.8</v>
      </c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14a</v>
      </c>
      <c r="J11" s="47">
        <f t="shared" ca="1" si="35"/>
        <v>6</v>
      </c>
      <c r="K11" s="19">
        <f t="shared" ca="1" si="36"/>
        <v>-11.5</v>
      </c>
      <c r="L11" s="116" t="str">
        <f t="shared" ca="1" si="1"/>
        <v>EW_sand_Ruled_61</v>
      </c>
      <c r="M11" s="105" t="str">
        <f t="shared" ca="1" si="2"/>
        <v>API sand</v>
      </c>
      <c r="N11" s="47">
        <f t="shared" ca="1" si="3"/>
        <v>8.5</v>
      </c>
      <c r="O11" s="63">
        <f t="shared" ca="1" si="4"/>
        <v>0</v>
      </c>
      <c r="P11" s="63">
        <f t="shared" ca="1" si="5"/>
        <v>0</v>
      </c>
      <c r="Q11" s="47">
        <f t="shared" ca="1" si="6"/>
        <v>26</v>
      </c>
      <c r="R11" s="47">
        <f t="shared" ca="1" si="7"/>
        <v>21</v>
      </c>
      <c r="S11" s="47">
        <f t="shared" ca="1" si="8"/>
        <v>0.9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12100</v>
      </c>
      <c r="Y11" s="47">
        <f t="shared" ca="1" si="14"/>
        <v>0</v>
      </c>
      <c r="Z11" s="47">
        <f t="shared" ca="1" si="15"/>
        <v>69.799999999999983</v>
      </c>
      <c r="AA11" s="47">
        <f t="shared" ca="1" si="16"/>
        <v>1</v>
      </c>
      <c r="AB11" s="47">
        <f t="shared" ca="1" si="17"/>
        <v>3280</v>
      </c>
      <c r="AC11" s="63">
        <f t="shared" ca="1" si="18"/>
        <v>93000</v>
      </c>
      <c r="AD11" s="63">
        <f t="shared" ca="1" si="19"/>
        <v>1875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13.600000000000003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61</v>
      </c>
      <c r="AS11" s="33">
        <f t="shared" ca="1" si="34"/>
        <v>0.2</v>
      </c>
      <c r="AW11" s="2">
        <v>3.4</v>
      </c>
      <c r="AX11" s="2" t="s">
        <v>255</v>
      </c>
      <c r="AY11" s="130">
        <v>23.1</v>
      </c>
      <c r="AZ11" s="2">
        <v>20.2</v>
      </c>
      <c r="BA11" s="2">
        <v>18</v>
      </c>
      <c r="BB11" s="2">
        <v>28</v>
      </c>
      <c r="BC11" s="2">
        <v>5</v>
      </c>
      <c r="BD11" s="2">
        <v>1.1000000000000001</v>
      </c>
      <c r="BE11" s="2">
        <v>1.3</v>
      </c>
      <c r="BF11" s="2">
        <v>1.4</v>
      </c>
      <c r="BG11" s="2">
        <v>1.6</v>
      </c>
      <c r="BH11" s="2">
        <v>2.2000000000000002</v>
      </c>
      <c r="BI11" s="2">
        <v>18</v>
      </c>
      <c r="BJ11" s="2">
        <v>56</v>
      </c>
      <c r="BK11" s="2">
        <v>74</v>
      </c>
      <c r="BL11" s="2">
        <v>95</v>
      </c>
      <c r="BM11" s="2">
        <v>142</v>
      </c>
      <c r="BN11" s="2"/>
      <c r="BO11" s="2"/>
      <c r="BP11" s="2"/>
      <c r="BQ11" s="2"/>
      <c r="BR11" s="2"/>
      <c r="BS11" s="2"/>
      <c r="BT11" s="2">
        <v>3</v>
      </c>
      <c r="BU11" s="2">
        <v>33</v>
      </c>
      <c r="BV11" s="2">
        <v>55</v>
      </c>
      <c r="BW11" s="2">
        <v>80</v>
      </c>
      <c r="BX11" s="2">
        <v>131</v>
      </c>
      <c r="BY11" s="2">
        <v>12.7</v>
      </c>
      <c r="BZ11" s="2">
        <v>11.3</v>
      </c>
      <c r="CA11" s="2">
        <v>3</v>
      </c>
      <c r="CB11" s="2">
        <v>2.3416587111807E-9</v>
      </c>
      <c r="CC11" s="2">
        <v>1.8</v>
      </c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14b</v>
      </c>
      <c r="J12" s="47">
        <f t="shared" ca="1" si="35"/>
        <v>7</v>
      </c>
      <c r="K12" s="19">
        <f t="shared" ca="1" si="36"/>
        <v>-19.5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8.5</v>
      </c>
      <c r="O12" s="63">
        <f t="shared" ca="1" si="4"/>
        <v>219</v>
      </c>
      <c r="P12" s="63">
        <f t="shared" ca="1" si="5"/>
        <v>7.8723404255319158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0.5</v>
      </c>
      <c r="X12" s="47">
        <f t="shared" ca="1" si="13"/>
        <v>22100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269000</v>
      </c>
      <c r="AD12" s="63">
        <f t="shared" ca="1" si="19"/>
        <v>10425.531914893618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3.4</v>
      </c>
      <c r="AX12" s="2" t="s">
        <v>259</v>
      </c>
      <c r="AY12" s="130">
        <v>25.5</v>
      </c>
      <c r="AZ12" s="2">
        <v>20</v>
      </c>
      <c r="BA12" s="2"/>
      <c r="BB12" s="2">
        <v>14</v>
      </c>
      <c r="BC12" s="2"/>
      <c r="BD12" s="2">
        <v>11.2</v>
      </c>
      <c r="BE12" s="2">
        <v>15.6</v>
      </c>
      <c r="BF12" s="2">
        <v>16.3</v>
      </c>
      <c r="BG12" s="2">
        <v>17.5</v>
      </c>
      <c r="BH12" s="2">
        <v>26.5</v>
      </c>
      <c r="BI12" s="2"/>
      <c r="BJ12" s="2"/>
      <c r="BK12" s="2"/>
      <c r="BL12" s="2"/>
      <c r="BM12" s="2"/>
      <c r="BN12" s="2">
        <v>76</v>
      </c>
      <c r="BO12" s="2">
        <v>34</v>
      </c>
      <c r="BP12" s="2">
        <v>40</v>
      </c>
      <c r="BQ12" s="2">
        <v>43</v>
      </c>
      <c r="BR12" s="2">
        <v>46</v>
      </c>
      <c r="BS12" s="2">
        <v>52</v>
      </c>
      <c r="BT12" s="2">
        <v>4</v>
      </c>
      <c r="BU12" s="2">
        <v>52</v>
      </c>
      <c r="BV12" s="2">
        <v>71</v>
      </c>
      <c r="BW12" s="2">
        <v>91</v>
      </c>
      <c r="BX12" s="2">
        <v>139</v>
      </c>
      <c r="BY12" s="2">
        <v>57.9</v>
      </c>
      <c r="BZ12" s="2">
        <v>5.9</v>
      </c>
      <c r="CA12" s="2">
        <v>1.5</v>
      </c>
      <c r="CB12" s="2">
        <v>1.8277211448331902E-5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15b</v>
      </c>
      <c r="J13" s="47">
        <f t="shared" ca="1" si="35"/>
        <v>8</v>
      </c>
      <c r="K13" s="19">
        <f t="shared" ca="1" si="36"/>
        <v>-28.9</v>
      </c>
      <c r="L13" s="116" t="str">
        <f t="shared" ca="1" si="1"/>
        <v>EW_sand_Ruled_75</v>
      </c>
      <c r="M13" s="105" t="str">
        <f t="shared" ca="1" si="2"/>
        <v>API sand</v>
      </c>
      <c r="N13" s="47">
        <f t="shared" ca="1" si="3"/>
        <v>9</v>
      </c>
      <c r="O13" s="63">
        <f t="shared" ca="1" si="4"/>
        <v>0</v>
      </c>
      <c r="P13" s="63">
        <f t="shared" ca="1" si="5"/>
        <v>0</v>
      </c>
      <c r="Q13" s="47">
        <f t="shared" ca="1" si="6"/>
        <v>28</v>
      </c>
      <c r="R13" s="47">
        <f t="shared" ca="1" si="7"/>
        <v>23</v>
      </c>
      <c r="S13" s="47">
        <f t="shared" ca="1" si="8"/>
        <v>1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43000</v>
      </c>
      <c r="Y13" s="47">
        <f t="shared" ca="1" si="14"/>
        <v>0</v>
      </c>
      <c r="Z13" s="47">
        <f t="shared" ca="1" si="15"/>
        <v>75.399999999999977</v>
      </c>
      <c r="AA13" s="47">
        <f t="shared" ca="1" si="16"/>
        <v>1</v>
      </c>
      <c r="AB13" s="47">
        <f t="shared" ca="1" si="17"/>
        <v>4040</v>
      </c>
      <c r="AC13" s="63">
        <f t="shared" ca="1" si="18"/>
        <v>160000</v>
      </c>
      <c r="AD13" s="63">
        <f t="shared" ca="1" si="19"/>
        <v>3076.9230769230762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16.800000000000004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75</v>
      </c>
      <c r="AS13" s="33">
        <f t="shared" ca="1" si="34"/>
        <v>0.2</v>
      </c>
      <c r="AW13" s="2">
        <v>8</v>
      </c>
      <c r="AX13" s="2" t="s">
        <v>259</v>
      </c>
      <c r="AY13" s="130">
        <v>25.5</v>
      </c>
      <c r="AZ13" s="2">
        <v>20</v>
      </c>
      <c r="BA13" s="2"/>
      <c r="BB13" s="2">
        <v>14</v>
      </c>
      <c r="BC13" s="2"/>
      <c r="BD13" s="2">
        <v>9</v>
      </c>
      <c r="BE13" s="2">
        <v>13.4</v>
      </c>
      <c r="BF13" s="2">
        <v>14.1</v>
      </c>
      <c r="BG13" s="2">
        <v>15.3</v>
      </c>
      <c r="BH13" s="2">
        <v>24.3</v>
      </c>
      <c r="BI13" s="2"/>
      <c r="BJ13" s="2"/>
      <c r="BK13" s="2"/>
      <c r="BL13" s="2"/>
      <c r="BM13" s="2"/>
      <c r="BN13" s="2">
        <v>76</v>
      </c>
      <c r="BO13" s="2">
        <v>34</v>
      </c>
      <c r="BP13" s="2">
        <v>40</v>
      </c>
      <c r="BQ13" s="2">
        <v>43</v>
      </c>
      <c r="BR13" s="2">
        <v>46</v>
      </c>
      <c r="BS13" s="2">
        <v>52</v>
      </c>
      <c r="BT13" s="2">
        <v>26</v>
      </c>
      <c r="BU13" s="2">
        <v>73</v>
      </c>
      <c r="BV13" s="2">
        <v>93</v>
      </c>
      <c r="BW13" s="2">
        <v>112</v>
      </c>
      <c r="BX13" s="2">
        <v>161</v>
      </c>
      <c r="BY13" s="2">
        <v>57.9</v>
      </c>
      <c r="BZ13" s="2">
        <v>5.9</v>
      </c>
      <c r="CA13" s="2">
        <v>1.5</v>
      </c>
      <c r="CB13" s="2">
        <v>1.8277211448331902E-5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15b</v>
      </c>
      <c r="J14" s="47">
        <f t="shared" ca="1" si="35"/>
        <v>9</v>
      </c>
      <c r="K14" s="19">
        <f t="shared" ca="1" si="36"/>
        <v>-43.2</v>
      </c>
      <c r="L14" s="116" t="str">
        <f t="shared" ca="1" si="1"/>
        <v>EW_sand_Ruled_72</v>
      </c>
      <c r="M14" s="105" t="str">
        <f t="shared" ca="1" si="2"/>
        <v>API sand</v>
      </c>
      <c r="N14" s="47">
        <f t="shared" ca="1" si="3"/>
        <v>9</v>
      </c>
      <c r="O14" s="63">
        <f t="shared" ca="1" si="4"/>
        <v>0</v>
      </c>
      <c r="P14" s="63">
        <f t="shared" ca="1" si="5"/>
        <v>0</v>
      </c>
      <c r="Q14" s="47">
        <f t="shared" ca="1" si="6"/>
        <v>28</v>
      </c>
      <c r="R14" s="47">
        <f t="shared" ca="1" si="7"/>
        <v>23</v>
      </c>
      <c r="S14" s="47">
        <f t="shared" ca="1" si="8"/>
        <v>0.8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48000</v>
      </c>
      <c r="Y14" s="47">
        <f t="shared" ca="1" si="14"/>
        <v>0</v>
      </c>
      <c r="Z14" s="47">
        <f t="shared" ca="1" si="15"/>
        <v>75.399999999999977</v>
      </c>
      <c r="AA14" s="47">
        <f t="shared" ca="1" si="16"/>
        <v>1</v>
      </c>
      <c r="AB14" s="47">
        <f t="shared" ca="1" si="17"/>
        <v>4040</v>
      </c>
      <c r="AC14" s="63">
        <f t="shared" ca="1" si="18"/>
        <v>179000</v>
      </c>
      <c r="AD14" s="63">
        <f t="shared" ca="1" si="19"/>
        <v>3775.5102040816341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16.800000000000004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72</v>
      </c>
      <c r="AS14" s="33">
        <f t="shared" ca="1" si="34"/>
        <v>0.2</v>
      </c>
      <c r="AW14" s="2">
        <v>8</v>
      </c>
      <c r="AX14" s="2" t="s">
        <v>261</v>
      </c>
      <c r="AY14" s="130">
        <v>24</v>
      </c>
      <c r="AZ14" s="2">
        <v>19.899999999999999</v>
      </c>
      <c r="BA14" s="2"/>
      <c r="BB14" s="2">
        <v>6</v>
      </c>
      <c r="BC14" s="2"/>
      <c r="BD14" s="2">
        <v>7.8</v>
      </c>
      <c r="BE14" s="2">
        <v>16.3</v>
      </c>
      <c r="BF14" s="2">
        <v>17.600000000000001</v>
      </c>
      <c r="BG14" s="2">
        <v>19</v>
      </c>
      <c r="BH14" s="2">
        <v>27.3</v>
      </c>
      <c r="BI14" s="2"/>
      <c r="BJ14" s="2"/>
      <c r="BK14" s="2"/>
      <c r="BL14" s="2"/>
      <c r="BM14" s="2"/>
      <c r="BN14" s="2">
        <v>80</v>
      </c>
      <c r="BO14" s="2">
        <v>34</v>
      </c>
      <c r="BP14" s="2">
        <v>40</v>
      </c>
      <c r="BQ14" s="2">
        <v>44</v>
      </c>
      <c r="BR14" s="2">
        <v>47</v>
      </c>
      <c r="BS14" s="2">
        <v>53</v>
      </c>
      <c r="BT14" s="2">
        <v>8</v>
      </c>
      <c r="BU14" s="2">
        <v>72</v>
      </c>
      <c r="BV14" s="2">
        <v>99</v>
      </c>
      <c r="BW14" s="2">
        <v>125</v>
      </c>
      <c r="BX14" s="2">
        <v>191</v>
      </c>
      <c r="BY14" s="2">
        <v>89.2</v>
      </c>
      <c r="BZ14" s="2">
        <v>4.8</v>
      </c>
      <c r="CA14" s="2">
        <v>1.3</v>
      </c>
      <c r="CB14" s="2">
        <v>1.2203772660144099E-5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15b</v>
      </c>
      <c r="J15" s="47">
        <f t="shared" ca="1" si="35"/>
        <v>10</v>
      </c>
      <c r="K15" s="19">
        <f t="shared" ca="1" si="36"/>
        <v>-53</v>
      </c>
      <c r="L15" s="116" t="str">
        <f t="shared" ca="1" si="1"/>
        <v>EW_sand_Ruled_74</v>
      </c>
      <c r="M15" s="105" t="str">
        <f t="shared" ca="1" si="2"/>
        <v>API sand</v>
      </c>
      <c r="N15" s="47">
        <f t="shared" ca="1" si="3"/>
        <v>9</v>
      </c>
      <c r="O15" s="63">
        <f t="shared" ca="1" si="4"/>
        <v>0</v>
      </c>
      <c r="P15" s="63">
        <f t="shared" ca="1" si="5"/>
        <v>0</v>
      </c>
      <c r="Q15" s="47">
        <f t="shared" ca="1" si="6"/>
        <v>28</v>
      </c>
      <c r="R15" s="47">
        <f t="shared" ca="1" si="7"/>
        <v>23</v>
      </c>
      <c r="S15" s="47">
        <f t="shared" ca="1" si="8"/>
        <v>0.8</v>
      </c>
      <c r="T15" s="47">
        <f t="shared" ca="1" si="9"/>
        <v>0</v>
      </c>
      <c r="U15" s="75">
        <f t="shared" ca="1" si="10"/>
        <v>0</v>
      </c>
      <c r="V15" s="75">
        <f t="shared" ca="1" si="11"/>
        <v>0</v>
      </c>
      <c r="W15" s="47">
        <f t="shared" ca="1" si="12"/>
        <v>0</v>
      </c>
      <c r="X15" s="47">
        <f t="shared" ca="1" si="13"/>
        <v>63900</v>
      </c>
      <c r="Y15" s="47">
        <f t="shared" ca="1" si="14"/>
        <v>0</v>
      </c>
      <c r="Z15" s="47">
        <f t="shared" ca="1" si="15"/>
        <v>75.399999999999977</v>
      </c>
      <c r="AA15" s="47">
        <f t="shared" ca="1" si="16"/>
        <v>1</v>
      </c>
      <c r="AB15" s="47">
        <f t="shared" ca="1" si="17"/>
        <v>4040</v>
      </c>
      <c r="AC15" s="63">
        <f t="shared" ca="1" si="18"/>
        <v>212000</v>
      </c>
      <c r="AD15" s="63">
        <f t="shared" ca="1" si="19"/>
        <v>1333.3333333333333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>
        <f t="shared" ca="1" si="25"/>
        <v>16.800000000000004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74</v>
      </c>
      <c r="AS15" s="33">
        <f t="shared" ca="1" si="34"/>
        <v>0.2</v>
      </c>
      <c r="AW15" s="2">
        <v>11.5</v>
      </c>
      <c r="AX15" s="2" t="s">
        <v>261</v>
      </c>
      <c r="AY15" s="130">
        <v>24</v>
      </c>
      <c r="AZ15" s="2">
        <v>19.899999999999999</v>
      </c>
      <c r="BA15" s="2"/>
      <c r="BB15" s="2">
        <v>6</v>
      </c>
      <c r="BC15" s="2"/>
      <c r="BD15" s="2">
        <v>19.899999999999999</v>
      </c>
      <c r="BE15" s="2">
        <v>28.3</v>
      </c>
      <c r="BF15" s="2">
        <v>29.7</v>
      </c>
      <c r="BG15" s="2">
        <v>31</v>
      </c>
      <c r="BH15" s="2">
        <v>39.4</v>
      </c>
      <c r="BI15" s="2"/>
      <c r="BJ15" s="2"/>
      <c r="BK15" s="2"/>
      <c r="BL15" s="2"/>
      <c r="BM15" s="2"/>
      <c r="BN15" s="2">
        <v>80</v>
      </c>
      <c r="BO15" s="2">
        <v>34</v>
      </c>
      <c r="BP15" s="2">
        <v>40</v>
      </c>
      <c r="BQ15" s="2">
        <v>44</v>
      </c>
      <c r="BR15" s="2">
        <v>47</v>
      </c>
      <c r="BS15" s="2">
        <v>53</v>
      </c>
      <c r="BT15" s="2">
        <v>35</v>
      </c>
      <c r="BU15" s="2">
        <v>100</v>
      </c>
      <c r="BV15" s="2">
        <v>126</v>
      </c>
      <c r="BW15" s="2">
        <v>153</v>
      </c>
      <c r="BX15" s="2">
        <v>219</v>
      </c>
      <c r="BY15" s="2">
        <v>89.2</v>
      </c>
      <c r="BZ15" s="2">
        <v>4.8</v>
      </c>
      <c r="CA15" s="2">
        <v>1.3</v>
      </c>
      <c r="CB15" s="2">
        <v>1.2203772660144099E-5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21c</v>
      </c>
      <c r="J16" s="47">
        <f t="shared" ca="1" si="35"/>
        <v>11</v>
      </c>
      <c r="K16" s="19">
        <f t="shared" ca="1" si="36"/>
        <v>-69.5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9.3000000000000007</v>
      </c>
      <c r="O16" s="63">
        <f t="shared" ca="1" si="4"/>
        <v>606</v>
      </c>
      <c r="P16" s="63">
        <f t="shared" ca="1" si="5"/>
        <v>-38.857142857142854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1.9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45100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922000</v>
      </c>
      <c r="AD16" s="63">
        <f t="shared" ca="1" si="19"/>
        <v>-56571.428571428572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11.5</v>
      </c>
      <c r="AX16" s="2" t="s">
        <v>264</v>
      </c>
      <c r="AY16" s="130">
        <v>31.6</v>
      </c>
      <c r="AZ16" s="2">
        <v>18.5</v>
      </c>
      <c r="BA16" s="2"/>
      <c r="BB16" s="2">
        <v>38</v>
      </c>
      <c r="BC16" s="2"/>
      <c r="BD16" s="2">
        <v>6.3</v>
      </c>
      <c r="BE16" s="2">
        <v>8</v>
      </c>
      <c r="BF16" s="2">
        <v>8.1999999999999993</v>
      </c>
      <c r="BG16" s="2">
        <v>8.4</v>
      </c>
      <c r="BH16" s="2">
        <v>9.6999999999999993</v>
      </c>
      <c r="BI16" s="2"/>
      <c r="BJ16" s="2"/>
      <c r="BK16" s="2"/>
      <c r="BL16" s="2"/>
      <c r="BM16" s="2"/>
      <c r="BN16" s="2">
        <v>61</v>
      </c>
      <c r="BO16" s="2">
        <v>26</v>
      </c>
      <c r="BP16" s="2">
        <v>26</v>
      </c>
      <c r="BQ16" s="2">
        <v>29</v>
      </c>
      <c r="BR16" s="2">
        <v>31</v>
      </c>
      <c r="BS16" s="2">
        <v>35</v>
      </c>
      <c r="BT16" s="2">
        <v>11</v>
      </c>
      <c r="BU16" s="2">
        <v>69</v>
      </c>
      <c r="BV16" s="2">
        <v>93</v>
      </c>
      <c r="BW16" s="2">
        <v>116</v>
      </c>
      <c r="BX16" s="2">
        <v>175</v>
      </c>
      <c r="BY16" s="2">
        <v>12.1</v>
      </c>
      <c r="BZ16" s="2">
        <v>2.9</v>
      </c>
      <c r="CA16" s="2">
        <v>0.9</v>
      </c>
      <c r="CB16" s="2">
        <v>2.3507966145719201E-8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23d</v>
      </c>
      <c r="J17" s="47">
        <f t="shared" ca="1" si="35"/>
        <v>12</v>
      </c>
      <c r="K17" s="19">
        <f t="shared" ca="1" si="36"/>
        <v>-73</v>
      </c>
      <c r="L17" s="116" t="str">
        <f t="shared" ca="1" si="1"/>
        <v>Cowden Clay</v>
      </c>
      <c r="M17" s="105" t="str">
        <f t="shared" ca="1" si="2"/>
        <v>API clay</v>
      </c>
      <c r="N17" s="47">
        <f t="shared" ca="1" si="3"/>
        <v>8.8999999999999986</v>
      </c>
      <c r="O17" s="63">
        <f t="shared" ca="1" si="4"/>
        <v>530</v>
      </c>
      <c r="P17" s="63">
        <f t="shared" ca="1" si="5"/>
        <v>-12.285714285714286</v>
      </c>
      <c r="Q17" s="47">
        <f t="shared" ca="1" si="6"/>
        <v>0</v>
      </c>
      <c r="R17" s="47" t="e">
        <f t="shared" ca="1" si="7"/>
        <v>#N/A</v>
      </c>
      <c r="S17" s="47">
        <f t="shared" ca="1" si="8"/>
        <v>1.5</v>
      </c>
      <c r="T17" s="47">
        <f t="shared" ca="1" si="9"/>
        <v>0</v>
      </c>
      <c r="U17" s="75">
        <f t="shared" ca="1" si="10"/>
        <v>1.7999999999999999E-2</v>
      </c>
      <c r="V17" s="75">
        <f t="shared" ca="1" si="11"/>
        <v>0</v>
      </c>
      <c r="W17" s="47">
        <f t="shared" ca="1" si="12"/>
        <v>0.25</v>
      </c>
      <c r="X17" s="47">
        <f t="shared" ca="1" si="13"/>
        <v>41500</v>
      </c>
      <c r="Y17" s="47">
        <f t="shared" ca="1" si="14"/>
        <v>0</v>
      </c>
      <c r="Z17" s="47" t="e">
        <f t="shared" ca="1" si="15"/>
        <v>#N/A</v>
      </c>
      <c r="AA17" s="47">
        <f t="shared" ca="1" si="16"/>
        <v>1</v>
      </c>
      <c r="AB17" s="47" t="e">
        <f t="shared" ca="1" si="17"/>
        <v>#N/A</v>
      </c>
      <c r="AC17" s="63">
        <f t="shared" ca="1" si="18"/>
        <v>848000</v>
      </c>
      <c r="AD17" s="63">
        <f t="shared" ca="1" si="19"/>
        <v>-18571.428571428572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 t="e">
        <f t="shared" ca="1" si="25"/>
        <v>#N/A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0</v>
      </c>
      <c r="AS17" s="33">
        <f t="shared" ca="1" si="34"/>
        <v>0.4</v>
      </c>
      <c r="AW17" s="2">
        <v>19.5</v>
      </c>
      <c r="AX17" s="2" t="s">
        <v>264</v>
      </c>
      <c r="AY17" s="130">
        <v>31.6</v>
      </c>
      <c r="AZ17" s="2">
        <v>18.5</v>
      </c>
      <c r="BA17" s="2"/>
      <c r="BB17" s="2">
        <v>38</v>
      </c>
      <c r="BC17" s="2"/>
      <c r="BD17" s="2">
        <v>5.9</v>
      </c>
      <c r="BE17" s="2">
        <v>7.6</v>
      </c>
      <c r="BF17" s="2">
        <v>7.8</v>
      </c>
      <c r="BG17" s="2">
        <v>7.9</v>
      </c>
      <c r="BH17" s="2">
        <v>9.3000000000000007</v>
      </c>
      <c r="BI17" s="2"/>
      <c r="BJ17" s="2"/>
      <c r="BK17" s="2"/>
      <c r="BL17" s="2"/>
      <c r="BM17" s="2"/>
      <c r="BN17" s="2">
        <v>61</v>
      </c>
      <c r="BO17" s="2">
        <v>26</v>
      </c>
      <c r="BP17" s="2">
        <v>26</v>
      </c>
      <c r="BQ17" s="2">
        <v>29</v>
      </c>
      <c r="BR17" s="2">
        <v>31</v>
      </c>
      <c r="BS17" s="2">
        <v>35</v>
      </c>
      <c r="BT17" s="2">
        <v>26</v>
      </c>
      <c r="BU17" s="2">
        <v>84</v>
      </c>
      <c r="BV17" s="2">
        <v>108</v>
      </c>
      <c r="BW17" s="2">
        <v>132</v>
      </c>
      <c r="BX17" s="2">
        <v>190</v>
      </c>
      <c r="BY17" s="2">
        <v>12.1</v>
      </c>
      <c r="BZ17" s="2">
        <v>2.9</v>
      </c>
      <c r="CA17" s="2">
        <v>0.9</v>
      </c>
      <c r="CB17" s="2">
        <v>2.3507966145719201E-8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19.5</v>
      </c>
      <c r="AX18" s="2" t="s">
        <v>266</v>
      </c>
      <c r="AY18" s="130">
        <v>34.4</v>
      </c>
      <c r="AZ18" s="2">
        <v>18.5</v>
      </c>
      <c r="BA18" s="2">
        <v>23</v>
      </c>
      <c r="BB18" s="2">
        <v>76</v>
      </c>
      <c r="BC18" s="2">
        <v>4</v>
      </c>
      <c r="BD18" s="2">
        <v>4.2</v>
      </c>
      <c r="BE18" s="2">
        <v>5.0999999999999996</v>
      </c>
      <c r="BF18" s="2">
        <v>5.3</v>
      </c>
      <c r="BG18" s="2">
        <v>5.5</v>
      </c>
      <c r="BH18" s="2">
        <v>7.1</v>
      </c>
      <c r="BI18" s="2">
        <v>96</v>
      </c>
      <c r="BJ18" s="2">
        <v>219</v>
      </c>
      <c r="BK18" s="2">
        <v>271</v>
      </c>
      <c r="BL18" s="2">
        <v>325</v>
      </c>
      <c r="BM18" s="2">
        <v>464</v>
      </c>
      <c r="BN18" s="2"/>
      <c r="BO18" s="2"/>
      <c r="BP18" s="2"/>
      <c r="BQ18" s="2"/>
      <c r="BR18" s="2"/>
      <c r="BS18" s="2"/>
      <c r="BT18" s="2">
        <v>19</v>
      </c>
      <c r="BU18" s="2">
        <v>180</v>
      </c>
      <c r="BV18" s="2">
        <v>269</v>
      </c>
      <c r="BW18" s="2">
        <v>357</v>
      </c>
      <c r="BX18" s="2">
        <v>558</v>
      </c>
      <c r="BY18" s="2">
        <v>22.1</v>
      </c>
      <c r="BZ18" s="2">
        <v>7.5</v>
      </c>
      <c r="CA18" s="2">
        <v>3</v>
      </c>
      <c r="CB18" s="2">
        <v>4.5194015233437301E-10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28.9</v>
      </c>
      <c r="AX19" s="2" t="s">
        <v>266</v>
      </c>
      <c r="AY19" s="130">
        <v>34.4</v>
      </c>
      <c r="AZ19" s="2">
        <v>18.5</v>
      </c>
      <c r="BA19" s="2">
        <v>23</v>
      </c>
      <c r="BB19" s="2">
        <v>76</v>
      </c>
      <c r="BC19" s="2">
        <v>4</v>
      </c>
      <c r="BD19" s="2">
        <v>5.7</v>
      </c>
      <c r="BE19" s="2">
        <v>6.6</v>
      </c>
      <c r="BF19" s="2">
        <v>6.8</v>
      </c>
      <c r="BG19" s="2">
        <v>7</v>
      </c>
      <c r="BH19" s="2">
        <v>8.6</v>
      </c>
      <c r="BI19" s="2">
        <v>170</v>
      </c>
      <c r="BJ19" s="2">
        <v>293</v>
      </c>
      <c r="BK19" s="2">
        <v>346</v>
      </c>
      <c r="BL19" s="2">
        <v>400</v>
      </c>
      <c r="BM19" s="2">
        <v>539</v>
      </c>
      <c r="BN19" s="2"/>
      <c r="BO19" s="2"/>
      <c r="BP19" s="2"/>
      <c r="BQ19" s="2"/>
      <c r="BR19" s="2"/>
      <c r="BS19" s="2"/>
      <c r="BT19" s="2">
        <v>117</v>
      </c>
      <c r="BU19" s="2">
        <v>278</v>
      </c>
      <c r="BV19" s="2">
        <v>367</v>
      </c>
      <c r="BW19" s="2">
        <v>455</v>
      </c>
      <c r="BX19" s="2">
        <v>656</v>
      </c>
      <c r="BY19" s="2">
        <v>22.1</v>
      </c>
      <c r="BZ19" s="2">
        <v>7.5</v>
      </c>
      <c r="CA19" s="2">
        <v>3</v>
      </c>
      <c r="CB19" s="2">
        <v>4.5194015233437301E-10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28.9</v>
      </c>
      <c r="AX20" s="2" t="s">
        <v>268</v>
      </c>
      <c r="AY20" s="130">
        <v>27.5</v>
      </c>
      <c r="AZ20" s="2">
        <v>19</v>
      </c>
      <c r="BA20" s="2"/>
      <c r="BB20" s="2">
        <v>28</v>
      </c>
      <c r="BC20" s="2"/>
      <c r="BD20" s="2">
        <v>10.6</v>
      </c>
      <c r="BE20" s="2">
        <v>17.399999999999999</v>
      </c>
      <c r="BF20" s="2">
        <v>18.100000000000001</v>
      </c>
      <c r="BG20" s="2">
        <v>18.7</v>
      </c>
      <c r="BH20" s="2">
        <v>25.1</v>
      </c>
      <c r="BI20" s="2"/>
      <c r="BJ20" s="2"/>
      <c r="BK20" s="2"/>
      <c r="BL20" s="2"/>
      <c r="BM20" s="2"/>
      <c r="BN20" s="2">
        <v>75</v>
      </c>
      <c r="BO20" s="2">
        <v>26</v>
      </c>
      <c r="BP20" s="2">
        <v>28</v>
      </c>
      <c r="BQ20" s="2">
        <v>30</v>
      </c>
      <c r="BR20" s="2">
        <v>33</v>
      </c>
      <c r="BS20" s="2">
        <v>37</v>
      </c>
      <c r="BT20" s="2">
        <v>28</v>
      </c>
      <c r="BU20" s="2">
        <v>117</v>
      </c>
      <c r="BV20" s="2">
        <v>160</v>
      </c>
      <c r="BW20" s="2">
        <v>202</v>
      </c>
      <c r="BX20" s="2">
        <v>308</v>
      </c>
      <c r="BY20" s="2">
        <v>43</v>
      </c>
      <c r="BZ20" s="2">
        <v>3.1</v>
      </c>
      <c r="CA20" s="2">
        <v>1</v>
      </c>
      <c r="CB20" s="2">
        <v>5.4958331753367499E-8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43.2</v>
      </c>
      <c r="AX21" s="2" t="s">
        <v>268</v>
      </c>
      <c r="AY21" s="130">
        <v>27.5</v>
      </c>
      <c r="AZ21" s="2">
        <v>19</v>
      </c>
      <c r="BA21" s="2"/>
      <c r="BB21" s="2">
        <v>28</v>
      </c>
      <c r="BC21" s="2"/>
      <c r="BD21" s="2">
        <v>23.4</v>
      </c>
      <c r="BE21" s="2">
        <v>30.2</v>
      </c>
      <c r="BF21" s="2">
        <v>30.8</v>
      </c>
      <c r="BG21" s="2">
        <v>31.4</v>
      </c>
      <c r="BH21" s="2">
        <v>37.9</v>
      </c>
      <c r="BI21" s="2"/>
      <c r="BJ21" s="2"/>
      <c r="BK21" s="2"/>
      <c r="BL21" s="2"/>
      <c r="BM21" s="2"/>
      <c r="BN21" s="2">
        <v>75</v>
      </c>
      <c r="BO21" s="2">
        <v>26</v>
      </c>
      <c r="BP21" s="2">
        <v>28</v>
      </c>
      <c r="BQ21" s="2">
        <v>30</v>
      </c>
      <c r="BR21" s="2">
        <v>33</v>
      </c>
      <c r="BS21" s="2">
        <v>37</v>
      </c>
      <c r="BT21" s="2">
        <v>73</v>
      </c>
      <c r="BU21" s="2">
        <v>162</v>
      </c>
      <c r="BV21" s="2">
        <v>204</v>
      </c>
      <c r="BW21" s="2">
        <v>247</v>
      </c>
      <c r="BX21" s="2">
        <v>352</v>
      </c>
      <c r="BY21" s="2">
        <v>43</v>
      </c>
      <c r="BZ21" s="2">
        <v>3.1</v>
      </c>
      <c r="CA21" s="2">
        <v>1</v>
      </c>
      <c r="CB21" s="2">
        <v>5.4958331753367499E-8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43.2</v>
      </c>
      <c r="AX22" s="2" t="s">
        <v>268</v>
      </c>
      <c r="AY22" s="130">
        <v>27.5</v>
      </c>
      <c r="AZ22" s="2">
        <v>19</v>
      </c>
      <c r="BA22" s="2"/>
      <c r="BB22" s="2">
        <v>28</v>
      </c>
      <c r="BC22" s="2"/>
      <c r="BD22" s="2">
        <v>11.8</v>
      </c>
      <c r="BE22" s="2">
        <v>17.5</v>
      </c>
      <c r="BF22" s="2">
        <v>18.2</v>
      </c>
      <c r="BG22" s="2">
        <v>18.8</v>
      </c>
      <c r="BH22" s="2">
        <v>24.3</v>
      </c>
      <c r="BI22" s="2"/>
      <c r="BJ22" s="2"/>
      <c r="BK22" s="2"/>
      <c r="BL22" s="2"/>
      <c r="BM22" s="2"/>
      <c r="BN22" s="2">
        <v>72</v>
      </c>
      <c r="BO22" s="2">
        <v>26</v>
      </c>
      <c r="BP22" s="2">
        <v>28</v>
      </c>
      <c r="BQ22" s="2">
        <v>30</v>
      </c>
      <c r="BR22" s="2">
        <v>32</v>
      </c>
      <c r="BS22" s="2">
        <v>36</v>
      </c>
      <c r="BT22" s="2">
        <v>43</v>
      </c>
      <c r="BU22" s="2">
        <v>133</v>
      </c>
      <c r="BV22" s="2">
        <v>179</v>
      </c>
      <c r="BW22" s="2">
        <v>225</v>
      </c>
      <c r="BX22" s="2">
        <v>340</v>
      </c>
      <c r="BY22" s="2">
        <v>48</v>
      </c>
      <c r="BZ22" s="2">
        <v>2.2999999999999998</v>
      </c>
      <c r="CA22" s="2">
        <v>0.8</v>
      </c>
      <c r="CB22" s="2">
        <v>5.3355677314156802E-8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53</v>
      </c>
      <c r="AX23" s="2" t="s">
        <v>268</v>
      </c>
      <c r="AY23" s="130">
        <v>27.5</v>
      </c>
      <c r="AZ23" s="2">
        <v>19</v>
      </c>
      <c r="BA23" s="2"/>
      <c r="BB23" s="2">
        <v>28</v>
      </c>
      <c r="BC23" s="2"/>
      <c r="BD23" s="2">
        <v>21.9</v>
      </c>
      <c r="BE23" s="2">
        <v>27.6</v>
      </c>
      <c r="BF23" s="2">
        <v>28.3</v>
      </c>
      <c r="BG23" s="2">
        <v>28.9</v>
      </c>
      <c r="BH23" s="2">
        <v>34.4</v>
      </c>
      <c r="BI23" s="2"/>
      <c r="BJ23" s="2"/>
      <c r="BK23" s="2"/>
      <c r="BL23" s="2"/>
      <c r="BM23" s="2"/>
      <c r="BN23" s="2">
        <v>72</v>
      </c>
      <c r="BO23" s="2">
        <v>26</v>
      </c>
      <c r="BP23" s="2">
        <v>28</v>
      </c>
      <c r="BQ23" s="2">
        <v>30</v>
      </c>
      <c r="BR23" s="2">
        <v>32</v>
      </c>
      <c r="BS23" s="2">
        <v>36</v>
      </c>
      <c r="BT23" s="2">
        <v>79</v>
      </c>
      <c r="BU23" s="2">
        <v>169</v>
      </c>
      <c r="BV23" s="2">
        <v>216</v>
      </c>
      <c r="BW23" s="2">
        <v>262</v>
      </c>
      <c r="BX23" s="2">
        <v>377</v>
      </c>
      <c r="BY23" s="2">
        <v>48</v>
      </c>
      <c r="BZ23" s="2">
        <v>2.2999999999999998</v>
      </c>
      <c r="CA23" s="2">
        <v>0.8</v>
      </c>
      <c r="CB23" s="2">
        <v>5.3355677314156802E-8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53</v>
      </c>
      <c r="AX24" s="2" t="s">
        <v>268</v>
      </c>
      <c r="AY24" s="130">
        <v>27.5</v>
      </c>
      <c r="AZ24" s="2">
        <v>19</v>
      </c>
      <c r="BA24" s="2"/>
      <c r="BB24" s="2">
        <v>28</v>
      </c>
      <c r="BC24" s="2"/>
      <c r="BD24" s="2">
        <v>16.2</v>
      </c>
      <c r="BE24" s="2">
        <v>25.9</v>
      </c>
      <c r="BF24" s="2">
        <v>26.6</v>
      </c>
      <c r="BG24" s="2">
        <v>27.6</v>
      </c>
      <c r="BH24" s="2">
        <v>39.9</v>
      </c>
      <c r="BI24" s="2"/>
      <c r="BJ24" s="2"/>
      <c r="BK24" s="2"/>
      <c r="BL24" s="2"/>
      <c r="BM24" s="2"/>
      <c r="BN24" s="2">
        <v>74</v>
      </c>
      <c r="BO24" s="2">
        <v>26</v>
      </c>
      <c r="BP24" s="2">
        <v>28</v>
      </c>
      <c r="BQ24" s="2">
        <v>30</v>
      </c>
      <c r="BR24" s="2">
        <v>32</v>
      </c>
      <c r="BS24" s="2">
        <v>36</v>
      </c>
      <c r="BT24" s="2">
        <v>53</v>
      </c>
      <c r="BU24" s="2">
        <v>161</v>
      </c>
      <c r="BV24" s="2">
        <v>212</v>
      </c>
      <c r="BW24" s="2">
        <v>264</v>
      </c>
      <c r="BX24" s="2">
        <v>395</v>
      </c>
      <c r="BY24" s="2">
        <v>63.9</v>
      </c>
      <c r="BZ24" s="2">
        <v>2.1</v>
      </c>
      <c r="CA24" s="2">
        <v>0.8</v>
      </c>
      <c r="CB24" s="2">
        <v>5.3504469579115799E-8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69.5</v>
      </c>
      <c r="AX25" s="2" t="s">
        <v>268</v>
      </c>
      <c r="AY25" s="130">
        <v>27.5</v>
      </c>
      <c r="AZ25" s="2">
        <v>19</v>
      </c>
      <c r="BA25" s="2"/>
      <c r="BB25" s="2">
        <v>28</v>
      </c>
      <c r="BC25" s="2"/>
      <c r="BD25" s="2">
        <v>16.399999999999999</v>
      </c>
      <c r="BE25" s="2">
        <v>26.1</v>
      </c>
      <c r="BF25" s="2">
        <v>26.9</v>
      </c>
      <c r="BG25" s="2">
        <v>27.9</v>
      </c>
      <c r="BH25" s="2">
        <v>40.1</v>
      </c>
      <c r="BI25" s="2"/>
      <c r="BJ25" s="2"/>
      <c r="BK25" s="2"/>
      <c r="BL25" s="2"/>
      <c r="BM25" s="2"/>
      <c r="BN25" s="2">
        <v>74</v>
      </c>
      <c r="BO25" s="2">
        <v>26</v>
      </c>
      <c r="BP25" s="2">
        <v>28</v>
      </c>
      <c r="BQ25" s="2">
        <v>30</v>
      </c>
      <c r="BR25" s="2">
        <v>32</v>
      </c>
      <c r="BS25" s="2">
        <v>36</v>
      </c>
      <c r="BT25" s="2">
        <v>75</v>
      </c>
      <c r="BU25" s="2">
        <v>182</v>
      </c>
      <c r="BV25" s="2">
        <v>234</v>
      </c>
      <c r="BW25" s="2">
        <v>286</v>
      </c>
      <c r="BX25" s="2">
        <v>417</v>
      </c>
      <c r="BY25" s="2">
        <v>63.9</v>
      </c>
      <c r="BZ25" s="2">
        <v>2.1</v>
      </c>
      <c r="CA25" s="2">
        <v>0.8</v>
      </c>
      <c r="CB25" s="2">
        <v>5.3504469579115799E-8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69.5</v>
      </c>
      <c r="AX26" s="2" t="s">
        <v>216</v>
      </c>
      <c r="AY26" s="130">
        <v>31.7</v>
      </c>
      <c r="AZ26" s="2">
        <v>19.3</v>
      </c>
      <c r="BA26" s="2">
        <v>20</v>
      </c>
      <c r="BB26" s="2">
        <v>45</v>
      </c>
      <c r="BC26" s="2">
        <v>4</v>
      </c>
      <c r="BD26" s="2">
        <v>7.9</v>
      </c>
      <c r="BE26" s="2">
        <v>12.5</v>
      </c>
      <c r="BF26" s="2">
        <v>13.6</v>
      </c>
      <c r="BG26" s="2">
        <v>16.5</v>
      </c>
      <c r="BH26" s="2">
        <v>28.7</v>
      </c>
      <c r="BI26" s="2">
        <v>333</v>
      </c>
      <c r="BJ26" s="2">
        <v>606</v>
      </c>
      <c r="BK26" s="2">
        <v>683</v>
      </c>
      <c r="BL26" s="2">
        <v>850</v>
      </c>
      <c r="BM26" s="2">
        <v>1532</v>
      </c>
      <c r="BN26" s="2"/>
      <c r="BO26" s="2"/>
      <c r="BP26" s="2"/>
      <c r="BQ26" s="2"/>
      <c r="BR26" s="2"/>
      <c r="BS26" s="2"/>
      <c r="BT26" s="2">
        <v>412</v>
      </c>
      <c r="BU26" s="2">
        <v>803</v>
      </c>
      <c r="BV26" s="2">
        <v>922</v>
      </c>
      <c r="BW26" s="2">
        <v>1193</v>
      </c>
      <c r="BX26" s="2">
        <v>2300</v>
      </c>
      <c r="BY26" s="2">
        <v>45.1</v>
      </c>
      <c r="BZ26" s="2">
        <v>5.3</v>
      </c>
      <c r="CA26" s="2">
        <v>1.9</v>
      </c>
      <c r="CB26" s="2">
        <v>4.6300805425171801E-11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73</v>
      </c>
      <c r="AX27" s="2" t="s">
        <v>216</v>
      </c>
      <c r="AY27" s="130">
        <v>31.7</v>
      </c>
      <c r="AZ27" s="2">
        <v>19.3</v>
      </c>
      <c r="BA27" s="2">
        <v>20</v>
      </c>
      <c r="BB27" s="2">
        <v>45</v>
      </c>
      <c r="BC27" s="2">
        <v>4</v>
      </c>
      <c r="BD27" s="2">
        <v>5.5</v>
      </c>
      <c r="BE27" s="2">
        <v>10.1</v>
      </c>
      <c r="BF27" s="2">
        <v>11.2</v>
      </c>
      <c r="BG27" s="2">
        <v>14.1</v>
      </c>
      <c r="BH27" s="2">
        <v>26.3</v>
      </c>
      <c r="BI27" s="2">
        <v>198</v>
      </c>
      <c r="BJ27" s="2">
        <v>470</v>
      </c>
      <c r="BK27" s="2">
        <v>548</v>
      </c>
      <c r="BL27" s="2">
        <v>715</v>
      </c>
      <c r="BM27" s="2">
        <v>1396</v>
      </c>
      <c r="BN27" s="2"/>
      <c r="BO27" s="2"/>
      <c r="BP27" s="2"/>
      <c r="BQ27" s="2"/>
      <c r="BR27" s="2"/>
      <c r="BS27" s="2"/>
      <c r="BT27" s="2">
        <v>214</v>
      </c>
      <c r="BU27" s="2">
        <v>605</v>
      </c>
      <c r="BV27" s="2">
        <v>724</v>
      </c>
      <c r="BW27" s="2">
        <v>995</v>
      </c>
      <c r="BX27" s="2">
        <v>2102</v>
      </c>
      <c r="BY27" s="2">
        <v>45.1</v>
      </c>
      <c r="BZ27" s="2">
        <v>5.3</v>
      </c>
      <c r="CA27" s="2">
        <v>1.9</v>
      </c>
      <c r="CB27" s="2">
        <v>4.6300805425171801E-11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73</v>
      </c>
      <c r="AX28" s="2" t="s">
        <v>273</v>
      </c>
      <c r="AY28" s="130">
        <v>32</v>
      </c>
      <c r="AZ28" s="2">
        <v>18.899999999999999</v>
      </c>
      <c r="BA28" s="2">
        <v>47</v>
      </c>
      <c r="BB28" s="2">
        <v>85</v>
      </c>
      <c r="BC28" s="2">
        <v>3</v>
      </c>
      <c r="BD28" s="2">
        <v>10.199999999999999</v>
      </c>
      <c r="BE28" s="2">
        <v>12.6</v>
      </c>
      <c r="BF28" s="2">
        <v>12.9</v>
      </c>
      <c r="BG28" s="2">
        <v>13.3</v>
      </c>
      <c r="BH28" s="2">
        <v>16</v>
      </c>
      <c r="BI28" s="2">
        <v>388</v>
      </c>
      <c r="BJ28" s="2">
        <v>530</v>
      </c>
      <c r="BK28" s="2">
        <v>577</v>
      </c>
      <c r="BL28" s="2">
        <v>625</v>
      </c>
      <c r="BM28" s="2">
        <v>780</v>
      </c>
      <c r="BN28" s="2"/>
      <c r="BO28" s="2"/>
      <c r="BP28" s="2"/>
      <c r="BQ28" s="2"/>
      <c r="BR28" s="2"/>
      <c r="BS28" s="2"/>
      <c r="BT28" s="2">
        <v>505</v>
      </c>
      <c r="BU28" s="2">
        <v>755</v>
      </c>
      <c r="BV28" s="2">
        <v>848</v>
      </c>
      <c r="BW28" s="2">
        <v>942</v>
      </c>
      <c r="BX28" s="2">
        <v>1216</v>
      </c>
      <c r="BY28" s="2">
        <v>41.5</v>
      </c>
      <c r="BZ28" s="2">
        <v>4.4000000000000004</v>
      </c>
      <c r="CA28" s="2">
        <v>1.5</v>
      </c>
      <c r="CB28" s="2">
        <v>8.4823679336602599E-11</v>
      </c>
      <c r="CC28" s="2">
        <v>1.8</v>
      </c>
    </row>
    <row r="29" spans="1:81" x14ac:dyDescent="0.25">
      <c r="A29" s="66"/>
      <c r="B29" s="66"/>
      <c r="C29" s="67"/>
      <c r="D29" s="35"/>
      <c r="AW29" s="2">
        <v>80</v>
      </c>
      <c r="AX29" s="2" t="s">
        <v>273</v>
      </c>
      <c r="AY29" s="130">
        <v>32</v>
      </c>
      <c r="AZ29" s="2">
        <v>18.899999999999999</v>
      </c>
      <c r="BA29" s="2">
        <v>47</v>
      </c>
      <c r="BB29" s="2">
        <v>85</v>
      </c>
      <c r="BC29" s="2">
        <v>3</v>
      </c>
      <c r="BD29" s="2">
        <v>8.6</v>
      </c>
      <c r="BE29" s="2">
        <v>11</v>
      </c>
      <c r="BF29" s="2">
        <v>11.3</v>
      </c>
      <c r="BG29" s="2">
        <v>11.7</v>
      </c>
      <c r="BH29" s="2">
        <v>14.4</v>
      </c>
      <c r="BI29" s="2">
        <v>301</v>
      </c>
      <c r="BJ29" s="2">
        <v>444</v>
      </c>
      <c r="BK29" s="2">
        <v>490</v>
      </c>
      <c r="BL29" s="2">
        <v>539</v>
      </c>
      <c r="BM29" s="2">
        <v>694</v>
      </c>
      <c r="BN29" s="2"/>
      <c r="BO29" s="2"/>
      <c r="BP29" s="2"/>
      <c r="BQ29" s="2"/>
      <c r="BR29" s="2"/>
      <c r="BS29" s="2"/>
      <c r="BT29" s="2">
        <v>375</v>
      </c>
      <c r="BU29" s="2">
        <v>625</v>
      </c>
      <c r="BV29" s="2">
        <v>718</v>
      </c>
      <c r="BW29" s="2">
        <v>812</v>
      </c>
      <c r="BX29" s="2">
        <v>1086</v>
      </c>
      <c r="BY29" s="2">
        <v>41.5</v>
      </c>
      <c r="BZ29" s="2">
        <v>4.4000000000000004</v>
      </c>
      <c r="CA29" s="2">
        <v>1.5</v>
      </c>
      <c r="CB29" s="2">
        <v>8.4823679336602599E-11</v>
      </c>
      <c r="CC29" s="2">
        <v>1.8</v>
      </c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089" priority="12">
      <formula>$L32="API sand"</formula>
    </cfRule>
  </conditionalFormatting>
  <conditionalFormatting sqref="R32:S36 AB32:AB35 AJ32:AL36 Z32:Z36 N32:N36">
    <cfRule type="expression" dxfId="2088" priority="11">
      <formula>$M32="API sand"</formula>
    </cfRule>
  </conditionalFormatting>
  <conditionalFormatting sqref="R32:T36 Z32:AB35 AK32:AL36 N32:N36">
    <cfRule type="expression" dxfId="2087" priority="10">
      <formula>$M32="API clay"</formula>
    </cfRule>
  </conditionalFormatting>
  <conditionalFormatting sqref="U32:W36 AM32:AP36 N32:P36">
    <cfRule type="expression" dxfId="2086" priority="7">
      <formula>$L32="Stiff clay w/o free water"</formula>
    </cfRule>
    <cfRule type="expression" dxfId="2085" priority="9">
      <formula>$L32="API clay"</formula>
    </cfRule>
  </conditionalFormatting>
  <conditionalFormatting sqref="U32:Y36 AM32:AP36 N32:P36">
    <cfRule type="expression" dxfId="2084" priority="8">
      <formula>$L32="Kirsch soft clay"</formula>
    </cfRule>
  </conditionalFormatting>
  <conditionalFormatting sqref="U32:Y36 AM32:AP36 N32:P36">
    <cfRule type="expression" dxfId="2083" priority="6">
      <formula>$L32="Kirsch stiff clay"</formula>
    </cfRule>
  </conditionalFormatting>
  <conditionalFormatting sqref="AM32:AP36 Q32:Q36 X32:Y36 N32:N36">
    <cfRule type="expression" dxfId="2082" priority="5">
      <formula>$L32="Kirsch sand"</formula>
    </cfRule>
  </conditionalFormatting>
  <conditionalFormatting sqref="AC32:AD36 AI32:AI36 AM32:AP36 N32:N36">
    <cfRule type="expression" dxfId="2081" priority="4">
      <formula>$L32="Modified Weak rock"</formula>
    </cfRule>
  </conditionalFormatting>
  <conditionalFormatting sqref="AM32:AP36 N32:P36 U32:V36">
    <cfRule type="expression" dxfId="2080" priority="3">
      <formula>$L32="Reese stiff clay"</formula>
    </cfRule>
  </conditionalFormatting>
  <conditionalFormatting sqref="AB36">
    <cfRule type="expression" dxfId="2079" priority="2">
      <formula>$M36="API sand"</formula>
    </cfRule>
  </conditionalFormatting>
  <conditionalFormatting sqref="Z36:AB36">
    <cfRule type="expression" dxfId="2078" priority="1">
      <formula>$M36="API clay"</formula>
    </cfRule>
  </conditionalFormatting>
  <conditionalFormatting sqref="AE37:AH37">
    <cfRule type="expression" dxfId="2077" priority="13">
      <formula>#REF!="Modified Weak rock"</formula>
    </cfRule>
  </conditionalFormatting>
  <dataValidations count="4">
    <dataValidation type="textLength" showInputMessage="1" showErrorMessage="1" sqref="M27:M31" xr:uid="{946988B6-978E-422D-9A8F-30A8029D91A3}">
      <formula1>0</formula1>
      <formula2>100</formula2>
    </dataValidation>
    <dataValidation showInputMessage="1" showErrorMessage="1" sqref="L6:M26" xr:uid="{E9666B19-3B26-45A6-9609-324A086C5CC5}"/>
    <dataValidation type="list" showInputMessage="1" showErrorMessage="1" sqref="L32:L255" xr:uid="{AFF13012-8425-40DC-828D-E252805DC686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491B36B8-6ECD-4125-B7EF-F1C0E1B47C75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2FFB6-75AA-452B-9D6F-D422D45E2ADA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Ak_Pisa_WTG68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9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EW_sand_Ruled_68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32</v>
      </c>
      <c r="R6" s="47">
        <f t="shared" ref="R6:R26" ca="1" si="7">IF(I6="","",IF(Q6&lt;&gt;0,Q6-5,NA()))</f>
        <v>27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2700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86.999999999999972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6720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28.000000000000007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68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0.3</v>
      </c>
      <c r="BG6" s="2">
        <v>0.7</v>
      </c>
      <c r="BH6" s="2">
        <v>1.4</v>
      </c>
      <c r="BI6" s="2"/>
      <c r="BJ6" s="2"/>
      <c r="BK6" s="2"/>
      <c r="BL6" s="2"/>
      <c r="BM6" s="2"/>
      <c r="BN6" s="2">
        <v>68</v>
      </c>
      <c r="BO6" s="2">
        <v>22</v>
      </c>
      <c r="BP6" s="2">
        <v>32</v>
      </c>
      <c r="BQ6" s="2">
        <v>36</v>
      </c>
      <c r="BR6" s="2">
        <v>39</v>
      </c>
      <c r="BS6" s="2">
        <v>48</v>
      </c>
      <c r="BT6" s="2">
        <v>0</v>
      </c>
      <c r="BU6" s="2">
        <v>2</v>
      </c>
      <c r="BV6" s="2">
        <v>5</v>
      </c>
      <c r="BW6" s="2">
        <v>8</v>
      </c>
      <c r="BX6" s="2">
        <v>14</v>
      </c>
      <c r="BY6" s="2">
        <v>2.7</v>
      </c>
      <c r="BZ6" s="2">
        <v>1</v>
      </c>
      <c r="CA6" s="2">
        <v>0.5</v>
      </c>
      <c r="CB6" s="2">
        <v>1.8926299647159501E-4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-0.5</v>
      </c>
      <c r="L7" s="116" t="str">
        <f t="shared" ca="1" si="1"/>
        <v>EW_sand_Ruled_98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42</v>
      </c>
      <c r="R7" s="47">
        <f t="shared" ca="1" si="7"/>
        <v>37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34700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33000</v>
      </c>
      <c r="AD7" s="63">
        <f t="shared" ca="1" si="19"/>
        <v>7000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98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0.4</v>
      </c>
      <c r="BE7" s="2">
        <v>0.8</v>
      </c>
      <c r="BF7" s="2">
        <v>1</v>
      </c>
      <c r="BG7" s="2">
        <v>1.4</v>
      </c>
      <c r="BH7" s="2">
        <v>2.1</v>
      </c>
      <c r="BI7" s="2"/>
      <c r="BJ7" s="2"/>
      <c r="BK7" s="2"/>
      <c r="BL7" s="2"/>
      <c r="BM7" s="2"/>
      <c r="BN7" s="2">
        <v>68</v>
      </c>
      <c r="BO7" s="2">
        <v>22</v>
      </c>
      <c r="BP7" s="2">
        <v>32</v>
      </c>
      <c r="BQ7" s="2">
        <v>36</v>
      </c>
      <c r="BR7" s="2">
        <v>39</v>
      </c>
      <c r="BS7" s="2">
        <v>48</v>
      </c>
      <c r="BT7" s="2">
        <v>7</v>
      </c>
      <c r="BU7" s="2">
        <v>13</v>
      </c>
      <c r="BV7" s="2">
        <v>16</v>
      </c>
      <c r="BW7" s="2">
        <v>19</v>
      </c>
      <c r="BX7" s="2">
        <v>25</v>
      </c>
      <c r="BY7" s="2">
        <v>2.7</v>
      </c>
      <c r="BZ7" s="2">
        <v>1</v>
      </c>
      <c r="CA7" s="2">
        <v>0.5</v>
      </c>
      <c r="CB7" s="2">
        <v>1.8926299647159501E-4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-1.5</v>
      </c>
      <c r="L8" s="116" t="str">
        <f t="shared" ca="1" si="1"/>
        <v>EW_sand_Ruled_88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40</v>
      </c>
      <c r="R8" s="47">
        <f t="shared" ca="1" si="7"/>
        <v>35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39400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48000</v>
      </c>
      <c r="AD8" s="63">
        <f t="shared" ca="1" si="19"/>
        <v>1000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88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6</v>
      </c>
      <c r="BE8" s="2">
        <v>7.7</v>
      </c>
      <c r="BF8" s="2">
        <v>8.4</v>
      </c>
      <c r="BG8" s="2">
        <v>9</v>
      </c>
      <c r="BH8" s="2">
        <v>10.4</v>
      </c>
      <c r="BI8" s="2"/>
      <c r="BJ8" s="2"/>
      <c r="BK8" s="2"/>
      <c r="BL8" s="2"/>
      <c r="BM8" s="2"/>
      <c r="BN8" s="2">
        <v>98</v>
      </c>
      <c r="BO8" s="2">
        <v>35</v>
      </c>
      <c r="BP8" s="2">
        <v>42</v>
      </c>
      <c r="BQ8" s="2">
        <v>45</v>
      </c>
      <c r="BR8" s="2">
        <v>48</v>
      </c>
      <c r="BS8" s="2">
        <v>54</v>
      </c>
      <c r="BT8" s="2">
        <v>3</v>
      </c>
      <c r="BU8" s="2">
        <v>24</v>
      </c>
      <c r="BV8" s="2">
        <v>33</v>
      </c>
      <c r="BW8" s="2">
        <v>42</v>
      </c>
      <c r="BX8" s="2">
        <v>63</v>
      </c>
      <c r="BY8" s="2">
        <v>34.700000000000003</v>
      </c>
      <c r="BZ8" s="2">
        <v>1</v>
      </c>
      <c r="CA8" s="2">
        <v>0.5</v>
      </c>
      <c r="CB8" s="2">
        <v>1.8926299647159501E-4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10a</v>
      </c>
      <c r="J9" s="47">
        <f t="shared" ca="1" si="35"/>
        <v>4</v>
      </c>
      <c r="K9" s="19">
        <f t="shared" ca="1" si="36"/>
        <v>-2.5</v>
      </c>
      <c r="L9" s="116" t="str">
        <f t="shared" ca="1" si="1"/>
        <v>EW_sand_Ruled_70</v>
      </c>
      <c r="M9" s="105" t="str">
        <f t="shared" ca="1" si="2"/>
        <v>API sand</v>
      </c>
      <c r="N9" s="47">
        <f t="shared" ca="1" si="3"/>
        <v>10</v>
      </c>
      <c r="O9" s="63">
        <f t="shared" ca="1" si="4"/>
        <v>0</v>
      </c>
      <c r="P9" s="63">
        <f t="shared" ca="1" si="5"/>
        <v>0</v>
      </c>
      <c r="Q9" s="47">
        <f t="shared" ca="1" si="6"/>
        <v>39</v>
      </c>
      <c r="R9" s="47">
        <f t="shared" ca="1" si="7"/>
        <v>34</v>
      </c>
      <c r="S9" s="47">
        <f t="shared" ca="1" si="8"/>
        <v>1.4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48800</v>
      </c>
      <c r="Y9" s="47">
        <f t="shared" ca="1" si="14"/>
        <v>0</v>
      </c>
      <c r="Z9" s="47">
        <f t="shared" ca="1" si="15"/>
        <v>111.19999999999996</v>
      </c>
      <c r="AA9" s="47">
        <f t="shared" ca="1" si="16"/>
        <v>1</v>
      </c>
      <c r="AB9" s="47">
        <f t="shared" ca="1" si="17"/>
        <v>11520</v>
      </c>
      <c r="AC9" s="63">
        <f t="shared" ca="1" si="18"/>
        <v>57000</v>
      </c>
      <c r="AD9" s="63">
        <f t="shared" ca="1" si="19"/>
        <v>6363.6363636363631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48.000000000000007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70</v>
      </c>
      <c r="AS9" s="33">
        <f t="shared" ca="1" si="34"/>
        <v>0.4</v>
      </c>
      <c r="AW9" s="2">
        <v>1.5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7.5</v>
      </c>
      <c r="BE9" s="2">
        <v>9.1999999999999993</v>
      </c>
      <c r="BF9" s="2">
        <v>9.9</v>
      </c>
      <c r="BG9" s="2">
        <v>10.5</v>
      </c>
      <c r="BH9" s="2">
        <v>11.9</v>
      </c>
      <c r="BI9" s="2"/>
      <c r="BJ9" s="2"/>
      <c r="BK9" s="2"/>
      <c r="BL9" s="2"/>
      <c r="BM9" s="2"/>
      <c r="BN9" s="2">
        <v>98</v>
      </c>
      <c r="BO9" s="2">
        <v>35</v>
      </c>
      <c r="BP9" s="2">
        <v>42</v>
      </c>
      <c r="BQ9" s="2">
        <v>45</v>
      </c>
      <c r="BR9" s="2">
        <v>48</v>
      </c>
      <c r="BS9" s="2">
        <v>54</v>
      </c>
      <c r="BT9" s="2">
        <v>10</v>
      </c>
      <c r="BU9" s="2">
        <v>31</v>
      </c>
      <c r="BV9" s="2">
        <v>40</v>
      </c>
      <c r="BW9" s="2">
        <v>49</v>
      </c>
      <c r="BX9" s="2">
        <v>71</v>
      </c>
      <c r="BY9" s="2">
        <v>34.700000000000003</v>
      </c>
      <c r="BZ9" s="2">
        <v>1</v>
      </c>
      <c r="CA9" s="2">
        <v>0.5</v>
      </c>
      <c r="CB9" s="2">
        <v>1.8926299647159501E-4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10b</v>
      </c>
      <c r="J10" s="47">
        <f t="shared" ca="1" si="35"/>
        <v>5</v>
      </c>
      <c r="K10" s="19">
        <f t="shared" ca="1" si="36"/>
        <v>-8</v>
      </c>
      <c r="L10" s="116" t="str">
        <f t="shared" ca="1" si="1"/>
        <v>EW_sand_Ruled_88</v>
      </c>
      <c r="M10" s="105" t="str">
        <f t="shared" ca="1" si="2"/>
        <v>API sand</v>
      </c>
      <c r="N10" s="47">
        <f t="shared" ca="1" si="3"/>
        <v>9.8999999999999986</v>
      </c>
      <c r="O10" s="63">
        <f t="shared" ca="1" si="4"/>
        <v>0</v>
      </c>
      <c r="P10" s="63">
        <f t="shared" ca="1" si="5"/>
        <v>0</v>
      </c>
      <c r="Q10" s="47">
        <f t="shared" ca="1" si="6"/>
        <v>41</v>
      </c>
      <c r="R10" s="47">
        <f t="shared" ca="1" si="7"/>
        <v>36</v>
      </c>
      <c r="S10" s="47">
        <f t="shared" ca="1" si="8"/>
        <v>1.3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120200</v>
      </c>
      <c r="Y10" s="47">
        <f t="shared" ca="1" si="14"/>
        <v>0</v>
      </c>
      <c r="Z10" s="47">
        <f t="shared" ca="1" si="15"/>
        <v>114.99999999999996</v>
      </c>
      <c r="AA10" s="47">
        <f t="shared" ca="1" si="16"/>
        <v>1</v>
      </c>
      <c r="AB10" s="47">
        <f t="shared" ca="1" si="17"/>
        <v>12000</v>
      </c>
      <c r="AC10" s="63">
        <f t="shared" ca="1" si="18"/>
        <v>104000</v>
      </c>
      <c r="AD10" s="63">
        <f t="shared" ca="1" si="19"/>
        <v>6024.0963855421678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50.000000000000007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88</v>
      </c>
      <c r="AS10" s="33">
        <f t="shared" ca="1" si="34"/>
        <v>0.4</v>
      </c>
      <c r="AW10" s="2">
        <v>1.5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9.6999999999999993</v>
      </c>
      <c r="BE10" s="2">
        <v>10.6</v>
      </c>
      <c r="BF10" s="2">
        <v>11</v>
      </c>
      <c r="BG10" s="2">
        <v>11.5</v>
      </c>
      <c r="BH10" s="2">
        <v>12.7</v>
      </c>
      <c r="BI10" s="2"/>
      <c r="BJ10" s="2"/>
      <c r="BK10" s="2"/>
      <c r="BL10" s="2"/>
      <c r="BM10" s="2"/>
      <c r="BN10" s="2">
        <v>88</v>
      </c>
      <c r="BO10" s="2">
        <v>34</v>
      </c>
      <c r="BP10" s="2">
        <v>40</v>
      </c>
      <c r="BQ10" s="2">
        <v>44</v>
      </c>
      <c r="BR10" s="2">
        <v>47</v>
      </c>
      <c r="BS10" s="2">
        <v>53</v>
      </c>
      <c r="BT10" s="2">
        <v>8</v>
      </c>
      <c r="BU10" s="2">
        <v>37</v>
      </c>
      <c r="BV10" s="2">
        <v>48</v>
      </c>
      <c r="BW10" s="2">
        <v>60</v>
      </c>
      <c r="BX10" s="2">
        <v>88</v>
      </c>
      <c r="BY10" s="2">
        <v>39.4</v>
      </c>
      <c r="BZ10" s="2">
        <v>1</v>
      </c>
      <c r="CA10" s="2">
        <v>0.5</v>
      </c>
      <c r="CB10" s="2">
        <v>4.1944487161694201E-5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14b</v>
      </c>
      <c r="J11" s="47">
        <f t="shared" ca="1" si="35"/>
        <v>6</v>
      </c>
      <c r="K11" s="19">
        <f t="shared" ca="1" si="36"/>
        <v>-16.3</v>
      </c>
      <c r="L11" s="116" t="str">
        <f t="shared" ca="1" si="1"/>
        <v>Cowden Clay</v>
      </c>
      <c r="M11" s="105" t="str">
        <f t="shared" ca="1" si="2"/>
        <v>API clay</v>
      </c>
      <c r="N11" s="47">
        <f t="shared" ca="1" si="3"/>
        <v>8.5</v>
      </c>
      <c r="O11" s="63">
        <f t="shared" ca="1" si="4"/>
        <v>89</v>
      </c>
      <c r="P11" s="63">
        <f t="shared" ca="1" si="5"/>
        <v>105.13513513513516</v>
      </c>
      <c r="Q11" s="47">
        <f t="shared" ca="1" si="6"/>
        <v>0</v>
      </c>
      <c r="R11" s="47" t="e">
        <f t="shared" ca="1" si="7"/>
        <v>#N/A</v>
      </c>
      <c r="S11" s="47">
        <f t="shared" ca="1" si="8"/>
        <v>3</v>
      </c>
      <c r="T11" s="47">
        <f t="shared" ca="1" si="9"/>
        <v>0</v>
      </c>
      <c r="U11" s="75">
        <f t="shared" ca="1" si="10"/>
        <v>1.7999999999999999E-2</v>
      </c>
      <c r="V11" s="75">
        <f t="shared" ca="1" si="11"/>
        <v>0</v>
      </c>
      <c r="W11" s="47">
        <f t="shared" ca="1" si="12"/>
        <v>0.5</v>
      </c>
      <c r="X11" s="47">
        <f t="shared" ca="1" si="13"/>
        <v>26100</v>
      </c>
      <c r="Y11" s="47">
        <f t="shared" ca="1" si="14"/>
        <v>0</v>
      </c>
      <c r="Z11" s="47" t="e">
        <f t="shared" ca="1" si="15"/>
        <v>#N/A</v>
      </c>
      <c r="AA11" s="47">
        <f t="shared" ca="1" si="16"/>
        <v>1</v>
      </c>
      <c r="AB11" s="47" t="e">
        <f t="shared" ca="1" si="17"/>
        <v>#N/A</v>
      </c>
      <c r="AC11" s="63">
        <f t="shared" ca="1" si="18"/>
        <v>121000</v>
      </c>
      <c r="AD11" s="63">
        <f t="shared" ca="1" si="19"/>
        <v>121351.35135135138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 t="e">
        <f t="shared" ca="1" si="25"/>
        <v>#N/A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0</v>
      </c>
      <c r="AS11" s="33">
        <f t="shared" ca="1" si="34"/>
        <v>0.4</v>
      </c>
      <c r="AW11" s="2">
        <v>2.5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6.6</v>
      </c>
      <c r="BE11" s="2">
        <v>7.5</v>
      </c>
      <c r="BF11" s="2">
        <v>7.9</v>
      </c>
      <c r="BG11" s="2">
        <v>8.4</v>
      </c>
      <c r="BH11" s="2">
        <v>9.6</v>
      </c>
      <c r="BI11" s="2"/>
      <c r="BJ11" s="2"/>
      <c r="BK11" s="2"/>
      <c r="BL11" s="2"/>
      <c r="BM11" s="2"/>
      <c r="BN11" s="2">
        <v>88</v>
      </c>
      <c r="BO11" s="2">
        <v>34</v>
      </c>
      <c r="BP11" s="2">
        <v>40</v>
      </c>
      <c r="BQ11" s="2">
        <v>44</v>
      </c>
      <c r="BR11" s="2">
        <v>47</v>
      </c>
      <c r="BS11" s="2">
        <v>53</v>
      </c>
      <c r="BT11" s="2">
        <v>9</v>
      </c>
      <c r="BU11" s="2">
        <v>37</v>
      </c>
      <c r="BV11" s="2">
        <v>49</v>
      </c>
      <c r="BW11" s="2">
        <v>61</v>
      </c>
      <c r="BX11" s="2">
        <v>89</v>
      </c>
      <c r="BY11" s="2">
        <v>39.4</v>
      </c>
      <c r="BZ11" s="2">
        <v>1</v>
      </c>
      <c r="CA11" s="2">
        <v>0.5</v>
      </c>
      <c r="CB11" s="2">
        <v>4.1944487161694201E-5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14b</v>
      </c>
      <c r="J12" s="47">
        <f t="shared" ca="1" si="35"/>
        <v>7</v>
      </c>
      <c r="K12" s="19">
        <f t="shared" ca="1" si="36"/>
        <v>-20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8.5</v>
      </c>
      <c r="O12" s="63">
        <f t="shared" ca="1" si="4"/>
        <v>565</v>
      </c>
      <c r="P12" s="63">
        <f t="shared" ca="1" si="5"/>
        <v>5.166666666666667</v>
      </c>
      <c r="Q12" s="47">
        <f t="shared" ca="1" si="6"/>
        <v>0</v>
      </c>
      <c r="R12" s="47" t="e">
        <f t="shared" ca="1" si="7"/>
        <v>#N/A</v>
      </c>
      <c r="S12" s="47">
        <f t="shared" ca="1" si="8"/>
        <v>3</v>
      </c>
      <c r="T12" s="47">
        <f t="shared" ca="1" si="9"/>
        <v>0</v>
      </c>
      <c r="U12" s="75">
        <f t="shared" ca="1" si="10"/>
        <v>1.7999999999999999E-2</v>
      </c>
      <c r="V12" s="75">
        <f t="shared" ca="1" si="11"/>
        <v>0</v>
      </c>
      <c r="W12" s="47">
        <f t="shared" ca="1" si="12"/>
        <v>0.25</v>
      </c>
      <c r="X12" s="47">
        <f t="shared" ca="1" si="13"/>
        <v>51300</v>
      </c>
      <c r="Y12" s="47">
        <f t="shared" ca="1" si="14"/>
        <v>0</v>
      </c>
      <c r="Z12" s="47" t="e">
        <f t="shared" ca="1" si="15"/>
        <v>#N/A</v>
      </c>
      <c r="AA12" s="47">
        <f t="shared" ca="1" si="16"/>
        <v>1</v>
      </c>
      <c r="AB12" s="47" t="e">
        <f t="shared" ca="1" si="17"/>
        <v>#N/A</v>
      </c>
      <c r="AC12" s="63">
        <f t="shared" ca="1" si="18"/>
        <v>719000</v>
      </c>
      <c r="AD12" s="63">
        <f t="shared" ca="1" si="19"/>
        <v>7833.333333333333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 t="e">
        <f t="shared" ca="1" si="25"/>
        <v>#N/A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0</v>
      </c>
      <c r="AS12" s="33">
        <f t="shared" ca="1" si="34"/>
        <v>0.4</v>
      </c>
      <c r="AW12" s="2">
        <v>2.5</v>
      </c>
      <c r="AX12" s="2" t="s">
        <v>259</v>
      </c>
      <c r="AY12" s="130">
        <v>25.5</v>
      </c>
      <c r="AZ12" s="2">
        <v>20</v>
      </c>
      <c r="BA12" s="2"/>
      <c r="BB12" s="2">
        <v>14</v>
      </c>
      <c r="BC12" s="2"/>
      <c r="BD12" s="2">
        <v>6.1</v>
      </c>
      <c r="BE12" s="2">
        <v>8.8000000000000007</v>
      </c>
      <c r="BF12" s="2">
        <v>9.1</v>
      </c>
      <c r="BG12" s="2">
        <v>9.4</v>
      </c>
      <c r="BH12" s="2">
        <v>11.8</v>
      </c>
      <c r="BI12" s="2"/>
      <c r="BJ12" s="2"/>
      <c r="BK12" s="2"/>
      <c r="BL12" s="2"/>
      <c r="BM12" s="2"/>
      <c r="BN12" s="2">
        <v>70</v>
      </c>
      <c r="BO12" s="2">
        <v>33</v>
      </c>
      <c r="BP12" s="2">
        <v>39</v>
      </c>
      <c r="BQ12" s="2">
        <v>42</v>
      </c>
      <c r="BR12" s="2">
        <v>45</v>
      </c>
      <c r="BS12" s="2">
        <v>51</v>
      </c>
      <c r="BT12" s="2">
        <v>2</v>
      </c>
      <c r="BU12" s="2">
        <v>39</v>
      </c>
      <c r="BV12" s="2">
        <v>57</v>
      </c>
      <c r="BW12" s="2">
        <v>75</v>
      </c>
      <c r="BX12" s="2">
        <v>118</v>
      </c>
      <c r="BY12" s="2">
        <v>48.8</v>
      </c>
      <c r="BZ12" s="2">
        <v>5.8</v>
      </c>
      <c r="CA12" s="2">
        <v>1.4</v>
      </c>
      <c r="CB12" s="2">
        <v>9.1925443773571498E-6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21a</v>
      </c>
      <c r="J13" s="47">
        <f t="shared" ca="1" si="35"/>
        <v>8</v>
      </c>
      <c r="K13" s="19">
        <f t="shared" ca="1" si="36"/>
        <v>-50</v>
      </c>
      <c r="L13" s="116" t="str">
        <f t="shared" ca="1" si="1"/>
        <v>EW_sand_Ruled_77</v>
      </c>
      <c r="M13" s="105" t="str">
        <f t="shared" ca="1" si="2"/>
        <v>API sand</v>
      </c>
      <c r="N13" s="47">
        <f t="shared" ca="1" si="3"/>
        <v>9.8000000000000007</v>
      </c>
      <c r="O13" s="63">
        <f t="shared" ca="1" si="4"/>
        <v>0</v>
      </c>
      <c r="P13" s="63">
        <f t="shared" ca="1" si="5"/>
        <v>0</v>
      </c>
      <c r="Q13" s="47">
        <f t="shared" ca="1" si="6"/>
        <v>29</v>
      </c>
      <c r="R13" s="47">
        <f t="shared" ca="1" si="7"/>
        <v>24</v>
      </c>
      <c r="S13" s="47">
        <f t="shared" ca="1" si="8"/>
        <v>0.9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59900</v>
      </c>
      <c r="Y13" s="47">
        <f t="shared" ca="1" si="14"/>
        <v>0</v>
      </c>
      <c r="Z13" s="47">
        <f t="shared" ca="1" si="15"/>
        <v>78.199999999999974</v>
      </c>
      <c r="AA13" s="47">
        <f t="shared" ca="1" si="16"/>
        <v>1</v>
      </c>
      <c r="AB13" s="47">
        <f t="shared" ca="1" si="17"/>
        <v>4420</v>
      </c>
      <c r="AC13" s="63">
        <f t="shared" ca="1" si="18"/>
        <v>225000</v>
      </c>
      <c r="AD13" s="63">
        <f t="shared" ca="1" si="19"/>
        <v>2080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18.400000000000006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77</v>
      </c>
      <c r="AS13" s="33">
        <f t="shared" ca="1" si="34"/>
        <v>0.2</v>
      </c>
      <c r="AW13" s="2">
        <v>8</v>
      </c>
      <c r="AX13" s="2" t="s">
        <v>259</v>
      </c>
      <c r="AY13" s="130">
        <v>25.5</v>
      </c>
      <c r="AZ13" s="2">
        <v>20</v>
      </c>
      <c r="BA13" s="2"/>
      <c r="BB13" s="2">
        <v>14</v>
      </c>
      <c r="BC13" s="2"/>
      <c r="BD13" s="2">
        <v>12.9</v>
      </c>
      <c r="BE13" s="2">
        <v>15.6</v>
      </c>
      <c r="BF13" s="2">
        <v>16</v>
      </c>
      <c r="BG13" s="2">
        <v>16.3</v>
      </c>
      <c r="BH13" s="2">
        <v>18.600000000000001</v>
      </c>
      <c r="BI13" s="2"/>
      <c r="BJ13" s="2"/>
      <c r="BK13" s="2"/>
      <c r="BL13" s="2"/>
      <c r="BM13" s="2"/>
      <c r="BN13" s="2">
        <v>70</v>
      </c>
      <c r="BO13" s="2">
        <v>33</v>
      </c>
      <c r="BP13" s="2">
        <v>39</v>
      </c>
      <c r="BQ13" s="2">
        <v>42</v>
      </c>
      <c r="BR13" s="2">
        <v>45</v>
      </c>
      <c r="BS13" s="2">
        <v>51</v>
      </c>
      <c r="BT13" s="2">
        <v>38</v>
      </c>
      <c r="BU13" s="2">
        <v>75</v>
      </c>
      <c r="BV13" s="2">
        <v>92</v>
      </c>
      <c r="BW13" s="2">
        <v>110</v>
      </c>
      <c r="BX13" s="2">
        <v>154</v>
      </c>
      <c r="BY13" s="2">
        <v>48.8</v>
      </c>
      <c r="BZ13" s="2">
        <v>5.8</v>
      </c>
      <c r="CA13" s="2">
        <v>1.4</v>
      </c>
      <c r="CB13" s="2">
        <v>9.1925443773571498E-6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23d</v>
      </c>
      <c r="J14" s="47">
        <f t="shared" ca="1" si="35"/>
        <v>9</v>
      </c>
      <c r="K14" s="19">
        <f t="shared" ca="1" si="36"/>
        <v>-75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8.8999999999999986</v>
      </c>
      <c r="O14" s="63">
        <f t="shared" ca="1" si="4"/>
        <v>545</v>
      </c>
      <c r="P14" s="63">
        <f t="shared" ca="1" si="5"/>
        <v>3.6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2.2999999999999998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0.25</v>
      </c>
      <c r="X14" s="47">
        <f t="shared" ca="1" si="13"/>
        <v>49200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870000</v>
      </c>
      <c r="AD14" s="63">
        <f t="shared" ca="1" si="19"/>
        <v>7000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8</v>
      </c>
      <c r="AX14" s="2" t="s">
        <v>261</v>
      </c>
      <c r="AY14" s="130">
        <v>24</v>
      </c>
      <c r="AZ14" s="2">
        <v>19.899999999999999</v>
      </c>
      <c r="BA14" s="2"/>
      <c r="BB14" s="2">
        <v>6</v>
      </c>
      <c r="BC14" s="2"/>
      <c r="BD14" s="2">
        <v>12.6</v>
      </c>
      <c r="BE14" s="2">
        <v>21.5</v>
      </c>
      <c r="BF14" s="2">
        <v>22.4</v>
      </c>
      <c r="BG14" s="2">
        <v>23.1</v>
      </c>
      <c r="BH14" s="2">
        <v>30.8</v>
      </c>
      <c r="BI14" s="2"/>
      <c r="BJ14" s="2"/>
      <c r="BK14" s="2"/>
      <c r="BL14" s="2"/>
      <c r="BM14" s="2"/>
      <c r="BN14" s="2">
        <v>88</v>
      </c>
      <c r="BO14" s="2">
        <v>35</v>
      </c>
      <c r="BP14" s="2">
        <v>41</v>
      </c>
      <c r="BQ14" s="2">
        <v>44</v>
      </c>
      <c r="BR14" s="2">
        <v>48</v>
      </c>
      <c r="BS14" s="2">
        <v>54</v>
      </c>
      <c r="BT14" s="2">
        <v>8</v>
      </c>
      <c r="BU14" s="2">
        <v>74</v>
      </c>
      <c r="BV14" s="2">
        <v>104</v>
      </c>
      <c r="BW14" s="2">
        <v>135</v>
      </c>
      <c r="BX14" s="2">
        <v>210</v>
      </c>
      <c r="BY14" s="2">
        <v>120.2</v>
      </c>
      <c r="BZ14" s="2">
        <v>4.7</v>
      </c>
      <c r="CA14" s="2">
        <v>1.3</v>
      </c>
      <c r="CB14" s="2">
        <v>2.5942514614180801E-5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/>
      </c>
      <c r="J15" s="47" t="str">
        <f t="shared" ca="1" si="35"/>
        <v/>
      </c>
      <c r="K15" s="19" t="str">
        <f t="shared" ca="1" si="36"/>
        <v/>
      </c>
      <c r="L15" s="116" t="str">
        <f t="shared" ca="1" si="1"/>
        <v/>
      </c>
      <c r="M15" s="105" t="str">
        <f t="shared" ca="1" si="2"/>
        <v/>
      </c>
      <c r="N15" s="47" t="str">
        <f t="shared" ca="1" si="3"/>
        <v/>
      </c>
      <c r="O15" s="63" t="str">
        <f t="shared" ca="1" si="4"/>
        <v/>
      </c>
      <c r="P15" s="63" t="str">
        <f t="shared" ca="1" si="5"/>
        <v/>
      </c>
      <c r="Q15" s="47" t="str">
        <f t="shared" ca="1" si="6"/>
        <v/>
      </c>
      <c r="R15" s="47" t="str">
        <f t="shared" ca="1" si="7"/>
        <v/>
      </c>
      <c r="S15" s="47" t="str">
        <f t="shared" ca="1" si="8"/>
        <v/>
      </c>
      <c r="T15" s="47" t="str">
        <f t="shared" ca="1" si="9"/>
        <v/>
      </c>
      <c r="U15" s="75" t="str">
        <f t="shared" ca="1" si="10"/>
        <v/>
      </c>
      <c r="V15" s="75" t="str">
        <f t="shared" ca="1" si="11"/>
        <v/>
      </c>
      <c r="W15" s="47" t="str">
        <f t="shared" ca="1" si="12"/>
        <v/>
      </c>
      <c r="X15" s="47" t="str">
        <f t="shared" ca="1" si="13"/>
        <v/>
      </c>
      <c r="Y15" s="47" t="str">
        <f t="shared" ca="1" si="14"/>
        <v/>
      </c>
      <c r="Z15" s="47" t="str">
        <f t="shared" ca="1" si="15"/>
        <v/>
      </c>
      <c r="AA15" s="47" t="str">
        <f t="shared" ca="1" si="16"/>
        <v/>
      </c>
      <c r="AB15" s="47" t="str">
        <f t="shared" ca="1" si="17"/>
        <v/>
      </c>
      <c r="AC15" s="63" t="str">
        <f t="shared" ca="1" si="18"/>
        <v/>
      </c>
      <c r="AD15" s="63" t="str">
        <f t="shared" ca="1" si="19"/>
        <v/>
      </c>
      <c r="AE15" s="63" t="str">
        <f t="shared" ca="1" si="20"/>
        <v/>
      </c>
      <c r="AF15" s="63" t="str">
        <f t="shared" ca="1" si="21"/>
        <v/>
      </c>
      <c r="AG15" s="63" t="str">
        <f t="shared" ca="1" si="22"/>
        <v/>
      </c>
      <c r="AH15" s="63" t="str">
        <f t="shared" ca="1" si="23"/>
        <v/>
      </c>
      <c r="AI15" s="63" t="str">
        <f t="shared" ca="1" si="24"/>
        <v/>
      </c>
      <c r="AJ15" s="47" t="str">
        <f t="shared" ca="1" si="25"/>
        <v/>
      </c>
      <c r="AK15" s="47" t="str">
        <f t="shared" ca="1" si="26"/>
        <v/>
      </c>
      <c r="AL15" s="47" t="str">
        <f t="shared" ca="1" si="27"/>
        <v/>
      </c>
      <c r="AM15" s="47" t="str">
        <f t="shared" ca="1" si="28"/>
        <v/>
      </c>
      <c r="AN15" s="47" t="str">
        <f t="shared" ca="1" si="29"/>
        <v/>
      </c>
      <c r="AO15" s="47" t="str">
        <f t="shared" ca="1" si="30"/>
        <v/>
      </c>
      <c r="AP15" s="47" t="str">
        <f t="shared" ca="1" si="31"/>
        <v/>
      </c>
      <c r="AQ15" s="47" t="str">
        <f t="shared" ca="1" si="32"/>
        <v/>
      </c>
      <c r="AR15" s="47" t="str">
        <f t="shared" ca="1" si="33"/>
        <v/>
      </c>
      <c r="AS15" s="33" t="str">
        <f t="shared" ca="1" si="34"/>
        <v/>
      </c>
      <c r="AW15" s="2">
        <v>16.3</v>
      </c>
      <c r="AX15" s="2" t="s">
        <v>261</v>
      </c>
      <c r="AY15" s="130">
        <v>24</v>
      </c>
      <c r="AZ15" s="2">
        <v>19.899999999999999</v>
      </c>
      <c r="BA15" s="2"/>
      <c r="BB15" s="2">
        <v>6</v>
      </c>
      <c r="BC15" s="2"/>
      <c r="BD15" s="2">
        <v>28.8</v>
      </c>
      <c r="BE15" s="2">
        <v>37.799999999999997</v>
      </c>
      <c r="BF15" s="2">
        <v>38.700000000000003</v>
      </c>
      <c r="BG15" s="2">
        <v>39.4</v>
      </c>
      <c r="BH15" s="2">
        <v>47</v>
      </c>
      <c r="BI15" s="2"/>
      <c r="BJ15" s="2"/>
      <c r="BK15" s="2"/>
      <c r="BL15" s="2"/>
      <c r="BM15" s="2"/>
      <c r="BN15" s="2">
        <v>88</v>
      </c>
      <c r="BO15" s="2">
        <v>35</v>
      </c>
      <c r="BP15" s="2">
        <v>41</v>
      </c>
      <c r="BQ15" s="2">
        <v>44</v>
      </c>
      <c r="BR15" s="2">
        <v>48</v>
      </c>
      <c r="BS15" s="2">
        <v>54</v>
      </c>
      <c r="BT15" s="2">
        <v>57</v>
      </c>
      <c r="BU15" s="2">
        <v>123</v>
      </c>
      <c r="BV15" s="2">
        <v>154</v>
      </c>
      <c r="BW15" s="2">
        <v>184</v>
      </c>
      <c r="BX15" s="2">
        <v>259</v>
      </c>
      <c r="BY15" s="2">
        <v>120.2</v>
      </c>
      <c r="BZ15" s="2">
        <v>4.7</v>
      </c>
      <c r="CA15" s="2">
        <v>1.3</v>
      </c>
      <c r="CB15" s="2">
        <v>2.5942514614180801E-5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/>
      </c>
      <c r="J16" s="47" t="str">
        <f t="shared" ca="1" si="35"/>
        <v/>
      </c>
      <c r="K16" s="19" t="str">
        <f t="shared" ca="1" si="36"/>
        <v/>
      </c>
      <c r="L16" s="116" t="str">
        <f t="shared" ca="1" si="1"/>
        <v/>
      </c>
      <c r="M16" s="105" t="str">
        <f t="shared" ca="1" si="2"/>
        <v/>
      </c>
      <c r="N16" s="47" t="str">
        <f t="shared" ca="1" si="3"/>
        <v/>
      </c>
      <c r="O16" s="63" t="str">
        <f t="shared" ca="1" si="4"/>
        <v/>
      </c>
      <c r="P16" s="63" t="str">
        <f t="shared" ca="1" si="5"/>
        <v/>
      </c>
      <c r="Q16" s="47" t="str">
        <f t="shared" ca="1" si="6"/>
        <v/>
      </c>
      <c r="R16" s="47" t="str">
        <f t="shared" ca="1" si="7"/>
        <v/>
      </c>
      <c r="S16" s="47" t="str">
        <f t="shared" ca="1" si="8"/>
        <v/>
      </c>
      <c r="T16" s="47" t="str">
        <f t="shared" ca="1" si="9"/>
        <v/>
      </c>
      <c r="U16" s="75" t="str">
        <f t="shared" ca="1" si="10"/>
        <v/>
      </c>
      <c r="V16" s="75" t="str">
        <f t="shared" ca="1" si="11"/>
        <v/>
      </c>
      <c r="W16" s="47" t="str">
        <f t="shared" ca="1" si="12"/>
        <v/>
      </c>
      <c r="X16" s="47" t="str">
        <f t="shared" ca="1" si="13"/>
        <v/>
      </c>
      <c r="Y16" s="47" t="str">
        <f t="shared" ca="1" si="14"/>
        <v/>
      </c>
      <c r="Z16" s="47" t="str">
        <f t="shared" ca="1" si="15"/>
        <v/>
      </c>
      <c r="AA16" s="47" t="str">
        <f t="shared" ca="1" si="16"/>
        <v/>
      </c>
      <c r="AB16" s="47" t="str">
        <f t="shared" ca="1" si="17"/>
        <v/>
      </c>
      <c r="AC16" s="63" t="str">
        <f t="shared" ca="1" si="18"/>
        <v/>
      </c>
      <c r="AD16" s="63" t="str">
        <f t="shared" ca="1" si="19"/>
        <v/>
      </c>
      <c r="AE16" s="63" t="str">
        <f t="shared" ca="1" si="20"/>
        <v/>
      </c>
      <c r="AF16" s="63" t="str">
        <f t="shared" ca="1" si="21"/>
        <v/>
      </c>
      <c r="AG16" s="63" t="str">
        <f t="shared" ca="1" si="22"/>
        <v/>
      </c>
      <c r="AH16" s="63" t="str">
        <f t="shared" ca="1" si="23"/>
        <v/>
      </c>
      <c r="AI16" s="63" t="str">
        <f t="shared" ca="1" si="24"/>
        <v/>
      </c>
      <c r="AJ16" s="47" t="str">
        <f t="shared" ca="1" si="25"/>
        <v/>
      </c>
      <c r="AK16" s="47" t="str">
        <f t="shared" ca="1" si="26"/>
        <v/>
      </c>
      <c r="AL16" s="47" t="str">
        <f t="shared" ca="1" si="27"/>
        <v/>
      </c>
      <c r="AM16" s="47" t="str">
        <f t="shared" ca="1" si="28"/>
        <v/>
      </c>
      <c r="AN16" s="47" t="str">
        <f t="shared" ca="1" si="29"/>
        <v/>
      </c>
      <c r="AO16" s="47" t="str">
        <f t="shared" ca="1" si="30"/>
        <v/>
      </c>
      <c r="AP16" s="47" t="str">
        <f t="shared" ca="1" si="31"/>
        <v/>
      </c>
      <c r="AQ16" s="47" t="str">
        <f t="shared" ca="1" si="32"/>
        <v/>
      </c>
      <c r="AR16" s="47" t="str">
        <f t="shared" ca="1" si="33"/>
        <v/>
      </c>
      <c r="AS16" s="33" t="str">
        <f t="shared" ca="1" si="34"/>
        <v/>
      </c>
      <c r="AW16" s="2">
        <v>16.3</v>
      </c>
      <c r="AX16" s="2" t="s">
        <v>266</v>
      </c>
      <c r="AY16" s="130">
        <v>34.4</v>
      </c>
      <c r="AZ16" s="2">
        <v>18.5</v>
      </c>
      <c r="BA16" s="2">
        <v>23</v>
      </c>
      <c r="BB16" s="2">
        <v>76</v>
      </c>
      <c r="BC16" s="2">
        <v>4</v>
      </c>
      <c r="BD16" s="2">
        <v>0.7</v>
      </c>
      <c r="BE16" s="2">
        <v>2.5</v>
      </c>
      <c r="BF16" s="2">
        <v>2.9</v>
      </c>
      <c r="BG16" s="2">
        <v>3.2</v>
      </c>
      <c r="BH16" s="2">
        <v>5</v>
      </c>
      <c r="BI16" s="2">
        <v>22</v>
      </c>
      <c r="BJ16" s="2">
        <v>89</v>
      </c>
      <c r="BK16" s="2">
        <v>141</v>
      </c>
      <c r="BL16" s="2">
        <v>194</v>
      </c>
      <c r="BM16" s="2">
        <v>338</v>
      </c>
      <c r="BN16" s="2"/>
      <c r="BO16" s="2"/>
      <c r="BP16" s="2"/>
      <c r="BQ16" s="2"/>
      <c r="BR16" s="2"/>
      <c r="BS16" s="2"/>
      <c r="BT16" s="2">
        <v>16</v>
      </c>
      <c r="BU16" s="2">
        <v>35</v>
      </c>
      <c r="BV16" s="2">
        <v>121</v>
      </c>
      <c r="BW16" s="2">
        <v>208</v>
      </c>
      <c r="BX16" s="2">
        <v>413</v>
      </c>
      <c r="BY16" s="2">
        <v>26.1</v>
      </c>
      <c r="BZ16" s="2">
        <v>10.4</v>
      </c>
      <c r="CA16" s="2">
        <v>3</v>
      </c>
      <c r="CB16" s="2">
        <v>1.73896908098844E-9</v>
      </c>
      <c r="CC16" s="2">
        <v>1.8</v>
      </c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5"/>
        <v/>
      </c>
      <c r="K17" s="19" t="str">
        <f t="shared" ca="1" si="36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4"/>
        <v/>
      </c>
      <c r="P17" s="63" t="str">
        <f t="shared" ca="1" si="5"/>
        <v/>
      </c>
      <c r="Q17" s="47" t="str">
        <f t="shared" ca="1" si="6"/>
        <v/>
      </c>
      <c r="R17" s="47" t="str">
        <f t="shared" ca="1" si="7"/>
        <v/>
      </c>
      <c r="S17" s="47" t="str">
        <f t="shared" ca="1" si="8"/>
        <v/>
      </c>
      <c r="T17" s="47" t="str">
        <f t="shared" ca="1" si="9"/>
        <v/>
      </c>
      <c r="U17" s="75" t="str">
        <f t="shared" ca="1" si="10"/>
        <v/>
      </c>
      <c r="V17" s="75" t="str">
        <f t="shared" ca="1" si="11"/>
        <v/>
      </c>
      <c r="W17" s="47" t="str">
        <f t="shared" ca="1" si="12"/>
        <v/>
      </c>
      <c r="X17" s="47" t="str">
        <f t="shared" ca="1" si="13"/>
        <v/>
      </c>
      <c r="Y17" s="47" t="str">
        <f t="shared" ca="1" si="14"/>
        <v/>
      </c>
      <c r="Z17" s="47" t="str">
        <f t="shared" ca="1" si="15"/>
        <v/>
      </c>
      <c r="AA17" s="47" t="str">
        <f t="shared" ca="1" si="16"/>
        <v/>
      </c>
      <c r="AB17" s="47" t="str">
        <f t="shared" ca="1" si="17"/>
        <v/>
      </c>
      <c r="AC17" s="63" t="str">
        <f t="shared" ca="1" si="18"/>
        <v/>
      </c>
      <c r="AD17" s="63" t="str">
        <f t="shared" ca="1" si="19"/>
        <v/>
      </c>
      <c r="AE17" s="63" t="str">
        <f t="shared" ca="1" si="20"/>
        <v/>
      </c>
      <c r="AF17" s="63" t="str">
        <f t="shared" ca="1" si="21"/>
        <v/>
      </c>
      <c r="AG17" s="63" t="str">
        <f t="shared" ca="1" si="22"/>
        <v/>
      </c>
      <c r="AH17" s="63" t="str">
        <f t="shared" ca="1" si="23"/>
        <v/>
      </c>
      <c r="AI17" s="63" t="str">
        <f t="shared" ca="1" si="24"/>
        <v/>
      </c>
      <c r="AJ17" s="47" t="str">
        <f t="shared" ca="1" si="25"/>
        <v/>
      </c>
      <c r="AK17" s="47" t="str">
        <f t="shared" ca="1" si="26"/>
        <v/>
      </c>
      <c r="AL17" s="47" t="str">
        <f t="shared" ca="1" si="27"/>
        <v/>
      </c>
      <c r="AM17" s="47" t="str">
        <f t="shared" ca="1" si="28"/>
        <v/>
      </c>
      <c r="AN17" s="47" t="str">
        <f t="shared" ca="1" si="29"/>
        <v/>
      </c>
      <c r="AO17" s="47" t="str">
        <f t="shared" ca="1" si="30"/>
        <v/>
      </c>
      <c r="AP17" s="47" t="str">
        <f t="shared" ca="1" si="31"/>
        <v/>
      </c>
      <c r="AQ17" s="47" t="str">
        <f t="shared" ca="1" si="32"/>
        <v/>
      </c>
      <c r="AR17" s="47" t="str">
        <f t="shared" ca="1" si="33"/>
        <v/>
      </c>
      <c r="AS17" s="33" t="str">
        <f t="shared" ca="1" si="34"/>
        <v/>
      </c>
      <c r="AW17" s="2">
        <v>20</v>
      </c>
      <c r="AX17" s="2" t="s">
        <v>266</v>
      </c>
      <c r="AY17" s="130">
        <v>34.4</v>
      </c>
      <c r="AZ17" s="2">
        <v>18.5</v>
      </c>
      <c r="BA17" s="2">
        <v>23</v>
      </c>
      <c r="BB17" s="2">
        <v>76</v>
      </c>
      <c r="BC17" s="2">
        <v>4</v>
      </c>
      <c r="BD17" s="2">
        <v>7.8</v>
      </c>
      <c r="BE17" s="2">
        <v>9.6</v>
      </c>
      <c r="BF17" s="2">
        <v>9.9</v>
      </c>
      <c r="BG17" s="2">
        <v>10.3</v>
      </c>
      <c r="BH17" s="2">
        <v>12.1</v>
      </c>
      <c r="BI17" s="2">
        <v>411</v>
      </c>
      <c r="BJ17" s="2">
        <v>478</v>
      </c>
      <c r="BK17" s="2">
        <v>530</v>
      </c>
      <c r="BL17" s="2">
        <v>583</v>
      </c>
      <c r="BM17" s="2">
        <v>727</v>
      </c>
      <c r="BN17" s="2"/>
      <c r="BO17" s="2"/>
      <c r="BP17" s="2"/>
      <c r="BQ17" s="2"/>
      <c r="BR17" s="2"/>
      <c r="BS17" s="2"/>
      <c r="BT17" s="2">
        <v>465</v>
      </c>
      <c r="BU17" s="2">
        <v>484</v>
      </c>
      <c r="BV17" s="2">
        <v>570</v>
      </c>
      <c r="BW17" s="2">
        <v>657</v>
      </c>
      <c r="BX17" s="2">
        <v>862</v>
      </c>
      <c r="BY17" s="2">
        <v>26.1</v>
      </c>
      <c r="BZ17" s="2">
        <v>10.4</v>
      </c>
      <c r="CA17" s="2">
        <v>3</v>
      </c>
      <c r="CB17" s="2">
        <v>1.73896908098844E-9</v>
      </c>
      <c r="CC17" s="2">
        <v>1.8</v>
      </c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5"/>
        <v/>
      </c>
      <c r="K18" s="19" t="str">
        <f t="shared" ca="1" si="36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4"/>
        <v/>
      </c>
      <c r="P18" s="63" t="str">
        <f t="shared" ca="1" si="5"/>
        <v/>
      </c>
      <c r="Q18" s="47" t="str">
        <f t="shared" ca="1" si="6"/>
        <v/>
      </c>
      <c r="R18" s="47" t="str">
        <f t="shared" ca="1" si="7"/>
        <v/>
      </c>
      <c r="S18" s="47" t="str">
        <f t="shared" ca="1" si="8"/>
        <v/>
      </c>
      <c r="T18" s="47" t="str">
        <f t="shared" ca="1" si="9"/>
        <v/>
      </c>
      <c r="U18" s="75" t="str">
        <f t="shared" ca="1" si="10"/>
        <v/>
      </c>
      <c r="V18" s="75" t="str">
        <f t="shared" ca="1" si="11"/>
        <v/>
      </c>
      <c r="W18" s="47" t="str">
        <f t="shared" ca="1" si="12"/>
        <v/>
      </c>
      <c r="X18" s="47" t="str">
        <f t="shared" ca="1" si="13"/>
        <v/>
      </c>
      <c r="Y18" s="47" t="str">
        <f t="shared" ca="1" si="14"/>
        <v/>
      </c>
      <c r="Z18" s="47" t="str">
        <f t="shared" ca="1" si="15"/>
        <v/>
      </c>
      <c r="AA18" s="47" t="str">
        <f t="shared" ca="1" si="16"/>
        <v/>
      </c>
      <c r="AB18" s="47" t="str">
        <f t="shared" ca="1" si="17"/>
        <v/>
      </c>
      <c r="AC18" s="63" t="str">
        <f t="shared" ca="1" si="18"/>
        <v/>
      </c>
      <c r="AD18" s="63" t="str">
        <f t="shared" ca="1" si="19"/>
        <v/>
      </c>
      <c r="AE18" s="63" t="str">
        <f t="shared" ca="1" si="20"/>
        <v/>
      </c>
      <c r="AF18" s="63" t="str">
        <f t="shared" ca="1" si="21"/>
        <v/>
      </c>
      <c r="AG18" s="63" t="str">
        <f t="shared" ca="1" si="22"/>
        <v/>
      </c>
      <c r="AH18" s="63" t="str">
        <f t="shared" ca="1" si="23"/>
        <v/>
      </c>
      <c r="AI18" s="63" t="str">
        <f t="shared" ca="1" si="24"/>
        <v/>
      </c>
      <c r="AJ18" s="47" t="str">
        <f t="shared" ca="1" si="25"/>
        <v/>
      </c>
      <c r="AK18" s="47" t="str">
        <f t="shared" ca="1" si="26"/>
        <v/>
      </c>
      <c r="AL18" s="47" t="str">
        <f t="shared" ca="1" si="27"/>
        <v/>
      </c>
      <c r="AM18" s="47" t="str">
        <f t="shared" ca="1" si="28"/>
        <v/>
      </c>
      <c r="AN18" s="47" t="str">
        <f t="shared" ca="1" si="29"/>
        <v/>
      </c>
      <c r="AO18" s="47" t="str">
        <f t="shared" ca="1" si="30"/>
        <v/>
      </c>
      <c r="AP18" s="47" t="str">
        <f t="shared" ca="1" si="31"/>
        <v/>
      </c>
      <c r="AQ18" s="47" t="str">
        <f t="shared" ca="1" si="32"/>
        <v/>
      </c>
      <c r="AR18" s="47" t="str">
        <f t="shared" ca="1" si="33"/>
        <v/>
      </c>
      <c r="AS18" s="33" t="str">
        <f t="shared" ca="1" si="34"/>
        <v/>
      </c>
      <c r="AW18" s="2">
        <v>20</v>
      </c>
      <c r="AX18" s="2" t="s">
        <v>266</v>
      </c>
      <c r="AY18" s="130">
        <v>34.4</v>
      </c>
      <c r="AZ18" s="2">
        <v>18.5</v>
      </c>
      <c r="BA18" s="2">
        <v>23</v>
      </c>
      <c r="BB18" s="2">
        <v>76</v>
      </c>
      <c r="BC18" s="2">
        <v>4</v>
      </c>
      <c r="BD18" s="2">
        <v>7.2</v>
      </c>
      <c r="BE18" s="2">
        <v>11.2</v>
      </c>
      <c r="BF18" s="2">
        <v>11.6</v>
      </c>
      <c r="BG18" s="2">
        <v>12</v>
      </c>
      <c r="BH18" s="2">
        <v>16.100000000000001</v>
      </c>
      <c r="BI18" s="2">
        <v>330</v>
      </c>
      <c r="BJ18" s="2">
        <v>565</v>
      </c>
      <c r="BK18" s="2">
        <v>620</v>
      </c>
      <c r="BL18" s="2">
        <v>676</v>
      </c>
      <c r="BM18" s="2">
        <v>919</v>
      </c>
      <c r="BN18" s="2"/>
      <c r="BO18" s="2"/>
      <c r="BP18" s="2"/>
      <c r="BQ18" s="2"/>
      <c r="BR18" s="2"/>
      <c r="BS18" s="2"/>
      <c r="BT18" s="2">
        <v>293</v>
      </c>
      <c r="BU18" s="2">
        <v>628</v>
      </c>
      <c r="BV18" s="2">
        <v>719</v>
      </c>
      <c r="BW18" s="2">
        <v>810</v>
      </c>
      <c r="BX18" s="2">
        <v>1161</v>
      </c>
      <c r="BY18" s="2">
        <v>51.3</v>
      </c>
      <c r="BZ18" s="2">
        <v>16.399999999999999</v>
      </c>
      <c r="CA18" s="2">
        <v>3</v>
      </c>
      <c r="CB18" s="2">
        <v>1.2130121681011501E-8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50</v>
      </c>
      <c r="AX19" s="2" t="s">
        <v>266</v>
      </c>
      <c r="AY19" s="130">
        <v>34.4</v>
      </c>
      <c r="AZ19" s="2">
        <v>18.5</v>
      </c>
      <c r="BA19" s="2">
        <v>23</v>
      </c>
      <c r="BB19" s="2">
        <v>76</v>
      </c>
      <c r="BC19" s="2">
        <v>4</v>
      </c>
      <c r="BD19" s="2">
        <v>10.1</v>
      </c>
      <c r="BE19" s="2">
        <v>14.1</v>
      </c>
      <c r="BF19" s="2">
        <v>14.5</v>
      </c>
      <c r="BG19" s="2">
        <v>14.9</v>
      </c>
      <c r="BH19" s="2">
        <v>19.100000000000001</v>
      </c>
      <c r="BI19" s="2">
        <v>485</v>
      </c>
      <c r="BJ19" s="2">
        <v>720</v>
      </c>
      <c r="BK19" s="2">
        <v>775</v>
      </c>
      <c r="BL19" s="2">
        <v>832</v>
      </c>
      <c r="BM19" s="2">
        <v>1074</v>
      </c>
      <c r="BN19" s="2"/>
      <c r="BO19" s="2"/>
      <c r="BP19" s="2"/>
      <c r="BQ19" s="2"/>
      <c r="BR19" s="2"/>
      <c r="BS19" s="2"/>
      <c r="BT19" s="2">
        <v>528</v>
      </c>
      <c r="BU19" s="2">
        <v>864</v>
      </c>
      <c r="BV19" s="2">
        <v>954</v>
      </c>
      <c r="BW19" s="2">
        <v>1046</v>
      </c>
      <c r="BX19" s="2">
        <v>1397</v>
      </c>
      <c r="BY19" s="2">
        <v>51.3</v>
      </c>
      <c r="BZ19" s="2">
        <v>16.399999999999999</v>
      </c>
      <c r="CA19" s="2">
        <v>3</v>
      </c>
      <c r="CB19" s="2">
        <v>1.2130121681011501E-8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50</v>
      </c>
      <c r="AX20" s="2" t="s">
        <v>271</v>
      </c>
      <c r="AY20" s="130">
        <v>24.7</v>
      </c>
      <c r="AZ20" s="2">
        <v>19.8</v>
      </c>
      <c r="BA20" s="2"/>
      <c r="BB20" s="2">
        <v>11</v>
      </c>
      <c r="BC20" s="2"/>
      <c r="BD20" s="2">
        <v>1.8</v>
      </c>
      <c r="BE20" s="2">
        <v>25.2</v>
      </c>
      <c r="BF20" s="2">
        <v>35</v>
      </c>
      <c r="BG20" s="2">
        <v>83.3</v>
      </c>
      <c r="BH20" s="2">
        <v>233</v>
      </c>
      <c r="BI20" s="2"/>
      <c r="BJ20" s="2"/>
      <c r="BK20" s="2"/>
      <c r="BL20" s="2"/>
      <c r="BM20" s="2"/>
      <c r="BN20" s="2">
        <v>77</v>
      </c>
      <c r="BO20" s="2">
        <v>26</v>
      </c>
      <c r="BP20" s="2">
        <v>29</v>
      </c>
      <c r="BQ20" s="2">
        <v>31</v>
      </c>
      <c r="BR20" s="2">
        <v>33</v>
      </c>
      <c r="BS20" s="2">
        <v>37</v>
      </c>
      <c r="BT20" s="2">
        <v>50</v>
      </c>
      <c r="BU20" s="2">
        <v>167</v>
      </c>
      <c r="BV20" s="2">
        <v>225</v>
      </c>
      <c r="BW20" s="2">
        <v>284</v>
      </c>
      <c r="BX20" s="2">
        <v>428</v>
      </c>
      <c r="BY20" s="2">
        <v>59.9</v>
      </c>
      <c r="BZ20" s="2">
        <v>2.6</v>
      </c>
      <c r="CA20" s="2">
        <v>0.9</v>
      </c>
      <c r="CB20" s="2">
        <v>2.8745412925680701E-12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75</v>
      </c>
      <c r="AX21" s="2" t="s">
        <v>271</v>
      </c>
      <c r="AY21" s="130">
        <v>24.7</v>
      </c>
      <c r="AZ21" s="2">
        <v>19.8</v>
      </c>
      <c r="BA21" s="2"/>
      <c r="BB21" s="2">
        <v>11</v>
      </c>
      <c r="BC21" s="2"/>
      <c r="BD21" s="2">
        <v>11.7</v>
      </c>
      <c r="BE21" s="2">
        <v>35.1</v>
      </c>
      <c r="BF21" s="2">
        <v>44.9</v>
      </c>
      <c r="BG21" s="2">
        <v>93.1</v>
      </c>
      <c r="BH21" s="2">
        <v>242.9</v>
      </c>
      <c r="BI21" s="2"/>
      <c r="BJ21" s="2"/>
      <c r="BK21" s="2"/>
      <c r="BL21" s="2"/>
      <c r="BM21" s="2"/>
      <c r="BN21" s="2">
        <v>77</v>
      </c>
      <c r="BO21" s="2">
        <v>26</v>
      </c>
      <c r="BP21" s="2">
        <v>29</v>
      </c>
      <c r="BQ21" s="2">
        <v>31</v>
      </c>
      <c r="BR21" s="2">
        <v>33</v>
      </c>
      <c r="BS21" s="2">
        <v>37</v>
      </c>
      <c r="BT21" s="2">
        <v>102</v>
      </c>
      <c r="BU21" s="2">
        <v>219</v>
      </c>
      <c r="BV21" s="2">
        <v>277</v>
      </c>
      <c r="BW21" s="2">
        <v>336</v>
      </c>
      <c r="BX21" s="2">
        <v>480</v>
      </c>
      <c r="BY21" s="2">
        <v>59.9</v>
      </c>
      <c r="BZ21" s="2">
        <v>2.6</v>
      </c>
      <c r="CA21" s="2">
        <v>0.9</v>
      </c>
      <c r="CB21" s="2">
        <v>2.8745412925680701E-12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75</v>
      </c>
      <c r="AX22" s="2" t="s">
        <v>273</v>
      </c>
      <c r="AY22" s="130">
        <v>32</v>
      </c>
      <c r="AZ22" s="2">
        <v>18.899999999999999</v>
      </c>
      <c r="BA22" s="2">
        <v>47</v>
      </c>
      <c r="BB22" s="2">
        <v>85</v>
      </c>
      <c r="BC22" s="2">
        <v>3</v>
      </c>
      <c r="BD22" s="2">
        <v>2.8</v>
      </c>
      <c r="BE22" s="2">
        <v>11</v>
      </c>
      <c r="BF22" s="2">
        <v>13.4</v>
      </c>
      <c r="BG22" s="2">
        <v>27.9</v>
      </c>
      <c r="BH22" s="2">
        <v>72.8</v>
      </c>
      <c r="BI22" s="2">
        <v>459</v>
      </c>
      <c r="BJ22" s="2">
        <v>545</v>
      </c>
      <c r="BK22" s="2">
        <v>588</v>
      </c>
      <c r="BL22" s="2">
        <v>632</v>
      </c>
      <c r="BM22" s="2">
        <v>718</v>
      </c>
      <c r="BN22" s="2"/>
      <c r="BO22" s="2"/>
      <c r="BP22" s="2"/>
      <c r="BQ22" s="2"/>
      <c r="BR22" s="2"/>
      <c r="BS22" s="2"/>
      <c r="BT22" s="2">
        <v>611</v>
      </c>
      <c r="BU22" s="2">
        <v>783</v>
      </c>
      <c r="BV22" s="2">
        <v>870</v>
      </c>
      <c r="BW22" s="2">
        <v>956</v>
      </c>
      <c r="BX22" s="2">
        <v>1128</v>
      </c>
      <c r="BY22" s="2">
        <v>49.2</v>
      </c>
      <c r="BZ22" s="2">
        <v>5</v>
      </c>
      <c r="CA22" s="2">
        <v>2.2999999999999998</v>
      </c>
      <c r="CB22" s="2">
        <v>3.7672028809138296E-12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80</v>
      </c>
      <c r="AX23" s="2" t="s">
        <v>273</v>
      </c>
      <c r="AY23" s="130">
        <v>32</v>
      </c>
      <c r="AZ23" s="2">
        <v>18.899999999999999</v>
      </c>
      <c r="BA23" s="2">
        <v>47</v>
      </c>
      <c r="BB23" s="2">
        <v>85</v>
      </c>
      <c r="BC23" s="2">
        <v>3</v>
      </c>
      <c r="BD23" s="2">
        <v>3</v>
      </c>
      <c r="BE23" s="2">
        <v>11.3</v>
      </c>
      <c r="BF23" s="2">
        <v>13.7</v>
      </c>
      <c r="BG23" s="2">
        <v>28.2</v>
      </c>
      <c r="BH23" s="2">
        <v>73</v>
      </c>
      <c r="BI23" s="2">
        <v>477</v>
      </c>
      <c r="BJ23" s="2">
        <v>563</v>
      </c>
      <c r="BK23" s="2">
        <v>606</v>
      </c>
      <c r="BL23" s="2">
        <v>651</v>
      </c>
      <c r="BM23" s="2">
        <v>736</v>
      </c>
      <c r="BN23" s="2"/>
      <c r="BO23" s="2"/>
      <c r="BP23" s="2"/>
      <c r="BQ23" s="2"/>
      <c r="BR23" s="2"/>
      <c r="BS23" s="2"/>
      <c r="BT23" s="2">
        <v>646</v>
      </c>
      <c r="BU23" s="2">
        <v>818</v>
      </c>
      <c r="BV23" s="2">
        <v>905</v>
      </c>
      <c r="BW23" s="2">
        <v>992</v>
      </c>
      <c r="BX23" s="2">
        <v>1163</v>
      </c>
      <c r="BY23" s="2">
        <v>49.2</v>
      </c>
      <c r="BZ23" s="2">
        <v>5</v>
      </c>
      <c r="CA23" s="2">
        <v>2.2999999999999998</v>
      </c>
      <c r="CB23" s="2">
        <v>3.7672028809138296E-12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/>
      <c r="AX24" s="2"/>
      <c r="AY24" s="130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/>
      <c r="AX25" s="2"/>
      <c r="AY25" s="130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/>
      <c r="AX26" s="2"/>
      <c r="AY26" s="130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/>
      <c r="AX27" s="2"/>
      <c r="AY27" s="130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076" priority="12">
      <formula>$L32="API sand"</formula>
    </cfRule>
  </conditionalFormatting>
  <conditionalFormatting sqref="R32:S36 AB32:AB35 AJ32:AL36 Z32:Z36 N32:N36">
    <cfRule type="expression" dxfId="2075" priority="11">
      <formula>$M32="API sand"</formula>
    </cfRule>
  </conditionalFormatting>
  <conditionalFormatting sqref="R32:T36 Z32:AB35 AK32:AL36 N32:N36">
    <cfRule type="expression" dxfId="2074" priority="10">
      <formula>$M32="API clay"</formula>
    </cfRule>
  </conditionalFormatting>
  <conditionalFormatting sqref="U32:W36 AM32:AP36 N32:P36">
    <cfRule type="expression" dxfId="2073" priority="7">
      <formula>$L32="Stiff clay w/o free water"</formula>
    </cfRule>
    <cfRule type="expression" dxfId="2072" priority="9">
      <formula>$L32="API clay"</formula>
    </cfRule>
  </conditionalFormatting>
  <conditionalFormatting sqref="U32:Y36 AM32:AP36 N32:P36">
    <cfRule type="expression" dxfId="2071" priority="8">
      <formula>$L32="Kirsch soft clay"</formula>
    </cfRule>
  </conditionalFormatting>
  <conditionalFormatting sqref="U32:Y36 AM32:AP36 N32:P36">
    <cfRule type="expression" dxfId="2070" priority="6">
      <formula>$L32="Kirsch stiff clay"</formula>
    </cfRule>
  </conditionalFormatting>
  <conditionalFormatting sqref="AM32:AP36 Q32:Q36 X32:Y36 N32:N36">
    <cfRule type="expression" dxfId="2069" priority="5">
      <formula>$L32="Kirsch sand"</formula>
    </cfRule>
  </conditionalFormatting>
  <conditionalFormatting sqref="AC32:AD36 AI32:AI36 AM32:AP36 N32:N36">
    <cfRule type="expression" dxfId="2068" priority="4">
      <formula>$L32="Modified Weak rock"</formula>
    </cfRule>
  </conditionalFormatting>
  <conditionalFormatting sqref="AM32:AP36 N32:P36 U32:V36">
    <cfRule type="expression" dxfId="2067" priority="3">
      <formula>$L32="Reese stiff clay"</formula>
    </cfRule>
  </conditionalFormatting>
  <conditionalFormatting sqref="AB36">
    <cfRule type="expression" dxfId="2066" priority="2">
      <formula>$M36="API sand"</formula>
    </cfRule>
  </conditionalFormatting>
  <conditionalFormatting sqref="Z36:AB36">
    <cfRule type="expression" dxfId="2065" priority="1">
      <formula>$M36="API clay"</formula>
    </cfRule>
  </conditionalFormatting>
  <conditionalFormatting sqref="AE37:AH37">
    <cfRule type="expression" dxfId="2064" priority="13">
      <formula>#REF!="Modified Weak rock"</formula>
    </cfRule>
  </conditionalFormatting>
  <dataValidations count="4">
    <dataValidation type="list" showInputMessage="1" showErrorMessage="1" sqref="M32:M36" xr:uid="{8E506618-8ACB-4150-B1BA-467B6CA1C7E6}">
      <formula1>"',API sand,API clay"</formula1>
    </dataValidation>
    <dataValidation type="list" showInputMessage="1" showErrorMessage="1" sqref="L32:L255" xr:uid="{B1A79BAE-61B1-428D-AB14-200C8F2F4522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0B33EC86-8857-428F-BAEB-72DC85FB116E}"/>
    <dataValidation type="textLength" showInputMessage="1" showErrorMessage="1" sqref="M27:M31" xr:uid="{0028A89B-F258-4315-8474-0FDD16980A42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9AD2E-C164-465E-9633-72384FC276B7}">
  <sheetPr>
    <tabColor rgb="FF7030A0"/>
  </sheetPr>
  <dimension ref="A1:CC255"/>
  <sheetViews>
    <sheetView zoomScale="85" zoomScaleNormal="85" workbookViewId="0">
      <selection activeCell="A21" sqref="A2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Ak_Pisa_WTG69_ULSF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51"/>
      <c r="R3" s="155"/>
      <c r="S3" s="155"/>
      <c r="T3" s="151"/>
      <c r="U3" s="155"/>
      <c r="V3" s="155"/>
      <c r="W3" s="151"/>
      <c r="X3" s="69"/>
      <c r="Y3" s="151"/>
      <c r="Z3" s="151"/>
      <c r="AA3" s="151"/>
      <c r="AB3" s="151"/>
      <c r="AC3" s="69"/>
      <c r="AD3" s="39"/>
      <c r="AE3" s="39"/>
      <c r="AF3" s="39"/>
      <c r="AG3" s="39"/>
      <c r="AH3" s="39"/>
      <c r="AI3" s="39"/>
      <c r="AJ3" s="151"/>
      <c r="AK3" s="151"/>
      <c r="AL3" s="151"/>
      <c r="AM3" s="151"/>
      <c r="AN3" s="151"/>
      <c r="AO3" s="151"/>
      <c r="AP3" s="151"/>
      <c r="AW3" s="35" t="s">
        <v>316</v>
      </c>
    </row>
    <row r="4" spans="1:81" x14ac:dyDescent="0.25">
      <c r="A4" s="40" t="s">
        <v>60</v>
      </c>
      <c r="B4" s="33">
        <f ca="1"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2" t="s">
        <v>38</v>
      </c>
      <c r="K5" s="152" t="s">
        <v>30</v>
      </c>
      <c r="L5" s="152" t="s">
        <v>31</v>
      </c>
      <c r="M5" s="152" t="s">
        <v>31</v>
      </c>
      <c r="N5" s="152" t="s">
        <v>32</v>
      </c>
      <c r="O5" s="152" t="s">
        <v>33</v>
      </c>
      <c r="P5" s="152" t="s">
        <v>35</v>
      </c>
      <c r="Q5" s="152" t="s">
        <v>36</v>
      </c>
      <c r="R5" s="152" t="s">
        <v>36</v>
      </c>
      <c r="S5" s="152" t="s">
        <v>34</v>
      </c>
      <c r="T5" s="152" t="s">
        <v>33</v>
      </c>
      <c r="U5" s="152" t="s">
        <v>34</v>
      </c>
      <c r="V5" s="152" t="s">
        <v>62</v>
      </c>
      <c r="W5" s="152" t="s">
        <v>34</v>
      </c>
      <c r="X5" s="152" t="s">
        <v>33</v>
      </c>
      <c r="Y5" s="152" t="s">
        <v>35</v>
      </c>
      <c r="Z5" s="152" t="s">
        <v>33</v>
      </c>
      <c r="AA5" s="152" t="s">
        <v>34</v>
      </c>
      <c r="AB5" s="152" t="s">
        <v>33</v>
      </c>
      <c r="AC5" s="152" t="s">
        <v>33</v>
      </c>
      <c r="AD5" s="152" t="s">
        <v>35</v>
      </c>
      <c r="AE5" s="152" t="s">
        <v>34</v>
      </c>
      <c r="AF5" s="152" t="s">
        <v>33</v>
      </c>
      <c r="AG5" s="152" t="s">
        <v>35</v>
      </c>
      <c r="AH5" s="152" t="s">
        <v>34</v>
      </c>
      <c r="AI5" s="152" t="s">
        <v>34</v>
      </c>
      <c r="AJ5" s="152" t="s">
        <v>34</v>
      </c>
      <c r="AK5" s="152" t="s">
        <v>34</v>
      </c>
      <c r="AL5" s="152" t="s">
        <v>34</v>
      </c>
      <c r="AM5" s="152" t="s">
        <v>34</v>
      </c>
      <c r="AN5" s="152" t="s">
        <v>34</v>
      </c>
      <c r="AO5" s="152" t="s">
        <v>34</v>
      </c>
      <c r="AP5" s="152" t="s">
        <v>34</v>
      </c>
      <c r="AQ5" s="152" t="s">
        <v>103</v>
      </c>
      <c r="AR5" s="152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02a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Cowden Clay</v>
      </c>
      <c r="M6" s="105" t="str">
        <f t="shared" ref="M6:M26" ca="1" si="2">IF(I6="","",IF(EXACT(L6,"Cowden Clay"),"API clay","API sand"))</f>
        <v>API clay</v>
      </c>
      <c r="N6" s="47">
        <f t="shared" ref="N6:N26" ca="1" si="3">IF(OFFSET($AZ$6,(ROW()-6)*2,0)=0,"",OFFSET($AZ$6,(ROW()-6)*2,0)-10)</f>
        <v>10.199999999999999</v>
      </c>
      <c r="O6" s="63">
        <f ca="1">IF(I6="","",IF(OFFSET($BJ$6,(ROW()-6)*2,0)="",0,OFFSET($BJ$6,(ROW()-6)*2,0)))</f>
        <v>0</v>
      </c>
      <c r="P6" s="63">
        <f ca="1">IF(I6="","",IF(OFFSET($BJ$6,(ROW()-6)*2,0)="",0,(OFFSET($BJ$6,(ROW()-6)*2+1,0)-OFFSET($BJ$6,(ROW()-6)*2,0))/(OFFSET($AW$6,(ROW()-6)*2+1,0)-OFFSET($AW$6,(ROW()-6)*2,0))))</f>
        <v>40</v>
      </c>
      <c r="Q6" s="47">
        <f t="shared" ref="Q6:Q27" ca="1" si="4">IF(I6="","",IF(OFFSET($BP$6,(ROW()-6)*2,0)=0,0,OFFSET($BP$6,(ROW()-6)*2,0)))</f>
        <v>0</v>
      </c>
      <c r="R6" s="47" t="e">
        <f t="shared" ref="R6:R26" ca="1" si="5">IF(I6="","",IF(Q6&lt;&gt;0,Q6-5,NA()))</f>
        <v>#N/A</v>
      </c>
      <c r="S6" s="47">
        <f t="shared" ref="S6:S26" ca="1" si="6">IF(I6="","",IF(OFFSET($CA$6,(ROW()-6)*2,0)=0,0,OFFSET($CA$6,(ROW()-6)*2,0)))</f>
        <v>3</v>
      </c>
      <c r="T6" s="47">
        <f t="shared" ref="T6:T26" ca="1" si="7">IF(I6="","",0)</f>
        <v>0</v>
      </c>
      <c r="U6" s="75">
        <f t="shared" ref="U6:U26" ca="1" si="8">IF(I6="","",IF(EXACT(L6,"Cowden Clay"),0.018,0))</f>
        <v>1.7999999999999999E-2</v>
      </c>
      <c r="V6" s="75">
        <f t="shared" ref="V6:V26" ca="1" si="9">IF(I6="","",0)</f>
        <v>0</v>
      </c>
      <c r="W6" s="47">
        <f ca="1">IF(I6="","",IF(AND(O6&lt;&gt;"",O6&lt;250),0.5,IF(AND(O6&lt;&gt;"",O6&gt;=250),0.25,0)))</f>
        <v>0.5</v>
      </c>
      <c r="X6" s="47">
        <f t="shared" ref="X6:X25" ca="1" si="10">IF(I6="","",IF(OFFSET($BY$6,(ROW()-6)*2,0)=0,0,OFFSET($BY$6,(ROW()-6)*2,0)*1000))</f>
        <v>4000</v>
      </c>
      <c r="Y6" s="47">
        <f t="shared" ref="Y6:Y26" ca="1" si="11">IF(I6="","",IF(OFFSET($BY$6,(ROW()-6)*2,0)=0,0,((OFFSET($BY$6,(ROW()-6)*2+1,0)-OFFSET($BY$6,(ROW()-6)*2,0))/(OFFSET($AW$6,(ROW()-6)*2+1,0)-OFFSET($AW$6,(ROW()-6)*2,0)))*1000))</f>
        <v>0</v>
      </c>
      <c r="Z6" s="47" t="e">
        <f t="shared" ref="Z6:Z26" ca="1" si="12">IF(I6="","",VLOOKUP(R6,$AE$39:$AF$59,2))</f>
        <v>#N/A</v>
      </c>
      <c r="AA6" s="47">
        <f t="shared" ref="AA6:AA26" ca="1" si="13">IF(I6="","",1)</f>
        <v>1</v>
      </c>
      <c r="AB6" s="47" t="e">
        <f t="shared" ref="AB6:AB26" ca="1" si="14">IF(I6="","",VLOOKUP(R6,$AE$39:$AG$59,3))</f>
        <v>#N/A</v>
      </c>
      <c r="AC6" s="63">
        <f t="shared" ref="AC6:AC26" ca="1" si="15">IF(I6="","",IF(OFFSET($BV$6,(ROW()-6)*2,0)=0,0,OFFSET($BV$6,(ROW()-6)*2,0)*1000))</f>
        <v>4000</v>
      </c>
      <c r="AD6" s="63">
        <f t="shared" ref="AD6:AD26" ca="1" si="16">IF(I6="","",IF(OFFSET($BV$6,(ROW()-6)*2,0)=0,0,((OFFSET($BV$6,(ROW()-6)*2+1,0)-OFFSET($BV$6,(ROW()-6)*2,0))/(OFFSET($AW$6,(ROW()-6)*2+1,0)-OFFSET($AW$6,(ROW()-6)*2,0)))*1000))</f>
        <v>20000</v>
      </c>
      <c r="AE6" s="63">
        <f t="shared" ref="AE6:AE26" ca="1" si="17">IF(I6="","",0.3)</f>
        <v>0.3</v>
      </c>
      <c r="AF6" s="63">
        <f t="shared" ref="AF6:AF26" ca="1" si="18">IF(I6="","",0)</f>
        <v>0</v>
      </c>
      <c r="AG6" s="63">
        <f t="shared" ref="AG6:AG26" ca="1" si="19">IF(I6="","",0)</f>
        <v>0</v>
      </c>
      <c r="AH6" s="63">
        <f t="shared" ref="AH6:AH26" ca="1" si="20">IF(I6="","",0)</f>
        <v>0</v>
      </c>
      <c r="AI6" s="63">
        <f t="shared" ref="AI6:AI26" ca="1" si="21">IF(I6="","",0)</f>
        <v>0</v>
      </c>
      <c r="AJ6" s="47" t="e">
        <f t="shared" ref="AJ6:AJ27" ca="1" si="22">IF(I6="","",VLOOKUP(R6,$AE$39:$AH$59,4))</f>
        <v>#N/A</v>
      </c>
      <c r="AK6" s="47">
        <f t="shared" ref="AK6:AK27" ca="1" si="23">IF(I6="","",1)</f>
        <v>1</v>
      </c>
      <c r="AL6" s="47">
        <f t="shared" ref="AL6:AL25" ca="1" si="24">IF(I6="","",1)</f>
        <v>1</v>
      </c>
      <c r="AM6" s="47">
        <f t="shared" ref="AM6:AM26" ca="1" si="25">IF(I6="","",1)</f>
        <v>1</v>
      </c>
      <c r="AN6" s="47">
        <f t="shared" ref="AN6:AN27" ca="1" si="26">IF(I6="","",1)</f>
        <v>1</v>
      </c>
      <c r="AO6" s="47">
        <f t="shared" ref="AO6:AO27" ca="1" si="27">IF(I6="","",1)</f>
        <v>1</v>
      </c>
      <c r="AP6" s="47">
        <f t="shared" ref="AP6:AP26" ca="1" si="28">IF(I6="","",1)</f>
        <v>1</v>
      </c>
      <c r="AQ6" s="47">
        <f t="shared" ref="AQ6:AQ28" ca="1" si="29">IF(I6="","",0)</f>
        <v>0</v>
      </c>
      <c r="AR6" s="47">
        <f t="shared" ref="AR6:AR27" ca="1" si="30">IF(I6="","",IF(OFFSET($BN$6,(ROW()-6)*2,0)=0,0,OFFSET($BN$6,(ROW()-6)*2,0)))</f>
        <v>0</v>
      </c>
      <c r="AS6" s="33">
        <f t="shared" ref="AS6:AS26" ca="1" si="31">IF(I6="","",IF(OR(EXACT(I6,"14a"),EXACT(I6,"15b"),EXACT(I6,"17a"),EXACT(I6,"19b"),EXACT(I6,"20a"),EXACT(I6,"21a")),0.2,0.4))</f>
        <v>0.4</v>
      </c>
      <c r="AW6" s="2">
        <v>0</v>
      </c>
      <c r="AX6" s="2" t="s">
        <v>255</v>
      </c>
      <c r="AY6" s="130">
        <v>23.1</v>
      </c>
      <c r="AZ6" s="2">
        <v>20.2</v>
      </c>
      <c r="BA6" s="2">
        <v>18</v>
      </c>
      <c r="BB6" s="2">
        <v>28</v>
      </c>
      <c r="BC6" s="2">
        <v>5</v>
      </c>
      <c r="BD6" s="2">
        <v>0</v>
      </c>
      <c r="BE6" s="2">
        <v>0</v>
      </c>
      <c r="BF6" s="2">
        <v>0.2</v>
      </c>
      <c r="BG6" s="2">
        <v>0.3</v>
      </c>
      <c r="BH6" s="2">
        <v>0.7</v>
      </c>
      <c r="BI6" s="2">
        <v>0</v>
      </c>
      <c r="BJ6" s="2">
        <v>0</v>
      </c>
      <c r="BK6" s="2">
        <v>8</v>
      </c>
      <c r="BL6" s="2">
        <v>17</v>
      </c>
      <c r="BM6" s="2">
        <v>39</v>
      </c>
      <c r="BN6" s="2"/>
      <c r="BO6" s="2"/>
      <c r="BP6" s="2"/>
      <c r="BQ6" s="2"/>
      <c r="BR6" s="2"/>
      <c r="BS6" s="2"/>
      <c r="BT6" s="2">
        <v>0</v>
      </c>
      <c r="BU6" s="2">
        <v>0</v>
      </c>
      <c r="BV6" s="2">
        <v>4</v>
      </c>
      <c r="BW6" s="2">
        <v>10</v>
      </c>
      <c r="BX6" s="2">
        <v>22</v>
      </c>
      <c r="BY6" s="2">
        <v>4</v>
      </c>
      <c r="BZ6" s="2">
        <v>32.700000000000003</v>
      </c>
      <c r="CA6" s="2">
        <v>3</v>
      </c>
      <c r="CB6" s="2">
        <v>3.1358049696518799E-7</v>
      </c>
      <c r="CC6" s="2">
        <v>1.8</v>
      </c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02b</v>
      </c>
      <c r="J7" s="47">
        <f t="shared" ref="J7:J26" ca="1" si="32">IF(I7&lt;&gt;"",J6+1,"")</f>
        <v>2</v>
      </c>
      <c r="K7" s="19">
        <f t="shared" ref="K7:K20" ca="1" si="33">IF(OFFSET($AW$6,(ROW()-6)*2,0)=0,"",-OFFSET($AW$6,(ROW()-6)*2,0))</f>
        <v>-0.65</v>
      </c>
      <c r="L7" s="116" t="str">
        <f t="shared" ca="1" si="1"/>
        <v>EW_sand_Ruled_75</v>
      </c>
      <c r="M7" s="105" t="str">
        <f t="shared" ca="1" si="2"/>
        <v>API sand</v>
      </c>
      <c r="N7" s="47">
        <f t="shared" ca="1" si="3"/>
        <v>9.3999999999999986</v>
      </c>
      <c r="O7" s="63">
        <f t="shared" ref="O7:O26" ca="1" si="34">IF(I7="","",IF(OFFSET($BJ$6,(ROW()-6)*2,0)=0,0,OFFSET($BJ$6,(ROW()-6)*2,0)))</f>
        <v>0</v>
      </c>
      <c r="P7" s="63">
        <f t="shared" ref="P7:P26" ca="1" si="35">IF(I7="","",IF(OFFSET($BJ$6,(ROW()-6)*2,0)=0,0,(OFFSET($BJ$6,(ROW()-6)*2+1,0)-OFFSET($BJ$6,(ROW()-6)*2,0))/(OFFSET($AW$6,(ROW()-6)*2+1,0)-OFFSET($AW$6,(ROW()-6)*2,0))))</f>
        <v>0</v>
      </c>
      <c r="Q7" s="47">
        <f t="shared" ca="1" si="4"/>
        <v>40</v>
      </c>
      <c r="R7" s="47">
        <f t="shared" ca="1" si="5"/>
        <v>35</v>
      </c>
      <c r="S7" s="47">
        <f t="shared" ca="1" si="6"/>
        <v>2.6</v>
      </c>
      <c r="T7" s="47">
        <f t="shared" ca="1" si="7"/>
        <v>0</v>
      </c>
      <c r="U7" s="75">
        <f t="shared" ca="1" si="8"/>
        <v>0</v>
      </c>
      <c r="V7" s="75">
        <f t="shared" ca="1" si="9"/>
        <v>0</v>
      </c>
      <c r="W7" s="47">
        <f t="shared" ref="W7:W26" ca="1" si="36">IF(I7="","",IF(AND(O7&lt;&gt;0,O7&lt;250),0.5,IF(AND(O7&lt;&gt;0,O7&gt;=250),0.25,0)))</f>
        <v>0</v>
      </c>
      <c r="X7" s="47">
        <f t="shared" ca="1" si="10"/>
        <v>39000</v>
      </c>
      <c r="Y7" s="47">
        <f t="shared" ca="1" si="11"/>
        <v>0</v>
      </c>
      <c r="Z7" s="47">
        <f t="shared" ca="1" si="12"/>
        <v>114.99999999999996</v>
      </c>
      <c r="AA7" s="47">
        <f t="shared" ca="1" si="13"/>
        <v>1</v>
      </c>
      <c r="AB7" s="47">
        <f t="shared" ca="1" si="14"/>
        <v>12000</v>
      </c>
      <c r="AC7" s="63">
        <f t="shared" ca="1" si="15"/>
        <v>24000</v>
      </c>
      <c r="AD7" s="63">
        <f t="shared" ca="1" si="16"/>
        <v>12957.746478873238</v>
      </c>
      <c r="AE7" s="63">
        <f t="shared" ca="1" si="17"/>
        <v>0.3</v>
      </c>
      <c r="AF7" s="63">
        <f t="shared" ca="1" si="18"/>
        <v>0</v>
      </c>
      <c r="AG7" s="63">
        <f t="shared" ca="1" si="19"/>
        <v>0</v>
      </c>
      <c r="AH7" s="63">
        <f t="shared" ca="1" si="20"/>
        <v>0</v>
      </c>
      <c r="AI7" s="63">
        <f t="shared" ca="1" si="21"/>
        <v>0</v>
      </c>
      <c r="AJ7" s="47">
        <f t="shared" ca="1" si="22"/>
        <v>50.000000000000007</v>
      </c>
      <c r="AK7" s="47">
        <f t="shared" ca="1" si="23"/>
        <v>1</v>
      </c>
      <c r="AL7" s="47">
        <f t="shared" ca="1" si="24"/>
        <v>1</v>
      </c>
      <c r="AM7" s="47">
        <f t="shared" ca="1" si="25"/>
        <v>1</v>
      </c>
      <c r="AN7" s="47">
        <f t="shared" ca="1" si="26"/>
        <v>1</v>
      </c>
      <c r="AO7" s="47">
        <f t="shared" ca="1" si="27"/>
        <v>1</v>
      </c>
      <c r="AP7" s="47">
        <f t="shared" ca="1" si="28"/>
        <v>1</v>
      </c>
      <c r="AQ7" s="47">
        <f t="shared" ca="1" si="29"/>
        <v>0</v>
      </c>
      <c r="AR7" s="47">
        <f t="shared" ca="1" si="30"/>
        <v>75</v>
      </c>
      <c r="AS7" s="33">
        <f t="shared" ca="1" si="31"/>
        <v>0.4</v>
      </c>
      <c r="AW7" s="2">
        <v>0.65</v>
      </c>
      <c r="AX7" s="2" t="s">
        <v>255</v>
      </c>
      <c r="AY7" s="130">
        <v>23.1</v>
      </c>
      <c r="AZ7" s="2">
        <v>20.2</v>
      </c>
      <c r="BA7" s="2">
        <v>18</v>
      </c>
      <c r="BB7" s="2">
        <v>28</v>
      </c>
      <c r="BC7" s="2">
        <v>5</v>
      </c>
      <c r="BD7" s="2">
        <v>0.1</v>
      </c>
      <c r="BE7" s="2">
        <v>0.5</v>
      </c>
      <c r="BF7" s="2">
        <v>0.7</v>
      </c>
      <c r="BG7" s="2">
        <v>0.9</v>
      </c>
      <c r="BH7" s="2">
        <v>1.2</v>
      </c>
      <c r="BI7" s="2">
        <v>0</v>
      </c>
      <c r="BJ7" s="2">
        <v>26</v>
      </c>
      <c r="BK7" s="2">
        <v>37</v>
      </c>
      <c r="BL7" s="2">
        <v>47</v>
      </c>
      <c r="BM7" s="2">
        <v>68</v>
      </c>
      <c r="BN7" s="2"/>
      <c r="BO7" s="2"/>
      <c r="BP7" s="2"/>
      <c r="BQ7" s="2"/>
      <c r="BR7" s="2"/>
      <c r="BS7" s="2"/>
      <c r="BT7" s="2">
        <v>0</v>
      </c>
      <c r="BU7" s="2">
        <v>10</v>
      </c>
      <c r="BV7" s="2">
        <v>17</v>
      </c>
      <c r="BW7" s="2">
        <v>23</v>
      </c>
      <c r="BX7" s="2">
        <v>35</v>
      </c>
      <c r="BY7" s="2">
        <v>4</v>
      </c>
      <c r="BZ7" s="2">
        <v>32.700000000000003</v>
      </c>
      <c r="CA7" s="2">
        <v>3</v>
      </c>
      <c r="CB7" s="2">
        <v>3.1358049696518799E-7</v>
      </c>
      <c r="CC7" s="2">
        <v>1.8</v>
      </c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21484.116000000002</v>
      </c>
      <c r="H8" s="45" t="s">
        <v>53</v>
      </c>
      <c r="I8" s="33" t="str">
        <f t="shared" ca="1" si="0"/>
        <v>10a</v>
      </c>
      <c r="J8" s="47">
        <f t="shared" ca="1" si="32"/>
        <v>3</v>
      </c>
      <c r="K8" s="19">
        <f t="shared" ca="1" si="33"/>
        <v>-4.2</v>
      </c>
      <c r="L8" s="116" t="str">
        <f t="shared" ca="1" si="1"/>
        <v>EW_sand_Ruled_56</v>
      </c>
      <c r="M8" s="105" t="str">
        <f t="shared" ca="1" si="2"/>
        <v>API sand</v>
      </c>
      <c r="N8" s="47">
        <f t="shared" ca="1" si="3"/>
        <v>10</v>
      </c>
      <c r="O8" s="63">
        <f t="shared" ca="1" si="34"/>
        <v>0</v>
      </c>
      <c r="P8" s="63">
        <f t="shared" ca="1" si="35"/>
        <v>0</v>
      </c>
      <c r="Q8" s="47">
        <f t="shared" ca="1" si="4"/>
        <v>37</v>
      </c>
      <c r="R8" s="47">
        <f t="shared" ca="1" si="5"/>
        <v>32</v>
      </c>
      <c r="S8" s="47">
        <f t="shared" ca="1" si="6"/>
        <v>1.2</v>
      </c>
      <c r="T8" s="47">
        <f t="shared" ca="1" si="7"/>
        <v>0</v>
      </c>
      <c r="U8" s="75">
        <f t="shared" ca="1" si="8"/>
        <v>0</v>
      </c>
      <c r="V8" s="75">
        <f t="shared" ca="1" si="9"/>
        <v>0</v>
      </c>
      <c r="W8" s="47">
        <f t="shared" ca="1" si="36"/>
        <v>0</v>
      </c>
      <c r="X8" s="47">
        <f t="shared" ca="1" si="10"/>
        <v>30500</v>
      </c>
      <c r="Y8" s="47">
        <f t="shared" ca="1" si="11"/>
        <v>0</v>
      </c>
      <c r="Z8" s="47">
        <f t="shared" ca="1" si="12"/>
        <v>103.59999999999997</v>
      </c>
      <c r="AA8" s="47">
        <f t="shared" ca="1" si="13"/>
        <v>1</v>
      </c>
      <c r="AB8" s="47">
        <f t="shared" ca="1" si="14"/>
        <v>10560</v>
      </c>
      <c r="AC8" s="63">
        <f t="shared" ca="1" si="15"/>
        <v>61000</v>
      </c>
      <c r="AD8" s="63">
        <f t="shared" ca="1" si="16"/>
        <v>2222.2222222222222</v>
      </c>
      <c r="AE8" s="63">
        <f t="shared" ca="1" si="17"/>
        <v>0.3</v>
      </c>
      <c r="AF8" s="63">
        <f t="shared" ca="1" si="18"/>
        <v>0</v>
      </c>
      <c r="AG8" s="63">
        <f t="shared" ca="1" si="19"/>
        <v>0</v>
      </c>
      <c r="AH8" s="63">
        <f t="shared" ca="1" si="20"/>
        <v>0</v>
      </c>
      <c r="AI8" s="63">
        <f t="shared" ca="1" si="21"/>
        <v>0</v>
      </c>
      <c r="AJ8" s="47">
        <f t="shared" ca="1" si="22"/>
        <v>44.000000000000007</v>
      </c>
      <c r="AK8" s="47">
        <f t="shared" ca="1" si="23"/>
        <v>1</v>
      </c>
      <c r="AL8" s="47">
        <f t="shared" ca="1" si="24"/>
        <v>1</v>
      </c>
      <c r="AM8" s="47">
        <f t="shared" ca="1" si="25"/>
        <v>1</v>
      </c>
      <c r="AN8" s="47">
        <f t="shared" ca="1" si="26"/>
        <v>1</v>
      </c>
      <c r="AO8" s="47">
        <f t="shared" ca="1" si="27"/>
        <v>1</v>
      </c>
      <c r="AP8" s="47">
        <f t="shared" ca="1" si="28"/>
        <v>1</v>
      </c>
      <c r="AQ8" s="47">
        <f t="shared" ca="1" si="29"/>
        <v>0</v>
      </c>
      <c r="AR8" s="47">
        <f t="shared" ca="1" si="30"/>
        <v>56</v>
      </c>
      <c r="AS8" s="33">
        <f t="shared" ca="1" si="31"/>
        <v>0.4</v>
      </c>
      <c r="AW8" s="2">
        <v>0.65</v>
      </c>
      <c r="AX8" s="2" t="s">
        <v>257</v>
      </c>
      <c r="AY8" s="130">
        <v>29.7</v>
      </c>
      <c r="AZ8" s="2">
        <v>19.399999999999999</v>
      </c>
      <c r="BA8" s="2"/>
      <c r="BB8" s="2">
        <v>24</v>
      </c>
      <c r="BC8" s="2"/>
      <c r="BD8" s="2">
        <v>3.7</v>
      </c>
      <c r="BE8" s="2">
        <v>5.6</v>
      </c>
      <c r="BF8" s="2">
        <v>6</v>
      </c>
      <c r="BG8" s="2">
        <v>6.5</v>
      </c>
      <c r="BH8" s="2">
        <v>9.4</v>
      </c>
      <c r="BI8" s="2"/>
      <c r="BJ8" s="2"/>
      <c r="BK8" s="2"/>
      <c r="BL8" s="2"/>
      <c r="BM8" s="2"/>
      <c r="BN8" s="2">
        <v>75</v>
      </c>
      <c r="BO8" s="2">
        <v>34</v>
      </c>
      <c r="BP8" s="2">
        <v>40</v>
      </c>
      <c r="BQ8" s="2">
        <v>43</v>
      </c>
      <c r="BR8" s="2">
        <v>46</v>
      </c>
      <c r="BS8" s="2">
        <v>52</v>
      </c>
      <c r="BT8" s="2">
        <v>0</v>
      </c>
      <c r="BU8" s="2">
        <v>13</v>
      </c>
      <c r="BV8" s="2">
        <v>24</v>
      </c>
      <c r="BW8" s="2">
        <v>36</v>
      </c>
      <c r="BX8" s="2">
        <v>63</v>
      </c>
      <c r="BY8" s="2">
        <v>39</v>
      </c>
      <c r="BZ8" s="2">
        <v>15.4</v>
      </c>
      <c r="CA8" s="2">
        <v>2.6</v>
      </c>
      <c r="CB8" s="2">
        <v>5.9963609854577098E-5</v>
      </c>
      <c r="CC8" s="2"/>
    </row>
    <row r="9" spans="1:81" x14ac:dyDescent="0.25">
      <c r="A9" s="153" t="s">
        <v>68</v>
      </c>
      <c r="B9" s="57">
        <v>36.5</v>
      </c>
      <c r="C9" s="45" t="s">
        <v>28</v>
      </c>
      <c r="D9" s="57">
        <v>28</v>
      </c>
      <c r="F9" s="33" t="s">
        <v>96</v>
      </c>
      <c r="G9" s="76">
        <v>-934862.58</v>
      </c>
      <c r="H9" s="45" t="s">
        <v>54</v>
      </c>
      <c r="I9" s="33" t="str">
        <f t="shared" ca="1" si="0"/>
        <v>10b</v>
      </c>
      <c r="J9" s="47">
        <f t="shared" ca="1" si="32"/>
        <v>4</v>
      </c>
      <c r="K9" s="19">
        <f t="shared" ca="1" si="33"/>
        <v>-6</v>
      </c>
      <c r="L9" s="116" t="str">
        <f t="shared" ca="1" si="1"/>
        <v>EW_sand_Ruled_68</v>
      </c>
      <c r="M9" s="105" t="str">
        <f t="shared" ca="1" si="2"/>
        <v>API sand</v>
      </c>
      <c r="N9" s="47">
        <f t="shared" ca="1" si="3"/>
        <v>9.8999999999999986</v>
      </c>
      <c r="O9" s="63">
        <f t="shared" ca="1" si="34"/>
        <v>0</v>
      </c>
      <c r="P9" s="63">
        <f t="shared" ca="1" si="35"/>
        <v>0</v>
      </c>
      <c r="Q9" s="47">
        <f t="shared" ca="1" si="4"/>
        <v>39</v>
      </c>
      <c r="R9" s="47">
        <f t="shared" ca="1" si="5"/>
        <v>34</v>
      </c>
      <c r="S9" s="47">
        <f t="shared" ca="1" si="6"/>
        <v>1.2</v>
      </c>
      <c r="T9" s="47">
        <f t="shared" ca="1" si="7"/>
        <v>0</v>
      </c>
      <c r="U9" s="75">
        <f t="shared" ca="1" si="8"/>
        <v>0</v>
      </c>
      <c r="V9" s="75">
        <f t="shared" ca="1" si="9"/>
        <v>0</v>
      </c>
      <c r="W9" s="47">
        <f t="shared" ca="1" si="36"/>
        <v>0</v>
      </c>
      <c r="X9" s="47">
        <f t="shared" ca="1" si="10"/>
        <v>58900</v>
      </c>
      <c r="Y9" s="47">
        <f t="shared" ca="1" si="11"/>
        <v>0</v>
      </c>
      <c r="Z9" s="47">
        <f t="shared" ca="1" si="12"/>
        <v>111.19999999999996</v>
      </c>
      <c r="AA9" s="47">
        <f t="shared" ca="1" si="13"/>
        <v>1</v>
      </c>
      <c r="AB9" s="47">
        <f t="shared" ca="1" si="14"/>
        <v>11520</v>
      </c>
      <c r="AC9" s="63">
        <f t="shared" ca="1" si="15"/>
        <v>74000</v>
      </c>
      <c r="AD9" s="63">
        <f t="shared" ca="1" si="16"/>
        <v>7000</v>
      </c>
      <c r="AE9" s="63">
        <f t="shared" ca="1" si="17"/>
        <v>0.3</v>
      </c>
      <c r="AF9" s="63">
        <f t="shared" ca="1" si="18"/>
        <v>0</v>
      </c>
      <c r="AG9" s="63">
        <f t="shared" ca="1" si="19"/>
        <v>0</v>
      </c>
      <c r="AH9" s="63">
        <f t="shared" ca="1" si="20"/>
        <v>0</v>
      </c>
      <c r="AI9" s="63">
        <f t="shared" ca="1" si="21"/>
        <v>0</v>
      </c>
      <c r="AJ9" s="47">
        <f t="shared" ca="1" si="22"/>
        <v>48.000000000000007</v>
      </c>
      <c r="AK9" s="47">
        <f t="shared" ca="1" si="23"/>
        <v>1</v>
      </c>
      <c r="AL9" s="47">
        <f t="shared" ca="1" si="24"/>
        <v>1</v>
      </c>
      <c r="AM9" s="47">
        <f t="shared" ca="1" si="25"/>
        <v>1</v>
      </c>
      <c r="AN9" s="47">
        <f t="shared" ca="1" si="26"/>
        <v>1</v>
      </c>
      <c r="AO9" s="47">
        <f t="shared" ca="1" si="27"/>
        <v>1</v>
      </c>
      <c r="AP9" s="47">
        <f t="shared" ca="1" si="28"/>
        <v>1</v>
      </c>
      <c r="AQ9" s="47">
        <f t="shared" ca="1" si="29"/>
        <v>0</v>
      </c>
      <c r="AR9" s="47">
        <f t="shared" ca="1" si="30"/>
        <v>68</v>
      </c>
      <c r="AS9" s="33">
        <f t="shared" ca="1" si="31"/>
        <v>0.4</v>
      </c>
      <c r="AW9" s="2">
        <v>4.2</v>
      </c>
      <c r="AX9" s="2" t="s">
        <v>257</v>
      </c>
      <c r="AY9" s="130">
        <v>29.7</v>
      </c>
      <c r="AZ9" s="2">
        <v>19.399999999999999</v>
      </c>
      <c r="BA9" s="2"/>
      <c r="BB9" s="2">
        <v>24</v>
      </c>
      <c r="BC9" s="2"/>
      <c r="BD9" s="2">
        <v>13.3</v>
      </c>
      <c r="BE9" s="2">
        <v>15.2</v>
      </c>
      <c r="BF9" s="2">
        <v>15.5</v>
      </c>
      <c r="BG9" s="2">
        <v>16</v>
      </c>
      <c r="BH9" s="2">
        <v>19</v>
      </c>
      <c r="BI9" s="2"/>
      <c r="BJ9" s="2"/>
      <c r="BK9" s="2"/>
      <c r="BL9" s="2"/>
      <c r="BM9" s="2"/>
      <c r="BN9" s="2">
        <v>75</v>
      </c>
      <c r="BO9" s="2">
        <v>34</v>
      </c>
      <c r="BP9" s="2">
        <v>40</v>
      </c>
      <c r="BQ9" s="2">
        <v>43</v>
      </c>
      <c r="BR9" s="2">
        <v>46</v>
      </c>
      <c r="BS9" s="2">
        <v>52</v>
      </c>
      <c r="BT9" s="2">
        <v>46</v>
      </c>
      <c r="BU9" s="2">
        <v>59</v>
      </c>
      <c r="BV9" s="2">
        <v>70</v>
      </c>
      <c r="BW9" s="2">
        <v>81</v>
      </c>
      <c r="BX9" s="2">
        <v>109</v>
      </c>
      <c r="BY9" s="2">
        <v>39</v>
      </c>
      <c r="BZ9" s="2">
        <v>15.4</v>
      </c>
      <c r="CA9" s="2">
        <v>2.6</v>
      </c>
      <c r="CB9" s="2">
        <v>5.9963609854577098E-5</v>
      </c>
      <c r="CC9" s="2"/>
    </row>
    <row r="10" spans="1:81" s="56" customFormat="1" x14ac:dyDescent="0.25">
      <c r="A10" s="154" t="s">
        <v>69</v>
      </c>
      <c r="B10" s="58">
        <v>36.5</v>
      </c>
      <c r="C10" s="45" t="s">
        <v>28</v>
      </c>
      <c r="D10" s="58">
        <v>28</v>
      </c>
      <c r="F10" s="33" t="s">
        <v>51</v>
      </c>
      <c r="G10" s="71">
        <v>36936.513000000006</v>
      </c>
      <c r="H10" s="45" t="s">
        <v>53</v>
      </c>
      <c r="I10" s="33" t="str">
        <f t="shared" ca="1" si="0"/>
        <v>10b</v>
      </c>
      <c r="J10" s="47">
        <f t="shared" ca="1" si="32"/>
        <v>5</v>
      </c>
      <c r="K10" s="19">
        <f t="shared" ca="1" si="33"/>
        <v>-9</v>
      </c>
      <c r="L10" s="116" t="str">
        <f t="shared" ca="1" si="1"/>
        <v>EW_sand_Ruled_79</v>
      </c>
      <c r="M10" s="105" t="str">
        <f t="shared" ca="1" si="2"/>
        <v>API sand</v>
      </c>
      <c r="N10" s="47">
        <f t="shared" ca="1" si="3"/>
        <v>9.8999999999999986</v>
      </c>
      <c r="O10" s="63">
        <f t="shared" ca="1" si="34"/>
        <v>0</v>
      </c>
      <c r="P10" s="63">
        <f t="shared" ca="1" si="35"/>
        <v>0</v>
      </c>
      <c r="Q10" s="47">
        <f t="shared" ca="1" si="4"/>
        <v>40</v>
      </c>
      <c r="R10" s="47">
        <f t="shared" ca="1" si="5"/>
        <v>35</v>
      </c>
      <c r="S10" s="47">
        <f t="shared" ca="1" si="6"/>
        <v>1.2</v>
      </c>
      <c r="T10" s="47">
        <f t="shared" ca="1" si="7"/>
        <v>0</v>
      </c>
      <c r="U10" s="75">
        <f t="shared" ca="1" si="8"/>
        <v>0</v>
      </c>
      <c r="V10" s="75">
        <f t="shared" ca="1" si="9"/>
        <v>0</v>
      </c>
      <c r="W10" s="47">
        <f t="shared" ca="1" si="36"/>
        <v>0</v>
      </c>
      <c r="X10" s="47">
        <f t="shared" ca="1" si="10"/>
        <v>89500</v>
      </c>
      <c r="Y10" s="47">
        <f t="shared" ca="1" si="11"/>
        <v>0</v>
      </c>
      <c r="Z10" s="47">
        <f t="shared" ca="1" si="12"/>
        <v>114.99999999999996</v>
      </c>
      <c r="AA10" s="47">
        <f t="shared" ca="1" si="13"/>
        <v>1</v>
      </c>
      <c r="AB10" s="47">
        <f t="shared" ca="1" si="14"/>
        <v>12000</v>
      </c>
      <c r="AC10" s="63">
        <f t="shared" ca="1" si="15"/>
        <v>108000</v>
      </c>
      <c r="AD10" s="63">
        <f t="shared" ca="1" si="16"/>
        <v>2307.6923076923076</v>
      </c>
      <c r="AE10" s="63">
        <f t="shared" ca="1" si="17"/>
        <v>0.3</v>
      </c>
      <c r="AF10" s="63">
        <f t="shared" ca="1" si="18"/>
        <v>0</v>
      </c>
      <c r="AG10" s="63">
        <f t="shared" ca="1" si="19"/>
        <v>0</v>
      </c>
      <c r="AH10" s="63">
        <f t="shared" ca="1" si="20"/>
        <v>0</v>
      </c>
      <c r="AI10" s="63">
        <f t="shared" ca="1" si="21"/>
        <v>0</v>
      </c>
      <c r="AJ10" s="47">
        <f t="shared" ca="1" si="22"/>
        <v>50.000000000000007</v>
      </c>
      <c r="AK10" s="47">
        <f t="shared" ca="1" si="23"/>
        <v>1</v>
      </c>
      <c r="AL10" s="47">
        <f t="shared" ca="1" si="24"/>
        <v>1</v>
      </c>
      <c r="AM10" s="47">
        <f t="shared" ca="1" si="25"/>
        <v>1</v>
      </c>
      <c r="AN10" s="47">
        <f t="shared" ca="1" si="26"/>
        <v>1</v>
      </c>
      <c r="AO10" s="47">
        <f t="shared" ca="1" si="27"/>
        <v>1</v>
      </c>
      <c r="AP10" s="47">
        <f t="shared" ca="1" si="28"/>
        <v>1</v>
      </c>
      <c r="AQ10" s="47">
        <f t="shared" ca="1" si="29"/>
        <v>0</v>
      </c>
      <c r="AR10" s="47">
        <f t="shared" ca="1" si="30"/>
        <v>79</v>
      </c>
      <c r="AS10" s="33">
        <f t="shared" ca="1" si="31"/>
        <v>0.4</v>
      </c>
      <c r="AW10" s="2">
        <v>4.2</v>
      </c>
      <c r="AX10" s="2" t="s">
        <v>259</v>
      </c>
      <c r="AY10" s="130">
        <v>25.5</v>
      </c>
      <c r="AZ10" s="2">
        <v>20</v>
      </c>
      <c r="BA10" s="2"/>
      <c r="BB10" s="2">
        <v>14</v>
      </c>
      <c r="BC10" s="2"/>
      <c r="BD10" s="2">
        <v>6.2</v>
      </c>
      <c r="BE10" s="2">
        <v>8.4</v>
      </c>
      <c r="BF10" s="2">
        <v>8.9</v>
      </c>
      <c r="BG10" s="2">
        <v>9.4</v>
      </c>
      <c r="BH10" s="2">
        <v>11.2</v>
      </c>
      <c r="BI10" s="2"/>
      <c r="BJ10" s="2"/>
      <c r="BK10" s="2"/>
      <c r="BL10" s="2"/>
      <c r="BM10" s="2"/>
      <c r="BN10" s="2">
        <v>56</v>
      </c>
      <c r="BO10" s="2">
        <v>32</v>
      </c>
      <c r="BP10" s="2">
        <v>37</v>
      </c>
      <c r="BQ10" s="2">
        <v>40</v>
      </c>
      <c r="BR10" s="2">
        <v>43</v>
      </c>
      <c r="BS10" s="2">
        <v>49</v>
      </c>
      <c r="BT10" s="2">
        <v>9</v>
      </c>
      <c r="BU10" s="2">
        <v>46</v>
      </c>
      <c r="BV10" s="2">
        <v>61</v>
      </c>
      <c r="BW10" s="2">
        <v>76</v>
      </c>
      <c r="BX10" s="2">
        <v>113</v>
      </c>
      <c r="BY10" s="2">
        <v>30.5</v>
      </c>
      <c r="BZ10" s="2">
        <v>4.4000000000000004</v>
      </c>
      <c r="CA10" s="2">
        <v>1.2</v>
      </c>
      <c r="CB10" s="2">
        <v>1.2987947287947701E-6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14a</v>
      </c>
      <c r="J11" s="47">
        <f t="shared" ca="1" si="32"/>
        <v>6</v>
      </c>
      <c r="K11" s="19">
        <f t="shared" ca="1" si="33"/>
        <v>-12.9</v>
      </c>
      <c r="L11" s="116" t="str">
        <f t="shared" ca="1" si="1"/>
        <v>EW_sand_Ruled_59</v>
      </c>
      <c r="M11" s="105" t="str">
        <f t="shared" ca="1" si="2"/>
        <v>API sand</v>
      </c>
      <c r="N11" s="47">
        <f t="shared" ca="1" si="3"/>
        <v>8.5</v>
      </c>
      <c r="O11" s="63">
        <f t="shared" ca="1" si="34"/>
        <v>0</v>
      </c>
      <c r="P11" s="63">
        <f t="shared" ca="1" si="35"/>
        <v>0</v>
      </c>
      <c r="Q11" s="47">
        <f t="shared" ca="1" si="4"/>
        <v>26</v>
      </c>
      <c r="R11" s="47">
        <f t="shared" ca="1" si="5"/>
        <v>21</v>
      </c>
      <c r="S11" s="47">
        <f t="shared" ca="1" si="6"/>
        <v>0.9</v>
      </c>
      <c r="T11" s="47">
        <f t="shared" ca="1" si="7"/>
        <v>0</v>
      </c>
      <c r="U11" s="75">
        <f t="shared" ca="1" si="8"/>
        <v>0</v>
      </c>
      <c r="V11" s="75">
        <f t="shared" ca="1" si="9"/>
        <v>0</v>
      </c>
      <c r="W11" s="47">
        <f t="shared" ca="1" si="36"/>
        <v>0</v>
      </c>
      <c r="X11" s="47">
        <f t="shared" ca="1" si="10"/>
        <v>12700</v>
      </c>
      <c r="Y11" s="47">
        <f t="shared" ca="1" si="11"/>
        <v>0</v>
      </c>
      <c r="Z11" s="47">
        <f t="shared" ca="1" si="12"/>
        <v>69.799999999999983</v>
      </c>
      <c r="AA11" s="47">
        <f t="shared" ca="1" si="13"/>
        <v>1</v>
      </c>
      <c r="AB11" s="47">
        <f t="shared" ca="1" si="14"/>
        <v>3280</v>
      </c>
      <c r="AC11" s="63">
        <f t="shared" ca="1" si="15"/>
        <v>97000</v>
      </c>
      <c r="AD11" s="63">
        <f t="shared" ca="1" si="16"/>
        <v>1322.3140495867769</v>
      </c>
      <c r="AE11" s="63">
        <f t="shared" ca="1" si="17"/>
        <v>0.3</v>
      </c>
      <c r="AF11" s="63">
        <f t="shared" ca="1" si="18"/>
        <v>0</v>
      </c>
      <c r="AG11" s="63">
        <f t="shared" ca="1" si="19"/>
        <v>0</v>
      </c>
      <c r="AH11" s="63">
        <f t="shared" ca="1" si="20"/>
        <v>0</v>
      </c>
      <c r="AI11" s="63">
        <f t="shared" ca="1" si="21"/>
        <v>0</v>
      </c>
      <c r="AJ11" s="47">
        <f t="shared" ca="1" si="22"/>
        <v>13.600000000000003</v>
      </c>
      <c r="AK11" s="47">
        <f t="shared" ca="1" si="23"/>
        <v>1</v>
      </c>
      <c r="AL11" s="47">
        <f t="shared" ca="1" si="24"/>
        <v>1</v>
      </c>
      <c r="AM11" s="47">
        <f t="shared" ca="1" si="25"/>
        <v>1</v>
      </c>
      <c r="AN11" s="47">
        <f t="shared" ca="1" si="26"/>
        <v>1</v>
      </c>
      <c r="AO11" s="47">
        <f t="shared" ca="1" si="27"/>
        <v>1</v>
      </c>
      <c r="AP11" s="47">
        <f t="shared" ca="1" si="28"/>
        <v>1</v>
      </c>
      <c r="AQ11" s="47">
        <f t="shared" ca="1" si="29"/>
        <v>0</v>
      </c>
      <c r="AR11" s="47">
        <f t="shared" ca="1" si="30"/>
        <v>59</v>
      </c>
      <c r="AS11" s="33">
        <f t="shared" ca="1" si="31"/>
        <v>0.2</v>
      </c>
      <c r="AW11" s="2">
        <v>6</v>
      </c>
      <c r="AX11" s="2" t="s">
        <v>259</v>
      </c>
      <c r="AY11" s="130">
        <v>25.5</v>
      </c>
      <c r="AZ11" s="2">
        <v>20</v>
      </c>
      <c r="BA11" s="2"/>
      <c r="BB11" s="2">
        <v>14</v>
      </c>
      <c r="BC11" s="2"/>
      <c r="BD11" s="2">
        <v>4.4000000000000004</v>
      </c>
      <c r="BE11" s="2">
        <v>6.6</v>
      </c>
      <c r="BF11" s="2">
        <v>7.1</v>
      </c>
      <c r="BG11" s="2">
        <v>7.6</v>
      </c>
      <c r="BH11" s="2">
        <v>9.4</v>
      </c>
      <c r="BI11" s="2"/>
      <c r="BJ11" s="2"/>
      <c r="BK11" s="2"/>
      <c r="BL11" s="2"/>
      <c r="BM11" s="2"/>
      <c r="BN11" s="2">
        <v>56</v>
      </c>
      <c r="BO11" s="2">
        <v>32</v>
      </c>
      <c r="BP11" s="2">
        <v>37</v>
      </c>
      <c r="BQ11" s="2">
        <v>40</v>
      </c>
      <c r="BR11" s="2">
        <v>43</v>
      </c>
      <c r="BS11" s="2">
        <v>49</v>
      </c>
      <c r="BT11" s="2">
        <v>13</v>
      </c>
      <c r="BU11" s="2">
        <v>50</v>
      </c>
      <c r="BV11" s="2">
        <v>65</v>
      </c>
      <c r="BW11" s="2">
        <v>80</v>
      </c>
      <c r="BX11" s="2">
        <v>116</v>
      </c>
      <c r="BY11" s="2">
        <v>30.5</v>
      </c>
      <c r="BZ11" s="2">
        <v>4.4000000000000004</v>
      </c>
      <c r="CA11" s="2">
        <v>1.2</v>
      </c>
      <c r="CB11" s="2">
        <v>1.2987947287947701E-6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3883.21695</v>
      </c>
      <c r="H12" s="45" t="s">
        <v>53</v>
      </c>
      <c r="I12" s="33" t="str">
        <f t="shared" ca="1" si="0"/>
        <v>14b</v>
      </c>
      <c r="J12" s="47">
        <f t="shared" ca="1" si="32"/>
        <v>7</v>
      </c>
      <c r="K12" s="19">
        <f t="shared" ca="1" si="33"/>
        <v>-25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8.5</v>
      </c>
      <c r="O12" s="63">
        <f t="shared" ca="1" si="34"/>
        <v>168</v>
      </c>
      <c r="P12" s="63">
        <f t="shared" ca="1" si="35"/>
        <v>10.992366412213739</v>
      </c>
      <c r="Q12" s="47">
        <f t="shared" ca="1" si="4"/>
        <v>0</v>
      </c>
      <c r="R12" s="47" t="e">
        <f t="shared" ca="1" si="5"/>
        <v>#N/A</v>
      </c>
      <c r="S12" s="47">
        <f t="shared" ca="1" si="6"/>
        <v>1.9</v>
      </c>
      <c r="T12" s="47">
        <f t="shared" ca="1" si="7"/>
        <v>0</v>
      </c>
      <c r="U12" s="75">
        <f t="shared" ca="1" si="8"/>
        <v>1.7999999999999999E-2</v>
      </c>
      <c r="V12" s="75">
        <f t="shared" ca="1" si="9"/>
        <v>0</v>
      </c>
      <c r="W12" s="47">
        <f t="shared" ca="1" si="36"/>
        <v>0.5</v>
      </c>
      <c r="X12" s="47">
        <f t="shared" ca="1" si="10"/>
        <v>20100</v>
      </c>
      <c r="Y12" s="47">
        <f t="shared" ca="1" si="11"/>
        <v>0</v>
      </c>
      <c r="Z12" s="47" t="e">
        <f t="shared" ca="1" si="12"/>
        <v>#N/A</v>
      </c>
      <c r="AA12" s="47">
        <f t="shared" ca="1" si="13"/>
        <v>1</v>
      </c>
      <c r="AB12" s="47" t="e">
        <f t="shared" ca="1" si="14"/>
        <v>#N/A</v>
      </c>
      <c r="AC12" s="63">
        <f t="shared" ca="1" si="15"/>
        <v>218000</v>
      </c>
      <c r="AD12" s="63">
        <f t="shared" ca="1" si="16"/>
        <v>14274.809160305342</v>
      </c>
      <c r="AE12" s="63">
        <f t="shared" ca="1" si="17"/>
        <v>0.3</v>
      </c>
      <c r="AF12" s="63">
        <f t="shared" ca="1" si="18"/>
        <v>0</v>
      </c>
      <c r="AG12" s="63">
        <f t="shared" ca="1" si="19"/>
        <v>0</v>
      </c>
      <c r="AH12" s="63">
        <f t="shared" ca="1" si="20"/>
        <v>0</v>
      </c>
      <c r="AI12" s="63">
        <f t="shared" ca="1" si="21"/>
        <v>0</v>
      </c>
      <c r="AJ12" s="47" t="e">
        <f t="shared" ca="1" si="22"/>
        <v>#N/A</v>
      </c>
      <c r="AK12" s="47">
        <f t="shared" ca="1" si="23"/>
        <v>1</v>
      </c>
      <c r="AL12" s="47">
        <f t="shared" ca="1" si="24"/>
        <v>1</v>
      </c>
      <c r="AM12" s="47">
        <f t="shared" ca="1" si="25"/>
        <v>1</v>
      </c>
      <c r="AN12" s="47">
        <f t="shared" ca="1" si="26"/>
        <v>1</v>
      </c>
      <c r="AO12" s="47">
        <f t="shared" ca="1" si="27"/>
        <v>1</v>
      </c>
      <c r="AP12" s="47">
        <f t="shared" ca="1" si="28"/>
        <v>1</v>
      </c>
      <c r="AQ12" s="47">
        <f t="shared" ca="1" si="29"/>
        <v>0</v>
      </c>
      <c r="AR12" s="47">
        <f t="shared" ca="1" si="30"/>
        <v>0</v>
      </c>
      <c r="AS12" s="33">
        <f t="shared" ca="1" si="31"/>
        <v>0.4</v>
      </c>
      <c r="AW12" s="2">
        <v>6</v>
      </c>
      <c r="AX12" s="2" t="s">
        <v>261</v>
      </c>
      <c r="AY12" s="130">
        <v>24</v>
      </c>
      <c r="AZ12" s="2">
        <v>19.899999999999999</v>
      </c>
      <c r="BA12" s="2"/>
      <c r="BB12" s="2">
        <v>6</v>
      </c>
      <c r="BC12" s="2"/>
      <c r="BD12" s="2">
        <v>7.4</v>
      </c>
      <c r="BE12" s="2">
        <v>10.3</v>
      </c>
      <c r="BF12" s="2">
        <v>10.8</v>
      </c>
      <c r="BG12" s="2">
        <v>12.3</v>
      </c>
      <c r="BH12" s="2">
        <v>20.6</v>
      </c>
      <c r="BI12" s="2"/>
      <c r="BJ12" s="2"/>
      <c r="BK12" s="2"/>
      <c r="BL12" s="2"/>
      <c r="BM12" s="2"/>
      <c r="BN12" s="2">
        <v>68</v>
      </c>
      <c r="BO12" s="2">
        <v>33</v>
      </c>
      <c r="BP12" s="2">
        <v>39</v>
      </c>
      <c r="BQ12" s="2">
        <v>42</v>
      </c>
      <c r="BR12" s="2">
        <v>45</v>
      </c>
      <c r="BS12" s="2">
        <v>51</v>
      </c>
      <c r="BT12" s="2">
        <v>6</v>
      </c>
      <c r="BU12" s="2">
        <v>54</v>
      </c>
      <c r="BV12" s="2">
        <v>74</v>
      </c>
      <c r="BW12" s="2">
        <v>95</v>
      </c>
      <c r="BX12" s="2">
        <v>145</v>
      </c>
      <c r="BY12" s="2">
        <v>58.9</v>
      </c>
      <c r="BZ12" s="2">
        <v>4.5999999999999996</v>
      </c>
      <c r="CA12" s="2">
        <v>1.2</v>
      </c>
      <c r="CB12" s="2">
        <v>2.9491005397214E-6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15b</v>
      </c>
      <c r="J13" s="47">
        <f t="shared" ca="1" si="32"/>
        <v>8</v>
      </c>
      <c r="K13" s="19">
        <f t="shared" ca="1" si="33"/>
        <v>-38.1</v>
      </c>
      <c r="L13" s="116" t="str">
        <f t="shared" ca="1" si="1"/>
        <v>EW_sand_Ruled_80</v>
      </c>
      <c r="M13" s="105" t="str">
        <f t="shared" ca="1" si="2"/>
        <v>API sand</v>
      </c>
      <c r="N13" s="47">
        <f t="shared" ca="1" si="3"/>
        <v>9</v>
      </c>
      <c r="O13" s="63">
        <f t="shared" ca="1" si="34"/>
        <v>0</v>
      </c>
      <c r="P13" s="63">
        <f t="shared" ca="1" si="35"/>
        <v>0</v>
      </c>
      <c r="Q13" s="47">
        <f t="shared" ca="1" si="4"/>
        <v>28</v>
      </c>
      <c r="R13" s="47">
        <f t="shared" ca="1" si="5"/>
        <v>23</v>
      </c>
      <c r="S13" s="47">
        <f t="shared" ca="1" si="6"/>
        <v>1</v>
      </c>
      <c r="T13" s="47">
        <f t="shared" ca="1" si="7"/>
        <v>0</v>
      </c>
      <c r="U13" s="75">
        <f t="shared" ca="1" si="8"/>
        <v>0</v>
      </c>
      <c r="V13" s="75">
        <f t="shared" ca="1" si="9"/>
        <v>0</v>
      </c>
      <c r="W13" s="47">
        <f t="shared" ca="1" si="36"/>
        <v>0</v>
      </c>
      <c r="X13" s="47">
        <f t="shared" ca="1" si="10"/>
        <v>46000</v>
      </c>
      <c r="Y13" s="47">
        <f t="shared" ca="1" si="11"/>
        <v>0</v>
      </c>
      <c r="Z13" s="47">
        <f t="shared" ca="1" si="12"/>
        <v>75.399999999999977</v>
      </c>
      <c r="AA13" s="47">
        <f t="shared" ca="1" si="13"/>
        <v>1</v>
      </c>
      <c r="AB13" s="47">
        <f t="shared" ca="1" si="14"/>
        <v>4040</v>
      </c>
      <c r="AC13" s="63">
        <f t="shared" ca="1" si="15"/>
        <v>188000</v>
      </c>
      <c r="AD13" s="63">
        <f t="shared" ca="1" si="16"/>
        <v>2881.3559322033907</v>
      </c>
      <c r="AE13" s="63">
        <f t="shared" ca="1" si="17"/>
        <v>0.3</v>
      </c>
      <c r="AF13" s="63">
        <f t="shared" ca="1" si="18"/>
        <v>0</v>
      </c>
      <c r="AG13" s="63">
        <f t="shared" ca="1" si="19"/>
        <v>0</v>
      </c>
      <c r="AH13" s="63">
        <f t="shared" ca="1" si="20"/>
        <v>0</v>
      </c>
      <c r="AI13" s="63">
        <f t="shared" ca="1" si="21"/>
        <v>0</v>
      </c>
      <c r="AJ13" s="47">
        <f t="shared" ca="1" si="22"/>
        <v>16.800000000000004</v>
      </c>
      <c r="AK13" s="47">
        <f t="shared" ca="1" si="23"/>
        <v>1</v>
      </c>
      <c r="AL13" s="47">
        <f t="shared" ca="1" si="24"/>
        <v>1</v>
      </c>
      <c r="AM13" s="47">
        <f t="shared" ca="1" si="25"/>
        <v>1</v>
      </c>
      <c r="AN13" s="47">
        <f t="shared" ca="1" si="26"/>
        <v>1</v>
      </c>
      <c r="AO13" s="47">
        <f t="shared" ca="1" si="27"/>
        <v>1</v>
      </c>
      <c r="AP13" s="47">
        <f t="shared" ca="1" si="28"/>
        <v>1</v>
      </c>
      <c r="AQ13" s="47">
        <f t="shared" ca="1" si="29"/>
        <v>0</v>
      </c>
      <c r="AR13" s="47">
        <f t="shared" ca="1" si="30"/>
        <v>80</v>
      </c>
      <c r="AS13" s="33">
        <f t="shared" ca="1" si="31"/>
        <v>0.2</v>
      </c>
      <c r="AW13" s="2">
        <v>9</v>
      </c>
      <c r="AX13" s="2" t="s">
        <v>261</v>
      </c>
      <c r="AY13" s="130">
        <v>24</v>
      </c>
      <c r="AZ13" s="2">
        <v>19.899999999999999</v>
      </c>
      <c r="BA13" s="2"/>
      <c r="BB13" s="2">
        <v>6</v>
      </c>
      <c r="BC13" s="2"/>
      <c r="BD13" s="2">
        <v>12.6</v>
      </c>
      <c r="BE13" s="2">
        <v>15.4</v>
      </c>
      <c r="BF13" s="2">
        <v>16</v>
      </c>
      <c r="BG13" s="2">
        <v>17.399999999999999</v>
      </c>
      <c r="BH13" s="2">
        <v>25.8</v>
      </c>
      <c r="BI13" s="2"/>
      <c r="BJ13" s="2"/>
      <c r="BK13" s="2"/>
      <c r="BL13" s="2"/>
      <c r="BM13" s="2"/>
      <c r="BN13" s="2">
        <v>68</v>
      </c>
      <c r="BO13" s="2">
        <v>33</v>
      </c>
      <c r="BP13" s="2">
        <v>39</v>
      </c>
      <c r="BQ13" s="2">
        <v>42</v>
      </c>
      <c r="BR13" s="2">
        <v>45</v>
      </c>
      <c r="BS13" s="2">
        <v>51</v>
      </c>
      <c r="BT13" s="2">
        <v>26</v>
      </c>
      <c r="BU13" s="2">
        <v>74</v>
      </c>
      <c r="BV13" s="2">
        <v>95</v>
      </c>
      <c r="BW13" s="2">
        <v>115</v>
      </c>
      <c r="BX13" s="2">
        <v>165</v>
      </c>
      <c r="BY13" s="2">
        <v>58.9</v>
      </c>
      <c r="BZ13" s="2">
        <v>4.5999999999999996</v>
      </c>
      <c r="CA13" s="2">
        <v>1.2</v>
      </c>
      <c r="CB13" s="2">
        <v>2.9491005397214E-6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15b</v>
      </c>
      <c r="J14" s="47">
        <f t="shared" ca="1" si="32"/>
        <v>9</v>
      </c>
      <c r="K14" s="19">
        <f t="shared" ca="1" si="33"/>
        <v>-44</v>
      </c>
      <c r="L14" s="116" t="str">
        <f t="shared" ca="1" si="1"/>
        <v>EW_sand_Ruled_80</v>
      </c>
      <c r="M14" s="105" t="str">
        <f t="shared" ca="1" si="2"/>
        <v>API sand</v>
      </c>
      <c r="N14" s="47">
        <f t="shared" ca="1" si="3"/>
        <v>9</v>
      </c>
      <c r="O14" s="63">
        <f t="shared" ca="1" si="34"/>
        <v>0</v>
      </c>
      <c r="P14" s="63">
        <f t="shared" ca="1" si="35"/>
        <v>0</v>
      </c>
      <c r="Q14" s="47">
        <f t="shared" ca="1" si="4"/>
        <v>28</v>
      </c>
      <c r="R14" s="47">
        <f t="shared" ca="1" si="5"/>
        <v>23</v>
      </c>
      <c r="S14" s="47">
        <f t="shared" ca="1" si="6"/>
        <v>1</v>
      </c>
      <c r="T14" s="47">
        <f t="shared" ca="1" si="7"/>
        <v>0</v>
      </c>
      <c r="U14" s="75">
        <f t="shared" ca="1" si="8"/>
        <v>0</v>
      </c>
      <c r="V14" s="75">
        <f t="shared" ca="1" si="9"/>
        <v>0</v>
      </c>
      <c r="W14" s="47">
        <f t="shared" ca="1" si="36"/>
        <v>0</v>
      </c>
      <c r="X14" s="47">
        <f t="shared" ca="1" si="10"/>
        <v>46000</v>
      </c>
      <c r="Y14" s="47">
        <f t="shared" ca="1" si="11"/>
        <v>0</v>
      </c>
      <c r="Z14" s="47">
        <f t="shared" ca="1" si="12"/>
        <v>75.399999999999977</v>
      </c>
      <c r="AA14" s="47">
        <f t="shared" ca="1" si="13"/>
        <v>1</v>
      </c>
      <c r="AB14" s="47">
        <f t="shared" ca="1" si="14"/>
        <v>4040</v>
      </c>
      <c r="AC14" s="63">
        <f t="shared" ca="1" si="15"/>
        <v>182000</v>
      </c>
      <c r="AD14" s="63">
        <f t="shared" ca="1" si="16"/>
        <v>15625.000000000009</v>
      </c>
      <c r="AE14" s="63">
        <f t="shared" ca="1" si="17"/>
        <v>0.3</v>
      </c>
      <c r="AF14" s="63">
        <f t="shared" ca="1" si="18"/>
        <v>0</v>
      </c>
      <c r="AG14" s="63">
        <f t="shared" ca="1" si="19"/>
        <v>0</v>
      </c>
      <c r="AH14" s="63">
        <f t="shared" ca="1" si="20"/>
        <v>0</v>
      </c>
      <c r="AI14" s="63">
        <f t="shared" ca="1" si="21"/>
        <v>0</v>
      </c>
      <c r="AJ14" s="47">
        <f t="shared" ca="1" si="22"/>
        <v>16.800000000000004</v>
      </c>
      <c r="AK14" s="47">
        <f t="shared" ca="1" si="23"/>
        <v>1</v>
      </c>
      <c r="AL14" s="47">
        <f t="shared" ca="1" si="24"/>
        <v>1</v>
      </c>
      <c r="AM14" s="47">
        <f t="shared" ca="1" si="25"/>
        <v>1</v>
      </c>
      <c r="AN14" s="47">
        <f t="shared" ca="1" si="26"/>
        <v>1</v>
      </c>
      <c r="AO14" s="47">
        <f t="shared" ca="1" si="27"/>
        <v>1</v>
      </c>
      <c r="AP14" s="47">
        <f t="shared" ca="1" si="28"/>
        <v>1</v>
      </c>
      <c r="AQ14" s="47">
        <f t="shared" ca="1" si="29"/>
        <v>0</v>
      </c>
      <c r="AR14" s="47">
        <f t="shared" ca="1" si="30"/>
        <v>80</v>
      </c>
      <c r="AS14" s="33">
        <f t="shared" ca="1" si="31"/>
        <v>0.2</v>
      </c>
      <c r="AW14" s="2">
        <v>9</v>
      </c>
      <c r="AX14" s="2" t="s">
        <v>261</v>
      </c>
      <c r="AY14" s="130">
        <v>24</v>
      </c>
      <c r="AZ14" s="2">
        <v>19.899999999999999</v>
      </c>
      <c r="BA14" s="2"/>
      <c r="BB14" s="2">
        <v>6</v>
      </c>
      <c r="BC14" s="2"/>
      <c r="BD14" s="2">
        <f>-5+20.2</f>
        <v>15.2</v>
      </c>
      <c r="BE14" s="2">
        <v>24.2</v>
      </c>
      <c r="BF14" s="2">
        <v>24.8</v>
      </c>
      <c r="BG14" s="2">
        <v>25.4</v>
      </c>
      <c r="BH14" s="2">
        <f>10+29.2</f>
        <v>39.200000000000003</v>
      </c>
      <c r="BI14" s="2"/>
      <c r="BJ14" s="2"/>
      <c r="BK14" s="2"/>
      <c r="BL14" s="2"/>
      <c r="BM14" s="2"/>
      <c r="BN14" s="2">
        <v>79</v>
      </c>
      <c r="BO14" s="2">
        <v>34</v>
      </c>
      <c r="BP14" s="2">
        <v>40</v>
      </c>
      <c r="BQ14" s="2">
        <v>43</v>
      </c>
      <c r="BR14" s="2">
        <v>46</v>
      </c>
      <c r="BS14" s="2">
        <v>52</v>
      </c>
      <c r="BT14" s="2">
        <v>16</v>
      </c>
      <c r="BU14" s="2">
        <v>82</v>
      </c>
      <c r="BV14" s="2">
        <v>108</v>
      </c>
      <c r="BW14" s="2">
        <v>135</v>
      </c>
      <c r="BX14" s="2">
        <v>200</v>
      </c>
      <c r="BY14" s="2">
        <v>89.5</v>
      </c>
      <c r="BZ14" s="2">
        <v>4.4000000000000004</v>
      </c>
      <c r="CA14" s="2">
        <v>1.2</v>
      </c>
      <c r="CB14" s="2">
        <v>1.2009607805544799E-5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21a</v>
      </c>
      <c r="J15" s="47">
        <f t="shared" ca="1" si="32"/>
        <v>10</v>
      </c>
      <c r="K15" s="19">
        <f t="shared" ca="1" si="33"/>
        <v>-48.8</v>
      </c>
      <c r="L15" s="116" t="str">
        <f t="shared" ca="1" si="1"/>
        <v>EW_sand_Ruled_68</v>
      </c>
      <c r="M15" s="105" t="str">
        <f t="shared" ca="1" si="2"/>
        <v>API sand</v>
      </c>
      <c r="N15" s="47">
        <f t="shared" ca="1" si="3"/>
        <v>9.8000000000000007</v>
      </c>
      <c r="O15" s="63">
        <f t="shared" ca="1" si="34"/>
        <v>0</v>
      </c>
      <c r="P15" s="63">
        <f t="shared" ca="1" si="35"/>
        <v>0</v>
      </c>
      <c r="Q15" s="47">
        <f t="shared" ca="1" si="4"/>
        <v>28</v>
      </c>
      <c r="R15" s="47">
        <f t="shared" ca="1" si="5"/>
        <v>23</v>
      </c>
      <c r="S15" s="47">
        <f t="shared" ca="1" si="6"/>
        <v>0.9</v>
      </c>
      <c r="T15" s="47">
        <f t="shared" ca="1" si="7"/>
        <v>0</v>
      </c>
      <c r="U15" s="75">
        <f t="shared" ca="1" si="8"/>
        <v>0</v>
      </c>
      <c r="V15" s="75">
        <f t="shared" ca="1" si="9"/>
        <v>0</v>
      </c>
      <c r="W15" s="47">
        <f t="shared" ca="1" si="36"/>
        <v>0</v>
      </c>
      <c r="X15" s="47">
        <f t="shared" ca="1" si="10"/>
        <v>46000</v>
      </c>
      <c r="Y15" s="47">
        <f t="shared" ca="1" si="11"/>
        <v>0</v>
      </c>
      <c r="Z15" s="47">
        <f t="shared" ca="1" si="12"/>
        <v>75.399999999999977</v>
      </c>
      <c r="AA15" s="47">
        <f t="shared" ca="1" si="13"/>
        <v>1</v>
      </c>
      <c r="AB15" s="47">
        <f t="shared" ca="1" si="14"/>
        <v>4040</v>
      </c>
      <c r="AC15" s="63">
        <f t="shared" ca="1" si="15"/>
        <v>196000</v>
      </c>
      <c r="AD15" s="63">
        <f t="shared" ca="1" si="16"/>
        <v>2574.8502994011974</v>
      </c>
      <c r="AE15" s="63">
        <f t="shared" ca="1" si="17"/>
        <v>0.3</v>
      </c>
      <c r="AF15" s="63">
        <f t="shared" ca="1" si="18"/>
        <v>0</v>
      </c>
      <c r="AG15" s="63">
        <f t="shared" ca="1" si="19"/>
        <v>0</v>
      </c>
      <c r="AH15" s="63">
        <f t="shared" ca="1" si="20"/>
        <v>0</v>
      </c>
      <c r="AI15" s="63">
        <f t="shared" ca="1" si="21"/>
        <v>0</v>
      </c>
      <c r="AJ15" s="47">
        <f t="shared" ca="1" si="22"/>
        <v>16.800000000000004</v>
      </c>
      <c r="AK15" s="47">
        <f t="shared" ca="1" si="23"/>
        <v>1</v>
      </c>
      <c r="AL15" s="47">
        <f t="shared" ca="1" si="24"/>
        <v>1</v>
      </c>
      <c r="AM15" s="47">
        <f t="shared" ca="1" si="25"/>
        <v>1</v>
      </c>
      <c r="AN15" s="47">
        <f t="shared" ca="1" si="26"/>
        <v>1</v>
      </c>
      <c r="AO15" s="47">
        <f t="shared" ca="1" si="27"/>
        <v>1</v>
      </c>
      <c r="AP15" s="47">
        <f t="shared" ca="1" si="28"/>
        <v>1</v>
      </c>
      <c r="AQ15" s="47">
        <f t="shared" ca="1" si="29"/>
        <v>0</v>
      </c>
      <c r="AR15" s="47">
        <f t="shared" ca="1" si="30"/>
        <v>68</v>
      </c>
      <c r="AS15" s="33">
        <f t="shared" ca="1" si="31"/>
        <v>0.2</v>
      </c>
      <c r="AW15" s="2">
        <v>12.9</v>
      </c>
      <c r="AX15" s="2" t="s">
        <v>261</v>
      </c>
      <c r="AY15" s="130">
        <v>24</v>
      </c>
      <c r="AZ15" s="2">
        <v>19.899999999999999</v>
      </c>
      <c r="BA15" s="2"/>
      <c r="BB15" s="2">
        <v>6</v>
      </c>
      <c r="BC15" s="2"/>
      <c r="BD15" s="2">
        <f>-5+15.5</f>
        <v>10.5</v>
      </c>
      <c r="BE15" s="2">
        <v>19.399999999999999</v>
      </c>
      <c r="BF15" s="2">
        <v>20</v>
      </c>
      <c r="BG15" s="2">
        <v>20.6</v>
      </c>
      <c r="BH15" s="2">
        <f>10+24.4</f>
        <v>34.4</v>
      </c>
      <c r="BI15" s="2"/>
      <c r="BJ15" s="2"/>
      <c r="BK15" s="2"/>
      <c r="BL15" s="2"/>
      <c r="BM15" s="2"/>
      <c r="BN15" s="2">
        <v>79</v>
      </c>
      <c r="BO15" s="2">
        <v>34</v>
      </c>
      <c r="BP15" s="2">
        <v>40</v>
      </c>
      <c r="BQ15" s="2">
        <v>43</v>
      </c>
      <c r="BR15" s="2">
        <v>46</v>
      </c>
      <c r="BS15" s="2">
        <v>52</v>
      </c>
      <c r="BT15" s="2">
        <v>25</v>
      </c>
      <c r="BU15" s="2">
        <v>90</v>
      </c>
      <c r="BV15" s="2">
        <v>117</v>
      </c>
      <c r="BW15" s="2">
        <v>143</v>
      </c>
      <c r="BX15" s="2">
        <v>208</v>
      </c>
      <c r="BY15" s="2">
        <v>89.5</v>
      </c>
      <c r="BZ15" s="2">
        <v>4.4000000000000004</v>
      </c>
      <c r="CA15" s="2">
        <v>1.2</v>
      </c>
      <c r="CB15" s="2">
        <v>1.2009607805544799E-5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23d</v>
      </c>
      <c r="J16" s="47">
        <f t="shared" ca="1" si="32"/>
        <v>11</v>
      </c>
      <c r="K16" s="19">
        <f t="shared" ca="1" si="33"/>
        <v>-65.5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8.8999999999999986</v>
      </c>
      <c r="O16" s="63">
        <f t="shared" ca="1" si="34"/>
        <v>488</v>
      </c>
      <c r="P16" s="63">
        <f t="shared" ca="1" si="35"/>
        <v>5.5172413793103452</v>
      </c>
      <c r="Q16" s="47">
        <f t="shared" ca="1" si="4"/>
        <v>0</v>
      </c>
      <c r="R16" s="47" t="e">
        <f t="shared" ca="1" si="5"/>
        <v>#N/A</v>
      </c>
      <c r="S16" s="47">
        <f t="shared" ca="1" si="6"/>
        <v>1.8</v>
      </c>
      <c r="T16" s="47">
        <f t="shared" ca="1" si="7"/>
        <v>0</v>
      </c>
      <c r="U16" s="75">
        <f t="shared" ca="1" si="8"/>
        <v>1.7999999999999999E-2</v>
      </c>
      <c r="V16" s="75">
        <f t="shared" ca="1" si="9"/>
        <v>0</v>
      </c>
      <c r="W16" s="47">
        <f t="shared" ca="1" si="36"/>
        <v>0.25</v>
      </c>
      <c r="X16" s="47">
        <f t="shared" ca="1" si="10"/>
        <v>45800</v>
      </c>
      <c r="Y16" s="47">
        <f t="shared" ca="1" si="11"/>
        <v>0</v>
      </c>
      <c r="Z16" s="47" t="e">
        <f t="shared" ca="1" si="12"/>
        <v>#N/A</v>
      </c>
      <c r="AA16" s="47">
        <f t="shared" ca="1" si="13"/>
        <v>1</v>
      </c>
      <c r="AB16" s="47" t="e">
        <f t="shared" ca="1" si="14"/>
        <v>#N/A</v>
      </c>
      <c r="AC16" s="63">
        <f t="shared" ca="1" si="15"/>
        <v>761000</v>
      </c>
      <c r="AD16" s="63">
        <f t="shared" ca="1" si="16"/>
        <v>10482.758620689654</v>
      </c>
      <c r="AE16" s="63">
        <f t="shared" ca="1" si="17"/>
        <v>0.3</v>
      </c>
      <c r="AF16" s="63">
        <f t="shared" ca="1" si="18"/>
        <v>0</v>
      </c>
      <c r="AG16" s="63">
        <f t="shared" ca="1" si="19"/>
        <v>0</v>
      </c>
      <c r="AH16" s="63">
        <f t="shared" ca="1" si="20"/>
        <v>0</v>
      </c>
      <c r="AI16" s="63">
        <f t="shared" ca="1" si="21"/>
        <v>0</v>
      </c>
      <c r="AJ16" s="47" t="e">
        <f t="shared" ca="1" si="22"/>
        <v>#N/A</v>
      </c>
      <c r="AK16" s="47">
        <f t="shared" ca="1" si="23"/>
        <v>1</v>
      </c>
      <c r="AL16" s="47">
        <f t="shared" ca="1" si="24"/>
        <v>1</v>
      </c>
      <c r="AM16" s="47">
        <f t="shared" ca="1" si="25"/>
        <v>1</v>
      </c>
      <c r="AN16" s="47">
        <f t="shared" ca="1" si="26"/>
        <v>1</v>
      </c>
      <c r="AO16" s="47">
        <f t="shared" ca="1" si="27"/>
        <v>1</v>
      </c>
      <c r="AP16" s="47">
        <f t="shared" ca="1" si="28"/>
        <v>1</v>
      </c>
      <c r="AQ16" s="47">
        <f t="shared" ca="1" si="29"/>
        <v>0</v>
      </c>
      <c r="AR16" s="47">
        <f t="shared" ca="1" si="30"/>
        <v>0</v>
      </c>
      <c r="AS16" s="33">
        <f t="shared" ca="1" si="31"/>
        <v>0.4</v>
      </c>
      <c r="AW16" s="2">
        <v>12.9</v>
      </c>
      <c r="AX16" s="2" t="s">
        <v>264</v>
      </c>
      <c r="AY16" s="130">
        <v>31.6</v>
      </c>
      <c r="AZ16" s="2">
        <v>18.5</v>
      </c>
      <c r="BA16" s="2"/>
      <c r="BB16" s="2">
        <v>38</v>
      </c>
      <c r="BC16" s="2"/>
      <c r="BD16" s="2">
        <v>5.7</v>
      </c>
      <c r="BE16" s="2">
        <v>8.4</v>
      </c>
      <c r="BF16" s="2">
        <v>8.6999999999999993</v>
      </c>
      <c r="BG16" s="2">
        <v>8.9</v>
      </c>
      <c r="BH16" s="2">
        <v>11.2</v>
      </c>
      <c r="BI16" s="2"/>
      <c r="BJ16" s="2"/>
      <c r="BK16" s="2"/>
      <c r="BL16" s="2"/>
      <c r="BM16" s="2"/>
      <c r="BN16" s="2">
        <v>59</v>
      </c>
      <c r="BO16" s="2">
        <v>26</v>
      </c>
      <c r="BP16" s="2">
        <v>26</v>
      </c>
      <c r="BQ16" s="2">
        <v>28</v>
      </c>
      <c r="BR16" s="2">
        <v>30</v>
      </c>
      <c r="BS16" s="2">
        <v>34</v>
      </c>
      <c r="BT16" s="2">
        <v>12</v>
      </c>
      <c r="BU16" s="2">
        <v>72</v>
      </c>
      <c r="BV16" s="2">
        <v>97</v>
      </c>
      <c r="BW16" s="2">
        <v>122</v>
      </c>
      <c r="BX16" s="2">
        <v>183</v>
      </c>
      <c r="BY16" s="2">
        <v>12.7</v>
      </c>
      <c r="BZ16" s="2">
        <v>2.5</v>
      </c>
      <c r="CA16" s="2">
        <v>0.9</v>
      </c>
      <c r="CB16" s="2">
        <v>5.84151274151961E-9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52"/>
      <c r="E17" s="152"/>
      <c r="I17" s="33" t="str">
        <f t="shared" ca="1" si="0"/>
        <v/>
      </c>
      <c r="J17" s="47" t="str">
        <f t="shared" ca="1" si="32"/>
        <v/>
      </c>
      <c r="K17" s="19" t="str">
        <f t="shared" ca="1" si="33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34"/>
        <v/>
      </c>
      <c r="P17" s="63" t="str">
        <f t="shared" ca="1" si="35"/>
        <v/>
      </c>
      <c r="Q17" s="47" t="str">
        <f t="shared" ca="1" si="4"/>
        <v/>
      </c>
      <c r="R17" s="47" t="str">
        <f t="shared" ca="1" si="5"/>
        <v/>
      </c>
      <c r="S17" s="47" t="str">
        <f t="shared" ca="1" si="6"/>
        <v/>
      </c>
      <c r="T17" s="47" t="str">
        <f t="shared" ca="1" si="7"/>
        <v/>
      </c>
      <c r="U17" s="75" t="str">
        <f t="shared" ca="1" si="8"/>
        <v/>
      </c>
      <c r="V17" s="75" t="str">
        <f t="shared" ca="1" si="9"/>
        <v/>
      </c>
      <c r="W17" s="47" t="str">
        <f t="shared" ca="1" si="36"/>
        <v/>
      </c>
      <c r="X17" s="47" t="str">
        <f t="shared" ca="1" si="10"/>
        <v/>
      </c>
      <c r="Y17" s="47" t="str">
        <f t="shared" ca="1" si="11"/>
        <v/>
      </c>
      <c r="Z17" s="47" t="str">
        <f t="shared" ca="1" si="12"/>
        <v/>
      </c>
      <c r="AA17" s="47" t="str">
        <f t="shared" ca="1" si="13"/>
        <v/>
      </c>
      <c r="AB17" s="47" t="str">
        <f t="shared" ca="1" si="14"/>
        <v/>
      </c>
      <c r="AC17" s="63" t="str">
        <f t="shared" ca="1" si="15"/>
        <v/>
      </c>
      <c r="AD17" s="63" t="str">
        <f t="shared" ca="1" si="16"/>
        <v/>
      </c>
      <c r="AE17" s="63" t="str">
        <f t="shared" ca="1" si="17"/>
        <v/>
      </c>
      <c r="AF17" s="63" t="str">
        <f t="shared" ca="1" si="18"/>
        <v/>
      </c>
      <c r="AG17" s="63" t="str">
        <f t="shared" ca="1" si="19"/>
        <v/>
      </c>
      <c r="AH17" s="63" t="str">
        <f t="shared" ca="1" si="20"/>
        <v/>
      </c>
      <c r="AI17" s="63" t="str">
        <f t="shared" ca="1" si="21"/>
        <v/>
      </c>
      <c r="AJ17" s="47" t="str">
        <f t="shared" ca="1" si="22"/>
        <v/>
      </c>
      <c r="AK17" s="47" t="str">
        <f t="shared" ca="1" si="23"/>
        <v/>
      </c>
      <c r="AL17" s="47" t="str">
        <f t="shared" ca="1" si="24"/>
        <v/>
      </c>
      <c r="AM17" s="47" t="str">
        <f t="shared" ca="1" si="25"/>
        <v/>
      </c>
      <c r="AN17" s="47" t="str">
        <f t="shared" ca="1" si="26"/>
        <v/>
      </c>
      <c r="AO17" s="47" t="str">
        <f t="shared" ca="1" si="27"/>
        <v/>
      </c>
      <c r="AP17" s="47" t="str">
        <f t="shared" ca="1" si="28"/>
        <v/>
      </c>
      <c r="AQ17" s="47" t="str">
        <f t="shared" ca="1" si="29"/>
        <v/>
      </c>
      <c r="AR17" s="47" t="str">
        <f t="shared" ca="1" si="30"/>
        <v/>
      </c>
      <c r="AS17" s="33" t="str">
        <f t="shared" ca="1" si="31"/>
        <v/>
      </c>
      <c r="AW17" s="2">
        <v>25</v>
      </c>
      <c r="AX17" s="2" t="s">
        <v>264</v>
      </c>
      <c r="AY17" s="130">
        <v>31.6</v>
      </c>
      <c r="AZ17" s="2">
        <v>18.5</v>
      </c>
      <c r="BA17" s="2"/>
      <c r="BB17" s="2">
        <v>38</v>
      </c>
      <c r="BC17" s="2"/>
      <c r="BD17" s="2">
        <v>3.8</v>
      </c>
      <c r="BE17" s="2">
        <v>6.4</v>
      </c>
      <c r="BF17" s="2">
        <v>6.7</v>
      </c>
      <c r="BG17" s="2">
        <v>6.9</v>
      </c>
      <c r="BH17" s="2">
        <v>9.3000000000000007</v>
      </c>
      <c r="BI17" s="2"/>
      <c r="BJ17" s="2"/>
      <c r="BK17" s="2"/>
      <c r="BL17" s="2"/>
      <c r="BM17" s="2"/>
      <c r="BN17" s="2">
        <v>59</v>
      </c>
      <c r="BO17" s="2">
        <v>26</v>
      </c>
      <c r="BP17" s="2">
        <v>26</v>
      </c>
      <c r="BQ17" s="2">
        <v>28</v>
      </c>
      <c r="BR17" s="2">
        <v>30</v>
      </c>
      <c r="BS17" s="2">
        <v>34</v>
      </c>
      <c r="BT17" s="2">
        <v>28</v>
      </c>
      <c r="BU17" s="2">
        <v>88</v>
      </c>
      <c r="BV17" s="2">
        <v>113</v>
      </c>
      <c r="BW17" s="2">
        <v>137</v>
      </c>
      <c r="BX17" s="2">
        <v>198</v>
      </c>
      <c r="BY17" s="2">
        <v>12.7</v>
      </c>
      <c r="BZ17" s="2">
        <v>2.5</v>
      </c>
      <c r="CA17" s="2">
        <v>0.9</v>
      </c>
      <c r="CB17" s="2">
        <v>5.84151274151961E-9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2"/>
        <v/>
      </c>
      <c r="K18" s="19" t="str">
        <f t="shared" ca="1" si="33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34"/>
        <v/>
      </c>
      <c r="P18" s="63" t="str">
        <f t="shared" ca="1" si="35"/>
        <v/>
      </c>
      <c r="Q18" s="47" t="str">
        <f t="shared" ca="1" si="4"/>
        <v/>
      </c>
      <c r="R18" s="47" t="str">
        <f t="shared" ca="1" si="5"/>
        <v/>
      </c>
      <c r="S18" s="47" t="str">
        <f t="shared" ca="1" si="6"/>
        <v/>
      </c>
      <c r="T18" s="47" t="str">
        <f t="shared" ca="1" si="7"/>
        <v/>
      </c>
      <c r="U18" s="75" t="str">
        <f t="shared" ca="1" si="8"/>
        <v/>
      </c>
      <c r="V18" s="75" t="str">
        <f t="shared" ca="1" si="9"/>
        <v/>
      </c>
      <c r="W18" s="47" t="str">
        <f t="shared" ca="1" si="36"/>
        <v/>
      </c>
      <c r="X18" s="47" t="str">
        <f t="shared" ca="1" si="10"/>
        <v/>
      </c>
      <c r="Y18" s="47" t="str">
        <f t="shared" ca="1" si="11"/>
        <v/>
      </c>
      <c r="Z18" s="47" t="str">
        <f t="shared" ca="1" si="12"/>
        <v/>
      </c>
      <c r="AA18" s="47" t="str">
        <f t="shared" ca="1" si="13"/>
        <v/>
      </c>
      <c r="AB18" s="47" t="str">
        <f t="shared" ca="1" si="14"/>
        <v/>
      </c>
      <c r="AC18" s="63" t="str">
        <f t="shared" ca="1" si="15"/>
        <v/>
      </c>
      <c r="AD18" s="63" t="str">
        <f t="shared" ca="1" si="16"/>
        <v/>
      </c>
      <c r="AE18" s="63" t="str">
        <f t="shared" ca="1" si="17"/>
        <v/>
      </c>
      <c r="AF18" s="63" t="str">
        <f t="shared" ca="1" si="18"/>
        <v/>
      </c>
      <c r="AG18" s="63" t="str">
        <f t="shared" ca="1" si="19"/>
        <v/>
      </c>
      <c r="AH18" s="63" t="str">
        <f t="shared" ca="1" si="20"/>
        <v/>
      </c>
      <c r="AI18" s="63" t="str">
        <f t="shared" ca="1" si="21"/>
        <v/>
      </c>
      <c r="AJ18" s="47" t="str">
        <f t="shared" ca="1" si="22"/>
        <v/>
      </c>
      <c r="AK18" s="47" t="str">
        <f t="shared" ca="1" si="23"/>
        <v/>
      </c>
      <c r="AL18" s="47" t="str">
        <f t="shared" ca="1" si="24"/>
        <v/>
      </c>
      <c r="AM18" s="47" t="str">
        <f t="shared" ca="1" si="25"/>
        <v/>
      </c>
      <c r="AN18" s="47" t="str">
        <f t="shared" ca="1" si="26"/>
        <v/>
      </c>
      <c r="AO18" s="47" t="str">
        <f t="shared" ca="1" si="27"/>
        <v/>
      </c>
      <c r="AP18" s="47" t="str">
        <f t="shared" ca="1" si="28"/>
        <v/>
      </c>
      <c r="AQ18" s="47" t="str">
        <f t="shared" ca="1" si="29"/>
        <v/>
      </c>
      <c r="AR18" s="47" t="str">
        <f t="shared" ca="1" si="30"/>
        <v/>
      </c>
      <c r="AS18" s="33" t="str">
        <f t="shared" ca="1" si="31"/>
        <v/>
      </c>
      <c r="AW18" s="2">
        <v>25</v>
      </c>
      <c r="AX18" s="2" t="s">
        <v>266</v>
      </c>
      <c r="AY18" s="130">
        <v>34.4</v>
      </c>
      <c r="AZ18" s="2">
        <v>18.5</v>
      </c>
      <c r="BA18" s="2">
        <v>23</v>
      </c>
      <c r="BB18" s="2">
        <v>76</v>
      </c>
      <c r="BC18" s="2">
        <v>4</v>
      </c>
      <c r="BD18" s="2">
        <v>2.7</v>
      </c>
      <c r="BE18" s="2">
        <v>4.4000000000000004</v>
      </c>
      <c r="BF18" s="2">
        <v>4.5</v>
      </c>
      <c r="BG18" s="2">
        <v>4.7</v>
      </c>
      <c r="BH18" s="2">
        <v>7</v>
      </c>
      <c r="BI18" s="2">
        <v>35</v>
      </c>
      <c r="BJ18" s="2">
        <v>168</v>
      </c>
      <c r="BK18" s="2">
        <v>224</v>
      </c>
      <c r="BL18" s="2">
        <v>281</v>
      </c>
      <c r="BM18" s="2">
        <v>444</v>
      </c>
      <c r="BN18" s="2"/>
      <c r="BO18" s="2"/>
      <c r="BP18" s="2"/>
      <c r="BQ18" s="2"/>
      <c r="BR18" s="2"/>
      <c r="BS18" s="2"/>
      <c r="BT18" s="2">
        <v>25</v>
      </c>
      <c r="BU18" s="2">
        <v>123</v>
      </c>
      <c r="BV18" s="2">
        <v>218</v>
      </c>
      <c r="BW18" s="2">
        <v>312</v>
      </c>
      <c r="BX18" s="2">
        <v>545</v>
      </c>
      <c r="BY18" s="2">
        <v>20.100000000000001</v>
      </c>
      <c r="BZ18" s="2">
        <v>5.5</v>
      </c>
      <c r="CA18" s="2">
        <v>1.9</v>
      </c>
      <c r="CB18" s="2">
        <v>7.9849714494462996E-11</v>
      </c>
      <c r="CC18" s="2">
        <v>1.8</v>
      </c>
    </row>
    <row r="19" spans="1:81" x14ac:dyDescent="0.25">
      <c r="A19" s="152" t="s">
        <v>38</v>
      </c>
      <c r="B19" s="152" t="s">
        <v>30</v>
      </c>
      <c r="C19" s="152" t="s">
        <v>59</v>
      </c>
      <c r="D19" s="43"/>
      <c r="E19" s="35"/>
      <c r="I19" s="33" t="str">
        <f t="shared" ca="1" si="0"/>
        <v/>
      </c>
      <c r="J19" s="47" t="str">
        <f t="shared" ca="1" si="32"/>
        <v/>
      </c>
      <c r="K19" s="19" t="str">
        <f t="shared" ca="1" si="33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34"/>
        <v/>
      </c>
      <c r="P19" s="63" t="str">
        <f t="shared" ca="1" si="35"/>
        <v/>
      </c>
      <c r="Q19" s="47" t="str">
        <f t="shared" ca="1" si="4"/>
        <v/>
      </c>
      <c r="R19" s="47" t="str">
        <f t="shared" ca="1" si="5"/>
        <v/>
      </c>
      <c r="S19" s="47" t="str">
        <f t="shared" ca="1" si="6"/>
        <v/>
      </c>
      <c r="T19" s="47" t="str">
        <f t="shared" ca="1" si="7"/>
        <v/>
      </c>
      <c r="U19" s="75" t="str">
        <f t="shared" ca="1" si="8"/>
        <v/>
      </c>
      <c r="V19" s="75" t="str">
        <f t="shared" ca="1" si="9"/>
        <v/>
      </c>
      <c r="W19" s="47" t="str">
        <f t="shared" ca="1" si="36"/>
        <v/>
      </c>
      <c r="X19" s="47" t="str">
        <f t="shared" ca="1" si="10"/>
        <v/>
      </c>
      <c r="Y19" s="47" t="str">
        <f t="shared" ca="1" si="11"/>
        <v/>
      </c>
      <c r="Z19" s="47" t="str">
        <f t="shared" ca="1" si="12"/>
        <v/>
      </c>
      <c r="AA19" s="47" t="str">
        <f t="shared" ca="1" si="13"/>
        <v/>
      </c>
      <c r="AB19" s="47" t="str">
        <f t="shared" ca="1" si="14"/>
        <v/>
      </c>
      <c r="AC19" s="63" t="str">
        <f t="shared" ca="1" si="15"/>
        <v/>
      </c>
      <c r="AD19" s="63" t="str">
        <f t="shared" ca="1" si="16"/>
        <v/>
      </c>
      <c r="AE19" s="63" t="str">
        <f t="shared" ca="1" si="17"/>
        <v/>
      </c>
      <c r="AF19" s="63" t="str">
        <f t="shared" ca="1" si="18"/>
        <v/>
      </c>
      <c r="AG19" s="63" t="str">
        <f t="shared" ca="1" si="19"/>
        <v/>
      </c>
      <c r="AH19" s="63" t="str">
        <f t="shared" ca="1" si="20"/>
        <v/>
      </c>
      <c r="AI19" s="63" t="str">
        <f t="shared" ca="1" si="21"/>
        <v/>
      </c>
      <c r="AJ19" s="47" t="str">
        <f t="shared" ca="1" si="22"/>
        <v/>
      </c>
      <c r="AK19" s="47" t="str">
        <f t="shared" ca="1" si="23"/>
        <v/>
      </c>
      <c r="AL19" s="47" t="str">
        <f t="shared" ca="1" si="24"/>
        <v/>
      </c>
      <c r="AM19" s="47" t="str">
        <f t="shared" ca="1" si="25"/>
        <v/>
      </c>
      <c r="AN19" s="47" t="str">
        <f t="shared" ca="1" si="26"/>
        <v/>
      </c>
      <c r="AO19" s="47" t="str">
        <f t="shared" ca="1" si="27"/>
        <v/>
      </c>
      <c r="AP19" s="47" t="str">
        <f t="shared" ca="1" si="28"/>
        <v/>
      </c>
      <c r="AQ19" s="47" t="str">
        <f t="shared" ca="1" si="29"/>
        <v/>
      </c>
      <c r="AR19" s="47" t="str">
        <f t="shared" ca="1" si="30"/>
        <v/>
      </c>
      <c r="AS19" s="33" t="str">
        <f t="shared" ca="1" si="31"/>
        <v/>
      </c>
      <c r="AW19" s="2">
        <v>38.1</v>
      </c>
      <c r="AX19" s="2" t="s">
        <v>266</v>
      </c>
      <c r="AY19" s="130">
        <v>34.4</v>
      </c>
      <c r="AZ19" s="2">
        <v>18.5</v>
      </c>
      <c r="BA19" s="2">
        <v>23</v>
      </c>
      <c r="BB19" s="2">
        <v>76</v>
      </c>
      <c r="BC19" s="2">
        <v>4</v>
      </c>
      <c r="BD19" s="2">
        <v>5.5</v>
      </c>
      <c r="BE19" s="2">
        <v>7.2</v>
      </c>
      <c r="BF19" s="2">
        <v>7.3</v>
      </c>
      <c r="BG19" s="2">
        <v>7.5</v>
      </c>
      <c r="BH19" s="2">
        <v>9.8000000000000007</v>
      </c>
      <c r="BI19" s="2">
        <v>178</v>
      </c>
      <c r="BJ19" s="2">
        <v>312</v>
      </c>
      <c r="BK19" s="2">
        <v>367</v>
      </c>
      <c r="BL19" s="2">
        <v>424</v>
      </c>
      <c r="BM19" s="2">
        <v>588</v>
      </c>
      <c r="BN19" s="2"/>
      <c r="BO19" s="2"/>
      <c r="BP19" s="2"/>
      <c r="BQ19" s="2"/>
      <c r="BR19" s="2"/>
      <c r="BS19" s="2"/>
      <c r="BT19" s="2">
        <v>212</v>
      </c>
      <c r="BU19" s="2">
        <v>310</v>
      </c>
      <c r="BV19" s="2">
        <v>405</v>
      </c>
      <c r="BW19" s="2">
        <v>499</v>
      </c>
      <c r="BX19" s="2">
        <v>732</v>
      </c>
      <c r="BY19" s="2">
        <v>20.100000000000001</v>
      </c>
      <c r="BZ19" s="2">
        <v>5.5</v>
      </c>
      <c r="CA19" s="2">
        <v>1.9</v>
      </c>
      <c r="CB19" s="2">
        <v>7.9849714494462996E-11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2"/>
        <v/>
      </c>
      <c r="K20" s="19" t="str">
        <f t="shared" ca="1" si="33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34"/>
        <v/>
      </c>
      <c r="P20" s="63" t="str">
        <f t="shared" ca="1" si="35"/>
        <v/>
      </c>
      <c r="Q20" s="47" t="str">
        <f t="shared" ca="1" si="4"/>
        <v/>
      </c>
      <c r="R20" s="47" t="str">
        <f t="shared" ca="1" si="5"/>
        <v/>
      </c>
      <c r="S20" s="47" t="str">
        <f t="shared" ca="1" si="6"/>
        <v/>
      </c>
      <c r="T20" s="47" t="str">
        <f t="shared" ca="1" si="7"/>
        <v/>
      </c>
      <c r="U20" s="75" t="str">
        <f t="shared" ca="1" si="8"/>
        <v/>
      </c>
      <c r="V20" s="75" t="str">
        <f t="shared" ca="1" si="9"/>
        <v/>
      </c>
      <c r="W20" s="47" t="str">
        <f t="shared" ca="1" si="36"/>
        <v/>
      </c>
      <c r="X20" s="47" t="str">
        <f t="shared" ca="1" si="10"/>
        <v/>
      </c>
      <c r="Y20" s="47" t="str">
        <f t="shared" ca="1" si="11"/>
        <v/>
      </c>
      <c r="Z20" s="47" t="str">
        <f t="shared" ca="1" si="12"/>
        <v/>
      </c>
      <c r="AA20" s="47" t="str">
        <f t="shared" ca="1" si="13"/>
        <v/>
      </c>
      <c r="AB20" s="47" t="str">
        <f t="shared" ca="1" si="14"/>
        <v/>
      </c>
      <c r="AC20" s="63" t="str">
        <f t="shared" ca="1" si="15"/>
        <v/>
      </c>
      <c r="AD20" s="63" t="str">
        <f t="shared" ca="1" si="16"/>
        <v/>
      </c>
      <c r="AE20" s="63" t="str">
        <f t="shared" ca="1" si="17"/>
        <v/>
      </c>
      <c r="AF20" s="63" t="str">
        <f t="shared" ca="1" si="18"/>
        <v/>
      </c>
      <c r="AG20" s="63" t="str">
        <f t="shared" ca="1" si="19"/>
        <v/>
      </c>
      <c r="AH20" s="63" t="str">
        <f t="shared" ca="1" si="20"/>
        <v/>
      </c>
      <c r="AI20" s="63" t="str">
        <f t="shared" ca="1" si="21"/>
        <v/>
      </c>
      <c r="AJ20" s="47" t="str">
        <f t="shared" ca="1" si="22"/>
        <v/>
      </c>
      <c r="AK20" s="47" t="str">
        <f t="shared" ca="1" si="23"/>
        <v/>
      </c>
      <c r="AL20" s="47" t="str">
        <f t="shared" ca="1" si="24"/>
        <v/>
      </c>
      <c r="AM20" s="47" t="str">
        <f t="shared" ca="1" si="25"/>
        <v/>
      </c>
      <c r="AN20" s="47" t="str">
        <f t="shared" ca="1" si="26"/>
        <v/>
      </c>
      <c r="AO20" s="47" t="str">
        <f t="shared" ca="1" si="27"/>
        <v/>
      </c>
      <c r="AP20" s="47" t="str">
        <f t="shared" ca="1" si="28"/>
        <v/>
      </c>
      <c r="AQ20" s="47" t="str">
        <f t="shared" ca="1" si="29"/>
        <v/>
      </c>
      <c r="AR20" s="47" t="str">
        <f t="shared" ca="1" si="30"/>
        <v/>
      </c>
      <c r="AS20" s="33" t="str">
        <f t="shared" ca="1" si="31"/>
        <v/>
      </c>
      <c r="AW20" s="2">
        <v>38.1</v>
      </c>
      <c r="AX20" s="2" t="s">
        <v>268</v>
      </c>
      <c r="AY20" s="130">
        <v>27.5</v>
      </c>
      <c r="AZ20" s="2">
        <v>19</v>
      </c>
      <c r="BA20" s="2"/>
      <c r="BB20" s="2">
        <v>28</v>
      </c>
      <c r="BC20" s="2"/>
      <c r="BD20" s="2">
        <v>18.3</v>
      </c>
      <c r="BE20" s="2">
        <v>26.8</v>
      </c>
      <c r="BF20" s="2">
        <v>27.9</v>
      </c>
      <c r="BG20" s="2">
        <v>28.9</v>
      </c>
      <c r="BH20" s="2">
        <v>36.9</v>
      </c>
      <c r="BI20" s="2"/>
      <c r="BJ20" s="2"/>
      <c r="BK20" s="2"/>
      <c r="BL20" s="2"/>
      <c r="BM20" s="2"/>
      <c r="BN20" s="2">
        <v>80</v>
      </c>
      <c r="BO20" s="2">
        <v>26</v>
      </c>
      <c r="BP20" s="2">
        <v>28</v>
      </c>
      <c r="BQ20" s="2">
        <v>31</v>
      </c>
      <c r="BR20" s="2">
        <v>33</v>
      </c>
      <c r="BS20" s="2">
        <v>37</v>
      </c>
      <c r="BT20" s="2">
        <v>38</v>
      </c>
      <c r="BU20" s="2">
        <v>142</v>
      </c>
      <c r="BV20" s="2">
        <v>188</v>
      </c>
      <c r="BW20" s="2">
        <v>234</v>
      </c>
      <c r="BX20" s="2">
        <v>349</v>
      </c>
      <c r="BY20" s="2">
        <v>46</v>
      </c>
      <c r="BZ20" s="2">
        <v>3.4</v>
      </c>
      <c r="CA20" s="2">
        <v>1</v>
      </c>
      <c r="CB20" s="2">
        <v>4.9696256046571099E-7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2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34"/>
        <v/>
      </c>
      <c r="P21" s="63" t="str">
        <f t="shared" ca="1" si="35"/>
        <v/>
      </c>
      <c r="Q21" s="47" t="str">
        <f t="shared" ca="1" si="4"/>
        <v/>
      </c>
      <c r="R21" s="47" t="str">
        <f t="shared" ca="1" si="5"/>
        <v/>
      </c>
      <c r="S21" s="47" t="str">
        <f t="shared" ca="1" si="6"/>
        <v/>
      </c>
      <c r="T21" s="47" t="str">
        <f t="shared" ca="1" si="7"/>
        <v/>
      </c>
      <c r="U21" s="75" t="str">
        <f t="shared" ca="1" si="8"/>
        <v/>
      </c>
      <c r="V21" s="75" t="str">
        <f t="shared" ca="1" si="9"/>
        <v/>
      </c>
      <c r="W21" s="47" t="str">
        <f t="shared" ca="1" si="36"/>
        <v/>
      </c>
      <c r="X21" s="47" t="str">
        <f t="shared" ca="1" si="10"/>
        <v/>
      </c>
      <c r="Y21" s="47" t="str">
        <f t="shared" ca="1" si="11"/>
        <v/>
      </c>
      <c r="Z21" s="47" t="str">
        <f t="shared" ca="1" si="12"/>
        <v/>
      </c>
      <c r="AA21" s="47" t="str">
        <f t="shared" ca="1" si="13"/>
        <v/>
      </c>
      <c r="AB21" s="47" t="str">
        <f t="shared" ca="1" si="14"/>
        <v/>
      </c>
      <c r="AC21" s="63" t="str">
        <f t="shared" ca="1" si="15"/>
        <v/>
      </c>
      <c r="AD21" s="63" t="str">
        <f t="shared" ca="1" si="16"/>
        <v/>
      </c>
      <c r="AE21" s="63" t="str">
        <f t="shared" ca="1" si="17"/>
        <v/>
      </c>
      <c r="AF21" s="63" t="str">
        <f t="shared" ca="1" si="18"/>
        <v/>
      </c>
      <c r="AG21" s="63" t="str">
        <f t="shared" ca="1" si="19"/>
        <v/>
      </c>
      <c r="AH21" s="63" t="str">
        <f t="shared" ca="1" si="20"/>
        <v/>
      </c>
      <c r="AI21" s="63" t="str">
        <f t="shared" ca="1" si="21"/>
        <v/>
      </c>
      <c r="AJ21" s="47" t="str">
        <f t="shared" ca="1" si="22"/>
        <v/>
      </c>
      <c r="AK21" s="47" t="str">
        <f t="shared" ca="1" si="23"/>
        <v/>
      </c>
      <c r="AL21" s="47" t="str">
        <f t="shared" ca="1" si="24"/>
        <v/>
      </c>
      <c r="AM21" s="47" t="str">
        <f t="shared" ca="1" si="25"/>
        <v/>
      </c>
      <c r="AN21" s="47" t="str">
        <f t="shared" ca="1" si="26"/>
        <v/>
      </c>
      <c r="AO21" s="47" t="str">
        <f t="shared" ca="1" si="27"/>
        <v/>
      </c>
      <c r="AP21" s="47" t="str">
        <f t="shared" ca="1" si="28"/>
        <v/>
      </c>
      <c r="AQ21" s="47" t="str">
        <f t="shared" ca="1" si="29"/>
        <v/>
      </c>
      <c r="AR21" s="47" t="str">
        <f t="shared" ca="1" si="30"/>
        <v/>
      </c>
      <c r="AS21" s="33" t="str">
        <f t="shared" ca="1" si="31"/>
        <v/>
      </c>
      <c r="AW21" s="2">
        <v>44</v>
      </c>
      <c r="AX21" s="2" t="s">
        <v>268</v>
      </c>
      <c r="AY21" s="130">
        <v>27.5</v>
      </c>
      <c r="AZ21" s="2">
        <v>19</v>
      </c>
      <c r="BA21" s="2"/>
      <c r="BB21" s="2">
        <v>28</v>
      </c>
      <c r="BC21" s="2"/>
      <c r="BD21" s="2">
        <v>23</v>
      </c>
      <c r="BE21" s="2">
        <v>31.5</v>
      </c>
      <c r="BF21" s="2">
        <v>32.6</v>
      </c>
      <c r="BG21" s="2">
        <v>33.6</v>
      </c>
      <c r="BH21" s="2">
        <v>41.6</v>
      </c>
      <c r="BI21" s="2"/>
      <c r="BJ21" s="2"/>
      <c r="BK21" s="2"/>
      <c r="BL21" s="2"/>
      <c r="BM21" s="2"/>
      <c r="BN21" s="2">
        <v>80</v>
      </c>
      <c r="BO21" s="2">
        <v>26</v>
      </c>
      <c r="BP21" s="2">
        <v>28</v>
      </c>
      <c r="BQ21" s="2">
        <v>31</v>
      </c>
      <c r="BR21" s="2">
        <v>33</v>
      </c>
      <c r="BS21" s="2">
        <v>37</v>
      </c>
      <c r="BT21" s="2">
        <v>55</v>
      </c>
      <c r="BU21" s="2">
        <v>159</v>
      </c>
      <c r="BV21" s="2">
        <v>205</v>
      </c>
      <c r="BW21" s="2">
        <v>251</v>
      </c>
      <c r="BX21" s="2">
        <v>366</v>
      </c>
      <c r="BY21" s="2">
        <v>46</v>
      </c>
      <c r="BZ21" s="2">
        <v>3.4</v>
      </c>
      <c r="CA21" s="2">
        <v>1</v>
      </c>
      <c r="CB21" s="2">
        <v>4.9696256046571099E-7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2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34"/>
        <v/>
      </c>
      <c r="P22" s="63" t="str">
        <f t="shared" ca="1" si="35"/>
        <v/>
      </c>
      <c r="Q22" s="47" t="str">
        <f t="shared" ca="1" si="4"/>
        <v/>
      </c>
      <c r="R22" s="47" t="str">
        <f t="shared" ca="1" si="5"/>
        <v/>
      </c>
      <c r="S22" s="47" t="str">
        <f t="shared" ca="1" si="6"/>
        <v/>
      </c>
      <c r="T22" s="47" t="str">
        <f t="shared" ca="1" si="7"/>
        <v/>
      </c>
      <c r="U22" s="75" t="str">
        <f t="shared" ca="1" si="8"/>
        <v/>
      </c>
      <c r="V22" s="75" t="str">
        <f t="shared" ca="1" si="9"/>
        <v/>
      </c>
      <c r="W22" s="47" t="str">
        <f t="shared" ca="1" si="36"/>
        <v/>
      </c>
      <c r="X22" s="47" t="str">
        <f t="shared" ca="1" si="10"/>
        <v/>
      </c>
      <c r="Y22" s="47" t="str">
        <f t="shared" ca="1" si="11"/>
        <v/>
      </c>
      <c r="Z22" s="47" t="str">
        <f t="shared" ca="1" si="12"/>
        <v/>
      </c>
      <c r="AA22" s="47" t="str">
        <f t="shared" ca="1" si="13"/>
        <v/>
      </c>
      <c r="AB22" s="47" t="str">
        <f t="shared" ca="1" si="14"/>
        <v/>
      </c>
      <c r="AC22" s="63" t="str">
        <f t="shared" ca="1" si="15"/>
        <v/>
      </c>
      <c r="AD22" s="63" t="str">
        <f t="shared" ca="1" si="16"/>
        <v/>
      </c>
      <c r="AE22" s="63" t="str">
        <f t="shared" ca="1" si="17"/>
        <v/>
      </c>
      <c r="AF22" s="63" t="str">
        <f t="shared" ca="1" si="18"/>
        <v/>
      </c>
      <c r="AG22" s="63" t="str">
        <f t="shared" ca="1" si="19"/>
        <v/>
      </c>
      <c r="AH22" s="63" t="str">
        <f t="shared" ca="1" si="20"/>
        <v/>
      </c>
      <c r="AI22" s="63" t="str">
        <f t="shared" ca="1" si="21"/>
        <v/>
      </c>
      <c r="AJ22" s="47" t="str">
        <f t="shared" ca="1" si="22"/>
        <v/>
      </c>
      <c r="AK22" s="47" t="str">
        <f t="shared" ca="1" si="23"/>
        <v/>
      </c>
      <c r="AL22" s="47" t="str">
        <f t="shared" ca="1" si="24"/>
        <v/>
      </c>
      <c r="AM22" s="47" t="str">
        <f t="shared" ca="1" si="25"/>
        <v/>
      </c>
      <c r="AN22" s="47" t="str">
        <f t="shared" ca="1" si="26"/>
        <v/>
      </c>
      <c r="AO22" s="47" t="str">
        <f t="shared" ca="1" si="27"/>
        <v/>
      </c>
      <c r="AP22" s="47" t="str">
        <f t="shared" ca="1" si="28"/>
        <v/>
      </c>
      <c r="AQ22" s="47" t="str">
        <f t="shared" ca="1" si="29"/>
        <v/>
      </c>
      <c r="AR22" s="47" t="str">
        <f t="shared" ca="1" si="30"/>
        <v/>
      </c>
      <c r="AS22" s="33" t="str">
        <f t="shared" ca="1" si="31"/>
        <v/>
      </c>
      <c r="AW22" s="2">
        <v>44</v>
      </c>
      <c r="AX22" s="2" t="s">
        <v>268</v>
      </c>
      <c r="AY22" s="130">
        <v>27.5</v>
      </c>
      <c r="AZ22" s="2">
        <v>19</v>
      </c>
      <c r="BA22" s="2"/>
      <c r="BB22" s="2">
        <v>28</v>
      </c>
      <c r="BC22" s="2"/>
      <c r="BD22" s="2">
        <f>-5+23</f>
        <v>18</v>
      </c>
      <c r="BE22" s="2">
        <v>31.5</v>
      </c>
      <c r="BF22" s="2">
        <v>32.6</v>
      </c>
      <c r="BG22" s="2">
        <v>33.6</v>
      </c>
      <c r="BH22" s="2">
        <v>41.6</v>
      </c>
      <c r="BI22" s="2"/>
      <c r="BJ22" s="2"/>
      <c r="BK22" s="2"/>
      <c r="BL22" s="2"/>
      <c r="BM22" s="2"/>
      <c r="BN22" s="2">
        <v>80</v>
      </c>
      <c r="BO22" s="2">
        <v>26</v>
      </c>
      <c r="BP22" s="2">
        <v>28</v>
      </c>
      <c r="BQ22" s="2">
        <v>31</v>
      </c>
      <c r="BR22" s="2">
        <v>33</v>
      </c>
      <c r="BS22" s="2">
        <v>38</v>
      </c>
      <c r="BT22" s="2">
        <v>44</v>
      </c>
      <c r="BU22" s="2">
        <v>132</v>
      </c>
      <c r="BV22" s="2">
        <v>182</v>
      </c>
      <c r="BW22" s="2">
        <v>232</v>
      </c>
      <c r="BX22" s="2">
        <v>359</v>
      </c>
      <c r="BY22" s="2">
        <v>46</v>
      </c>
      <c r="BZ22" s="2">
        <v>3</v>
      </c>
      <c r="CA22" s="2">
        <v>1</v>
      </c>
      <c r="CB22" s="2">
        <v>2.1025371871892799E-10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2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34"/>
        <v/>
      </c>
      <c r="P23" s="63" t="str">
        <f t="shared" ca="1" si="35"/>
        <v/>
      </c>
      <c r="Q23" s="47" t="str">
        <f t="shared" ca="1" si="4"/>
        <v/>
      </c>
      <c r="R23" s="47" t="str">
        <f t="shared" ca="1" si="5"/>
        <v/>
      </c>
      <c r="S23" s="47" t="str">
        <f t="shared" ca="1" si="6"/>
        <v/>
      </c>
      <c r="T23" s="47" t="str">
        <f t="shared" ca="1" si="7"/>
        <v/>
      </c>
      <c r="U23" s="75" t="str">
        <f t="shared" ca="1" si="8"/>
        <v/>
      </c>
      <c r="V23" s="75" t="str">
        <f t="shared" ca="1" si="9"/>
        <v/>
      </c>
      <c r="W23" s="47" t="str">
        <f t="shared" ca="1" si="36"/>
        <v/>
      </c>
      <c r="X23" s="47" t="str">
        <f t="shared" ca="1" si="10"/>
        <v/>
      </c>
      <c r="Y23" s="47" t="str">
        <f t="shared" ca="1" si="11"/>
        <v/>
      </c>
      <c r="Z23" s="47" t="str">
        <f t="shared" ca="1" si="12"/>
        <v/>
      </c>
      <c r="AA23" s="47" t="str">
        <f t="shared" ca="1" si="13"/>
        <v/>
      </c>
      <c r="AB23" s="47" t="str">
        <f t="shared" ca="1" si="14"/>
        <v/>
      </c>
      <c r="AC23" s="63" t="str">
        <f t="shared" ca="1" si="15"/>
        <v/>
      </c>
      <c r="AD23" s="63" t="str">
        <f t="shared" ca="1" si="16"/>
        <v/>
      </c>
      <c r="AE23" s="63" t="str">
        <f t="shared" ca="1" si="17"/>
        <v/>
      </c>
      <c r="AF23" s="63" t="str">
        <f t="shared" ca="1" si="18"/>
        <v/>
      </c>
      <c r="AG23" s="63" t="str">
        <f t="shared" ca="1" si="19"/>
        <v/>
      </c>
      <c r="AH23" s="63" t="str">
        <f t="shared" ca="1" si="20"/>
        <v/>
      </c>
      <c r="AI23" s="63" t="str">
        <f t="shared" ca="1" si="21"/>
        <v/>
      </c>
      <c r="AJ23" s="47" t="str">
        <f t="shared" ca="1" si="22"/>
        <v/>
      </c>
      <c r="AK23" s="47" t="str">
        <f t="shared" ca="1" si="23"/>
        <v/>
      </c>
      <c r="AL23" s="47" t="str">
        <f t="shared" ca="1" si="24"/>
        <v/>
      </c>
      <c r="AM23" s="47" t="str">
        <f t="shared" ca="1" si="25"/>
        <v/>
      </c>
      <c r="AN23" s="47" t="str">
        <f t="shared" ca="1" si="26"/>
        <v/>
      </c>
      <c r="AO23" s="47" t="str">
        <f t="shared" ca="1" si="27"/>
        <v/>
      </c>
      <c r="AP23" s="47" t="str">
        <f t="shared" ca="1" si="28"/>
        <v/>
      </c>
      <c r="AQ23" s="47" t="str">
        <f t="shared" ca="1" si="29"/>
        <v/>
      </c>
      <c r="AR23" s="47" t="str">
        <f t="shared" ca="1" si="30"/>
        <v/>
      </c>
      <c r="AS23" s="33" t="str">
        <f t="shared" ca="1" si="31"/>
        <v/>
      </c>
      <c r="AW23" s="2">
        <v>48.8</v>
      </c>
      <c r="AX23" s="2" t="s">
        <v>268</v>
      </c>
      <c r="AY23" s="130">
        <v>27.5</v>
      </c>
      <c r="AZ23" s="2">
        <v>19</v>
      </c>
      <c r="BA23" s="2"/>
      <c r="BB23" s="2">
        <v>28</v>
      </c>
      <c r="BC23" s="2"/>
      <c r="BD23" s="2">
        <f>10+23</f>
        <v>33</v>
      </c>
      <c r="BE23" s="2">
        <f>15+31.5</f>
        <v>46.5</v>
      </c>
      <c r="BF23" s="2">
        <f>15+32.6</f>
        <v>47.6</v>
      </c>
      <c r="BG23" s="2">
        <f>15+33.6</f>
        <v>48.6</v>
      </c>
      <c r="BH23" s="2">
        <f>15+41.6</f>
        <v>56.6</v>
      </c>
      <c r="BI23" s="2"/>
      <c r="BJ23" s="2"/>
      <c r="BK23" s="2"/>
      <c r="BL23" s="2"/>
      <c r="BM23" s="2"/>
      <c r="BN23" s="2">
        <v>80</v>
      </c>
      <c r="BO23" s="2">
        <v>26</v>
      </c>
      <c r="BP23" s="2">
        <v>28</v>
      </c>
      <c r="BQ23" s="2">
        <v>31</v>
      </c>
      <c r="BR23" s="2">
        <v>33</v>
      </c>
      <c r="BS23" s="2">
        <v>38</v>
      </c>
      <c r="BT23" s="2">
        <v>118</v>
      </c>
      <c r="BU23" s="2">
        <v>207</v>
      </c>
      <c r="BV23" s="2">
        <v>257</v>
      </c>
      <c r="BW23" s="2">
        <v>307</v>
      </c>
      <c r="BX23" s="2">
        <v>433</v>
      </c>
      <c r="BY23" s="2">
        <v>46</v>
      </c>
      <c r="BZ23" s="2">
        <v>3</v>
      </c>
      <c r="CA23" s="2">
        <v>1</v>
      </c>
      <c r="CB23" s="2">
        <v>2.1025371871892799E-10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2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34"/>
        <v/>
      </c>
      <c r="P24" s="63" t="str">
        <f t="shared" ca="1" si="35"/>
        <v/>
      </c>
      <c r="Q24" s="47" t="str">
        <f t="shared" ca="1" si="4"/>
        <v/>
      </c>
      <c r="R24" s="47" t="str">
        <f t="shared" ca="1" si="5"/>
        <v/>
      </c>
      <c r="S24" s="47" t="str">
        <f t="shared" ca="1" si="6"/>
        <v/>
      </c>
      <c r="T24" s="47" t="str">
        <f t="shared" ca="1" si="7"/>
        <v/>
      </c>
      <c r="U24" s="75" t="str">
        <f t="shared" ca="1" si="8"/>
        <v/>
      </c>
      <c r="V24" s="75" t="str">
        <f t="shared" ca="1" si="9"/>
        <v/>
      </c>
      <c r="W24" s="47" t="str">
        <f t="shared" ca="1" si="36"/>
        <v/>
      </c>
      <c r="X24" s="47" t="str">
        <f t="shared" ca="1" si="10"/>
        <v/>
      </c>
      <c r="Y24" s="47" t="str">
        <f t="shared" ca="1" si="11"/>
        <v/>
      </c>
      <c r="Z24" s="47" t="str">
        <f t="shared" ca="1" si="12"/>
        <v/>
      </c>
      <c r="AA24" s="47" t="str">
        <f t="shared" ca="1" si="13"/>
        <v/>
      </c>
      <c r="AB24" s="47" t="str">
        <f t="shared" ca="1" si="14"/>
        <v/>
      </c>
      <c r="AC24" s="63" t="str">
        <f t="shared" ca="1" si="15"/>
        <v/>
      </c>
      <c r="AD24" s="63" t="str">
        <f t="shared" ca="1" si="16"/>
        <v/>
      </c>
      <c r="AE24" s="63" t="str">
        <f t="shared" ca="1" si="17"/>
        <v/>
      </c>
      <c r="AF24" s="63" t="str">
        <f t="shared" ca="1" si="18"/>
        <v/>
      </c>
      <c r="AG24" s="63" t="str">
        <f t="shared" ca="1" si="19"/>
        <v/>
      </c>
      <c r="AH24" s="63" t="str">
        <f t="shared" ca="1" si="20"/>
        <v/>
      </c>
      <c r="AI24" s="63" t="str">
        <f t="shared" ca="1" si="21"/>
        <v/>
      </c>
      <c r="AJ24" s="47" t="str">
        <f t="shared" ca="1" si="22"/>
        <v/>
      </c>
      <c r="AK24" s="47" t="str">
        <f t="shared" ca="1" si="23"/>
        <v/>
      </c>
      <c r="AL24" s="47" t="str">
        <f t="shared" ca="1" si="24"/>
        <v/>
      </c>
      <c r="AM24" s="47" t="str">
        <f t="shared" ca="1" si="25"/>
        <v/>
      </c>
      <c r="AN24" s="47" t="str">
        <f t="shared" ca="1" si="26"/>
        <v/>
      </c>
      <c r="AO24" s="47" t="str">
        <f t="shared" ca="1" si="27"/>
        <v/>
      </c>
      <c r="AP24" s="47" t="str">
        <f t="shared" ca="1" si="28"/>
        <v/>
      </c>
      <c r="AQ24" s="47" t="str">
        <f t="shared" ca="1" si="29"/>
        <v/>
      </c>
      <c r="AR24" s="47" t="str">
        <f t="shared" ca="1" si="30"/>
        <v/>
      </c>
      <c r="AS24" s="33" t="str">
        <f t="shared" ca="1" si="31"/>
        <v/>
      </c>
      <c r="AW24" s="2">
        <v>48.8</v>
      </c>
      <c r="AX24" s="2" t="s">
        <v>271</v>
      </c>
      <c r="AY24" s="130">
        <v>24.7</v>
      </c>
      <c r="AZ24" s="2">
        <v>19.8</v>
      </c>
      <c r="BA24" s="2"/>
      <c r="BB24" s="2">
        <v>11</v>
      </c>
      <c r="BC24" s="2"/>
      <c r="BD24" s="2">
        <v>12</v>
      </c>
      <c r="BE24" s="2">
        <v>18.899999999999999</v>
      </c>
      <c r="BF24" s="2">
        <v>20.3</v>
      </c>
      <c r="BG24" s="2">
        <v>23.4</v>
      </c>
      <c r="BH24" s="2">
        <v>39.700000000000003</v>
      </c>
      <c r="BI24" s="2"/>
      <c r="BJ24" s="2"/>
      <c r="BK24" s="2"/>
      <c r="BL24" s="2"/>
      <c r="BM24" s="2"/>
      <c r="BN24" s="2">
        <v>68</v>
      </c>
      <c r="BO24" s="2">
        <v>26</v>
      </c>
      <c r="BP24" s="2">
        <v>28</v>
      </c>
      <c r="BQ24" s="2">
        <v>30</v>
      </c>
      <c r="BR24" s="2">
        <v>33</v>
      </c>
      <c r="BS24" s="2">
        <v>37</v>
      </c>
      <c r="BT24" s="2">
        <v>48</v>
      </c>
      <c r="BU24" s="2">
        <v>146</v>
      </c>
      <c r="BV24" s="2">
        <v>196</v>
      </c>
      <c r="BW24" s="2">
        <v>246</v>
      </c>
      <c r="BX24" s="2">
        <v>371</v>
      </c>
      <c r="BY24" s="2">
        <v>46</v>
      </c>
      <c r="BZ24" s="2">
        <v>2.5</v>
      </c>
      <c r="CA24" s="2">
        <v>0.9</v>
      </c>
      <c r="CB24" s="2">
        <v>2.8167370998330099E-10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2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34"/>
        <v/>
      </c>
      <c r="P25" s="63" t="str">
        <f t="shared" ca="1" si="35"/>
        <v/>
      </c>
      <c r="Q25" s="47" t="str">
        <f t="shared" ca="1" si="4"/>
        <v/>
      </c>
      <c r="R25" s="47" t="str">
        <f t="shared" ca="1" si="5"/>
        <v/>
      </c>
      <c r="S25" s="47" t="str">
        <f t="shared" ca="1" si="6"/>
        <v/>
      </c>
      <c r="T25" s="47" t="str">
        <f t="shared" ca="1" si="7"/>
        <v/>
      </c>
      <c r="U25" s="75" t="str">
        <f t="shared" ca="1" si="8"/>
        <v/>
      </c>
      <c r="V25" s="75" t="str">
        <f t="shared" ca="1" si="9"/>
        <v/>
      </c>
      <c r="W25" s="47" t="str">
        <f t="shared" ca="1" si="36"/>
        <v/>
      </c>
      <c r="X25" s="47" t="str">
        <f t="shared" ca="1" si="10"/>
        <v/>
      </c>
      <c r="Y25" s="47" t="str">
        <f t="shared" ca="1" si="11"/>
        <v/>
      </c>
      <c r="Z25" s="47" t="str">
        <f t="shared" ca="1" si="12"/>
        <v/>
      </c>
      <c r="AA25" s="47" t="str">
        <f t="shared" ca="1" si="13"/>
        <v/>
      </c>
      <c r="AB25" s="47" t="str">
        <f t="shared" ca="1" si="14"/>
        <v/>
      </c>
      <c r="AC25" s="63" t="str">
        <f t="shared" ca="1" si="15"/>
        <v/>
      </c>
      <c r="AD25" s="63" t="str">
        <f t="shared" ca="1" si="16"/>
        <v/>
      </c>
      <c r="AE25" s="63" t="str">
        <f t="shared" ca="1" si="17"/>
        <v/>
      </c>
      <c r="AF25" s="63" t="str">
        <f t="shared" ca="1" si="18"/>
        <v/>
      </c>
      <c r="AG25" s="63" t="str">
        <f t="shared" ca="1" si="19"/>
        <v/>
      </c>
      <c r="AH25" s="63" t="str">
        <f t="shared" ca="1" si="20"/>
        <v/>
      </c>
      <c r="AI25" s="63" t="str">
        <f t="shared" ca="1" si="21"/>
        <v/>
      </c>
      <c r="AJ25" s="47" t="str">
        <f t="shared" ca="1" si="22"/>
        <v/>
      </c>
      <c r="AK25" s="47" t="str">
        <f t="shared" ca="1" si="23"/>
        <v/>
      </c>
      <c r="AL25" s="47" t="str">
        <f t="shared" ca="1" si="24"/>
        <v/>
      </c>
      <c r="AM25" s="47" t="str">
        <f t="shared" ca="1" si="25"/>
        <v/>
      </c>
      <c r="AN25" s="47" t="str">
        <f t="shared" ca="1" si="26"/>
        <v/>
      </c>
      <c r="AO25" s="47" t="str">
        <f t="shared" ca="1" si="27"/>
        <v/>
      </c>
      <c r="AP25" s="47" t="str">
        <f t="shared" ca="1" si="28"/>
        <v/>
      </c>
      <c r="AQ25" s="47" t="str">
        <f t="shared" ca="1" si="29"/>
        <v/>
      </c>
      <c r="AR25" s="47" t="str">
        <f t="shared" ca="1" si="30"/>
        <v/>
      </c>
      <c r="AS25" s="33" t="str">
        <f t="shared" ca="1" si="31"/>
        <v/>
      </c>
      <c r="AW25" s="2">
        <v>65.5</v>
      </c>
      <c r="AX25" s="2" t="s">
        <v>271</v>
      </c>
      <c r="AY25" s="130">
        <v>24.7</v>
      </c>
      <c r="AZ25" s="2">
        <v>19.8</v>
      </c>
      <c r="BA25" s="2"/>
      <c r="BB25" s="2">
        <v>11</v>
      </c>
      <c r="BC25" s="2"/>
      <c r="BD25" s="2">
        <v>32.6</v>
      </c>
      <c r="BE25" s="2">
        <v>39.5</v>
      </c>
      <c r="BF25" s="2">
        <v>40.799999999999997</v>
      </c>
      <c r="BG25" s="2">
        <v>44</v>
      </c>
      <c r="BH25" s="2">
        <v>60.3</v>
      </c>
      <c r="BI25" s="2"/>
      <c r="BJ25" s="2"/>
      <c r="BK25" s="2"/>
      <c r="BL25" s="2"/>
      <c r="BM25" s="2"/>
      <c r="BN25" s="2">
        <v>68</v>
      </c>
      <c r="BO25" s="2">
        <v>26</v>
      </c>
      <c r="BP25" s="2">
        <v>28</v>
      </c>
      <c r="BQ25" s="2">
        <v>30</v>
      </c>
      <c r="BR25" s="2">
        <v>33</v>
      </c>
      <c r="BS25" s="2">
        <v>37</v>
      </c>
      <c r="BT25" s="2">
        <v>92</v>
      </c>
      <c r="BU25" s="2">
        <v>190</v>
      </c>
      <c r="BV25" s="2">
        <v>239</v>
      </c>
      <c r="BW25" s="2">
        <v>289</v>
      </c>
      <c r="BX25" s="2">
        <v>415</v>
      </c>
      <c r="BY25" s="2">
        <v>46</v>
      </c>
      <c r="BZ25" s="2">
        <v>2.5</v>
      </c>
      <c r="CA25" s="2">
        <v>0.9</v>
      </c>
      <c r="CB25" s="2">
        <v>2.8167370998330099E-10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2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34"/>
        <v/>
      </c>
      <c r="P26" s="63" t="str">
        <f t="shared" ca="1" si="35"/>
        <v/>
      </c>
      <c r="Q26" s="47" t="str">
        <f t="shared" ca="1" si="4"/>
        <v/>
      </c>
      <c r="R26" s="47" t="str">
        <f t="shared" ca="1" si="5"/>
        <v/>
      </c>
      <c r="S26" s="47" t="str">
        <f t="shared" ca="1" si="6"/>
        <v/>
      </c>
      <c r="T26" s="47" t="str">
        <f t="shared" ca="1" si="7"/>
        <v/>
      </c>
      <c r="U26" s="75" t="str">
        <f t="shared" ca="1" si="8"/>
        <v/>
      </c>
      <c r="V26" s="75" t="str">
        <f t="shared" ca="1" si="9"/>
        <v/>
      </c>
      <c r="W26" s="47" t="str">
        <f t="shared" ca="1" si="36"/>
        <v/>
      </c>
      <c r="Y26" s="47" t="str">
        <f t="shared" ca="1" si="11"/>
        <v/>
      </c>
      <c r="Z26" s="47" t="str">
        <f t="shared" ca="1" si="12"/>
        <v/>
      </c>
      <c r="AA26" s="47" t="str">
        <f t="shared" ca="1" si="13"/>
        <v/>
      </c>
      <c r="AB26" s="47" t="str">
        <f t="shared" ca="1" si="14"/>
        <v/>
      </c>
      <c r="AC26" s="63" t="str">
        <f t="shared" ca="1" si="15"/>
        <v/>
      </c>
      <c r="AD26" s="63" t="str">
        <f t="shared" ca="1" si="16"/>
        <v/>
      </c>
      <c r="AE26" s="63" t="str">
        <f t="shared" ca="1" si="17"/>
        <v/>
      </c>
      <c r="AF26" s="63" t="str">
        <f t="shared" ca="1" si="18"/>
        <v/>
      </c>
      <c r="AG26" s="63" t="str">
        <f t="shared" ca="1" si="19"/>
        <v/>
      </c>
      <c r="AH26" s="63" t="str">
        <f t="shared" ca="1" si="20"/>
        <v/>
      </c>
      <c r="AI26" s="63" t="str">
        <f t="shared" ca="1" si="21"/>
        <v/>
      </c>
      <c r="AJ26" s="47" t="str">
        <f t="shared" ca="1" si="22"/>
        <v/>
      </c>
      <c r="AK26" s="47" t="str">
        <f t="shared" ca="1" si="23"/>
        <v/>
      </c>
      <c r="AM26" s="47" t="str">
        <f t="shared" ca="1" si="25"/>
        <v/>
      </c>
      <c r="AN26" s="47" t="str">
        <f t="shared" ca="1" si="26"/>
        <v/>
      </c>
      <c r="AO26" s="47" t="str">
        <f t="shared" ca="1" si="27"/>
        <v/>
      </c>
      <c r="AP26" s="47" t="str">
        <f t="shared" ca="1" si="28"/>
        <v/>
      </c>
      <c r="AQ26" s="47" t="str">
        <f t="shared" ca="1" si="29"/>
        <v/>
      </c>
      <c r="AR26" s="47" t="str">
        <f t="shared" ca="1" si="30"/>
        <v/>
      </c>
      <c r="AS26" s="33" t="str">
        <f t="shared" ca="1" si="31"/>
        <v/>
      </c>
      <c r="AW26" s="2">
        <v>65.5</v>
      </c>
      <c r="AX26" s="2" t="s">
        <v>273</v>
      </c>
      <c r="AY26" s="130">
        <v>32</v>
      </c>
      <c r="AZ26" s="2">
        <v>18.899999999999999</v>
      </c>
      <c r="BA26" s="2">
        <v>47</v>
      </c>
      <c r="BB26" s="2">
        <v>85</v>
      </c>
      <c r="BC26" s="2">
        <v>3</v>
      </c>
      <c r="BD26" s="2">
        <v>2.4</v>
      </c>
      <c r="BE26" s="2">
        <v>10.5</v>
      </c>
      <c r="BF26" s="2">
        <v>11.9</v>
      </c>
      <c r="BG26" s="2">
        <v>27</v>
      </c>
      <c r="BH26" s="2">
        <v>73.7</v>
      </c>
      <c r="BI26" s="2">
        <v>402</v>
      </c>
      <c r="BJ26" s="2">
        <v>488</v>
      </c>
      <c r="BK26" s="2">
        <v>531</v>
      </c>
      <c r="BL26" s="2">
        <v>575</v>
      </c>
      <c r="BM26" s="2">
        <v>661</v>
      </c>
      <c r="BN26" s="2"/>
      <c r="BO26" s="2"/>
      <c r="BP26" s="2"/>
      <c r="BQ26" s="2"/>
      <c r="BR26" s="2"/>
      <c r="BS26" s="2"/>
      <c r="BT26" s="2">
        <v>503</v>
      </c>
      <c r="BU26" s="2">
        <v>675</v>
      </c>
      <c r="BV26" s="2">
        <v>761</v>
      </c>
      <c r="BW26" s="2">
        <v>848</v>
      </c>
      <c r="BX26" s="2">
        <v>1020</v>
      </c>
      <c r="BY26" s="2">
        <v>45.8</v>
      </c>
      <c r="BZ26" s="2">
        <v>5.0999999999999996</v>
      </c>
      <c r="CA26" s="2">
        <v>1.8</v>
      </c>
      <c r="CB26" s="2">
        <v>3.8476338744589698E-12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4"/>
        <v/>
      </c>
      <c r="AJ27" s="47" t="str">
        <f t="shared" si="22"/>
        <v/>
      </c>
      <c r="AK27" s="47" t="str">
        <f t="shared" si="23"/>
        <v/>
      </c>
      <c r="AN27" s="47" t="str">
        <f t="shared" si="26"/>
        <v/>
      </c>
      <c r="AO27" s="47" t="str">
        <f t="shared" si="27"/>
        <v/>
      </c>
      <c r="AQ27" s="47" t="str">
        <f t="shared" si="29"/>
        <v/>
      </c>
      <c r="AR27" s="47" t="str">
        <f t="shared" ca="1" si="30"/>
        <v/>
      </c>
      <c r="AW27" s="2">
        <v>80</v>
      </c>
      <c r="AX27" s="2" t="s">
        <v>273</v>
      </c>
      <c r="AY27" s="130">
        <v>32</v>
      </c>
      <c r="AZ27" s="2">
        <v>18.899999999999999</v>
      </c>
      <c r="BA27" s="2">
        <v>47</v>
      </c>
      <c r="BB27" s="2">
        <v>85</v>
      </c>
      <c r="BC27" s="2">
        <v>3</v>
      </c>
      <c r="BD27" s="2">
        <v>4.3</v>
      </c>
      <c r="BE27" s="2">
        <v>12.4</v>
      </c>
      <c r="BF27" s="2">
        <v>13.8</v>
      </c>
      <c r="BG27" s="2">
        <v>28.9</v>
      </c>
      <c r="BH27" s="2">
        <v>75.599999999999994</v>
      </c>
      <c r="BI27" s="2">
        <v>482</v>
      </c>
      <c r="BJ27" s="2">
        <v>568</v>
      </c>
      <c r="BK27" s="2">
        <v>611</v>
      </c>
      <c r="BL27" s="2">
        <v>655</v>
      </c>
      <c r="BM27" s="2">
        <v>741</v>
      </c>
      <c r="BN27" s="2"/>
      <c r="BO27" s="2"/>
      <c r="BP27" s="2"/>
      <c r="BQ27" s="2"/>
      <c r="BR27" s="2"/>
      <c r="BS27" s="2"/>
      <c r="BT27" s="2">
        <v>654</v>
      </c>
      <c r="BU27" s="2">
        <v>826</v>
      </c>
      <c r="BV27" s="2">
        <v>913</v>
      </c>
      <c r="BW27" s="2">
        <v>999</v>
      </c>
      <c r="BX27" s="2">
        <v>1171</v>
      </c>
      <c r="BY27" s="2">
        <v>45.8</v>
      </c>
      <c r="BZ27" s="2">
        <v>5.0999999999999996</v>
      </c>
      <c r="CA27" s="2">
        <v>1.8</v>
      </c>
      <c r="CB27" s="2">
        <v>3.8476338744589698E-12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29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063" priority="12">
      <formula>$L32="API sand"</formula>
    </cfRule>
  </conditionalFormatting>
  <conditionalFormatting sqref="R32:S36 AB32:AB35 AJ32:AL36 Z32:Z36 N32:N36">
    <cfRule type="expression" dxfId="2062" priority="11">
      <formula>$M32="API sand"</formula>
    </cfRule>
  </conditionalFormatting>
  <conditionalFormatting sqref="R32:T36 Z32:AB35 AK32:AL36 N32:N36">
    <cfRule type="expression" dxfId="2061" priority="10">
      <formula>$M32="API clay"</formula>
    </cfRule>
  </conditionalFormatting>
  <conditionalFormatting sqref="U32:W36 AM32:AP36 N32:P36">
    <cfRule type="expression" dxfId="2060" priority="7">
      <formula>$L32="Stiff clay w/o free water"</formula>
    </cfRule>
    <cfRule type="expression" dxfId="2059" priority="9">
      <formula>$L32="API clay"</formula>
    </cfRule>
  </conditionalFormatting>
  <conditionalFormatting sqref="U32:Y36 AM32:AP36 N32:P36">
    <cfRule type="expression" dxfId="2058" priority="8">
      <formula>$L32="Kirsch soft clay"</formula>
    </cfRule>
  </conditionalFormatting>
  <conditionalFormatting sqref="U32:Y36 AM32:AP36 N32:P36">
    <cfRule type="expression" dxfId="2057" priority="6">
      <formula>$L32="Kirsch stiff clay"</formula>
    </cfRule>
  </conditionalFormatting>
  <conditionalFormatting sqref="AM32:AP36 Q32:Q36 X32:Y36 N32:N36">
    <cfRule type="expression" dxfId="2056" priority="5">
      <formula>$L32="Kirsch sand"</formula>
    </cfRule>
  </conditionalFormatting>
  <conditionalFormatting sqref="AC32:AD36 AI32:AI36 AM32:AP36 N32:N36">
    <cfRule type="expression" dxfId="2055" priority="4">
      <formula>$L32="Modified Weak rock"</formula>
    </cfRule>
  </conditionalFormatting>
  <conditionalFormatting sqref="AM32:AP36 N32:P36 U32:V36">
    <cfRule type="expression" dxfId="2054" priority="3">
      <formula>$L32="Reese stiff clay"</formula>
    </cfRule>
  </conditionalFormatting>
  <conditionalFormatting sqref="AB36">
    <cfRule type="expression" dxfId="2053" priority="2">
      <formula>$M36="API sand"</formula>
    </cfRule>
  </conditionalFormatting>
  <conditionalFormatting sqref="Z36:AB36">
    <cfRule type="expression" dxfId="2052" priority="1">
      <formula>$M36="API clay"</formula>
    </cfRule>
  </conditionalFormatting>
  <conditionalFormatting sqref="AE37:AH37">
    <cfRule type="expression" dxfId="2051" priority="13">
      <formula>#REF!="Modified Weak rock"</formula>
    </cfRule>
  </conditionalFormatting>
  <dataValidations count="4">
    <dataValidation type="textLength" showInputMessage="1" showErrorMessage="1" sqref="M27:M31" xr:uid="{7439930F-FB36-4778-A6CD-1F2DC8981C46}">
      <formula1>0</formula1>
      <formula2>100</formula2>
    </dataValidation>
    <dataValidation showInputMessage="1" showErrorMessage="1" sqref="L6:M26" xr:uid="{36AEE2C0-1FBC-4362-B3CE-540698E2169B}"/>
    <dataValidation type="list" showInputMessage="1" showErrorMessage="1" sqref="L32:L255" xr:uid="{BCE801C6-34F2-457B-A340-0A9D8738A40A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F77F73D8-8A39-4D31-9E26-2FB1D8ECFFEF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D4028-EF91-4584-B65A-9A559D96BEC6}">
  <sheetPr>
    <tabColor rgb="FF7030A0"/>
  </sheetPr>
  <dimension ref="A1:CC255"/>
  <sheetViews>
    <sheetView topLeftCell="B1"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Ak_Pisa_WTG69_RBB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51"/>
      <c r="R3" s="155"/>
      <c r="S3" s="155"/>
      <c r="T3" s="151"/>
      <c r="U3" s="155"/>
      <c r="V3" s="155"/>
      <c r="W3" s="151"/>
      <c r="X3" s="69"/>
      <c r="Y3" s="151"/>
      <c r="Z3" s="151"/>
      <c r="AA3" s="151"/>
      <c r="AB3" s="151"/>
      <c r="AC3" s="69"/>
      <c r="AD3" s="39"/>
      <c r="AE3" s="39"/>
      <c r="AF3" s="39"/>
      <c r="AG3" s="39"/>
      <c r="AH3" s="39"/>
      <c r="AI3" s="39"/>
      <c r="AJ3" s="151"/>
      <c r="AK3" s="151"/>
      <c r="AL3" s="151"/>
      <c r="AM3" s="151"/>
      <c r="AN3" s="151"/>
      <c r="AO3" s="151"/>
      <c r="AP3" s="151"/>
      <c r="AW3" s="35" t="s">
        <v>316</v>
      </c>
    </row>
    <row r="4" spans="1:81" x14ac:dyDescent="0.25">
      <c r="A4" s="40" t="s">
        <v>60</v>
      </c>
      <c r="B4" s="33">
        <f ca="1"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52" t="s">
        <v>38</v>
      </c>
      <c r="K5" s="152" t="s">
        <v>30</v>
      </c>
      <c r="L5" s="152" t="s">
        <v>31</v>
      </c>
      <c r="M5" s="152" t="s">
        <v>31</v>
      </c>
      <c r="N5" s="152" t="s">
        <v>32</v>
      </c>
      <c r="O5" s="152" t="s">
        <v>33</v>
      </c>
      <c r="P5" s="152" t="s">
        <v>35</v>
      </c>
      <c r="Q5" s="152" t="s">
        <v>36</v>
      </c>
      <c r="R5" s="152" t="s">
        <v>36</v>
      </c>
      <c r="S5" s="152" t="s">
        <v>34</v>
      </c>
      <c r="T5" s="152" t="s">
        <v>33</v>
      </c>
      <c r="U5" s="152" t="s">
        <v>34</v>
      </c>
      <c r="V5" s="152" t="s">
        <v>62</v>
      </c>
      <c r="W5" s="152" t="s">
        <v>34</v>
      </c>
      <c r="X5" s="152" t="s">
        <v>33</v>
      </c>
      <c r="Y5" s="152" t="s">
        <v>35</v>
      </c>
      <c r="Z5" s="152" t="s">
        <v>33</v>
      </c>
      <c r="AA5" s="152" t="s">
        <v>34</v>
      </c>
      <c r="AB5" s="152" t="s">
        <v>33</v>
      </c>
      <c r="AC5" s="152" t="s">
        <v>33</v>
      </c>
      <c r="AD5" s="152" t="s">
        <v>35</v>
      </c>
      <c r="AE5" s="152" t="s">
        <v>34</v>
      </c>
      <c r="AF5" s="152" t="s">
        <v>33</v>
      </c>
      <c r="AG5" s="152" t="s">
        <v>35</v>
      </c>
      <c r="AH5" s="152" t="s">
        <v>34</v>
      </c>
      <c r="AI5" s="152" t="s">
        <v>34</v>
      </c>
      <c r="AJ5" s="152" t="s">
        <v>34</v>
      </c>
      <c r="AK5" s="152" t="s">
        <v>34</v>
      </c>
      <c r="AL5" s="152" t="s">
        <v>34</v>
      </c>
      <c r="AM5" s="152" t="s">
        <v>34</v>
      </c>
      <c r="AN5" s="152" t="s">
        <v>34</v>
      </c>
      <c r="AO5" s="152" t="s">
        <v>34</v>
      </c>
      <c r="AP5" s="152" t="s">
        <v>34</v>
      </c>
      <c r="AQ5" s="152" t="s">
        <v>103</v>
      </c>
      <c r="AR5" s="152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02a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Cowden Clay</v>
      </c>
      <c r="M6" s="105" t="str">
        <f t="shared" ref="M6:M26" ca="1" si="2">IF(I6="","",IF(EXACT(L6,"Cowden Clay"),"API clay","API sand"))</f>
        <v>API clay</v>
      </c>
      <c r="N6" s="47">
        <f t="shared" ref="N6:N26" ca="1" si="3">IF(OFFSET($AZ$6,(ROW()-6)*2,0)=0,"",OFFSET($AZ$6,(ROW()-6)*2,0)-10)</f>
        <v>10.199999999999999</v>
      </c>
      <c r="O6" s="63">
        <f ca="1">IF(I6="","",IF(OFFSET($BJ$6,(ROW()-6)*2,0)="",0,OFFSET($BJ$6,(ROW()-6)*2,0)))</f>
        <v>0</v>
      </c>
      <c r="P6" s="63">
        <f ca="1">IF(I6="","",IF(OFFSET($BJ$6,(ROW()-6)*2,0)="",0,(OFFSET($BJ$6,(ROW()-6)*2+1,0)-OFFSET($BJ$6,(ROW()-6)*2,0))/(OFFSET($AW$6,(ROW()-6)*2+1,0)-OFFSET($AW$6,(ROW()-6)*2,0))))</f>
        <v>40</v>
      </c>
      <c r="Q6" s="47">
        <f t="shared" ref="Q6:Q27" ca="1" si="4">IF(I6="","",IF(OFFSET($BP$6,(ROW()-6)*2,0)=0,0,OFFSET($BP$6,(ROW()-6)*2,0)))</f>
        <v>0</v>
      </c>
      <c r="R6" s="47" t="e">
        <f t="shared" ref="R6:R26" ca="1" si="5">IF(I6="","",IF(Q6&lt;&gt;0,Q6-5,NA()))</f>
        <v>#N/A</v>
      </c>
      <c r="S6" s="47">
        <f t="shared" ref="S6:S26" ca="1" si="6">IF(I6="","",IF(OFFSET($CA$6,(ROW()-6)*2,0)=0,0,OFFSET($CA$6,(ROW()-6)*2,0)))</f>
        <v>3</v>
      </c>
      <c r="T6" s="47">
        <f t="shared" ref="T6:T26" ca="1" si="7">IF(I6="","",0)</f>
        <v>0</v>
      </c>
      <c r="U6" s="75">
        <f t="shared" ref="U6:U26" ca="1" si="8">IF(I6="","",IF(EXACT(L6,"Cowden Clay"),0.018,0))</f>
        <v>1.7999999999999999E-2</v>
      </c>
      <c r="V6" s="75">
        <f t="shared" ref="V6:V26" ca="1" si="9">IF(I6="","",0)</f>
        <v>0</v>
      </c>
      <c r="W6" s="47">
        <f ca="1">IF(I6="","",IF(AND(O6&lt;&gt;"",O6&lt;250),0.5,IF(AND(O6&lt;&gt;"",O6&gt;=250),0.25,0)))</f>
        <v>0.5</v>
      </c>
      <c r="X6" s="47">
        <f t="shared" ref="X6:X25" ca="1" si="10">IF(I6="","",IF(OFFSET($BY$6,(ROW()-6)*2,0)=0,0,OFFSET($BY$6,(ROW()-6)*2,0)*1000))</f>
        <v>4000</v>
      </c>
      <c r="Y6" s="47">
        <f t="shared" ref="Y6:Y26" ca="1" si="11">IF(I6="","",IF(OFFSET($BY$6,(ROW()-6)*2,0)=0,0,((OFFSET($BY$6,(ROW()-6)*2+1,0)-OFFSET($BY$6,(ROW()-6)*2,0))/(OFFSET($AW$6,(ROW()-6)*2+1,0)-OFFSET($AW$6,(ROW()-6)*2,0)))*1000))</f>
        <v>0</v>
      </c>
      <c r="Z6" s="47" t="e">
        <f t="shared" ref="Z6:Z26" ca="1" si="12">IF(I6="","",VLOOKUP(R6,$AE$39:$AF$59,2))</f>
        <v>#N/A</v>
      </c>
      <c r="AA6" s="47">
        <f t="shared" ref="AA6:AA26" ca="1" si="13">IF(I6="","",1)</f>
        <v>1</v>
      </c>
      <c r="AB6" s="47" t="e">
        <f t="shared" ref="AB6:AB26" ca="1" si="14">IF(I6="","",VLOOKUP(R6,$AE$39:$AG$59,3))</f>
        <v>#N/A</v>
      </c>
      <c r="AC6" s="63">
        <f t="shared" ref="AC6:AC26" ca="1" si="15">IF(I6="","",IF(OFFSET($BV$6,(ROW()-6)*2,0)=0,0,OFFSET($BV$6,(ROW()-6)*2,0)*1000))</f>
        <v>4000</v>
      </c>
      <c r="AD6" s="63">
        <f t="shared" ref="AD6:AD26" ca="1" si="16">IF(I6="","",IF(OFFSET($BV$6,(ROW()-6)*2,0)=0,0,((OFFSET($BV$6,(ROW()-6)*2+1,0)-OFFSET($BV$6,(ROW()-6)*2,0))/(OFFSET($AW$6,(ROW()-6)*2+1,0)-OFFSET($AW$6,(ROW()-6)*2,0)))*1000))</f>
        <v>20000</v>
      </c>
      <c r="AE6" s="63">
        <f t="shared" ref="AE6:AE26" ca="1" si="17">IF(I6="","",0.3)</f>
        <v>0.3</v>
      </c>
      <c r="AF6" s="63">
        <f t="shared" ref="AF6:AF26" ca="1" si="18">IF(I6="","",0)</f>
        <v>0</v>
      </c>
      <c r="AG6" s="63">
        <f t="shared" ref="AG6:AG26" ca="1" si="19">IF(I6="","",0)</f>
        <v>0</v>
      </c>
      <c r="AH6" s="63">
        <f t="shared" ref="AH6:AH26" ca="1" si="20">IF(I6="","",0)</f>
        <v>0</v>
      </c>
      <c r="AI6" s="63">
        <f t="shared" ref="AI6:AI26" ca="1" si="21">IF(I6="","",0)</f>
        <v>0</v>
      </c>
      <c r="AJ6" s="47" t="e">
        <f t="shared" ref="AJ6:AJ27" ca="1" si="22">IF(I6="","",VLOOKUP(R6,$AE$39:$AH$59,4))</f>
        <v>#N/A</v>
      </c>
      <c r="AK6" s="47">
        <f t="shared" ref="AK6:AK27" ca="1" si="23">IF(I6="","",1)</f>
        <v>1</v>
      </c>
      <c r="AL6" s="47">
        <f t="shared" ref="AL6:AL25" ca="1" si="24">IF(I6="","",1)</f>
        <v>1</v>
      </c>
      <c r="AM6" s="47">
        <f t="shared" ref="AM6:AM26" ca="1" si="25">IF(I6="","",1)</f>
        <v>1</v>
      </c>
      <c r="AN6" s="47">
        <f t="shared" ref="AN6:AN27" ca="1" si="26">IF(I6="","",1)</f>
        <v>1</v>
      </c>
      <c r="AO6" s="47">
        <f t="shared" ref="AO6:AO27" ca="1" si="27">IF(I6="","",1)</f>
        <v>1</v>
      </c>
      <c r="AP6" s="47">
        <f t="shared" ref="AP6:AP26" ca="1" si="28">IF(I6="","",1)</f>
        <v>1</v>
      </c>
      <c r="AQ6" s="47">
        <f t="shared" ref="AQ6:AQ28" ca="1" si="29">IF(I6="","",0)</f>
        <v>0</v>
      </c>
      <c r="AR6" s="47">
        <f t="shared" ref="AR6:AR27" ca="1" si="30">IF(I6="","",IF(OFFSET($BN$6,(ROW()-6)*2,0)=0,0,OFFSET($BN$6,(ROW()-6)*2,0)))</f>
        <v>0</v>
      </c>
      <c r="AS6" s="33">
        <f t="shared" ref="AS6:AS26" ca="1" si="31">IF(I6="","",IF(OR(EXACT(I6,"14a"),EXACT(I6,"15b"),EXACT(I6,"17a"),EXACT(I6,"19b"),EXACT(I6,"20a"),EXACT(I6,"21a")),0.2,0.4))</f>
        <v>0.4</v>
      </c>
      <c r="AW6" s="2">
        <v>0</v>
      </c>
      <c r="AX6" s="2" t="s">
        <v>255</v>
      </c>
      <c r="AY6" s="130">
        <v>23.1</v>
      </c>
      <c r="AZ6" s="2">
        <v>20.2</v>
      </c>
      <c r="BA6" s="2">
        <v>18</v>
      </c>
      <c r="BB6" s="2">
        <v>28</v>
      </c>
      <c r="BC6" s="2">
        <v>5</v>
      </c>
      <c r="BD6" s="2">
        <v>0</v>
      </c>
      <c r="BE6" s="2">
        <v>0</v>
      </c>
      <c r="BF6" s="2">
        <v>0.2</v>
      </c>
      <c r="BG6" s="2">
        <v>0.3</v>
      </c>
      <c r="BH6" s="2">
        <v>0.7</v>
      </c>
      <c r="BI6" s="2">
        <v>0</v>
      </c>
      <c r="BJ6" s="2">
        <v>0</v>
      </c>
      <c r="BK6" s="2">
        <v>8</v>
      </c>
      <c r="BL6" s="2">
        <v>17</v>
      </c>
      <c r="BM6" s="2">
        <v>39</v>
      </c>
      <c r="BN6" s="2"/>
      <c r="BO6" s="2"/>
      <c r="BP6" s="2"/>
      <c r="BQ6" s="2"/>
      <c r="BR6" s="2"/>
      <c r="BS6" s="2"/>
      <c r="BT6" s="2">
        <v>0</v>
      </c>
      <c r="BU6" s="2">
        <v>0</v>
      </c>
      <c r="BV6" s="2">
        <v>4</v>
      </c>
      <c r="BW6" s="2">
        <v>10</v>
      </c>
      <c r="BX6" s="2">
        <v>22</v>
      </c>
      <c r="BY6" s="2">
        <v>4</v>
      </c>
      <c r="BZ6" s="2">
        <v>32.700000000000003</v>
      </c>
      <c r="CA6" s="2">
        <v>3</v>
      </c>
      <c r="CB6" s="2">
        <v>3.1358049696518799E-7</v>
      </c>
      <c r="CC6" s="2">
        <v>1.8</v>
      </c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02b</v>
      </c>
      <c r="J7" s="47">
        <f t="shared" ref="J7:J26" ca="1" si="32">IF(I7&lt;&gt;"",J6+1,"")</f>
        <v>2</v>
      </c>
      <c r="K7" s="19">
        <f t="shared" ref="K7:K20" ca="1" si="33">IF(OFFSET($AW$6,(ROW()-6)*2,0)=0,"",-OFFSET($AW$6,(ROW()-6)*2,0))</f>
        <v>-0.65</v>
      </c>
      <c r="L7" s="116" t="str">
        <f t="shared" ca="1" si="1"/>
        <v>EW_sand_Ruled_75</v>
      </c>
      <c r="M7" s="105" t="str">
        <f t="shared" ca="1" si="2"/>
        <v>API sand</v>
      </c>
      <c r="N7" s="47">
        <f t="shared" ca="1" si="3"/>
        <v>9.3999999999999986</v>
      </c>
      <c r="O7" s="63">
        <f t="shared" ref="O7:O26" ca="1" si="34">IF(I7="","",IF(OFFSET($BJ$6,(ROW()-6)*2,0)=0,0,OFFSET($BJ$6,(ROW()-6)*2,0)))</f>
        <v>0</v>
      </c>
      <c r="P7" s="63">
        <f t="shared" ref="P7:P26" ca="1" si="35">IF(I7="","",IF(OFFSET($BJ$6,(ROW()-6)*2,0)=0,0,(OFFSET($BJ$6,(ROW()-6)*2+1,0)-OFFSET($BJ$6,(ROW()-6)*2,0))/(OFFSET($AW$6,(ROW()-6)*2+1,0)-OFFSET($AW$6,(ROW()-6)*2,0))))</f>
        <v>0</v>
      </c>
      <c r="Q7" s="47">
        <f t="shared" ca="1" si="4"/>
        <v>40</v>
      </c>
      <c r="R7" s="47">
        <f t="shared" ca="1" si="5"/>
        <v>35</v>
      </c>
      <c r="S7" s="47">
        <f t="shared" ca="1" si="6"/>
        <v>2.6</v>
      </c>
      <c r="T7" s="47">
        <f t="shared" ca="1" si="7"/>
        <v>0</v>
      </c>
      <c r="U7" s="75">
        <f t="shared" ca="1" si="8"/>
        <v>0</v>
      </c>
      <c r="V7" s="75">
        <f t="shared" ca="1" si="9"/>
        <v>0</v>
      </c>
      <c r="W7" s="47">
        <f t="shared" ref="W7:W26" ca="1" si="36">IF(I7="","",IF(AND(O7&lt;&gt;0,O7&lt;250),0.5,IF(AND(O7&lt;&gt;0,O7&gt;=250),0.25,0)))</f>
        <v>0</v>
      </c>
      <c r="X7" s="47">
        <f t="shared" ca="1" si="10"/>
        <v>39000</v>
      </c>
      <c r="Y7" s="47">
        <f t="shared" ca="1" si="11"/>
        <v>0</v>
      </c>
      <c r="Z7" s="47">
        <f t="shared" ca="1" si="12"/>
        <v>114.99999999999996</v>
      </c>
      <c r="AA7" s="47">
        <f t="shared" ca="1" si="13"/>
        <v>1</v>
      </c>
      <c r="AB7" s="47">
        <f t="shared" ca="1" si="14"/>
        <v>12000</v>
      </c>
      <c r="AC7" s="63">
        <f t="shared" ca="1" si="15"/>
        <v>24000</v>
      </c>
      <c r="AD7" s="63">
        <f t="shared" ca="1" si="16"/>
        <v>12957.746478873238</v>
      </c>
      <c r="AE7" s="63">
        <f t="shared" ca="1" si="17"/>
        <v>0.3</v>
      </c>
      <c r="AF7" s="63">
        <f t="shared" ca="1" si="18"/>
        <v>0</v>
      </c>
      <c r="AG7" s="63">
        <f t="shared" ca="1" si="19"/>
        <v>0</v>
      </c>
      <c r="AH7" s="63">
        <f t="shared" ca="1" si="20"/>
        <v>0</v>
      </c>
      <c r="AI7" s="63">
        <f t="shared" ca="1" si="21"/>
        <v>0</v>
      </c>
      <c r="AJ7" s="47">
        <f t="shared" ca="1" si="22"/>
        <v>50.000000000000007</v>
      </c>
      <c r="AK7" s="47">
        <f t="shared" ca="1" si="23"/>
        <v>1</v>
      </c>
      <c r="AL7" s="47">
        <f t="shared" ca="1" si="24"/>
        <v>1</v>
      </c>
      <c r="AM7" s="47">
        <f t="shared" ca="1" si="25"/>
        <v>1</v>
      </c>
      <c r="AN7" s="47">
        <f t="shared" ca="1" si="26"/>
        <v>1</v>
      </c>
      <c r="AO7" s="47">
        <f t="shared" ca="1" si="27"/>
        <v>1</v>
      </c>
      <c r="AP7" s="47">
        <f t="shared" ca="1" si="28"/>
        <v>1</v>
      </c>
      <c r="AQ7" s="47">
        <f t="shared" ca="1" si="29"/>
        <v>0</v>
      </c>
      <c r="AR7" s="47">
        <f t="shared" ca="1" si="30"/>
        <v>75</v>
      </c>
      <c r="AS7" s="33">
        <f t="shared" ca="1" si="31"/>
        <v>0.4</v>
      </c>
      <c r="AW7" s="2">
        <v>0.65</v>
      </c>
      <c r="AX7" s="2" t="s">
        <v>255</v>
      </c>
      <c r="AY7" s="130">
        <v>23.1</v>
      </c>
      <c r="AZ7" s="2">
        <v>20.2</v>
      </c>
      <c r="BA7" s="2">
        <v>18</v>
      </c>
      <c r="BB7" s="2">
        <v>28</v>
      </c>
      <c r="BC7" s="2">
        <v>5</v>
      </c>
      <c r="BD7" s="2">
        <v>0.1</v>
      </c>
      <c r="BE7" s="2">
        <v>0.5</v>
      </c>
      <c r="BF7" s="2">
        <v>0.7</v>
      </c>
      <c r="BG7" s="2">
        <v>0.9</v>
      </c>
      <c r="BH7" s="2">
        <v>1.2</v>
      </c>
      <c r="BI7" s="2">
        <v>0</v>
      </c>
      <c r="BJ7" s="2">
        <v>26</v>
      </c>
      <c r="BK7" s="2">
        <v>37</v>
      </c>
      <c r="BL7" s="2">
        <v>47</v>
      </c>
      <c r="BM7" s="2">
        <v>68</v>
      </c>
      <c r="BN7" s="2"/>
      <c r="BO7" s="2"/>
      <c r="BP7" s="2"/>
      <c r="BQ7" s="2"/>
      <c r="BR7" s="2"/>
      <c r="BS7" s="2"/>
      <c r="BT7" s="2">
        <v>0</v>
      </c>
      <c r="BU7" s="2">
        <v>10</v>
      </c>
      <c r="BV7" s="2">
        <v>17</v>
      </c>
      <c r="BW7" s="2">
        <v>23</v>
      </c>
      <c r="BX7" s="2">
        <v>35</v>
      </c>
      <c r="BY7" s="2">
        <v>4</v>
      </c>
      <c r="BZ7" s="2">
        <v>32.700000000000003</v>
      </c>
      <c r="CA7" s="2">
        <v>3</v>
      </c>
      <c r="CB7" s="2">
        <v>3.1358049696518799E-7</v>
      </c>
      <c r="CC7" s="2">
        <v>1.8</v>
      </c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32053.91</v>
      </c>
      <c r="H8" s="45" t="s">
        <v>53</v>
      </c>
      <c r="I8" s="33" t="str">
        <f t="shared" ca="1" si="0"/>
        <v>10a</v>
      </c>
      <c r="J8" s="47">
        <f t="shared" ca="1" si="32"/>
        <v>3</v>
      </c>
      <c r="K8" s="19">
        <f t="shared" ca="1" si="33"/>
        <v>-4.2</v>
      </c>
      <c r="L8" s="116" t="str">
        <f t="shared" ca="1" si="1"/>
        <v>EW_sand_Ruled_56</v>
      </c>
      <c r="M8" s="105" t="str">
        <f t="shared" ca="1" si="2"/>
        <v>API sand</v>
      </c>
      <c r="N8" s="47">
        <f t="shared" ca="1" si="3"/>
        <v>10</v>
      </c>
      <c r="O8" s="63">
        <f t="shared" ca="1" si="34"/>
        <v>0</v>
      </c>
      <c r="P8" s="63">
        <f t="shared" ca="1" si="35"/>
        <v>0</v>
      </c>
      <c r="Q8" s="47">
        <f t="shared" ca="1" si="4"/>
        <v>37</v>
      </c>
      <c r="R8" s="47">
        <f t="shared" ca="1" si="5"/>
        <v>32</v>
      </c>
      <c r="S8" s="47">
        <f t="shared" ca="1" si="6"/>
        <v>1.2</v>
      </c>
      <c r="T8" s="47">
        <f t="shared" ca="1" si="7"/>
        <v>0</v>
      </c>
      <c r="U8" s="75">
        <f t="shared" ca="1" si="8"/>
        <v>0</v>
      </c>
      <c r="V8" s="75">
        <f t="shared" ca="1" si="9"/>
        <v>0</v>
      </c>
      <c r="W8" s="47">
        <f t="shared" ca="1" si="36"/>
        <v>0</v>
      </c>
      <c r="X8" s="47">
        <f t="shared" ca="1" si="10"/>
        <v>30500</v>
      </c>
      <c r="Y8" s="47">
        <f t="shared" ca="1" si="11"/>
        <v>0</v>
      </c>
      <c r="Z8" s="47">
        <f t="shared" ca="1" si="12"/>
        <v>103.59999999999997</v>
      </c>
      <c r="AA8" s="47">
        <f t="shared" ca="1" si="13"/>
        <v>1</v>
      </c>
      <c r="AB8" s="47">
        <f t="shared" ca="1" si="14"/>
        <v>10560</v>
      </c>
      <c r="AC8" s="63">
        <f t="shared" ca="1" si="15"/>
        <v>61000</v>
      </c>
      <c r="AD8" s="63">
        <f t="shared" ca="1" si="16"/>
        <v>2222.2222222222222</v>
      </c>
      <c r="AE8" s="63">
        <f t="shared" ca="1" si="17"/>
        <v>0.3</v>
      </c>
      <c r="AF8" s="63">
        <f t="shared" ca="1" si="18"/>
        <v>0</v>
      </c>
      <c r="AG8" s="63">
        <f t="shared" ca="1" si="19"/>
        <v>0</v>
      </c>
      <c r="AH8" s="63">
        <f t="shared" ca="1" si="20"/>
        <v>0</v>
      </c>
      <c r="AI8" s="63">
        <f t="shared" ca="1" si="21"/>
        <v>0</v>
      </c>
      <c r="AJ8" s="47">
        <f t="shared" ca="1" si="22"/>
        <v>44.000000000000007</v>
      </c>
      <c r="AK8" s="47">
        <f t="shared" ca="1" si="23"/>
        <v>1</v>
      </c>
      <c r="AL8" s="47">
        <f t="shared" ca="1" si="24"/>
        <v>1</v>
      </c>
      <c r="AM8" s="47">
        <f t="shared" ca="1" si="25"/>
        <v>1</v>
      </c>
      <c r="AN8" s="47">
        <f t="shared" ca="1" si="26"/>
        <v>1</v>
      </c>
      <c r="AO8" s="47">
        <f t="shared" ca="1" si="27"/>
        <v>1</v>
      </c>
      <c r="AP8" s="47">
        <f t="shared" ca="1" si="28"/>
        <v>1</v>
      </c>
      <c r="AQ8" s="47">
        <f t="shared" ca="1" si="29"/>
        <v>0</v>
      </c>
      <c r="AR8" s="47">
        <f t="shared" ca="1" si="30"/>
        <v>56</v>
      </c>
      <c r="AS8" s="33">
        <f t="shared" ca="1" si="31"/>
        <v>0.4</v>
      </c>
      <c r="AW8" s="2">
        <v>0.65</v>
      </c>
      <c r="AX8" s="2" t="s">
        <v>257</v>
      </c>
      <c r="AY8" s="130">
        <v>29.7</v>
      </c>
      <c r="AZ8" s="2">
        <v>19.399999999999999</v>
      </c>
      <c r="BA8" s="2"/>
      <c r="BB8" s="2">
        <v>24</v>
      </c>
      <c r="BC8" s="2"/>
      <c r="BD8" s="2">
        <v>3.7</v>
      </c>
      <c r="BE8" s="2">
        <v>5.6</v>
      </c>
      <c r="BF8" s="2">
        <v>6</v>
      </c>
      <c r="BG8" s="2">
        <v>6.5</v>
      </c>
      <c r="BH8" s="2">
        <v>9.4</v>
      </c>
      <c r="BI8" s="2"/>
      <c r="BJ8" s="2"/>
      <c r="BK8" s="2"/>
      <c r="BL8" s="2"/>
      <c r="BM8" s="2"/>
      <c r="BN8" s="2">
        <v>75</v>
      </c>
      <c r="BO8" s="2">
        <v>34</v>
      </c>
      <c r="BP8" s="2">
        <v>40</v>
      </c>
      <c r="BQ8" s="2">
        <v>43</v>
      </c>
      <c r="BR8" s="2">
        <v>46</v>
      </c>
      <c r="BS8" s="2">
        <v>52</v>
      </c>
      <c r="BT8" s="2">
        <v>0</v>
      </c>
      <c r="BU8" s="2">
        <v>13</v>
      </c>
      <c r="BV8" s="2">
        <v>24</v>
      </c>
      <c r="BW8" s="2">
        <v>36</v>
      </c>
      <c r="BX8" s="2">
        <v>63</v>
      </c>
      <c r="BY8" s="2">
        <v>39</v>
      </c>
      <c r="BZ8" s="2">
        <v>15.4</v>
      </c>
      <c r="CA8" s="2">
        <v>2.6</v>
      </c>
      <c r="CB8" s="2">
        <v>5.9963609854577098E-5</v>
      </c>
      <c r="CC8" s="2"/>
    </row>
    <row r="9" spans="1:81" x14ac:dyDescent="0.25">
      <c r="A9" s="33" t="s">
        <v>68</v>
      </c>
      <c r="B9" s="57">
        <v>36.5</v>
      </c>
      <c r="C9" s="45" t="s">
        <v>28</v>
      </c>
      <c r="D9" s="57">
        <v>28</v>
      </c>
      <c r="F9" s="33" t="s">
        <v>96</v>
      </c>
      <c r="G9" s="76">
        <v>-1309605</v>
      </c>
      <c r="H9" s="45" t="s">
        <v>54</v>
      </c>
      <c r="I9" s="33" t="str">
        <f t="shared" ca="1" si="0"/>
        <v>10b</v>
      </c>
      <c r="J9" s="47">
        <f t="shared" ca="1" si="32"/>
        <v>4</v>
      </c>
      <c r="K9" s="19">
        <f t="shared" ca="1" si="33"/>
        <v>-6</v>
      </c>
      <c r="L9" s="116" t="str">
        <f t="shared" ca="1" si="1"/>
        <v>EW_sand_Ruled_68</v>
      </c>
      <c r="M9" s="105" t="str">
        <f t="shared" ca="1" si="2"/>
        <v>API sand</v>
      </c>
      <c r="N9" s="47">
        <f t="shared" ca="1" si="3"/>
        <v>9.8999999999999986</v>
      </c>
      <c r="O9" s="63">
        <f t="shared" ca="1" si="34"/>
        <v>0</v>
      </c>
      <c r="P9" s="63">
        <f t="shared" ca="1" si="35"/>
        <v>0</v>
      </c>
      <c r="Q9" s="47">
        <f t="shared" ca="1" si="4"/>
        <v>39</v>
      </c>
      <c r="R9" s="47">
        <f t="shared" ca="1" si="5"/>
        <v>34</v>
      </c>
      <c r="S9" s="47">
        <f t="shared" ca="1" si="6"/>
        <v>1.2</v>
      </c>
      <c r="T9" s="47">
        <f t="shared" ca="1" si="7"/>
        <v>0</v>
      </c>
      <c r="U9" s="75">
        <f t="shared" ca="1" si="8"/>
        <v>0</v>
      </c>
      <c r="V9" s="75">
        <f t="shared" ca="1" si="9"/>
        <v>0</v>
      </c>
      <c r="W9" s="47">
        <f t="shared" ca="1" si="36"/>
        <v>0</v>
      </c>
      <c r="X9" s="47">
        <f t="shared" ca="1" si="10"/>
        <v>58900</v>
      </c>
      <c r="Y9" s="47">
        <f t="shared" ca="1" si="11"/>
        <v>0</v>
      </c>
      <c r="Z9" s="47">
        <f t="shared" ca="1" si="12"/>
        <v>111.19999999999996</v>
      </c>
      <c r="AA9" s="47">
        <f t="shared" ca="1" si="13"/>
        <v>1</v>
      </c>
      <c r="AB9" s="47">
        <f t="shared" ca="1" si="14"/>
        <v>11520</v>
      </c>
      <c r="AC9" s="63">
        <f t="shared" ca="1" si="15"/>
        <v>74000</v>
      </c>
      <c r="AD9" s="63">
        <f t="shared" ca="1" si="16"/>
        <v>7000</v>
      </c>
      <c r="AE9" s="63">
        <f t="shared" ca="1" si="17"/>
        <v>0.3</v>
      </c>
      <c r="AF9" s="63">
        <f t="shared" ca="1" si="18"/>
        <v>0</v>
      </c>
      <c r="AG9" s="63">
        <f t="shared" ca="1" si="19"/>
        <v>0</v>
      </c>
      <c r="AH9" s="63">
        <f t="shared" ca="1" si="20"/>
        <v>0</v>
      </c>
      <c r="AI9" s="63">
        <f t="shared" ca="1" si="21"/>
        <v>0</v>
      </c>
      <c r="AJ9" s="47">
        <f t="shared" ca="1" si="22"/>
        <v>48.000000000000007</v>
      </c>
      <c r="AK9" s="47">
        <f t="shared" ca="1" si="23"/>
        <v>1</v>
      </c>
      <c r="AL9" s="47">
        <f t="shared" ca="1" si="24"/>
        <v>1</v>
      </c>
      <c r="AM9" s="47">
        <f t="shared" ca="1" si="25"/>
        <v>1</v>
      </c>
      <c r="AN9" s="47">
        <f t="shared" ca="1" si="26"/>
        <v>1</v>
      </c>
      <c r="AO9" s="47">
        <f t="shared" ca="1" si="27"/>
        <v>1</v>
      </c>
      <c r="AP9" s="47">
        <f t="shared" ca="1" si="28"/>
        <v>1</v>
      </c>
      <c r="AQ9" s="47">
        <f t="shared" ca="1" si="29"/>
        <v>0</v>
      </c>
      <c r="AR9" s="47">
        <f t="shared" ca="1" si="30"/>
        <v>68</v>
      </c>
      <c r="AS9" s="33">
        <f t="shared" ca="1" si="31"/>
        <v>0.4</v>
      </c>
      <c r="AW9" s="2">
        <v>4.2</v>
      </c>
      <c r="AX9" s="2" t="s">
        <v>257</v>
      </c>
      <c r="AY9" s="130">
        <v>29.7</v>
      </c>
      <c r="AZ9" s="2">
        <v>19.399999999999999</v>
      </c>
      <c r="BA9" s="2"/>
      <c r="BB9" s="2">
        <v>24</v>
      </c>
      <c r="BC9" s="2"/>
      <c r="BD9" s="2">
        <v>13.3</v>
      </c>
      <c r="BE9" s="2">
        <v>15.2</v>
      </c>
      <c r="BF9" s="2">
        <v>15.5</v>
      </c>
      <c r="BG9" s="2">
        <v>16</v>
      </c>
      <c r="BH9" s="2">
        <v>19</v>
      </c>
      <c r="BI9" s="2"/>
      <c r="BJ9" s="2"/>
      <c r="BK9" s="2"/>
      <c r="BL9" s="2"/>
      <c r="BM9" s="2"/>
      <c r="BN9" s="2">
        <v>75</v>
      </c>
      <c r="BO9" s="2">
        <v>34</v>
      </c>
      <c r="BP9" s="2">
        <v>40</v>
      </c>
      <c r="BQ9" s="2">
        <v>43</v>
      </c>
      <c r="BR9" s="2">
        <v>46</v>
      </c>
      <c r="BS9" s="2">
        <v>52</v>
      </c>
      <c r="BT9" s="2">
        <v>46</v>
      </c>
      <c r="BU9" s="2">
        <v>59</v>
      </c>
      <c r="BV9" s="2">
        <v>70</v>
      </c>
      <c r="BW9" s="2">
        <v>81</v>
      </c>
      <c r="BX9" s="2">
        <v>109</v>
      </c>
      <c r="BY9" s="2">
        <v>39</v>
      </c>
      <c r="BZ9" s="2">
        <v>15.4</v>
      </c>
      <c r="CA9" s="2">
        <v>2.6</v>
      </c>
      <c r="CB9" s="2">
        <v>5.9963609854577098E-5</v>
      </c>
      <c r="CC9" s="2"/>
    </row>
    <row r="10" spans="1:81" s="56" customFormat="1" x14ac:dyDescent="0.25">
      <c r="A10" s="56" t="s">
        <v>69</v>
      </c>
      <c r="B10" s="58">
        <v>36.5</v>
      </c>
      <c r="C10" s="45" t="s">
        <v>28</v>
      </c>
      <c r="D10" s="58">
        <v>28</v>
      </c>
      <c r="F10" s="33" t="s">
        <v>51</v>
      </c>
      <c r="G10" s="71">
        <v>27021.599999999999</v>
      </c>
      <c r="H10" s="45" t="s">
        <v>53</v>
      </c>
      <c r="I10" s="33" t="str">
        <f t="shared" ca="1" si="0"/>
        <v>10b</v>
      </c>
      <c r="J10" s="47">
        <f t="shared" ca="1" si="32"/>
        <v>5</v>
      </c>
      <c r="K10" s="19">
        <f t="shared" ca="1" si="33"/>
        <v>-9</v>
      </c>
      <c r="L10" s="116" t="str">
        <f t="shared" ca="1" si="1"/>
        <v>EW_sand_Ruled_79</v>
      </c>
      <c r="M10" s="105" t="str">
        <f t="shared" ca="1" si="2"/>
        <v>API sand</v>
      </c>
      <c r="N10" s="47">
        <f t="shared" ca="1" si="3"/>
        <v>9.8999999999999986</v>
      </c>
      <c r="O10" s="63">
        <f t="shared" ca="1" si="34"/>
        <v>0</v>
      </c>
      <c r="P10" s="63">
        <f t="shared" ca="1" si="35"/>
        <v>0</v>
      </c>
      <c r="Q10" s="47">
        <f t="shared" ca="1" si="4"/>
        <v>40</v>
      </c>
      <c r="R10" s="47">
        <f t="shared" ca="1" si="5"/>
        <v>35</v>
      </c>
      <c r="S10" s="47">
        <f t="shared" ca="1" si="6"/>
        <v>1.2</v>
      </c>
      <c r="T10" s="47">
        <f t="shared" ca="1" si="7"/>
        <v>0</v>
      </c>
      <c r="U10" s="75">
        <f t="shared" ca="1" si="8"/>
        <v>0</v>
      </c>
      <c r="V10" s="75">
        <f t="shared" ca="1" si="9"/>
        <v>0</v>
      </c>
      <c r="W10" s="47">
        <f t="shared" ca="1" si="36"/>
        <v>0</v>
      </c>
      <c r="X10" s="47">
        <f t="shared" ca="1" si="10"/>
        <v>89500</v>
      </c>
      <c r="Y10" s="47">
        <f t="shared" ca="1" si="11"/>
        <v>0</v>
      </c>
      <c r="Z10" s="47">
        <f t="shared" ca="1" si="12"/>
        <v>114.99999999999996</v>
      </c>
      <c r="AA10" s="47">
        <f t="shared" ca="1" si="13"/>
        <v>1</v>
      </c>
      <c r="AB10" s="47">
        <f t="shared" ca="1" si="14"/>
        <v>12000</v>
      </c>
      <c r="AC10" s="63">
        <f t="shared" ca="1" si="15"/>
        <v>108000</v>
      </c>
      <c r="AD10" s="63">
        <f t="shared" ca="1" si="16"/>
        <v>2307.6923076923076</v>
      </c>
      <c r="AE10" s="63">
        <f t="shared" ca="1" si="17"/>
        <v>0.3</v>
      </c>
      <c r="AF10" s="63">
        <f t="shared" ca="1" si="18"/>
        <v>0</v>
      </c>
      <c r="AG10" s="63">
        <f t="shared" ca="1" si="19"/>
        <v>0</v>
      </c>
      <c r="AH10" s="63">
        <f t="shared" ca="1" si="20"/>
        <v>0</v>
      </c>
      <c r="AI10" s="63">
        <f t="shared" ca="1" si="21"/>
        <v>0</v>
      </c>
      <c r="AJ10" s="47">
        <f t="shared" ca="1" si="22"/>
        <v>50.000000000000007</v>
      </c>
      <c r="AK10" s="47">
        <f t="shared" ca="1" si="23"/>
        <v>1</v>
      </c>
      <c r="AL10" s="47">
        <f t="shared" ca="1" si="24"/>
        <v>1</v>
      </c>
      <c r="AM10" s="47">
        <f t="shared" ca="1" si="25"/>
        <v>1</v>
      </c>
      <c r="AN10" s="47">
        <f t="shared" ca="1" si="26"/>
        <v>1</v>
      </c>
      <c r="AO10" s="47">
        <f t="shared" ca="1" si="27"/>
        <v>1</v>
      </c>
      <c r="AP10" s="47">
        <f t="shared" ca="1" si="28"/>
        <v>1</v>
      </c>
      <c r="AQ10" s="47">
        <f t="shared" ca="1" si="29"/>
        <v>0</v>
      </c>
      <c r="AR10" s="47">
        <f t="shared" ca="1" si="30"/>
        <v>79</v>
      </c>
      <c r="AS10" s="33">
        <f t="shared" ca="1" si="31"/>
        <v>0.4</v>
      </c>
      <c r="AW10" s="2">
        <v>4.2</v>
      </c>
      <c r="AX10" s="2" t="s">
        <v>259</v>
      </c>
      <c r="AY10" s="130">
        <v>25.5</v>
      </c>
      <c r="AZ10" s="2">
        <v>20</v>
      </c>
      <c r="BA10" s="2"/>
      <c r="BB10" s="2">
        <v>14</v>
      </c>
      <c r="BC10" s="2"/>
      <c r="BD10" s="2">
        <v>6.2</v>
      </c>
      <c r="BE10" s="2">
        <v>8.4</v>
      </c>
      <c r="BF10" s="2">
        <v>8.9</v>
      </c>
      <c r="BG10" s="2">
        <v>9.4</v>
      </c>
      <c r="BH10" s="2">
        <v>11.2</v>
      </c>
      <c r="BI10" s="2"/>
      <c r="BJ10" s="2"/>
      <c r="BK10" s="2"/>
      <c r="BL10" s="2"/>
      <c r="BM10" s="2"/>
      <c r="BN10" s="2">
        <v>56</v>
      </c>
      <c r="BO10" s="2">
        <v>32</v>
      </c>
      <c r="BP10" s="2">
        <v>37</v>
      </c>
      <c r="BQ10" s="2">
        <v>40</v>
      </c>
      <c r="BR10" s="2">
        <v>43</v>
      </c>
      <c r="BS10" s="2">
        <v>49</v>
      </c>
      <c r="BT10" s="2">
        <v>9</v>
      </c>
      <c r="BU10" s="2">
        <v>46</v>
      </c>
      <c r="BV10" s="2">
        <v>61</v>
      </c>
      <c r="BW10" s="2">
        <v>76</v>
      </c>
      <c r="BX10" s="2">
        <v>113</v>
      </c>
      <c r="BY10" s="2">
        <v>30.5</v>
      </c>
      <c r="BZ10" s="2">
        <v>4.4000000000000004</v>
      </c>
      <c r="CA10" s="2">
        <v>1.2</v>
      </c>
      <c r="CB10" s="2">
        <v>1.2987947287947701E-6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14a</v>
      </c>
      <c r="J11" s="47">
        <f t="shared" ca="1" si="32"/>
        <v>6</v>
      </c>
      <c r="K11" s="19">
        <f t="shared" ca="1" si="33"/>
        <v>-12.9</v>
      </c>
      <c r="L11" s="116" t="str">
        <f t="shared" ca="1" si="1"/>
        <v>EW_sand_Ruled_59</v>
      </c>
      <c r="M11" s="105" t="str">
        <f t="shared" ca="1" si="2"/>
        <v>API sand</v>
      </c>
      <c r="N11" s="47">
        <f t="shared" ca="1" si="3"/>
        <v>8.5</v>
      </c>
      <c r="O11" s="63">
        <f t="shared" ca="1" si="34"/>
        <v>0</v>
      </c>
      <c r="P11" s="63">
        <f t="shared" ca="1" si="35"/>
        <v>0</v>
      </c>
      <c r="Q11" s="47">
        <f t="shared" ca="1" si="4"/>
        <v>26</v>
      </c>
      <c r="R11" s="47">
        <f t="shared" ca="1" si="5"/>
        <v>21</v>
      </c>
      <c r="S11" s="47">
        <f t="shared" ca="1" si="6"/>
        <v>0.9</v>
      </c>
      <c r="T11" s="47">
        <f t="shared" ca="1" si="7"/>
        <v>0</v>
      </c>
      <c r="U11" s="75">
        <f t="shared" ca="1" si="8"/>
        <v>0</v>
      </c>
      <c r="V11" s="75">
        <f t="shared" ca="1" si="9"/>
        <v>0</v>
      </c>
      <c r="W11" s="47">
        <f t="shared" ca="1" si="36"/>
        <v>0</v>
      </c>
      <c r="X11" s="47">
        <f t="shared" ca="1" si="10"/>
        <v>12700</v>
      </c>
      <c r="Y11" s="47">
        <f t="shared" ca="1" si="11"/>
        <v>0</v>
      </c>
      <c r="Z11" s="47">
        <f t="shared" ca="1" si="12"/>
        <v>69.799999999999983</v>
      </c>
      <c r="AA11" s="47">
        <f t="shared" ca="1" si="13"/>
        <v>1</v>
      </c>
      <c r="AB11" s="47">
        <f t="shared" ca="1" si="14"/>
        <v>3280</v>
      </c>
      <c r="AC11" s="63">
        <f t="shared" ca="1" si="15"/>
        <v>97000</v>
      </c>
      <c r="AD11" s="63">
        <f t="shared" ca="1" si="16"/>
        <v>1322.3140495867769</v>
      </c>
      <c r="AE11" s="63">
        <f t="shared" ca="1" si="17"/>
        <v>0.3</v>
      </c>
      <c r="AF11" s="63">
        <f t="shared" ca="1" si="18"/>
        <v>0</v>
      </c>
      <c r="AG11" s="63">
        <f t="shared" ca="1" si="19"/>
        <v>0</v>
      </c>
      <c r="AH11" s="63">
        <f t="shared" ca="1" si="20"/>
        <v>0</v>
      </c>
      <c r="AI11" s="63">
        <f t="shared" ca="1" si="21"/>
        <v>0</v>
      </c>
      <c r="AJ11" s="47">
        <f t="shared" ca="1" si="22"/>
        <v>13.600000000000003</v>
      </c>
      <c r="AK11" s="47">
        <f t="shared" ca="1" si="23"/>
        <v>1</v>
      </c>
      <c r="AL11" s="47">
        <f t="shared" ca="1" si="24"/>
        <v>1</v>
      </c>
      <c r="AM11" s="47">
        <f t="shared" ca="1" si="25"/>
        <v>1</v>
      </c>
      <c r="AN11" s="47">
        <f t="shared" ca="1" si="26"/>
        <v>1</v>
      </c>
      <c r="AO11" s="47">
        <f t="shared" ca="1" si="27"/>
        <v>1</v>
      </c>
      <c r="AP11" s="47">
        <f t="shared" ca="1" si="28"/>
        <v>1</v>
      </c>
      <c r="AQ11" s="47">
        <f t="shared" ca="1" si="29"/>
        <v>0</v>
      </c>
      <c r="AR11" s="47">
        <f t="shared" ca="1" si="30"/>
        <v>59</v>
      </c>
      <c r="AS11" s="33">
        <f t="shared" ca="1" si="31"/>
        <v>0.2</v>
      </c>
      <c r="AW11" s="2">
        <v>6</v>
      </c>
      <c r="AX11" s="2" t="s">
        <v>259</v>
      </c>
      <c r="AY11" s="130">
        <v>25.5</v>
      </c>
      <c r="AZ11" s="2">
        <v>20</v>
      </c>
      <c r="BA11" s="2"/>
      <c r="BB11" s="2">
        <v>14</v>
      </c>
      <c r="BC11" s="2"/>
      <c r="BD11" s="2">
        <v>4.4000000000000004</v>
      </c>
      <c r="BE11" s="2">
        <v>6.6</v>
      </c>
      <c r="BF11" s="2">
        <v>7.1</v>
      </c>
      <c r="BG11" s="2">
        <v>7.6</v>
      </c>
      <c r="BH11" s="2">
        <v>9.4</v>
      </c>
      <c r="BI11" s="2"/>
      <c r="BJ11" s="2"/>
      <c r="BK11" s="2"/>
      <c r="BL11" s="2"/>
      <c r="BM11" s="2"/>
      <c r="BN11" s="2">
        <v>56</v>
      </c>
      <c r="BO11" s="2">
        <v>32</v>
      </c>
      <c r="BP11" s="2">
        <v>37</v>
      </c>
      <c r="BQ11" s="2">
        <v>40</v>
      </c>
      <c r="BR11" s="2">
        <v>43</v>
      </c>
      <c r="BS11" s="2">
        <v>49</v>
      </c>
      <c r="BT11" s="2">
        <v>13</v>
      </c>
      <c r="BU11" s="2">
        <v>50</v>
      </c>
      <c r="BV11" s="2">
        <v>65</v>
      </c>
      <c r="BW11" s="2">
        <v>80</v>
      </c>
      <c r="BX11" s="2">
        <v>116</v>
      </c>
      <c r="BY11" s="2">
        <v>30.5</v>
      </c>
      <c r="BZ11" s="2">
        <v>4.4000000000000004</v>
      </c>
      <c r="CA11" s="2">
        <v>1.2</v>
      </c>
      <c r="CB11" s="2">
        <v>1.2987947287947701E-6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1092.5789999999997</v>
      </c>
      <c r="H12" s="45" t="s">
        <v>53</v>
      </c>
      <c r="I12" s="33" t="str">
        <f t="shared" ca="1" si="0"/>
        <v>14b</v>
      </c>
      <c r="J12" s="47">
        <f t="shared" ca="1" si="32"/>
        <v>7</v>
      </c>
      <c r="K12" s="19">
        <f t="shared" ca="1" si="33"/>
        <v>-25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8.5</v>
      </c>
      <c r="O12" s="63">
        <f t="shared" ca="1" si="34"/>
        <v>168</v>
      </c>
      <c r="P12" s="63">
        <f t="shared" ca="1" si="35"/>
        <v>10.992366412213739</v>
      </c>
      <c r="Q12" s="47">
        <f t="shared" ca="1" si="4"/>
        <v>0</v>
      </c>
      <c r="R12" s="47" t="e">
        <f t="shared" ca="1" si="5"/>
        <v>#N/A</v>
      </c>
      <c r="S12" s="47">
        <f t="shared" ca="1" si="6"/>
        <v>1.9</v>
      </c>
      <c r="T12" s="47">
        <f t="shared" ca="1" si="7"/>
        <v>0</v>
      </c>
      <c r="U12" s="75">
        <f t="shared" ca="1" si="8"/>
        <v>1.7999999999999999E-2</v>
      </c>
      <c r="V12" s="75">
        <f t="shared" ca="1" si="9"/>
        <v>0</v>
      </c>
      <c r="W12" s="47">
        <f t="shared" ca="1" si="36"/>
        <v>0.5</v>
      </c>
      <c r="X12" s="47">
        <f t="shared" ca="1" si="10"/>
        <v>20100</v>
      </c>
      <c r="Y12" s="47">
        <f t="shared" ca="1" si="11"/>
        <v>0</v>
      </c>
      <c r="Z12" s="47" t="e">
        <f t="shared" ca="1" si="12"/>
        <v>#N/A</v>
      </c>
      <c r="AA12" s="47">
        <f t="shared" ca="1" si="13"/>
        <v>1</v>
      </c>
      <c r="AB12" s="47" t="e">
        <f t="shared" ca="1" si="14"/>
        <v>#N/A</v>
      </c>
      <c r="AC12" s="63">
        <f t="shared" ca="1" si="15"/>
        <v>218000</v>
      </c>
      <c r="AD12" s="63">
        <f t="shared" ca="1" si="16"/>
        <v>14274.809160305342</v>
      </c>
      <c r="AE12" s="63">
        <f t="shared" ca="1" si="17"/>
        <v>0.3</v>
      </c>
      <c r="AF12" s="63">
        <f t="shared" ca="1" si="18"/>
        <v>0</v>
      </c>
      <c r="AG12" s="63">
        <f t="shared" ca="1" si="19"/>
        <v>0</v>
      </c>
      <c r="AH12" s="63">
        <f t="shared" ca="1" si="20"/>
        <v>0</v>
      </c>
      <c r="AI12" s="63">
        <f t="shared" ca="1" si="21"/>
        <v>0</v>
      </c>
      <c r="AJ12" s="47" t="e">
        <f t="shared" ca="1" si="22"/>
        <v>#N/A</v>
      </c>
      <c r="AK12" s="47">
        <f t="shared" ca="1" si="23"/>
        <v>1</v>
      </c>
      <c r="AL12" s="47">
        <f t="shared" ca="1" si="24"/>
        <v>1</v>
      </c>
      <c r="AM12" s="47">
        <f t="shared" ca="1" si="25"/>
        <v>1</v>
      </c>
      <c r="AN12" s="47">
        <f t="shared" ca="1" si="26"/>
        <v>1</v>
      </c>
      <c r="AO12" s="47">
        <f t="shared" ca="1" si="27"/>
        <v>1</v>
      </c>
      <c r="AP12" s="47">
        <f t="shared" ca="1" si="28"/>
        <v>1</v>
      </c>
      <c r="AQ12" s="47">
        <f t="shared" ca="1" si="29"/>
        <v>0</v>
      </c>
      <c r="AR12" s="47">
        <f t="shared" ca="1" si="30"/>
        <v>0</v>
      </c>
      <c r="AS12" s="33">
        <f t="shared" ca="1" si="31"/>
        <v>0.4</v>
      </c>
      <c r="AW12" s="2">
        <v>6</v>
      </c>
      <c r="AX12" s="2" t="s">
        <v>261</v>
      </c>
      <c r="AY12" s="130">
        <v>24</v>
      </c>
      <c r="AZ12" s="2">
        <v>19.899999999999999</v>
      </c>
      <c r="BA12" s="2"/>
      <c r="BB12" s="2">
        <v>6</v>
      </c>
      <c r="BC12" s="2"/>
      <c r="BD12" s="2">
        <v>7.4</v>
      </c>
      <c r="BE12" s="2">
        <v>10.3</v>
      </c>
      <c r="BF12" s="2">
        <v>10.8</v>
      </c>
      <c r="BG12" s="2">
        <v>12.3</v>
      </c>
      <c r="BH12" s="2">
        <v>20.6</v>
      </c>
      <c r="BI12" s="2"/>
      <c r="BJ12" s="2"/>
      <c r="BK12" s="2"/>
      <c r="BL12" s="2"/>
      <c r="BM12" s="2"/>
      <c r="BN12" s="2">
        <v>68</v>
      </c>
      <c r="BO12" s="2">
        <v>33</v>
      </c>
      <c r="BP12" s="2">
        <v>39</v>
      </c>
      <c r="BQ12" s="2">
        <v>42</v>
      </c>
      <c r="BR12" s="2">
        <v>45</v>
      </c>
      <c r="BS12" s="2">
        <v>51</v>
      </c>
      <c r="BT12" s="2">
        <v>6</v>
      </c>
      <c r="BU12" s="2">
        <v>54</v>
      </c>
      <c r="BV12" s="2">
        <v>74</v>
      </c>
      <c r="BW12" s="2">
        <v>95</v>
      </c>
      <c r="BX12" s="2">
        <v>145</v>
      </c>
      <c r="BY12" s="2">
        <v>58.9</v>
      </c>
      <c r="BZ12" s="2">
        <v>4.5999999999999996</v>
      </c>
      <c r="CA12" s="2">
        <v>1.2</v>
      </c>
      <c r="CB12" s="2">
        <v>2.9491005397214E-6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15b</v>
      </c>
      <c r="J13" s="47">
        <f t="shared" ca="1" si="32"/>
        <v>8</v>
      </c>
      <c r="K13" s="19">
        <f t="shared" ca="1" si="33"/>
        <v>-38.1</v>
      </c>
      <c r="L13" s="116" t="str">
        <f t="shared" ca="1" si="1"/>
        <v>EW_sand_Ruled_80</v>
      </c>
      <c r="M13" s="105" t="str">
        <f t="shared" ca="1" si="2"/>
        <v>API sand</v>
      </c>
      <c r="N13" s="47">
        <f t="shared" ca="1" si="3"/>
        <v>9</v>
      </c>
      <c r="O13" s="63">
        <f t="shared" ca="1" si="34"/>
        <v>0</v>
      </c>
      <c r="P13" s="63">
        <f t="shared" ca="1" si="35"/>
        <v>0</v>
      </c>
      <c r="Q13" s="47">
        <f t="shared" ca="1" si="4"/>
        <v>28</v>
      </c>
      <c r="R13" s="47">
        <f t="shared" ca="1" si="5"/>
        <v>23</v>
      </c>
      <c r="S13" s="47">
        <f t="shared" ca="1" si="6"/>
        <v>1</v>
      </c>
      <c r="T13" s="47">
        <f t="shared" ca="1" si="7"/>
        <v>0</v>
      </c>
      <c r="U13" s="75">
        <f t="shared" ca="1" si="8"/>
        <v>0</v>
      </c>
      <c r="V13" s="75">
        <f t="shared" ca="1" si="9"/>
        <v>0</v>
      </c>
      <c r="W13" s="47">
        <f t="shared" ca="1" si="36"/>
        <v>0</v>
      </c>
      <c r="X13" s="47">
        <f t="shared" ca="1" si="10"/>
        <v>46000</v>
      </c>
      <c r="Y13" s="47">
        <f t="shared" ca="1" si="11"/>
        <v>0</v>
      </c>
      <c r="Z13" s="47">
        <f t="shared" ca="1" si="12"/>
        <v>75.399999999999977</v>
      </c>
      <c r="AA13" s="47">
        <f t="shared" ca="1" si="13"/>
        <v>1</v>
      </c>
      <c r="AB13" s="47">
        <f t="shared" ca="1" si="14"/>
        <v>4040</v>
      </c>
      <c r="AC13" s="63">
        <f t="shared" ca="1" si="15"/>
        <v>188000</v>
      </c>
      <c r="AD13" s="63">
        <f t="shared" ca="1" si="16"/>
        <v>2881.3559322033907</v>
      </c>
      <c r="AE13" s="63">
        <f t="shared" ca="1" si="17"/>
        <v>0.3</v>
      </c>
      <c r="AF13" s="63">
        <f t="shared" ca="1" si="18"/>
        <v>0</v>
      </c>
      <c r="AG13" s="63">
        <f t="shared" ca="1" si="19"/>
        <v>0</v>
      </c>
      <c r="AH13" s="63">
        <f t="shared" ca="1" si="20"/>
        <v>0</v>
      </c>
      <c r="AI13" s="63">
        <f t="shared" ca="1" si="21"/>
        <v>0</v>
      </c>
      <c r="AJ13" s="47">
        <f t="shared" ca="1" si="22"/>
        <v>16.800000000000004</v>
      </c>
      <c r="AK13" s="47">
        <f t="shared" ca="1" si="23"/>
        <v>1</v>
      </c>
      <c r="AL13" s="47">
        <f t="shared" ca="1" si="24"/>
        <v>1</v>
      </c>
      <c r="AM13" s="47">
        <f t="shared" ca="1" si="25"/>
        <v>1</v>
      </c>
      <c r="AN13" s="47">
        <f t="shared" ca="1" si="26"/>
        <v>1</v>
      </c>
      <c r="AO13" s="47">
        <f t="shared" ca="1" si="27"/>
        <v>1</v>
      </c>
      <c r="AP13" s="47">
        <f t="shared" ca="1" si="28"/>
        <v>1</v>
      </c>
      <c r="AQ13" s="47">
        <f t="shared" ca="1" si="29"/>
        <v>0</v>
      </c>
      <c r="AR13" s="47">
        <f t="shared" ca="1" si="30"/>
        <v>80</v>
      </c>
      <c r="AS13" s="33">
        <f t="shared" ca="1" si="31"/>
        <v>0.2</v>
      </c>
      <c r="AW13" s="2">
        <v>9</v>
      </c>
      <c r="AX13" s="2" t="s">
        <v>261</v>
      </c>
      <c r="AY13" s="130">
        <v>24</v>
      </c>
      <c r="AZ13" s="2">
        <v>19.899999999999999</v>
      </c>
      <c r="BA13" s="2"/>
      <c r="BB13" s="2">
        <v>6</v>
      </c>
      <c r="BC13" s="2"/>
      <c r="BD13" s="2">
        <v>12.6</v>
      </c>
      <c r="BE13" s="2">
        <v>15.4</v>
      </c>
      <c r="BF13" s="2">
        <v>16</v>
      </c>
      <c r="BG13" s="2">
        <v>17.399999999999999</v>
      </c>
      <c r="BH13" s="2">
        <v>25.8</v>
      </c>
      <c r="BI13" s="2"/>
      <c r="BJ13" s="2"/>
      <c r="BK13" s="2"/>
      <c r="BL13" s="2"/>
      <c r="BM13" s="2"/>
      <c r="BN13" s="2">
        <v>68</v>
      </c>
      <c r="BO13" s="2">
        <v>33</v>
      </c>
      <c r="BP13" s="2">
        <v>39</v>
      </c>
      <c r="BQ13" s="2">
        <v>42</v>
      </c>
      <c r="BR13" s="2">
        <v>45</v>
      </c>
      <c r="BS13" s="2">
        <v>51</v>
      </c>
      <c r="BT13" s="2">
        <v>26</v>
      </c>
      <c r="BU13" s="2">
        <v>74</v>
      </c>
      <c r="BV13" s="2">
        <v>95</v>
      </c>
      <c r="BW13" s="2">
        <v>115</v>
      </c>
      <c r="BX13" s="2">
        <v>165</v>
      </c>
      <c r="BY13" s="2">
        <v>58.9</v>
      </c>
      <c r="BZ13" s="2">
        <v>4.5999999999999996</v>
      </c>
      <c r="CA13" s="2">
        <v>1.2</v>
      </c>
      <c r="CB13" s="2">
        <v>2.9491005397214E-6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15b</v>
      </c>
      <c r="J14" s="47">
        <f t="shared" ca="1" si="32"/>
        <v>9</v>
      </c>
      <c r="K14" s="19">
        <f t="shared" ca="1" si="33"/>
        <v>-44</v>
      </c>
      <c r="L14" s="116" t="str">
        <f t="shared" ca="1" si="1"/>
        <v>EW_sand_Ruled_80</v>
      </c>
      <c r="M14" s="105" t="str">
        <f t="shared" ca="1" si="2"/>
        <v>API sand</v>
      </c>
      <c r="N14" s="47">
        <f t="shared" ca="1" si="3"/>
        <v>9</v>
      </c>
      <c r="O14" s="63">
        <f t="shared" ca="1" si="34"/>
        <v>0</v>
      </c>
      <c r="P14" s="63">
        <f t="shared" ca="1" si="35"/>
        <v>0</v>
      </c>
      <c r="Q14" s="47">
        <f t="shared" ca="1" si="4"/>
        <v>28</v>
      </c>
      <c r="R14" s="47">
        <f t="shared" ca="1" si="5"/>
        <v>23</v>
      </c>
      <c r="S14" s="47">
        <f t="shared" ca="1" si="6"/>
        <v>1</v>
      </c>
      <c r="T14" s="47">
        <f t="shared" ca="1" si="7"/>
        <v>0</v>
      </c>
      <c r="U14" s="75">
        <f t="shared" ca="1" si="8"/>
        <v>0</v>
      </c>
      <c r="V14" s="75">
        <f t="shared" ca="1" si="9"/>
        <v>0</v>
      </c>
      <c r="W14" s="47">
        <f t="shared" ca="1" si="36"/>
        <v>0</v>
      </c>
      <c r="X14" s="47">
        <f t="shared" ca="1" si="10"/>
        <v>46000</v>
      </c>
      <c r="Y14" s="47">
        <f t="shared" ca="1" si="11"/>
        <v>0</v>
      </c>
      <c r="Z14" s="47">
        <f t="shared" ca="1" si="12"/>
        <v>75.399999999999977</v>
      </c>
      <c r="AA14" s="47">
        <f t="shared" ca="1" si="13"/>
        <v>1</v>
      </c>
      <c r="AB14" s="47">
        <f t="shared" ca="1" si="14"/>
        <v>4040</v>
      </c>
      <c r="AC14" s="63">
        <f t="shared" ca="1" si="15"/>
        <v>182000</v>
      </c>
      <c r="AD14" s="63">
        <f t="shared" ca="1" si="16"/>
        <v>15625.000000000009</v>
      </c>
      <c r="AE14" s="63">
        <f t="shared" ca="1" si="17"/>
        <v>0.3</v>
      </c>
      <c r="AF14" s="63">
        <f t="shared" ca="1" si="18"/>
        <v>0</v>
      </c>
      <c r="AG14" s="63">
        <f t="shared" ca="1" si="19"/>
        <v>0</v>
      </c>
      <c r="AH14" s="63">
        <f t="shared" ca="1" si="20"/>
        <v>0</v>
      </c>
      <c r="AI14" s="63">
        <f t="shared" ca="1" si="21"/>
        <v>0</v>
      </c>
      <c r="AJ14" s="47">
        <f t="shared" ca="1" si="22"/>
        <v>16.800000000000004</v>
      </c>
      <c r="AK14" s="47">
        <f t="shared" ca="1" si="23"/>
        <v>1</v>
      </c>
      <c r="AL14" s="47">
        <f t="shared" ca="1" si="24"/>
        <v>1</v>
      </c>
      <c r="AM14" s="47">
        <f t="shared" ca="1" si="25"/>
        <v>1</v>
      </c>
      <c r="AN14" s="47">
        <f t="shared" ca="1" si="26"/>
        <v>1</v>
      </c>
      <c r="AO14" s="47">
        <f t="shared" ca="1" si="27"/>
        <v>1</v>
      </c>
      <c r="AP14" s="47">
        <f t="shared" ca="1" si="28"/>
        <v>1</v>
      </c>
      <c r="AQ14" s="47">
        <f t="shared" ca="1" si="29"/>
        <v>0</v>
      </c>
      <c r="AR14" s="47">
        <f t="shared" ca="1" si="30"/>
        <v>80</v>
      </c>
      <c r="AS14" s="33">
        <f t="shared" ca="1" si="31"/>
        <v>0.2</v>
      </c>
      <c r="AW14" s="2">
        <v>9</v>
      </c>
      <c r="AX14" s="2" t="s">
        <v>261</v>
      </c>
      <c r="AY14" s="130">
        <v>24</v>
      </c>
      <c r="AZ14" s="2">
        <v>19.899999999999999</v>
      </c>
      <c r="BA14" s="2"/>
      <c r="BB14" s="2">
        <v>6</v>
      </c>
      <c r="BC14" s="2"/>
      <c r="BD14" s="2">
        <f>-5+20.2</f>
        <v>15.2</v>
      </c>
      <c r="BE14" s="2">
        <v>24.2</v>
      </c>
      <c r="BF14" s="2">
        <v>24.8</v>
      </c>
      <c r="BG14" s="2">
        <v>25.4</v>
      </c>
      <c r="BH14" s="2">
        <f>10+29.2</f>
        <v>39.200000000000003</v>
      </c>
      <c r="BI14" s="2"/>
      <c r="BJ14" s="2"/>
      <c r="BK14" s="2"/>
      <c r="BL14" s="2"/>
      <c r="BM14" s="2"/>
      <c r="BN14" s="2">
        <v>79</v>
      </c>
      <c r="BO14" s="2">
        <v>34</v>
      </c>
      <c r="BP14" s="2">
        <v>40</v>
      </c>
      <c r="BQ14" s="2">
        <v>43</v>
      </c>
      <c r="BR14" s="2">
        <v>46</v>
      </c>
      <c r="BS14" s="2">
        <v>52</v>
      </c>
      <c r="BT14" s="2">
        <v>16</v>
      </c>
      <c r="BU14" s="2">
        <v>82</v>
      </c>
      <c r="BV14" s="2">
        <v>108</v>
      </c>
      <c r="BW14" s="2">
        <v>135</v>
      </c>
      <c r="BX14" s="2">
        <v>200</v>
      </c>
      <c r="BY14" s="2">
        <v>89.5</v>
      </c>
      <c r="BZ14" s="2">
        <v>4.4000000000000004</v>
      </c>
      <c r="CA14" s="2">
        <v>1.2</v>
      </c>
      <c r="CB14" s="2">
        <v>1.2009607805544799E-5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21a</v>
      </c>
      <c r="J15" s="47">
        <f t="shared" ca="1" si="32"/>
        <v>10</v>
      </c>
      <c r="K15" s="19">
        <f t="shared" ca="1" si="33"/>
        <v>-48.8</v>
      </c>
      <c r="L15" s="116" t="str">
        <f t="shared" ca="1" si="1"/>
        <v>EW_sand_Ruled_68</v>
      </c>
      <c r="M15" s="105" t="str">
        <f t="shared" ca="1" si="2"/>
        <v>API sand</v>
      </c>
      <c r="N15" s="47">
        <f t="shared" ca="1" si="3"/>
        <v>9.8000000000000007</v>
      </c>
      <c r="O15" s="63">
        <f t="shared" ca="1" si="34"/>
        <v>0</v>
      </c>
      <c r="P15" s="63">
        <f t="shared" ca="1" si="35"/>
        <v>0</v>
      </c>
      <c r="Q15" s="47">
        <f t="shared" ca="1" si="4"/>
        <v>28</v>
      </c>
      <c r="R15" s="47">
        <f t="shared" ca="1" si="5"/>
        <v>23</v>
      </c>
      <c r="S15" s="47">
        <f t="shared" ca="1" si="6"/>
        <v>0.9</v>
      </c>
      <c r="T15" s="47">
        <f t="shared" ca="1" si="7"/>
        <v>0</v>
      </c>
      <c r="U15" s="75">
        <f t="shared" ca="1" si="8"/>
        <v>0</v>
      </c>
      <c r="V15" s="75">
        <f t="shared" ca="1" si="9"/>
        <v>0</v>
      </c>
      <c r="W15" s="47">
        <f t="shared" ca="1" si="36"/>
        <v>0</v>
      </c>
      <c r="X15" s="47">
        <f t="shared" ca="1" si="10"/>
        <v>46000</v>
      </c>
      <c r="Y15" s="47">
        <f t="shared" ca="1" si="11"/>
        <v>0</v>
      </c>
      <c r="Z15" s="47">
        <f t="shared" ca="1" si="12"/>
        <v>75.399999999999977</v>
      </c>
      <c r="AA15" s="47">
        <f t="shared" ca="1" si="13"/>
        <v>1</v>
      </c>
      <c r="AB15" s="47">
        <f t="shared" ca="1" si="14"/>
        <v>4040</v>
      </c>
      <c r="AC15" s="63">
        <f t="shared" ca="1" si="15"/>
        <v>196000</v>
      </c>
      <c r="AD15" s="63">
        <f t="shared" ca="1" si="16"/>
        <v>2574.8502994011974</v>
      </c>
      <c r="AE15" s="63">
        <f t="shared" ca="1" si="17"/>
        <v>0.3</v>
      </c>
      <c r="AF15" s="63">
        <f t="shared" ca="1" si="18"/>
        <v>0</v>
      </c>
      <c r="AG15" s="63">
        <f t="shared" ca="1" si="19"/>
        <v>0</v>
      </c>
      <c r="AH15" s="63">
        <f t="shared" ca="1" si="20"/>
        <v>0</v>
      </c>
      <c r="AI15" s="63">
        <f t="shared" ca="1" si="21"/>
        <v>0</v>
      </c>
      <c r="AJ15" s="47">
        <f t="shared" ca="1" si="22"/>
        <v>16.800000000000004</v>
      </c>
      <c r="AK15" s="47">
        <f t="shared" ca="1" si="23"/>
        <v>1</v>
      </c>
      <c r="AL15" s="47">
        <f t="shared" ca="1" si="24"/>
        <v>1</v>
      </c>
      <c r="AM15" s="47">
        <f t="shared" ca="1" si="25"/>
        <v>1</v>
      </c>
      <c r="AN15" s="47">
        <f t="shared" ca="1" si="26"/>
        <v>1</v>
      </c>
      <c r="AO15" s="47">
        <f t="shared" ca="1" si="27"/>
        <v>1</v>
      </c>
      <c r="AP15" s="47">
        <f t="shared" ca="1" si="28"/>
        <v>1</v>
      </c>
      <c r="AQ15" s="47">
        <f t="shared" ca="1" si="29"/>
        <v>0</v>
      </c>
      <c r="AR15" s="47">
        <f t="shared" ca="1" si="30"/>
        <v>68</v>
      </c>
      <c r="AS15" s="33">
        <f t="shared" ca="1" si="31"/>
        <v>0.2</v>
      </c>
      <c r="AW15" s="2">
        <v>12.9</v>
      </c>
      <c r="AX15" s="2" t="s">
        <v>261</v>
      </c>
      <c r="AY15" s="130">
        <v>24</v>
      </c>
      <c r="AZ15" s="2">
        <v>19.899999999999999</v>
      </c>
      <c r="BA15" s="2"/>
      <c r="BB15" s="2">
        <v>6</v>
      </c>
      <c r="BC15" s="2"/>
      <c r="BD15" s="2">
        <f>-5+15.5</f>
        <v>10.5</v>
      </c>
      <c r="BE15" s="2">
        <v>19.399999999999999</v>
      </c>
      <c r="BF15" s="2">
        <v>20</v>
      </c>
      <c r="BG15" s="2">
        <v>20.6</v>
      </c>
      <c r="BH15" s="2">
        <f>10+24.4</f>
        <v>34.4</v>
      </c>
      <c r="BI15" s="2"/>
      <c r="BJ15" s="2"/>
      <c r="BK15" s="2"/>
      <c r="BL15" s="2"/>
      <c r="BM15" s="2"/>
      <c r="BN15" s="2">
        <v>79</v>
      </c>
      <c r="BO15" s="2">
        <v>34</v>
      </c>
      <c r="BP15" s="2">
        <v>40</v>
      </c>
      <c r="BQ15" s="2">
        <v>43</v>
      </c>
      <c r="BR15" s="2">
        <v>46</v>
      </c>
      <c r="BS15" s="2">
        <v>52</v>
      </c>
      <c r="BT15" s="2">
        <v>25</v>
      </c>
      <c r="BU15" s="2">
        <v>90</v>
      </c>
      <c r="BV15" s="2">
        <v>117</v>
      </c>
      <c r="BW15" s="2">
        <v>143</v>
      </c>
      <c r="BX15" s="2">
        <v>208</v>
      </c>
      <c r="BY15" s="2">
        <v>89.5</v>
      </c>
      <c r="BZ15" s="2">
        <v>4.4000000000000004</v>
      </c>
      <c r="CA15" s="2">
        <v>1.2</v>
      </c>
      <c r="CB15" s="2">
        <v>1.2009607805544799E-5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23d</v>
      </c>
      <c r="J16" s="47">
        <f t="shared" ca="1" si="32"/>
        <v>11</v>
      </c>
      <c r="K16" s="19">
        <f t="shared" ca="1" si="33"/>
        <v>-65.5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8.8999999999999986</v>
      </c>
      <c r="O16" s="63">
        <f t="shared" ca="1" si="34"/>
        <v>488</v>
      </c>
      <c r="P16" s="63">
        <f t="shared" ca="1" si="35"/>
        <v>5.5172413793103452</v>
      </c>
      <c r="Q16" s="47">
        <f t="shared" ca="1" si="4"/>
        <v>0</v>
      </c>
      <c r="R16" s="47" t="e">
        <f t="shared" ca="1" si="5"/>
        <v>#N/A</v>
      </c>
      <c r="S16" s="47">
        <f t="shared" ca="1" si="6"/>
        <v>1.8</v>
      </c>
      <c r="T16" s="47">
        <f t="shared" ca="1" si="7"/>
        <v>0</v>
      </c>
      <c r="U16" s="75">
        <f t="shared" ca="1" si="8"/>
        <v>1.7999999999999999E-2</v>
      </c>
      <c r="V16" s="75">
        <f t="shared" ca="1" si="9"/>
        <v>0</v>
      </c>
      <c r="W16" s="47">
        <f t="shared" ca="1" si="36"/>
        <v>0.25</v>
      </c>
      <c r="X16" s="47">
        <f t="shared" ca="1" si="10"/>
        <v>45800</v>
      </c>
      <c r="Y16" s="47">
        <f t="shared" ca="1" si="11"/>
        <v>0</v>
      </c>
      <c r="Z16" s="47" t="e">
        <f t="shared" ca="1" si="12"/>
        <v>#N/A</v>
      </c>
      <c r="AA16" s="47">
        <f t="shared" ca="1" si="13"/>
        <v>1</v>
      </c>
      <c r="AB16" s="47" t="e">
        <f t="shared" ca="1" si="14"/>
        <v>#N/A</v>
      </c>
      <c r="AC16" s="63">
        <f t="shared" ca="1" si="15"/>
        <v>761000</v>
      </c>
      <c r="AD16" s="63">
        <f t="shared" ca="1" si="16"/>
        <v>10482.758620689654</v>
      </c>
      <c r="AE16" s="63">
        <f t="shared" ca="1" si="17"/>
        <v>0.3</v>
      </c>
      <c r="AF16" s="63">
        <f t="shared" ca="1" si="18"/>
        <v>0</v>
      </c>
      <c r="AG16" s="63">
        <f t="shared" ca="1" si="19"/>
        <v>0</v>
      </c>
      <c r="AH16" s="63">
        <f t="shared" ca="1" si="20"/>
        <v>0</v>
      </c>
      <c r="AI16" s="63">
        <f t="shared" ca="1" si="21"/>
        <v>0</v>
      </c>
      <c r="AJ16" s="47" t="e">
        <f t="shared" ca="1" si="22"/>
        <v>#N/A</v>
      </c>
      <c r="AK16" s="47">
        <f t="shared" ca="1" si="23"/>
        <v>1</v>
      </c>
      <c r="AL16" s="47">
        <f t="shared" ca="1" si="24"/>
        <v>1</v>
      </c>
      <c r="AM16" s="47">
        <f t="shared" ca="1" si="25"/>
        <v>1</v>
      </c>
      <c r="AN16" s="47">
        <f t="shared" ca="1" si="26"/>
        <v>1</v>
      </c>
      <c r="AO16" s="47">
        <f t="shared" ca="1" si="27"/>
        <v>1</v>
      </c>
      <c r="AP16" s="47">
        <f t="shared" ca="1" si="28"/>
        <v>1</v>
      </c>
      <c r="AQ16" s="47">
        <f t="shared" ca="1" si="29"/>
        <v>0</v>
      </c>
      <c r="AR16" s="47">
        <f t="shared" ca="1" si="30"/>
        <v>0</v>
      </c>
      <c r="AS16" s="33">
        <f t="shared" ca="1" si="31"/>
        <v>0.4</v>
      </c>
      <c r="AW16" s="2">
        <v>12.9</v>
      </c>
      <c r="AX16" s="2" t="s">
        <v>264</v>
      </c>
      <c r="AY16" s="130">
        <v>31.6</v>
      </c>
      <c r="AZ16" s="2">
        <v>18.5</v>
      </c>
      <c r="BA16" s="2"/>
      <c r="BB16" s="2">
        <v>38</v>
      </c>
      <c r="BC16" s="2"/>
      <c r="BD16" s="2">
        <v>5.7</v>
      </c>
      <c r="BE16" s="2">
        <v>8.4</v>
      </c>
      <c r="BF16" s="2">
        <v>8.6999999999999993</v>
      </c>
      <c r="BG16" s="2">
        <v>8.9</v>
      </c>
      <c r="BH16" s="2">
        <v>11.2</v>
      </c>
      <c r="BI16" s="2"/>
      <c r="BJ16" s="2"/>
      <c r="BK16" s="2"/>
      <c r="BL16" s="2"/>
      <c r="BM16" s="2"/>
      <c r="BN16" s="2">
        <v>59</v>
      </c>
      <c r="BO16" s="2">
        <v>26</v>
      </c>
      <c r="BP16" s="2">
        <v>26</v>
      </c>
      <c r="BQ16" s="2">
        <v>28</v>
      </c>
      <c r="BR16" s="2">
        <v>30</v>
      </c>
      <c r="BS16" s="2">
        <v>34</v>
      </c>
      <c r="BT16" s="2">
        <v>12</v>
      </c>
      <c r="BU16" s="2">
        <v>72</v>
      </c>
      <c r="BV16" s="2">
        <v>97</v>
      </c>
      <c r="BW16" s="2">
        <v>122</v>
      </c>
      <c r="BX16" s="2">
        <v>183</v>
      </c>
      <c r="BY16" s="2">
        <v>12.7</v>
      </c>
      <c r="BZ16" s="2">
        <v>2.5</v>
      </c>
      <c r="CA16" s="2">
        <v>0.9</v>
      </c>
      <c r="CB16" s="2">
        <v>5.84151274151961E-9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52"/>
      <c r="E17" s="152"/>
      <c r="I17" s="33" t="str">
        <f t="shared" ca="1" si="0"/>
        <v/>
      </c>
      <c r="J17" s="47" t="str">
        <f t="shared" ca="1" si="32"/>
        <v/>
      </c>
      <c r="K17" s="19" t="str">
        <f t="shared" ca="1" si="33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34"/>
        <v/>
      </c>
      <c r="P17" s="63" t="str">
        <f t="shared" ca="1" si="35"/>
        <v/>
      </c>
      <c r="Q17" s="47" t="str">
        <f t="shared" ca="1" si="4"/>
        <v/>
      </c>
      <c r="R17" s="47" t="str">
        <f t="shared" ca="1" si="5"/>
        <v/>
      </c>
      <c r="S17" s="47" t="str">
        <f t="shared" ca="1" si="6"/>
        <v/>
      </c>
      <c r="T17" s="47" t="str">
        <f t="shared" ca="1" si="7"/>
        <v/>
      </c>
      <c r="U17" s="75" t="str">
        <f t="shared" ca="1" si="8"/>
        <v/>
      </c>
      <c r="V17" s="75" t="str">
        <f t="shared" ca="1" si="9"/>
        <v/>
      </c>
      <c r="W17" s="47" t="str">
        <f t="shared" ca="1" si="36"/>
        <v/>
      </c>
      <c r="X17" s="47" t="str">
        <f t="shared" ca="1" si="10"/>
        <v/>
      </c>
      <c r="Y17" s="47" t="str">
        <f t="shared" ca="1" si="11"/>
        <v/>
      </c>
      <c r="Z17" s="47" t="str">
        <f t="shared" ca="1" si="12"/>
        <v/>
      </c>
      <c r="AA17" s="47" t="str">
        <f t="shared" ca="1" si="13"/>
        <v/>
      </c>
      <c r="AB17" s="47" t="str">
        <f t="shared" ca="1" si="14"/>
        <v/>
      </c>
      <c r="AC17" s="63" t="str">
        <f t="shared" ca="1" si="15"/>
        <v/>
      </c>
      <c r="AD17" s="63" t="str">
        <f t="shared" ca="1" si="16"/>
        <v/>
      </c>
      <c r="AE17" s="63" t="str">
        <f t="shared" ca="1" si="17"/>
        <v/>
      </c>
      <c r="AF17" s="63" t="str">
        <f t="shared" ca="1" si="18"/>
        <v/>
      </c>
      <c r="AG17" s="63" t="str">
        <f t="shared" ca="1" si="19"/>
        <v/>
      </c>
      <c r="AH17" s="63" t="str">
        <f t="shared" ca="1" si="20"/>
        <v/>
      </c>
      <c r="AI17" s="63" t="str">
        <f t="shared" ca="1" si="21"/>
        <v/>
      </c>
      <c r="AJ17" s="47" t="str">
        <f t="shared" ca="1" si="22"/>
        <v/>
      </c>
      <c r="AK17" s="47" t="str">
        <f t="shared" ca="1" si="23"/>
        <v/>
      </c>
      <c r="AL17" s="47" t="str">
        <f t="shared" ca="1" si="24"/>
        <v/>
      </c>
      <c r="AM17" s="47" t="str">
        <f t="shared" ca="1" si="25"/>
        <v/>
      </c>
      <c r="AN17" s="47" t="str">
        <f t="shared" ca="1" si="26"/>
        <v/>
      </c>
      <c r="AO17" s="47" t="str">
        <f t="shared" ca="1" si="27"/>
        <v/>
      </c>
      <c r="AP17" s="47" t="str">
        <f t="shared" ca="1" si="28"/>
        <v/>
      </c>
      <c r="AQ17" s="47" t="str">
        <f t="shared" ca="1" si="29"/>
        <v/>
      </c>
      <c r="AR17" s="47" t="str">
        <f t="shared" ca="1" si="30"/>
        <v/>
      </c>
      <c r="AS17" s="33" t="str">
        <f t="shared" ca="1" si="31"/>
        <v/>
      </c>
      <c r="AW17" s="2">
        <v>25</v>
      </c>
      <c r="AX17" s="2" t="s">
        <v>264</v>
      </c>
      <c r="AY17" s="130">
        <v>31.6</v>
      </c>
      <c r="AZ17" s="2">
        <v>18.5</v>
      </c>
      <c r="BA17" s="2"/>
      <c r="BB17" s="2">
        <v>38</v>
      </c>
      <c r="BC17" s="2"/>
      <c r="BD17" s="2">
        <v>3.8</v>
      </c>
      <c r="BE17" s="2">
        <v>6.4</v>
      </c>
      <c r="BF17" s="2">
        <v>6.7</v>
      </c>
      <c r="BG17" s="2">
        <v>6.9</v>
      </c>
      <c r="BH17" s="2">
        <v>9.3000000000000007</v>
      </c>
      <c r="BI17" s="2"/>
      <c r="BJ17" s="2"/>
      <c r="BK17" s="2"/>
      <c r="BL17" s="2"/>
      <c r="BM17" s="2"/>
      <c r="BN17" s="2">
        <v>59</v>
      </c>
      <c r="BO17" s="2">
        <v>26</v>
      </c>
      <c r="BP17" s="2">
        <v>26</v>
      </c>
      <c r="BQ17" s="2">
        <v>28</v>
      </c>
      <c r="BR17" s="2">
        <v>30</v>
      </c>
      <c r="BS17" s="2">
        <v>34</v>
      </c>
      <c r="BT17" s="2">
        <v>28</v>
      </c>
      <c r="BU17" s="2">
        <v>88</v>
      </c>
      <c r="BV17" s="2">
        <v>113</v>
      </c>
      <c r="BW17" s="2">
        <v>137</v>
      </c>
      <c r="BX17" s="2">
        <v>198</v>
      </c>
      <c r="BY17" s="2">
        <v>12.7</v>
      </c>
      <c r="BZ17" s="2">
        <v>2.5</v>
      </c>
      <c r="CA17" s="2">
        <v>0.9</v>
      </c>
      <c r="CB17" s="2">
        <v>5.84151274151961E-9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2"/>
        <v/>
      </c>
      <c r="K18" s="19" t="str">
        <f t="shared" ca="1" si="33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34"/>
        <v/>
      </c>
      <c r="P18" s="63" t="str">
        <f t="shared" ca="1" si="35"/>
        <v/>
      </c>
      <c r="Q18" s="47" t="str">
        <f t="shared" ca="1" si="4"/>
        <v/>
      </c>
      <c r="R18" s="47" t="str">
        <f t="shared" ca="1" si="5"/>
        <v/>
      </c>
      <c r="S18" s="47" t="str">
        <f t="shared" ca="1" si="6"/>
        <v/>
      </c>
      <c r="T18" s="47" t="str">
        <f t="shared" ca="1" si="7"/>
        <v/>
      </c>
      <c r="U18" s="75" t="str">
        <f t="shared" ca="1" si="8"/>
        <v/>
      </c>
      <c r="V18" s="75" t="str">
        <f t="shared" ca="1" si="9"/>
        <v/>
      </c>
      <c r="W18" s="47" t="str">
        <f t="shared" ca="1" si="36"/>
        <v/>
      </c>
      <c r="X18" s="47" t="str">
        <f t="shared" ca="1" si="10"/>
        <v/>
      </c>
      <c r="Y18" s="47" t="str">
        <f t="shared" ca="1" si="11"/>
        <v/>
      </c>
      <c r="Z18" s="47" t="str">
        <f t="shared" ca="1" si="12"/>
        <v/>
      </c>
      <c r="AA18" s="47" t="str">
        <f t="shared" ca="1" si="13"/>
        <v/>
      </c>
      <c r="AB18" s="47" t="str">
        <f t="shared" ca="1" si="14"/>
        <v/>
      </c>
      <c r="AC18" s="63" t="str">
        <f t="shared" ca="1" si="15"/>
        <v/>
      </c>
      <c r="AD18" s="63" t="str">
        <f t="shared" ca="1" si="16"/>
        <v/>
      </c>
      <c r="AE18" s="63" t="str">
        <f t="shared" ca="1" si="17"/>
        <v/>
      </c>
      <c r="AF18" s="63" t="str">
        <f t="shared" ca="1" si="18"/>
        <v/>
      </c>
      <c r="AG18" s="63" t="str">
        <f t="shared" ca="1" si="19"/>
        <v/>
      </c>
      <c r="AH18" s="63" t="str">
        <f t="shared" ca="1" si="20"/>
        <v/>
      </c>
      <c r="AI18" s="63" t="str">
        <f t="shared" ca="1" si="21"/>
        <v/>
      </c>
      <c r="AJ18" s="47" t="str">
        <f t="shared" ca="1" si="22"/>
        <v/>
      </c>
      <c r="AK18" s="47" t="str">
        <f t="shared" ca="1" si="23"/>
        <v/>
      </c>
      <c r="AL18" s="47" t="str">
        <f t="shared" ca="1" si="24"/>
        <v/>
      </c>
      <c r="AM18" s="47" t="str">
        <f t="shared" ca="1" si="25"/>
        <v/>
      </c>
      <c r="AN18" s="47" t="str">
        <f t="shared" ca="1" si="26"/>
        <v/>
      </c>
      <c r="AO18" s="47" t="str">
        <f t="shared" ca="1" si="27"/>
        <v/>
      </c>
      <c r="AP18" s="47" t="str">
        <f t="shared" ca="1" si="28"/>
        <v/>
      </c>
      <c r="AQ18" s="47" t="str">
        <f t="shared" ca="1" si="29"/>
        <v/>
      </c>
      <c r="AR18" s="47" t="str">
        <f t="shared" ca="1" si="30"/>
        <v/>
      </c>
      <c r="AS18" s="33" t="str">
        <f t="shared" ca="1" si="31"/>
        <v/>
      </c>
      <c r="AW18" s="2">
        <v>25</v>
      </c>
      <c r="AX18" s="2" t="s">
        <v>266</v>
      </c>
      <c r="AY18" s="130">
        <v>34.4</v>
      </c>
      <c r="AZ18" s="2">
        <v>18.5</v>
      </c>
      <c r="BA18" s="2">
        <v>23</v>
      </c>
      <c r="BB18" s="2">
        <v>76</v>
      </c>
      <c r="BC18" s="2">
        <v>4</v>
      </c>
      <c r="BD18" s="2">
        <v>2.7</v>
      </c>
      <c r="BE18" s="2">
        <v>4.4000000000000004</v>
      </c>
      <c r="BF18" s="2">
        <v>4.5</v>
      </c>
      <c r="BG18" s="2">
        <v>4.7</v>
      </c>
      <c r="BH18" s="2">
        <v>7</v>
      </c>
      <c r="BI18" s="2">
        <v>35</v>
      </c>
      <c r="BJ18" s="2">
        <v>168</v>
      </c>
      <c r="BK18" s="2">
        <v>224</v>
      </c>
      <c r="BL18" s="2">
        <v>281</v>
      </c>
      <c r="BM18" s="2">
        <v>444</v>
      </c>
      <c r="BN18" s="2"/>
      <c r="BO18" s="2"/>
      <c r="BP18" s="2"/>
      <c r="BQ18" s="2"/>
      <c r="BR18" s="2"/>
      <c r="BS18" s="2"/>
      <c r="BT18" s="2">
        <v>25</v>
      </c>
      <c r="BU18" s="2">
        <v>123</v>
      </c>
      <c r="BV18" s="2">
        <v>218</v>
      </c>
      <c r="BW18" s="2">
        <v>312</v>
      </c>
      <c r="BX18" s="2">
        <v>545</v>
      </c>
      <c r="BY18" s="2">
        <v>20.100000000000001</v>
      </c>
      <c r="BZ18" s="2">
        <v>5.5</v>
      </c>
      <c r="CA18" s="2">
        <v>1.9</v>
      </c>
      <c r="CB18" s="2">
        <v>7.9849714494462996E-11</v>
      </c>
      <c r="CC18" s="2">
        <v>1.8</v>
      </c>
    </row>
    <row r="19" spans="1:81" x14ac:dyDescent="0.25">
      <c r="A19" s="152" t="s">
        <v>38</v>
      </c>
      <c r="B19" s="152" t="s">
        <v>30</v>
      </c>
      <c r="C19" s="152" t="s">
        <v>59</v>
      </c>
      <c r="D19" s="43"/>
      <c r="E19" s="35"/>
      <c r="I19" s="33" t="str">
        <f t="shared" ca="1" si="0"/>
        <v/>
      </c>
      <c r="J19" s="47" t="str">
        <f t="shared" ca="1" si="32"/>
        <v/>
      </c>
      <c r="K19" s="19" t="str">
        <f t="shared" ca="1" si="33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34"/>
        <v/>
      </c>
      <c r="P19" s="63" t="str">
        <f t="shared" ca="1" si="35"/>
        <v/>
      </c>
      <c r="Q19" s="47" t="str">
        <f t="shared" ca="1" si="4"/>
        <v/>
      </c>
      <c r="R19" s="47" t="str">
        <f t="shared" ca="1" si="5"/>
        <v/>
      </c>
      <c r="S19" s="47" t="str">
        <f t="shared" ca="1" si="6"/>
        <v/>
      </c>
      <c r="T19" s="47" t="str">
        <f t="shared" ca="1" si="7"/>
        <v/>
      </c>
      <c r="U19" s="75" t="str">
        <f t="shared" ca="1" si="8"/>
        <v/>
      </c>
      <c r="V19" s="75" t="str">
        <f t="shared" ca="1" si="9"/>
        <v/>
      </c>
      <c r="W19" s="47" t="str">
        <f t="shared" ca="1" si="36"/>
        <v/>
      </c>
      <c r="X19" s="47" t="str">
        <f t="shared" ca="1" si="10"/>
        <v/>
      </c>
      <c r="Y19" s="47" t="str">
        <f t="shared" ca="1" si="11"/>
        <v/>
      </c>
      <c r="Z19" s="47" t="str">
        <f t="shared" ca="1" si="12"/>
        <v/>
      </c>
      <c r="AA19" s="47" t="str">
        <f t="shared" ca="1" si="13"/>
        <v/>
      </c>
      <c r="AB19" s="47" t="str">
        <f t="shared" ca="1" si="14"/>
        <v/>
      </c>
      <c r="AC19" s="63" t="str">
        <f t="shared" ca="1" si="15"/>
        <v/>
      </c>
      <c r="AD19" s="63" t="str">
        <f t="shared" ca="1" si="16"/>
        <v/>
      </c>
      <c r="AE19" s="63" t="str">
        <f t="shared" ca="1" si="17"/>
        <v/>
      </c>
      <c r="AF19" s="63" t="str">
        <f t="shared" ca="1" si="18"/>
        <v/>
      </c>
      <c r="AG19" s="63" t="str">
        <f t="shared" ca="1" si="19"/>
        <v/>
      </c>
      <c r="AH19" s="63" t="str">
        <f t="shared" ca="1" si="20"/>
        <v/>
      </c>
      <c r="AI19" s="63" t="str">
        <f t="shared" ca="1" si="21"/>
        <v/>
      </c>
      <c r="AJ19" s="47" t="str">
        <f t="shared" ca="1" si="22"/>
        <v/>
      </c>
      <c r="AK19" s="47" t="str">
        <f t="shared" ca="1" si="23"/>
        <v/>
      </c>
      <c r="AL19" s="47" t="str">
        <f t="shared" ca="1" si="24"/>
        <v/>
      </c>
      <c r="AM19" s="47" t="str">
        <f t="shared" ca="1" si="25"/>
        <v/>
      </c>
      <c r="AN19" s="47" t="str">
        <f t="shared" ca="1" si="26"/>
        <v/>
      </c>
      <c r="AO19" s="47" t="str">
        <f t="shared" ca="1" si="27"/>
        <v/>
      </c>
      <c r="AP19" s="47" t="str">
        <f t="shared" ca="1" si="28"/>
        <v/>
      </c>
      <c r="AQ19" s="47" t="str">
        <f t="shared" ca="1" si="29"/>
        <v/>
      </c>
      <c r="AR19" s="47" t="str">
        <f t="shared" ca="1" si="30"/>
        <v/>
      </c>
      <c r="AS19" s="33" t="str">
        <f t="shared" ca="1" si="31"/>
        <v/>
      </c>
      <c r="AW19" s="2">
        <v>38.1</v>
      </c>
      <c r="AX19" s="2" t="s">
        <v>266</v>
      </c>
      <c r="AY19" s="130">
        <v>34.4</v>
      </c>
      <c r="AZ19" s="2">
        <v>18.5</v>
      </c>
      <c r="BA19" s="2">
        <v>23</v>
      </c>
      <c r="BB19" s="2">
        <v>76</v>
      </c>
      <c r="BC19" s="2">
        <v>4</v>
      </c>
      <c r="BD19" s="2">
        <v>5.5</v>
      </c>
      <c r="BE19" s="2">
        <v>7.2</v>
      </c>
      <c r="BF19" s="2">
        <v>7.3</v>
      </c>
      <c r="BG19" s="2">
        <v>7.5</v>
      </c>
      <c r="BH19" s="2">
        <v>9.8000000000000007</v>
      </c>
      <c r="BI19" s="2">
        <v>178</v>
      </c>
      <c r="BJ19" s="2">
        <v>312</v>
      </c>
      <c r="BK19" s="2">
        <v>367</v>
      </c>
      <c r="BL19" s="2">
        <v>424</v>
      </c>
      <c r="BM19" s="2">
        <v>588</v>
      </c>
      <c r="BN19" s="2"/>
      <c r="BO19" s="2"/>
      <c r="BP19" s="2"/>
      <c r="BQ19" s="2"/>
      <c r="BR19" s="2"/>
      <c r="BS19" s="2"/>
      <c r="BT19" s="2">
        <v>212</v>
      </c>
      <c r="BU19" s="2">
        <v>310</v>
      </c>
      <c r="BV19" s="2">
        <v>405</v>
      </c>
      <c r="BW19" s="2">
        <v>499</v>
      </c>
      <c r="BX19" s="2">
        <v>732</v>
      </c>
      <c r="BY19" s="2">
        <v>20.100000000000001</v>
      </c>
      <c r="BZ19" s="2">
        <v>5.5</v>
      </c>
      <c r="CA19" s="2">
        <v>1.9</v>
      </c>
      <c r="CB19" s="2">
        <v>7.9849714494462996E-11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2"/>
        <v/>
      </c>
      <c r="K20" s="19" t="str">
        <f t="shared" ca="1" si="33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34"/>
        <v/>
      </c>
      <c r="P20" s="63" t="str">
        <f t="shared" ca="1" si="35"/>
        <v/>
      </c>
      <c r="Q20" s="47" t="str">
        <f t="shared" ca="1" si="4"/>
        <v/>
      </c>
      <c r="R20" s="47" t="str">
        <f t="shared" ca="1" si="5"/>
        <v/>
      </c>
      <c r="S20" s="47" t="str">
        <f t="shared" ca="1" si="6"/>
        <v/>
      </c>
      <c r="T20" s="47" t="str">
        <f t="shared" ca="1" si="7"/>
        <v/>
      </c>
      <c r="U20" s="75" t="str">
        <f t="shared" ca="1" si="8"/>
        <v/>
      </c>
      <c r="V20" s="75" t="str">
        <f t="shared" ca="1" si="9"/>
        <v/>
      </c>
      <c r="W20" s="47" t="str">
        <f t="shared" ca="1" si="36"/>
        <v/>
      </c>
      <c r="X20" s="47" t="str">
        <f t="shared" ca="1" si="10"/>
        <v/>
      </c>
      <c r="Y20" s="47" t="str">
        <f t="shared" ca="1" si="11"/>
        <v/>
      </c>
      <c r="Z20" s="47" t="str">
        <f t="shared" ca="1" si="12"/>
        <v/>
      </c>
      <c r="AA20" s="47" t="str">
        <f t="shared" ca="1" si="13"/>
        <v/>
      </c>
      <c r="AB20" s="47" t="str">
        <f t="shared" ca="1" si="14"/>
        <v/>
      </c>
      <c r="AC20" s="63" t="str">
        <f t="shared" ca="1" si="15"/>
        <v/>
      </c>
      <c r="AD20" s="63" t="str">
        <f t="shared" ca="1" si="16"/>
        <v/>
      </c>
      <c r="AE20" s="63" t="str">
        <f t="shared" ca="1" si="17"/>
        <v/>
      </c>
      <c r="AF20" s="63" t="str">
        <f t="shared" ca="1" si="18"/>
        <v/>
      </c>
      <c r="AG20" s="63" t="str">
        <f t="shared" ca="1" si="19"/>
        <v/>
      </c>
      <c r="AH20" s="63" t="str">
        <f t="shared" ca="1" si="20"/>
        <v/>
      </c>
      <c r="AI20" s="63" t="str">
        <f t="shared" ca="1" si="21"/>
        <v/>
      </c>
      <c r="AJ20" s="47" t="str">
        <f t="shared" ca="1" si="22"/>
        <v/>
      </c>
      <c r="AK20" s="47" t="str">
        <f t="shared" ca="1" si="23"/>
        <v/>
      </c>
      <c r="AL20" s="47" t="str">
        <f t="shared" ca="1" si="24"/>
        <v/>
      </c>
      <c r="AM20" s="47" t="str">
        <f t="shared" ca="1" si="25"/>
        <v/>
      </c>
      <c r="AN20" s="47" t="str">
        <f t="shared" ca="1" si="26"/>
        <v/>
      </c>
      <c r="AO20" s="47" t="str">
        <f t="shared" ca="1" si="27"/>
        <v/>
      </c>
      <c r="AP20" s="47" t="str">
        <f t="shared" ca="1" si="28"/>
        <v/>
      </c>
      <c r="AQ20" s="47" t="str">
        <f t="shared" ca="1" si="29"/>
        <v/>
      </c>
      <c r="AR20" s="47" t="str">
        <f t="shared" ca="1" si="30"/>
        <v/>
      </c>
      <c r="AS20" s="33" t="str">
        <f t="shared" ca="1" si="31"/>
        <v/>
      </c>
      <c r="AW20" s="2">
        <v>38.1</v>
      </c>
      <c r="AX20" s="2" t="s">
        <v>268</v>
      </c>
      <c r="AY20" s="130">
        <v>27.5</v>
      </c>
      <c r="AZ20" s="2">
        <v>19</v>
      </c>
      <c r="BA20" s="2"/>
      <c r="BB20" s="2">
        <v>28</v>
      </c>
      <c r="BC20" s="2"/>
      <c r="BD20" s="2">
        <v>18.3</v>
      </c>
      <c r="BE20" s="2">
        <v>26.8</v>
      </c>
      <c r="BF20" s="2">
        <v>27.9</v>
      </c>
      <c r="BG20" s="2">
        <v>28.9</v>
      </c>
      <c r="BH20" s="2">
        <v>36.9</v>
      </c>
      <c r="BI20" s="2"/>
      <c r="BJ20" s="2"/>
      <c r="BK20" s="2"/>
      <c r="BL20" s="2"/>
      <c r="BM20" s="2"/>
      <c r="BN20" s="2">
        <v>80</v>
      </c>
      <c r="BO20" s="2">
        <v>26</v>
      </c>
      <c r="BP20" s="2">
        <v>28</v>
      </c>
      <c r="BQ20" s="2">
        <v>31</v>
      </c>
      <c r="BR20" s="2">
        <v>33</v>
      </c>
      <c r="BS20" s="2">
        <v>37</v>
      </c>
      <c r="BT20" s="2">
        <v>38</v>
      </c>
      <c r="BU20" s="2">
        <v>142</v>
      </c>
      <c r="BV20" s="2">
        <v>188</v>
      </c>
      <c r="BW20" s="2">
        <v>234</v>
      </c>
      <c r="BX20" s="2">
        <v>349</v>
      </c>
      <c r="BY20" s="2">
        <v>46</v>
      </c>
      <c r="BZ20" s="2">
        <v>3.4</v>
      </c>
      <c r="CA20" s="2">
        <v>1</v>
      </c>
      <c r="CB20" s="2">
        <v>4.9696256046571099E-7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2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34"/>
        <v/>
      </c>
      <c r="P21" s="63" t="str">
        <f t="shared" ca="1" si="35"/>
        <v/>
      </c>
      <c r="Q21" s="47" t="str">
        <f t="shared" ca="1" si="4"/>
        <v/>
      </c>
      <c r="R21" s="47" t="str">
        <f t="shared" ca="1" si="5"/>
        <v/>
      </c>
      <c r="S21" s="47" t="str">
        <f t="shared" ca="1" si="6"/>
        <v/>
      </c>
      <c r="T21" s="47" t="str">
        <f t="shared" ca="1" si="7"/>
        <v/>
      </c>
      <c r="U21" s="75" t="str">
        <f t="shared" ca="1" si="8"/>
        <v/>
      </c>
      <c r="V21" s="75" t="str">
        <f t="shared" ca="1" si="9"/>
        <v/>
      </c>
      <c r="W21" s="47" t="str">
        <f t="shared" ca="1" si="36"/>
        <v/>
      </c>
      <c r="X21" s="47" t="str">
        <f t="shared" ca="1" si="10"/>
        <v/>
      </c>
      <c r="Y21" s="47" t="str">
        <f t="shared" ca="1" si="11"/>
        <v/>
      </c>
      <c r="Z21" s="47" t="str">
        <f t="shared" ca="1" si="12"/>
        <v/>
      </c>
      <c r="AA21" s="47" t="str">
        <f t="shared" ca="1" si="13"/>
        <v/>
      </c>
      <c r="AB21" s="47" t="str">
        <f t="shared" ca="1" si="14"/>
        <v/>
      </c>
      <c r="AC21" s="63" t="str">
        <f t="shared" ca="1" si="15"/>
        <v/>
      </c>
      <c r="AD21" s="63" t="str">
        <f t="shared" ca="1" si="16"/>
        <v/>
      </c>
      <c r="AE21" s="63" t="str">
        <f t="shared" ca="1" si="17"/>
        <v/>
      </c>
      <c r="AF21" s="63" t="str">
        <f t="shared" ca="1" si="18"/>
        <v/>
      </c>
      <c r="AG21" s="63" t="str">
        <f t="shared" ca="1" si="19"/>
        <v/>
      </c>
      <c r="AH21" s="63" t="str">
        <f t="shared" ca="1" si="20"/>
        <v/>
      </c>
      <c r="AI21" s="63" t="str">
        <f t="shared" ca="1" si="21"/>
        <v/>
      </c>
      <c r="AJ21" s="47" t="str">
        <f t="shared" ca="1" si="22"/>
        <v/>
      </c>
      <c r="AK21" s="47" t="str">
        <f t="shared" ca="1" si="23"/>
        <v/>
      </c>
      <c r="AL21" s="47" t="str">
        <f t="shared" ca="1" si="24"/>
        <v/>
      </c>
      <c r="AM21" s="47" t="str">
        <f t="shared" ca="1" si="25"/>
        <v/>
      </c>
      <c r="AN21" s="47" t="str">
        <f t="shared" ca="1" si="26"/>
        <v/>
      </c>
      <c r="AO21" s="47" t="str">
        <f t="shared" ca="1" si="27"/>
        <v/>
      </c>
      <c r="AP21" s="47" t="str">
        <f t="shared" ca="1" si="28"/>
        <v/>
      </c>
      <c r="AQ21" s="47" t="str">
        <f t="shared" ca="1" si="29"/>
        <v/>
      </c>
      <c r="AR21" s="47" t="str">
        <f t="shared" ca="1" si="30"/>
        <v/>
      </c>
      <c r="AS21" s="33" t="str">
        <f t="shared" ca="1" si="31"/>
        <v/>
      </c>
      <c r="AW21" s="2">
        <v>44</v>
      </c>
      <c r="AX21" s="2" t="s">
        <v>268</v>
      </c>
      <c r="AY21" s="130">
        <v>27.5</v>
      </c>
      <c r="AZ21" s="2">
        <v>19</v>
      </c>
      <c r="BA21" s="2"/>
      <c r="BB21" s="2">
        <v>28</v>
      </c>
      <c r="BC21" s="2"/>
      <c r="BD21" s="2">
        <v>23</v>
      </c>
      <c r="BE21" s="2">
        <v>31.5</v>
      </c>
      <c r="BF21" s="2">
        <v>32.6</v>
      </c>
      <c r="BG21" s="2">
        <v>33.6</v>
      </c>
      <c r="BH21" s="2">
        <v>41.6</v>
      </c>
      <c r="BI21" s="2"/>
      <c r="BJ21" s="2"/>
      <c r="BK21" s="2"/>
      <c r="BL21" s="2"/>
      <c r="BM21" s="2"/>
      <c r="BN21" s="2">
        <v>80</v>
      </c>
      <c r="BO21" s="2">
        <v>26</v>
      </c>
      <c r="BP21" s="2">
        <v>28</v>
      </c>
      <c r="BQ21" s="2">
        <v>31</v>
      </c>
      <c r="BR21" s="2">
        <v>33</v>
      </c>
      <c r="BS21" s="2">
        <v>37</v>
      </c>
      <c r="BT21" s="2">
        <v>55</v>
      </c>
      <c r="BU21" s="2">
        <v>159</v>
      </c>
      <c r="BV21" s="2">
        <v>205</v>
      </c>
      <c r="BW21" s="2">
        <v>251</v>
      </c>
      <c r="BX21" s="2">
        <v>366</v>
      </c>
      <c r="BY21" s="2">
        <v>46</v>
      </c>
      <c r="BZ21" s="2">
        <v>3.4</v>
      </c>
      <c r="CA21" s="2">
        <v>1</v>
      </c>
      <c r="CB21" s="2">
        <v>4.9696256046571099E-7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2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34"/>
        <v/>
      </c>
      <c r="P22" s="63" t="str">
        <f t="shared" ca="1" si="35"/>
        <v/>
      </c>
      <c r="Q22" s="47" t="str">
        <f t="shared" ca="1" si="4"/>
        <v/>
      </c>
      <c r="R22" s="47" t="str">
        <f t="shared" ca="1" si="5"/>
        <v/>
      </c>
      <c r="S22" s="47" t="str">
        <f t="shared" ca="1" si="6"/>
        <v/>
      </c>
      <c r="T22" s="47" t="str">
        <f t="shared" ca="1" si="7"/>
        <v/>
      </c>
      <c r="U22" s="75" t="str">
        <f t="shared" ca="1" si="8"/>
        <v/>
      </c>
      <c r="V22" s="75" t="str">
        <f t="shared" ca="1" si="9"/>
        <v/>
      </c>
      <c r="W22" s="47" t="str">
        <f t="shared" ca="1" si="36"/>
        <v/>
      </c>
      <c r="X22" s="47" t="str">
        <f t="shared" ca="1" si="10"/>
        <v/>
      </c>
      <c r="Y22" s="47" t="str">
        <f t="shared" ca="1" si="11"/>
        <v/>
      </c>
      <c r="Z22" s="47" t="str">
        <f t="shared" ca="1" si="12"/>
        <v/>
      </c>
      <c r="AA22" s="47" t="str">
        <f t="shared" ca="1" si="13"/>
        <v/>
      </c>
      <c r="AB22" s="47" t="str">
        <f t="shared" ca="1" si="14"/>
        <v/>
      </c>
      <c r="AC22" s="63" t="str">
        <f t="shared" ca="1" si="15"/>
        <v/>
      </c>
      <c r="AD22" s="63" t="str">
        <f t="shared" ca="1" si="16"/>
        <v/>
      </c>
      <c r="AE22" s="63" t="str">
        <f t="shared" ca="1" si="17"/>
        <v/>
      </c>
      <c r="AF22" s="63" t="str">
        <f t="shared" ca="1" si="18"/>
        <v/>
      </c>
      <c r="AG22" s="63" t="str">
        <f t="shared" ca="1" si="19"/>
        <v/>
      </c>
      <c r="AH22" s="63" t="str">
        <f t="shared" ca="1" si="20"/>
        <v/>
      </c>
      <c r="AI22" s="63" t="str">
        <f t="shared" ca="1" si="21"/>
        <v/>
      </c>
      <c r="AJ22" s="47" t="str">
        <f t="shared" ca="1" si="22"/>
        <v/>
      </c>
      <c r="AK22" s="47" t="str">
        <f t="shared" ca="1" si="23"/>
        <v/>
      </c>
      <c r="AL22" s="47" t="str">
        <f t="shared" ca="1" si="24"/>
        <v/>
      </c>
      <c r="AM22" s="47" t="str">
        <f t="shared" ca="1" si="25"/>
        <v/>
      </c>
      <c r="AN22" s="47" t="str">
        <f t="shared" ca="1" si="26"/>
        <v/>
      </c>
      <c r="AO22" s="47" t="str">
        <f t="shared" ca="1" si="27"/>
        <v/>
      </c>
      <c r="AP22" s="47" t="str">
        <f t="shared" ca="1" si="28"/>
        <v/>
      </c>
      <c r="AQ22" s="47" t="str">
        <f t="shared" ca="1" si="29"/>
        <v/>
      </c>
      <c r="AR22" s="47" t="str">
        <f t="shared" ca="1" si="30"/>
        <v/>
      </c>
      <c r="AS22" s="33" t="str">
        <f t="shared" ca="1" si="31"/>
        <v/>
      </c>
      <c r="AW22" s="2">
        <v>44</v>
      </c>
      <c r="AX22" s="2" t="s">
        <v>268</v>
      </c>
      <c r="AY22" s="130">
        <v>27.5</v>
      </c>
      <c r="AZ22" s="2">
        <v>19</v>
      </c>
      <c r="BA22" s="2"/>
      <c r="BB22" s="2">
        <v>28</v>
      </c>
      <c r="BC22" s="2"/>
      <c r="BD22" s="2">
        <f>-5+23</f>
        <v>18</v>
      </c>
      <c r="BE22" s="2">
        <v>31.5</v>
      </c>
      <c r="BF22" s="2">
        <v>32.6</v>
      </c>
      <c r="BG22" s="2">
        <v>33.6</v>
      </c>
      <c r="BH22" s="2">
        <v>41.6</v>
      </c>
      <c r="BI22" s="2"/>
      <c r="BJ22" s="2"/>
      <c r="BK22" s="2"/>
      <c r="BL22" s="2"/>
      <c r="BM22" s="2"/>
      <c r="BN22" s="2">
        <v>80</v>
      </c>
      <c r="BO22" s="2">
        <v>26</v>
      </c>
      <c r="BP22" s="2">
        <v>28</v>
      </c>
      <c r="BQ22" s="2">
        <v>31</v>
      </c>
      <c r="BR22" s="2">
        <v>33</v>
      </c>
      <c r="BS22" s="2">
        <v>38</v>
      </c>
      <c r="BT22" s="2">
        <v>44</v>
      </c>
      <c r="BU22" s="2">
        <v>132</v>
      </c>
      <c r="BV22" s="2">
        <v>182</v>
      </c>
      <c r="BW22" s="2">
        <v>232</v>
      </c>
      <c r="BX22" s="2">
        <v>359</v>
      </c>
      <c r="BY22" s="2">
        <v>46</v>
      </c>
      <c r="BZ22" s="2">
        <v>3</v>
      </c>
      <c r="CA22" s="2">
        <v>1</v>
      </c>
      <c r="CB22" s="2">
        <v>2.1025371871892799E-10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2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34"/>
        <v/>
      </c>
      <c r="P23" s="63" t="str">
        <f t="shared" ca="1" si="35"/>
        <v/>
      </c>
      <c r="Q23" s="47" t="str">
        <f t="shared" ca="1" si="4"/>
        <v/>
      </c>
      <c r="R23" s="47" t="str">
        <f t="shared" ca="1" si="5"/>
        <v/>
      </c>
      <c r="S23" s="47" t="str">
        <f t="shared" ca="1" si="6"/>
        <v/>
      </c>
      <c r="T23" s="47" t="str">
        <f t="shared" ca="1" si="7"/>
        <v/>
      </c>
      <c r="U23" s="75" t="str">
        <f t="shared" ca="1" si="8"/>
        <v/>
      </c>
      <c r="V23" s="75" t="str">
        <f t="shared" ca="1" si="9"/>
        <v/>
      </c>
      <c r="W23" s="47" t="str">
        <f t="shared" ca="1" si="36"/>
        <v/>
      </c>
      <c r="X23" s="47" t="str">
        <f t="shared" ca="1" si="10"/>
        <v/>
      </c>
      <c r="Y23" s="47" t="str">
        <f t="shared" ca="1" si="11"/>
        <v/>
      </c>
      <c r="Z23" s="47" t="str">
        <f t="shared" ca="1" si="12"/>
        <v/>
      </c>
      <c r="AA23" s="47" t="str">
        <f t="shared" ca="1" si="13"/>
        <v/>
      </c>
      <c r="AB23" s="47" t="str">
        <f t="shared" ca="1" si="14"/>
        <v/>
      </c>
      <c r="AC23" s="63" t="str">
        <f t="shared" ca="1" si="15"/>
        <v/>
      </c>
      <c r="AD23" s="63" t="str">
        <f t="shared" ca="1" si="16"/>
        <v/>
      </c>
      <c r="AE23" s="63" t="str">
        <f t="shared" ca="1" si="17"/>
        <v/>
      </c>
      <c r="AF23" s="63" t="str">
        <f t="shared" ca="1" si="18"/>
        <v/>
      </c>
      <c r="AG23" s="63" t="str">
        <f t="shared" ca="1" si="19"/>
        <v/>
      </c>
      <c r="AH23" s="63" t="str">
        <f t="shared" ca="1" si="20"/>
        <v/>
      </c>
      <c r="AI23" s="63" t="str">
        <f t="shared" ca="1" si="21"/>
        <v/>
      </c>
      <c r="AJ23" s="47" t="str">
        <f t="shared" ca="1" si="22"/>
        <v/>
      </c>
      <c r="AK23" s="47" t="str">
        <f t="shared" ca="1" si="23"/>
        <v/>
      </c>
      <c r="AL23" s="47" t="str">
        <f t="shared" ca="1" si="24"/>
        <v/>
      </c>
      <c r="AM23" s="47" t="str">
        <f t="shared" ca="1" si="25"/>
        <v/>
      </c>
      <c r="AN23" s="47" t="str">
        <f t="shared" ca="1" si="26"/>
        <v/>
      </c>
      <c r="AO23" s="47" t="str">
        <f t="shared" ca="1" si="27"/>
        <v/>
      </c>
      <c r="AP23" s="47" t="str">
        <f t="shared" ca="1" si="28"/>
        <v/>
      </c>
      <c r="AQ23" s="47" t="str">
        <f t="shared" ca="1" si="29"/>
        <v/>
      </c>
      <c r="AR23" s="47" t="str">
        <f t="shared" ca="1" si="30"/>
        <v/>
      </c>
      <c r="AS23" s="33" t="str">
        <f t="shared" ca="1" si="31"/>
        <v/>
      </c>
      <c r="AW23" s="2">
        <v>48.8</v>
      </c>
      <c r="AX23" s="2" t="s">
        <v>268</v>
      </c>
      <c r="AY23" s="130">
        <v>27.5</v>
      </c>
      <c r="AZ23" s="2">
        <v>19</v>
      </c>
      <c r="BA23" s="2"/>
      <c r="BB23" s="2">
        <v>28</v>
      </c>
      <c r="BC23" s="2"/>
      <c r="BD23" s="2">
        <f>10+23</f>
        <v>33</v>
      </c>
      <c r="BE23" s="2">
        <f>15+31.5</f>
        <v>46.5</v>
      </c>
      <c r="BF23" s="2">
        <f>15+32.6</f>
        <v>47.6</v>
      </c>
      <c r="BG23" s="2">
        <f>15+33.6</f>
        <v>48.6</v>
      </c>
      <c r="BH23" s="2">
        <f>15+41.6</f>
        <v>56.6</v>
      </c>
      <c r="BI23" s="2"/>
      <c r="BJ23" s="2"/>
      <c r="BK23" s="2"/>
      <c r="BL23" s="2"/>
      <c r="BM23" s="2"/>
      <c r="BN23" s="2">
        <v>80</v>
      </c>
      <c r="BO23" s="2">
        <v>26</v>
      </c>
      <c r="BP23" s="2">
        <v>28</v>
      </c>
      <c r="BQ23" s="2">
        <v>31</v>
      </c>
      <c r="BR23" s="2">
        <v>33</v>
      </c>
      <c r="BS23" s="2">
        <v>38</v>
      </c>
      <c r="BT23" s="2">
        <v>118</v>
      </c>
      <c r="BU23" s="2">
        <v>207</v>
      </c>
      <c r="BV23" s="2">
        <v>257</v>
      </c>
      <c r="BW23" s="2">
        <v>307</v>
      </c>
      <c r="BX23" s="2">
        <v>433</v>
      </c>
      <c r="BY23" s="2">
        <v>46</v>
      </c>
      <c r="BZ23" s="2">
        <v>3</v>
      </c>
      <c r="CA23" s="2">
        <v>1</v>
      </c>
      <c r="CB23" s="2">
        <v>2.1025371871892799E-10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2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34"/>
        <v/>
      </c>
      <c r="P24" s="63" t="str">
        <f t="shared" ca="1" si="35"/>
        <v/>
      </c>
      <c r="Q24" s="47" t="str">
        <f t="shared" ca="1" si="4"/>
        <v/>
      </c>
      <c r="R24" s="47" t="str">
        <f t="shared" ca="1" si="5"/>
        <v/>
      </c>
      <c r="S24" s="47" t="str">
        <f t="shared" ca="1" si="6"/>
        <v/>
      </c>
      <c r="T24" s="47" t="str">
        <f t="shared" ca="1" si="7"/>
        <v/>
      </c>
      <c r="U24" s="75" t="str">
        <f t="shared" ca="1" si="8"/>
        <v/>
      </c>
      <c r="V24" s="75" t="str">
        <f t="shared" ca="1" si="9"/>
        <v/>
      </c>
      <c r="W24" s="47" t="str">
        <f t="shared" ca="1" si="36"/>
        <v/>
      </c>
      <c r="X24" s="47" t="str">
        <f t="shared" ca="1" si="10"/>
        <v/>
      </c>
      <c r="Y24" s="47" t="str">
        <f t="shared" ca="1" si="11"/>
        <v/>
      </c>
      <c r="Z24" s="47" t="str">
        <f t="shared" ca="1" si="12"/>
        <v/>
      </c>
      <c r="AA24" s="47" t="str">
        <f t="shared" ca="1" si="13"/>
        <v/>
      </c>
      <c r="AB24" s="47" t="str">
        <f t="shared" ca="1" si="14"/>
        <v/>
      </c>
      <c r="AC24" s="63" t="str">
        <f t="shared" ca="1" si="15"/>
        <v/>
      </c>
      <c r="AD24" s="63" t="str">
        <f t="shared" ca="1" si="16"/>
        <v/>
      </c>
      <c r="AE24" s="63" t="str">
        <f t="shared" ca="1" si="17"/>
        <v/>
      </c>
      <c r="AF24" s="63" t="str">
        <f t="shared" ca="1" si="18"/>
        <v/>
      </c>
      <c r="AG24" s="63" t="str">
        <f t="shared" ca="1" si="19"/>
        <v/>
      </c>
      <c r="AH24" s="63" t="str">
        <f t="shared" ca="1" si="20"/>
        <v/>
      </c>
      <c r="AI24" s="63" t="str">
        <f t="shared" ca="1" si="21"/>
        <v/>
      </c>
      <c r="AJ24" s="47" t="str">
        <f t="shared" ca="1" si="22"/>
        <v/>
      </c>
      <c r="AK24" s="47" t="str">
        <f t="shared" ca="1" si="23"/>
        <v/>
      </c>
      <c r="AL24" s="47" t="str">
        <f t="shared" ca="1" si="24"/>
        <v/>
      </c>
      <c r="AM24" s="47" t="str">
        <f t="shared" ca="1" si="25"/>
        <v/>
      </c>
      <c r="AN24" s="47" t="str">
        <f t="shared" ca="1" si="26"/>
        <v/>
      </c>
      <c r="AO24" s="47" t="str">
        <f t="shared" ca="1" si="27"/>
        <v/>
      </c>
      <c r="AP24" s="47" t="str">
        <f t="shared" ca="1" si="28"/>
        <v/>
      </c>
      <c r="AQ24" s="47" t="str">
        <f t="shared" ca="1" si="29"/>
        <v/>
      </c>
      <c r="AR24" s="47" t="str">
        <f t="shared" ca="1" si="30"/>
        <v/>
      </c>
      <c r="AS24" s="33" t="str">
        <f t="shared" ca="1" si="31"/>
        <v/>
      </c>
      <c r="AW24" s="2">
        <v>48.8</v>
      </c>
      <c r="AX24" s="2" t="s">
        <v>271</v>
      </c>
      <c r="AY24" s="130">
        <v>24.7</v>
      </c>
      <c r="AZ24" s="2">
        <v>19.8</v>
      </c>
      <c r="BA24" s="2"/>
      <c r="BB24" s="2">
        <v>11</v>
      </c>
      <c r="BC24" s="2"/>
      <c r="BD24" s="2">
        <v>12</v>
      </c>
      <c r="BE24" s="2">
        <v>18.899999999999999</v>
      </c>
      <c r="BF24" s="2">
        <v>20.3</v>
      </c>
      <c r="BG24" s="2">
        <v>23.4</v>
      </c>
      <c r="BH24" s="2">
        <v>39.700000000000003</v>
      </c>
      <c r="BI24" s="2"/>
      <c r="BJ24" s="2"/>
      <c r="BK24" s="2"/>
      <c r="BL24" s="2"/>
      <c r="BM24" s="2"/>
      <c r="BN24" s="2">
        <v>68</v>
      </c>
      <c r="BO24" s="2">
        <v>26</v>
      </c>
      <c r="BP24" s="2">
        <v>28</v>
      </c>
      <c r="BQ24" s="2">
        <v>30</v>
      </c>
      <c r="BR24" s="2">
        <v>33</v>
      </c>
      <c r="BS24" s="2">
        <v>37</v>
      </c>
      <c r="BT24" s="2">
        <v>48</v>
      </c>
      <c r="BU24" s="2">
        <v>146</v>
      </c>
      <c r="BV24" s="2">
        <v>196</v>
      </c>
      <c r="BW24" s="2">
        <v>246</v>
      </c>
      <c r="BX24" s="2">
        <v>371</v>
      </c>
      <c r="BY24" s="2">
        <v>46</v>
      </c>
      <c r="BZ24" s="2">
        <v>2.5</v>
      </c>
      <c r="CA24" s="2">
        <v>0.9</v>
      </c>
      <c r="CB24" s="2">
        <v>2.8167370998330099E-10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2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34"/>
        <v/>
      </c>
      <c r="P25" s="63" t="str">
        <f t="shared" ca="1" si="35"/>
        <v/>
      </c>
      <c r="Q25" s="47" t="str">
        <f t="shared" ca="1" si="4"/>
        <v/>
      </c>
      <c r="R25" s="47" t="str">
        <f t="shared" ca="1" si="5"/>
        <v/>
      </c>
      <c r="S25" s="47" t="str">
        <f t="shared" ca="1" si="6"/>
        <v/>
      </c>
      <c r="T25" s="47" t="str">
        <f t="shared" ca="1" si="7"/>
        <v/>
      </c>
      <c r="U25" s="75" t="str">
        <f t="shared" ca="1" si="8"/>
        <v/>
      </c>
      <c r="V25" s="75" t="str">
        <f t="shared" ca="1" si="9"/>
        <v/>
      </c>
      <c r="W25" s="47" t="str">
        <f t="shared" ca="1" si="36"/>
        <v/>
      </c>
      <c r="X25" s="47" t="str">
        <f t="shared" ca="1" si="10"/>
        <v/>
      </c>
      <c r="Y25" s="47" t="str">
        <f t="shared" ca="1" si="11"/>
        <v/>
      </c>
      <c r="Z25" s="47" t="str">
        <f t="shared" ca="1" si="12"/>
        <v/>
      </c>
      <c r="AA25" s="47" t="str">
        <f t="shared" ca="1" si="13"/>
        <v/>
      </c>
      <c r="AB25" s="47" t="str">
        <f t="shared" ca="1" si="14"/>
        <v/>
      </c>
      <c r="AC25" s="63" t="str">
        <f t="shared" ca="1" si="15"/>
        <v/>
      </c>
      <c r="AD25" s="63" t="str">
        <f t="shared" ca="1" si="16"/>
        <v/>
      </c>
      <c r="AE25" s="63" t="str">
        <f t="shared" ca="1" si="17"/>
        <v/>
      </c>
      <c r="AF25" s="63" t="str">
        <f t="shared" ca="1" si="18"/>
        <v/>
      </c>
      <c r="AG25" s="63" t="str">
        <f t="shared" ca="1" si="19"/>
        <v/>
      </c>
      <c r="AH25" s="63" t="str">
        <f t="shared" ca="1" si="20"/>
        <v/>
      </c>
      <c r="AI25" s="63" t="str">
        <f t="shared" ca="1" si="21"/>
        <v/>
      </c>
      <c r="AJ25" s="47" t="str">
        <f t="shared" ca="1" si="22"/>
        <v/>
      </c>
      <c r="AK25" s="47" t="str">
        <f t="shared" ca="1" si="23"/>
        <v/>
      </c>
      <c r="AL25" s="47" t="str">
        <f t="shared" ca="1" si="24"/>
        <v/>
      </c>
      <c r="AM25" s="47" t="str">
        <f t="shared" ca="1" si="25"/>
        <v/>
      </c>
      <c r="AN25" s="47" t="str">
        <f t="shared" ca="1" si="26"/>
        <v/>
      </c>
      <c r="AO25" s="47" t="str">
        <f t="shared" ca="1" si="27"/>
        <v/>
      </c>
      <c r="AP25" s="47" t="str">
        <f t="shared" ca="1" si="28"/>
        <v/>
      </c>
      <c r="AQ25" s="47" t="str">
        <f t="shared" ca="1" si="29"/>
        <v/>
      </c>
      <c r="AR25" s="47" t="str">
        <f t="shared" ca="1" si="30"/>
        <v/>
      </c>
      <c r="AS25" s="33" t="str">
        <f t="shared" ca="1" si="31"/>
        <v/>
      </c>
      <c r="AW25" s="2">
        <v>65.5</v>
      </c>
      <c r="AX25" s="2" t="s">
        <v>271</v>
      </c>
      <c r="AY25" s="130">
        <v>24.7</v>
      </c>
      <c r="AZ25" s="2">
        <v>19.8</v>
      </c>
      <c r="BA25" s="2"/>
      <c r="BB25" s="2">
        <v>11</v>
      </c>
      <c r="BC25" s="2"/>
      <c r="BD25" s="2">
        <v>32.6</v>
      </c>
      <c r="BE25" s="2">
        <v>39.5</v>
      </c>
      <c r="BF25" s="2">
        <v>40.799999999999997</v>
      </c>
      <c r="BG25" s="2">
        <v>44</v>
      </c>
      <c r="BH25" s="2">
        <v>60.3</v>
      </c>
      <c r="BI25" s="2"/>
      <c r="BJ25" s="2"/>
      <c r="BK25" s="2"/>
      <c r="BL25" s="2"/>
      <c r="BM25" s="2"/>
      <c r="BN25" s="2">
        <v>68</v>
      </c>
      <c r="BO25" s="2">
        <v>26</v>
      </c>
      <c r="BP25" s="2">
        <v>28</v>
      </c>
      <c r="BQ25" s="2">
        <v>30</v>
      </c>
      <c r="BR25" s="2">
        <v>33</v>
      </c>
      <c r="BS25" s="2">
        <v>37</v>
      </c>
      <c r="BT25" s="2">
        <v>92</v>
      </c>
      <c r="BU25" s="2">
        <v>190</v>
      </c>
      <c r="BV25" s="2">
        <v>239</v>
      </c>
      <c r="BW25" s="2">
        <v>289</v>
      </c>
      <c r="BX25" s="2">
        <v>415</v>
      </c>
      <c r="BY25" s="2">
        <v>46</v>
      </c>
      <c r="BZ25" s="2">
        <v>2.5</v>
      </c>
      <c r="CA25" s="2">
        <v>0.9</v>
      </c>
      <c r="CB25" s="2">
        <v>2.8167370998330099E-10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2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34"/>
        <v/>
      </c>
      <c r="P26" s="63" t="str">
        <f t="shared" ca="1" si="35"/>
        <v/>
      </c>
      <c r="Q26" s="47" t="str">
        <f t="shared" ca="1" si="4"/>
        <v/>
      </c>
      <c r="R26" s="47" t="str">
        <f t="shared" ca="1" si="5"/>
        <v/>
      </c>
      <c r="S26" s="47" t="str">
        <f t="shared" ca="1" si="6"/>
        <v/>
      </c>
      <c r="T26" s="47" t="str">
        <f t="shared" ca="1" si="7"/>
        <v/>
      </c>
      <c r="U26" s="75" t="str">
        <f t="shared" ca="1" si="8"/>
        <v/>
      </c>
      <c r="V26" s="75" t="str">
        <f t="shared" ca="1" si="9"/>
        <v/>
      </c>
      <c r="W26" s="47" t="str">
        <f t="shared" ca="1" si="36"/>
        <v/>
      </c>
      <c r="Y26" s="47" t="str">
        <f t="shared" ca="1" si="11"/>
        <v/>
      </c>
      <c r="Z26" s="47" t="str">
        <f t="shared" ca="1" si="12"/>
        <v/>
      </c>
      <c r="AA26" s="47" t="str">
        <f t="shared" ca="1" si="13"/>
        <v/>
      </c>
      <c r="AB26" s="47" t="str">
        <f t="shared" ca="1" si="14"/>
        <v/>
      </c>
      <c r="AC26" s="63" t="str">
        <f t="shared" ca="1" si="15"/>
        <v/>
      </c>
      <c r="AD26" s="63" t="str">
        <f t="shared" ca="1" si="16"/>
        <v/>
      </c>
      <c r="AE26" s="63" t="str">
        <f t="shared" ca="1" si="17"/>
        <v/>
      </c>
      <c r="AF26" s="63" t="str">
        <f t="shared" ca="1" si="18"/>
        <v/>
      </c>
      <c r="AG26" s="63" t="str">
        <f t="shared" ca="1" si="19"/>
        <v/>
      </c>
      <c r="AH26" s="63" t="str">
        <f t="shared" ca="1" si="20"/>
        <v/>
      </c>
      <c r="AI26" s="63" t="str">
        <f t="shared" ca="1" si="21"/>
        <v/>
      </c>
      <c r="AJ26" s="47" t="str">
        <f t="shared" ca="1" si="22"/>
        <v/>
      </c>
      <c r="AK26" s="47" t="str">
        <f t="shared" ca="1" si="23"/>
        <v/>
      </c>
      <c r="AM26" s="47" t="str">
        <f t="shared" ca="1" si="25"/>
        <v/>
      </c>
      <c r="AN26" s="47" t="str">
        <f t="shared" ca="1" si="26"/>
        <v/>
      </c>
      <c r="AO26" s="47" t="str">
        <f t="shared" ca="1" si="27"/>
        <v/>
      </c>
      <c r="AP26" s="47" t="str">
        <f t="shared" ca="1" si="28"/>
        <v/>
      </c>
      <c r="AQ26" s="47" t="str">
        <f t="shared" ca="1" si="29"/>
        <v/>
      </c>
      <c r="AR26" s="47" t="str">
        <f t="shared" ca="1" si="30"/>
        <v/>
      </c>
      <c r="AS26" s="33" t="str">
        <f t="shared" ca="1" si="31"/>
        <v/>
      </c>
      <c r="AW26" s="2">
        <v>65.5</v>
      </c>
      <c r="AX26" s="2" t="s">
        <v>273</v>
      </c>
      <c r="AY26" s="130">
        <v>32</v>
      </c>
      <c r="AZ26" s="2">
        <v>18.899999999999999</v>
      </c>
      <c r="BA26" s="2">
        <v>47</v>
      </c>
      <c r="BB26" s="2">
        <v>85</v>
      </c>
      <c r="BC26" s="2">
        <v>3</v>
      </c>
      <c r="BD26" s="2">
        <v>2.4</v>
      </c>
      <c r="BE26" s="2">
        <v>10.5</v>
      </c>
      <c r="BF26" s="2">
        <v>11.9</v>
      </c>
      <c r="BG26" s="2">
        <v>27</v>
      </c>
      <c r="BH26" s="2">
        <v>73.7</v>
      </c>
      <c r="BI26" s="2">
        <v>402</v>
      </c>
      <c r="BJ26" s="2">
        <v>488</v>
      </c>
      <c r="BK26" s="2">
        <v>531</v>
      </c>
      <c r="BL26" s="2">
        <v>575</v>
      </c>
      <c r="BM26" s="2">
        <v>661</v>
      </c>
      <c r="BN26" s="2"/>
      <c r="BO26" s="2"/>
      <c r="BP26" s="2"/>
      <c r="BQ26" s="2"/>
      <c r="BR26" s="2"/>
      <c r="BS26" s="2"/>
      <c r="BT26" s="2">
        <v>503</v>
      </c>
      <c r="BU26" s="2">
        <v>675</v>
      </c>
      <c r="BV26" s="2">
        <v>761</v>
      </c>
      <c r="BW26" s="2">
        <v>848</v>
      </c>
      <c r="BX26" s="2">
        <v>1020</v>
      </c>
      <c r="BY26" s="2">
        <v>45.8</v>
      </c>
      <c r="BZ26" s="2">
        <v>5.0999999999999996</v>
      </c>
      <c r="CA26" s="2">
        <v>1.8</v>
      </c>
      <c r="CB26" s="2">
        <v>3.8476338744589698E-12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4"/>
        <v/>
      </c>
      <c r="AJ27" s="47" t="str">
        <f t="shared" si="22"/>
        <v/>
      </c>
      <c r="AK27" s="47" t="str">
        <f t="shared" si="23"/>
        <v/>
      </c>
      <c r="AN27" s="47" t="str">
        <f t="shared" si="26"/>
        <v/>
      </c>
      <c r="AO27" s="47" t="str">
        <f t="shared" si="27"/>
        <v/>
      </c>
      <c r="AQ27" s="47" t="str">
        <f t="shared" si="29"/>
        <v/>
      </c>
      <c r="AR27" s="47" t="str">
        <f t="shared" ca="1" si="30"/>
        <v/>
      </c>
      <c r="AW27" s="2">
        <v>80</v>
      </c>
      <c r="AX27" s="2" t="s">
        <v>273</v>
      </c>
      <c r="AY27" s="130">
        <v>32</v>
      </c>
      <c r="AZ27" s="2">
        <v>18.899999999999999</v>
      </c>
      <c r="BA27" s="2">
        <v>47</v>
      </c>
      <c r="BB27" s="2">
        <v>85</v>
      </c>
      <c r="BC27" s="2">
        <v>3</v>
      </c>
      <c r="BD27" s="2">
        <v>4.3</v>
      </c>
      <c r="BE27" s="2">
        <v>12.4</v>
      </c>
      <c r="BF27" s="2">
        <v>13.8</v>
      </c>
      <c r="BG27" s="2">
        <v>28.9</v>
      </c>
      <c r="BH27" s="2">
        <v>75.599999999999994</v>
      </c>
      <c r="BI27" s="2">
        <v>482</v>
      </c>
      <c r="BJ27" s="2">
        <v>568</v>
      </c>
      <c r="BK27" s="2">
        <v>611</v>
      </c>
      <c r="BL27" s="2">
        <v>655</v>
      </c>
      <c r="BM27" s="2">
        <v>741</v>
      </c>
      <c r="BN27" s="2"/>
      <c r="BO27" s="2"/>
      <c r="BP27" s="2"/>
      <c r="BQ27" s="2"/>
      <c r="BR27" s="2"/>
      <c r="BS27" s="2"/>
      <c r="BT27" s="2">
        <v>654</v>
      </c>
      <c r="BU27" s="2">
        <v>826</v>
      </c>
      <c r="BV27" s="2">
        <v>913</v>
      </c>
      <c r="BW27" s="2">
        <v>999</v>
      </c>
      <c r="BX27" s="2">
        <v>1171</v>
      </c>
      <c r="BY27" s="2">
        <v>45.8</v>
      </c>
      <c r="BZ27" s="2">
        <v>5.0999999999999996</v>
      </c>
      <c r="CA27" s="2">
        <v>1.8</v>
      </c>
      <c r="CB27" s="2">
        <v>3.8476338744589698E-12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29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050" priority="12">
      <formula>$L32="API sand"</formula>
    </cfRule>
  </conditionalFormatting>
  <conditionalFormatting sqref="R32:S36 AB32:AB35 AJ32:AL36 Z32:Z36 N32:N36">
    <cfRule type="expression" dxfId="2049" priority="11">
      <formula>$M32="API sand"</formula>
    </cfRule>
  </conditionalFormatting>
  <conditionalFormatting sqref="R32:T36 Z32:AB35 AK32:AL36 N32:N36">
    <cfRule type="expression" dxfId="2048" priority="10">
      <formula>$M32="API clay"</formula>
    </cfRule>
  </conditionalFormatting>
  <conditionalFormatting sqref="U32:W36 AM32:AP36 N32:P36">
    <cfRule type="expression" dxfId="2047" priority="7">
      <formula>$L32="Stiff clay w/o free water"</formula>
    </cfRule>
    <cfRule type="expression" dxfId="2046" priority="9">
      <formula>$L32="API clay"</formula>
    </cfRule>
  </conditionalFormatting>
  <conditionalFormatting sqref="U32:Y36 AM32:AP36 N32:P36">
    <cfRule type="expression" dxfId="2045" priority="8">
      <formula>$L32="Kirsch soft clay"</formula>
    </cfRule>
  </conditionalFormatting>
  <conditionalFormatting sqref="U32:Y36 AM32:AP36 N32:P36">
    <cfRule type="expression" dxfId="2044" priority="6">
      <formula>$L32="Kirsch stiff clay"</formula>
    </cfRule>
  </conditionalFormatting>
  <conditionalFormatting sqref="AM32:AP36 Q32:Q36 X32:Y36 N32:N36">
    <cfRule type="expression" dxfId="2043" priority="5">
      <formula>$L32="Kirsch sand"</formula>
    </cfRule>
  </conditionalFormatting>
  <conditionalFormatting sqref="AC32:AD36 AI32:AI36 AM32:AP36 N32:N36">
    <cfRule type="expression" dxfId="2042" priority="4">
      <formula>$L32="Modified Weak rock"</formula>
    </cfRule>
  </conditionalFormatting>
  <conditionalFormatting sqref="AM32:AP36 N32:P36 U32:V36">
    <cfRule type="expression" dxfId="2041" priority="3">
      <formula>$L32="Reese stiff clay"</formula>
    </cfRule>
  </conditionalFormatting>
  <conditionalFormatting sqref="AB36">
    <cfRule type="expression" dxfId="2040" priority="2">
      <formula>$M36="API sand"</formula>
    </cfRule>
  </conditionalFormatting>
  <conditionalFormatting sqref="Z36:AB36">
    <cfRule type="expression" dxfId="2039" priority="1">
      <formula>$M36="API clay"</formula>
    </cfRule>
  </conditionalFormatting>
  <conditionalFormatting sqref="AE37:AH37">
    <cfRule type="expression" dxfId="2038" priority="13">
      <formula>#REF!="Modified Weak rock"</formula>
    </cfRule>
  </conditionalFormatting>
  <dataValidations count="4">
    <dataValidation type="list" showInputMessage="1" showErrorMessage="1" sqref="M32:M36" xr:uid="{F90C136A-51C7-4E3A-8043-EE9D7945D2B2}">
      <formula1>"',API sand,API clay"</formula1>
    </dataValidation>
    <dataValidation type="list" showInputMessage="1" showErrorMessage="1" sqref="L32:L255" xr:uid="{65ADAF85-1979-4B8F-9C72-B812CD278166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84D0709D-D27B-4E8B-A1DE-FAC68489B8A5}"/>
    <dataValidation type="textLength" showInputMessage="1" showErrorMessage="1" sqref="M27:M31" xr:uid="{31ECBC13-C918-4C16-AD9E-1CFEB8D6279B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C0325-A536-49C4-81EC-79349A5C73D9}">
  <sheetPr>
    <tabColor rgb="FF7030A0"/>
  </sheetPr>
  <dimension ref="A1:CC255"/>
  <sheetViews>
    <sheetView topLeftCell="D1"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Ak_Pisa_WTG69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02a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Cowden Clay</v>
      </c>
      <c r="M6" s="105" t="str">
        <f t="shared" ref="M6:M26" ca="1" si="2">IF(I6="","",IF(EXACT(L6,"Cowden Clay"),"API clay","API sand"))</f>
        <v>API clay</v>
      </c>
      <c r="N6" s="47">
        <f t="shared" ref="N6:N26" ca="1" si="3">IF(OFFSET($AZ$6,(ROW()-6)*2,0)=0,"",OFFSET($AZ$6,(ROW()-6)*2,0)-10)</f>
        <v>10.199999999999999</v>
      </c>
      <c r="O6" s="63">
        <f ca="1">IF(I6="","",IF(OFFSET($BJ$6,(ROW()-6)*2,0)="",0,OFFSET($BJ$6,(ROW()-6)*2,0)))</f>
        <v>0</v>
      </c>
      <c r="P6" s="63">
        <f ca="1">IF(I6="","",IF(OFFSET($BJ$6,(ROW()-6)*2,0)="",0,(OFFSET($BJ$6,(ROW()-6)*2+1,0)-OFFSET($BJ$6,(ROW()-6)*2,0))/(OFFSET($AW$6,(ROW()-6)*2+1,0)-OFFSET($AW$6,(ROW()-6)*2,0))))</f>
        <v>40</v>
      </c>
      <c r="Q6" s="47">
        <f t="shared" ref="Q6:Q27" ca="1" si="4">IF(I6="","",IF(OFFSET($BP$6,(ROW()-6)*2,0)=0,0,OFFSET($BP$6,(ROW()-6)*2,0)))</f>
        <v>0</v>
      </c>
      <c r="R6" s="47" t="e">
        <f t="shared" ref="R6:R26" ca="1" si="5">IF(I6="","",IF(Q6&lt;&gt;0,Q6-5,NA()))</f>
        <v>#N/A</v>
      </c>
      <c r="S6" s="47">
        <f t="shared" ref="S6:S26" ca="1" si="6">IF(I6="","",IF(OFFSET($CA$6,(ROW()-6)*2,0)=0,0,OFFSET($CA$6,(ROW()-6)*2,0)))</f>
        <v>3</v>
      </c>
      <c r="T6" s="47">
        <f t="shared" ref="T6:T26" ca="1" si="7">IF(I6="","",0)</f>
        <v>0</v>
      </c>
      <c r="U6" s="75">
        <f t="shared" ref="U6:U26" ca="1" si="8">IF(I6="","",IF(EXACT(L6,"Cowden Clay"),0.018,0))</f>
        <v>1.7999999999999999E-2</v>
      </c>
      <c r="V6" s="75">
        <f t="shared" ref="V6:V26" ca="1" si="9">IF(I6="","",0)</f>
        <v>0</v>
      </c>
      <c r="W6" s="47">
        <f ca="1">IF(I6="","",IF(AND(O6&lt;&gt;"",O6&lt;250),0.5,IF(AND(O6&lt;&gt;"",O6&gt;=250),0.25,0)))</f>
        <v>0.5</v>
      </c>
      <c r="X6" s="47">
        <f t="shared" ref="X6:X25" ca="1" si="10">IF(I6="","",IF(OFFSET($BY$6,(ROW()-6)*2,0)=0,0,OFFSET($BY$6,(ROW()-6)*2,0)*1000))</f>
        <v>4000</v>
      </c>
      <c r="Y6" s="47">
        <f t="shared" ref="Y6:Y26" ca="1" si="11">IF(I6="","",IF(OFFSET($BY$6,(ROW()-6)*2,0)=0,0,((OFFSET($BY$6,(ROW()-6)*2+1,0)-OFFSET($BY$6,(ROW()-6)*2,0))/(OFFSET($AW$6,(ROW()-6)*2+1,0)-OFFSET($AW$6,(ROW()-6)*2,0)))*1000))</f>
        <v>0</v>
      </c>
      <c r="Z6" s="47" t="e">
        <f t="shared" ref="Z6:Z26" ca="1" si="12">IF(I6="","",VLOOKUP(R6,$AE$39:$AF$59,2))</f>
        <v>#N/A</v>
      </c>
      <c r="AA6" s="47">
        <f t="shared" ref="AA6:AA26" ca="1" si="13">IF(I6="","",1)</f>
        <v>1</v>
      </c>
      <c r="AB6" s="47" t="e">
        <f t="shared" ref="AB6:AB26" ca="1" si="14">IF(I6="","",VLOOKUP(R6,$AE$39:$AG$59,3))</f>
        <v>#N/A</v>
      </c>
      <c r="AC6" s="63">
        <f t="shared" ref="AC6:AC26" ca="1" si="15">IF(I6="","",IF(OFFSET($BV$6,(ROW()-6)*2,0)=0,0,OFFSET($BV$6,(ROW()-6)*2,0)*1000))</f>
        <v>4000</v>
      </c>
      <c r="AD6" s="63">
        <f t="shared" ref="AD6:AD26" ca="1" si="16">IF(I6="","",IF(OFFSET($BV$6,(ROW()-6)*2,0)=0,0,((OFFSET($BV$6,(ROW()-6)*2+1,0)-OFFSET($BV$6,(ROW()-6)*2,0))/(OFFSET($AW$6,(ROW()-6)*2+1,0)-OFFSET($AW$6,(ROW()-6)*2,0)))*1000))</f>
        <v>20000</v>
      </c>
      <c r="AE6" s="63">
        <f t="shared" ref="AE6:AE26" ca="1" si="17">IF(I6="","",0.3)</f>
        <v>0.3</v>
      </c>
      <c r="AF6" s="63">
        <f t="shared" ref="AF6:AF26" ca="1" si="18">IF(I6="","",0)</f>
        <v>0</v>
      </c>
      <c r="AG6" s="63">
        <f t="shared" ref="AG6:AG26" ca="1" si="19">IF(I6="","",0)</f>
        <v>0</v>
      </c>
      <c r="AH6" s="63">
        <f t="shared" ref="AH6:AH26" ca="1" si="20">IF(I6="","",0)</f>
        <v>0</v>
      </c>
      <c r="AI6" s="63">
        <f t="shared" ref="AI6:AI26" ca="1" si="21">IF(I6="","",0)</f>
        <v>0</v>
      </c>
      <c r="AJ6" s="47" t="e">
        <f t="shared" ref="AJ6:AJ27" ca="1" si="22">IF(I6="","",VLOOKUP(R6,$AE$39:$AH$59,4))</f>
        <v>#N/A</v>
      </c>
      <c r="AK6" s="47">
        <f t="shared" ref="AK6:AK27" ca="1" si="23">IF(I6="","",1)</f>
        <v>1</v>
      </c>
      <c r="AL6" s="47">
        <f t="shared" ref="AL6:AL25" ca="1" si="24">IF(I6="","",1)</f>
        <v>1</v>
      </c>
      <c r="AM6" s="47">
        <f t="shared" ref="AM6:AM26" ca="1" si="25">IF(I6="","",1)</f>
        <v>1</v>
      </c>
      <c r="AN6" s="47">
        <f t="shared" ref="AN6:AN27" ca="1" si="26">IF(I6="","",1)</f>
        <v>1</v>
      </c>
      <c r="AO6" s="47">
        <f t="shared" ref="AO6:AO27" ca="1" si="27">IF(I6="","",1)</f>
        <v>1</v>
      </c>
      <c r="AP6" s="47">
        <f t="shared" ref="AP6:AP26" ca="1" si="28">IF(I6="","",1)</f>
        <v>1</v>
      </c>
      <c r="AQ6" s="47">
        <f t="shared" ref="AQ6:AQ28" ca="1" si="29">IF(I6="","",0)</f>
        <v>0</v>
      </c>
      <c r="AR6" s="47">
        <f t="shared" ref="AR6:AR27" ca="1" si="30">IF(I6="","",IF(OFFSET($BN$6,(ROW()-6)*2,0)=0,0,OFFSET($BN$6,(ROW()-6)*2,0)))</f>
        <v>0</v>
      </c>
      <c r="AS6" s="33">
        <f t="shared" ref="AS6:AS26" ca="1" si="31">IF(I6="","",IF(OR(EXACT(I6,"14a"),EXACT(I6,"15b"),EXACT(I6,"17a"),EXACT(I6,"19b"),EXACT(I6,"20a"),EXACT(I6,"21a")),0.2,0.4))</f>
        <v>0.4</v>
      </c>
      <c r="AW6" s="2">
        <v>0</v>
      </c>
      <c r="AX6" s="2" t="s">
        <v>255</v>
      </c>
      <c r="AY6" s="130">
        <v>23.1</v>
      </c>
      <c r="AZ6" s="2">
        <v>20.2</v>
      </c>
      <c r="BA6" s="2">
        <v>18</v>
      </c>
      <c r="BB6" s="2">
        <v>28</v>
      </c>
      <c r="BC6" s="2">
        <v>5</v>
      </c>
      <c r="BD6" s="2">
        <v>0</v>
      </c>
      <c r="BE6" s="2">
        <v>0</v>
      </c>
      <c r="BF6" s="2">
        <v>0.2</v>
      </c>
      <c r="BG6" s="2">
        <v>0.3</v>
      </c>
      <c r="BH6" s="2">
        <v>0.7</v>
      </c>
      <c r="BI6" s="2">
        <v>0</v>
      </c>
      <c r="BJ6" s="2">
        <v>0</v>
      </c>
      <c r="BK6" s="2">
        <v>8</v>
      </c>
      <c r="BL6" s="2">
        <v>17</v>
      </c>
      <c r="BM6" s="2">
        <v>39</v>
      </c>
      <c r="BN6" s="2"/>
      <c r="BO6" s="2"/>
      <c r="BP6" s="2"/>
      <c r="BQ6" s="2"/>
      <c r="BR6" s="2"/>
      <c r="BS6" s="2"/>
      <c r="BT6" s="2">
        <v>0</v>
      </c>
      <c r="BU6" s="2">
        <v>0</v>
      </c>
      <c r="BV6" s="2">
        <v>4</v>
      </c>
      <c r="BW6" s="2">
        <v>10</v>
      </c>
      <c r="BX6" s="2">
        <v>22</v>
      </c>
      <c r="BY6" s="2">
        <v>4</v>
      </c>
      <c r="BZ6" s="2">
        <v>32.700000000000003</v>
      </c>
      <c r="CA6" s="2">
        <v>3</v>
      </c>
      <c r="CB6" s="2">
        <v>3.1358049696518799E-7</v>
      </c>
      <c r="CC6" s="2">
        <v>1.8</v>
      </c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02b</v>
      </c>
      <c r="J7" s="47">
        <f t="shared" ref="J7:J26" ca="1" si="32">IF(I7&lt;&gt;"",J6+1,"")</f>
        <v>2</v>
      </c>
      <c r="K7" s="19">
        <f t="shared" ref="K7:K20" ca="1" si="33">IF(OFFSET($AW$6,(ROW()-6)*2,0)=0,"",-OFFSET($AW$6,(ROW()-6)*2,0))</f>
        <v>-0.65</v>
      </c>
      <c r="L7" s="116" t="str">
        <f t="shared" ca="1" si="1"/>
        <v>EW_sand_Ruled_75</v>
      </c>
      <c r="M7" s="105" t="str">
        <f t="shared" ca="1" si="2"/>
        <v>API sand</v>
      </c>
      <c r="N7" s="47">
        <f t="shared" ca="1" si="3"/>
        <v>9.3999999999999986</v>
      </c>
      <c r="O7" s="63">
        <f t="shared" ref="O7:O26" ca="1" si="34">IF(I7="","",IF(OFFSET($BJ$6,(ROW()-6)*2,0)=0,0,OFFSET($BJ$6,(ROW()-6)*2,0)))</f>
        <v>0</v>
      </c>
      <c r="P7" s="63">
        <f t="shared" ref="P7:P26" ca="1" si="35">IF(I7="","",IF(OFFSET($BJ$6,(ROW()-6)*2,0)=0,0,(OFFSET($BJ$6,(ROW()-6)*2+1,0)-OFFSET($BJ$6,(ROW()-6)*2,0))/(OFFSET($AW$6,(ROW()-6)*2+1,0)-OFFSET($AW$6,(ROW()-6)*2,0))))</f>
        <v>0</v>
      </c>
      <c r="Q7" s="47">
        <f t="shared" ca="1" si="4"/>
        <v>40</v>
      </c>
      <c r="R7" s="47">
        <f t="shared" ca="1" si="5"/>
        <v>35</v>
      </c>
      <c r="S7" s="47">
        <f t="shared" ca="1" si="6"/>
        <v>2.6</v>
      </c>
      <c r="T7" s="47">
        <f t="shared" ca="1" si="7"/>
        <v>0</v>
      </c>
      <c r="U7" s="75">
        <f t="shared" ca="1" si="8"/>
        <v>0</v>
      </c>
      <c r="V7" s="75">
        <f t="shared" ca="1" si="9"/>
        <v>0</v>
      </c>
      <c r="W7" s="47">
        <f t="shared" ref="W7:W26" ca="1" si="36">IF(I7="","",IF(AND(O7&lt;&gt;0,O7&lt;250),0.5,IF(AND(O7&lt;&gt;0,O7&gt;=250),0.25,0)))</f>
        <v>0</v>
      </c>
      <c r="X7" s="47">
        <f t="shared" ca="1" si="10"/>
        <v>39000</v>
      </c>
      <c r="Y7" s="47">
        <f t="shared" ca="1" si="11"/>
        <v>0</v>
      </c>
      <c r="Z7" s="47">
        <f t="shared" ca="1" si="12"/>
        <v>114.99999999999996</v>
      </c>
      <c r="AA7" s="47">
        <f t="shared" ca="1" si="13"/>
        <v>1</v>
      </c>
      <c r="AB7" s="47">
        <f t="shared" ca="1" si="14"/>
        <v>12000</v>
      </c>
      <c r="AC7" s="63">
        <f t="shared" ca="1" si="15"/>
        <v>24000</v>
      </c>
      <c r="AD7" s="63">
        <f t="shared" ca="1" si="16"/>
        <v>12957.746478873238</v>
      </c>
      <c r="AE7" s="63">
        <f t="shared" ca="1" si="17"/>
        <v>0.3</v>
      </c>
      <c r="AF7" s="63">
        <f t="shared" ca="1" si="18"/>
        <v>0</v>
      </c>
      <c r="AG7" s="63">
        <f t="shared" ca="1" si="19"/>
        <v>0</v>
      </c>
      <c r="AH7" s="63">
        <f t="shared" ca="1" si="20"/>
        <v>0</v>
      </c>
      <c r="AI7" s="63">
        <f t="shared" ca="1" si="21"/>
        <v>0</v>
      </c>
      <c r="AJ7" s="47">
        <f t="shared" ca="1" si="22"/>
        <v>50.000000000000007</v>
      </c>
      <c r="AK7" s="47">
        <f t="shared" ca="1" si="23"/>
        <v>1</v>
      </c>
      <c r="AL7" s="47">
        <f t="shared" ca="1" si="24"/>
        <v>1</v>
      </c>
      <c r="AM7" s="47">
        <f t="shared" ca="1" si="25"/>
        <v>1</v>
      </c>
      <c r="AN7" s="47">
        <f t="shared" ca="1" si="26"/>
        <v>1</v>
      </c>
      <c r="AO7" s="47">
        <f t="shared" ca="1" si="27"/>
        <v>1</v>
      </c>
      <c r="AP7" s="47">
        <f t="shared" ca="1" si="28"/>
        <v>1</v>
      </c>
      <c r="AQ7" s="47">
        <f t="shared" ca="1" si="29"/>
        <v>0</v>
      </c>
      <c r="AR7" s="47">
        <f t="shared" ca="1" si="30"/>
        <v>75</v>
      </c>
      <c r="AS7" s="33">
        <f t="shared" ca="1" si="31"/>
        <v>0.4</v>
      </c>
      <c r="AW7" s="2">
        <v>0.65</v>
      </c>
      <c r="AX7" s="2" t="s">
        <v>255</v>
      </c>
      <c r="AY7" s="130">
        <v>23.1</v>
      </c>
      <c r="AZ7" s="2">
        <v>20.2</v>
      </c>
      <c r="BA7" s="2">
        <v>18</v>
      </c>
      <c r="BB7" s="2">
        <v>28</v>
      </c>
      <c r="BC7" s="2">
        <v>5</v>
      </c>
      <c r="BD7" s="2">
        <v>0.1</v>
      </c>
      <c r="BE7" s="2">
        <v>0.5</v>
      </c>
      <c r="BF7" s="2">
        <v>0.7</v>
      </c>
      <c r="BG7" s="2">
        <v>0.9</v>
      </c>
      <c r="BH7" s="2">
        <v>1.2</v>
      </c>
      <c r="BI7" s="2">
        <v>0</v>
      </c>
      <c r="BJ7" s="2">
        <v>26</v>
      </c>
      <c r="BK7" s="2">
        <v>37</v>
      </c>
      <c r="BL7" s="2">
        <v>47</v>
      </c>
      <c r="BM7" s="2">
        <v>68</v>
      </c>
      <c r="BN7" s="2"/>
      <c r="BO7" s="2"/>
      <c r="BP7" s="2"/>
      <c r="BQ7" s="2"/>
      <c r="BR7" s="2"/>
      <c r="BS7" s="2"/>
      <c r="BT7" s="2">
        <v>0</v>
      </c>
      <c r="BU7" s="2">
        <v>10</v>
      </c>
      <c r="BV7" s="2">
        <v>17</v>
      </c>
      <c r="BW7" s="2">
        <v>23</v>
      </c>
      <c r="BX7" s="2">
        <v>35</v>
      </c>
      <c r="BY7" s="2">
        <v>4</v>
      </c>
      <c r="BZ7" s="2">
        <v>32.700000000000003</v>
      </c>
      <c r="CA7" s="2">
        <v>3</v>
      </c>
      <c r="CB7" s="2">
        <v>3.1358049696518799E-7</v>
      </c>
      <c r="CC7" s="2">
        <v>1.8</v>
      </c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15914.16</v>
      </c>
      <c r="H8" s="45" t="s">
        <v>53</v>
      </c>
      <c r="I8" s="33" t="str">
        <f t="shared" ca="1" si="0"/>
        <v>10a</v>
      </c>
      <c r="J8" s="47">
        <f t="shared" ca="1" si="32"/>
        <v>3</v>
      </c>
      <c r="K8" s="19">
        <f t="shared" ca="1" si="33"/>
        <v>-4.2</v>
      </c>
      <c r="L8" s="116" t="str">
        <f t="shared" ca="1" si="1"/>
        <v>EW_sand_Ruled_56</v>
      </c>
      <c r="M8" s="105" t="str">
        <f t="shared" ca="1" si="2"/>
        <v>API sand</v>
      </c>
      <c r="N8" s="47">
        <f t="shared" ca="1" si="3"/>
        <v>10</v>
      </c>
      <c r="O8" s="63">
        <f t="shared" ca="1" si="34"/>
        <v>0</v>
      </c>
      <c r="P8" s="63">
        <f t="shared" ca="1" si="35"/>
        <v>0</v>
      </c>
      <c r="Q8" s="47">
        <f t="shared" ca="1" si="4"/>
        <v>37</v>
      </c>
      <c r="R8" s="47">
        <f t="shared" ca="1" si="5"/>
        <v>32</v>
      </c>
      <c r="S8" s="47">
        <f t="shared" ca="1" si="6"/>
        <v>1.2</v>
      </c>
      <c r="T8" s="47">
        <f t="shared" ca="1" si="7"/>
        <v>0</v>
      </c>
      <c r="U8" s="75">
        <f t="shared" ca="1" si="8"/>
        <v>0</v>
      </c>
      <c r="V8" s="75">
        <f t="shared" ca="1" si="9"/>
        <v>0</v>
      </c>
      <c r="W8" s="47">
        <f t="shared" ca="1" si="36"/>
        <v>0</v>
      </c>
      <c r="X8" s="47">
        <f t="shared" ca="1" si="10"/>
        <v>30500</v>
      </c>
      <c r="Y8" s="47">
        <f t="shared" ca="1" si="11"/>
        <v>0</v>
      </c>
      <c r="Z8" s="47">
        <f t="shared" ca="1" si="12"/>
        <v>103.59999999999997</v>
      </c>
      <c r="AA8" s="47">
        <f t="shared" ca="1" si="13"/>
        <v>1</v>
      </c>
      <c r="AB8" s="47">
        <f t="shared" ca="1" si="14"/>
        <v>10560</v>
      </c>
      <c r="AC8" s="63">
        <f t="shared" ca="1" si="15"/>
        <v>61000</v>
      </c>
      <c r="AD8" s="63">
        <f t="shared" ca="1" si="16"/>
        <v>2222.2222222222222</v>
      </c>
      <c r="AE8" s="63">
        <f t="shared" ca="1" si="17"/>
        <v>0.3</v>
      </c>
      <c r="AF8" s="63">
        <f t="shared" ca="1" si="18"/>
        <v>0</v>
      </c>
      <c r="AG8" s="63">
        <f t="shared" ca="1" si="19"/>
        <v>0</v>
      </c>
      <c r="AH8" s="63">
        <f t="shared" ca="1" si="20"/>
        <v>0</v>
      </c>
      <c r="AI8" s="63">
        <f t="shared" ca="1" si="21"/>
        <v>0</v>
      </c>
      <c r="AJ8" s="47">
        <f t="shared" ca="1" si="22"/>
        <v>44.000000000000007</v>
      </c>
      <c r="AK8" s="47">
        <f t="shared" ca="1" si="23"/>
        <v>1</v>
      </c>
      <c r="AL8" s="47">
        <f t="shared" ca="1" si="24"/>
        <v>1</v>
      </c>
      <c r="AM8" s="47">
        <f t="shared" ca="1" si="25"/>
        <v>1</v>
      </c>
      <c r="AN8" s="47">
        <f t="shared" ca="1" si="26"/>
        <v>1</v>
      </c>
      <c r="AO8" s="47">
        <f t="shared" ca="1" si="27"/>
        <v>1</v>
      </c>
      <c r="AP8" s="47">
        <f t="shared" ca="1" si="28"/>
        <v>1</v>
      </c>
      <c r="AQ8" s="47">
        <f t="shared" ca="1" si="29"/>
        <v>0</v>
      </c>
      <c r="AR8" s="47">
        <f t="shared" ca="1" si="30"/>
        <v>56</v>
      </c>
      <c r="AS8" s="33">
        <f t="shared" ca="1" si="31"/>
        <v>0.4</v>
      </c>
      <c r="AW8" s="2">
        <v>0.65</v>
      </c>
      <c r="AX8" s="2" t="s">
        <v>257</v>
      </c>
      <c r="AY8" s="130">
        <v>29.7</v>
      </c>
      <c r="AZ8" s="2">
        <v>19.399999999999999</v>
      </c>
      <c r="BA8" s="2"/>
      <c r="BB8" s="2">
        <v>24</v>
      </c>
      <c r="BC8" s="2"/>
      <c r="BD8" s="2">
        <v>3.7</v>
      </c>
      <c r="BE8" s="2">
        <v>5.6</v>
      </c>
      <c r="BF8" s="2">
        <v>6</v>
      </c>
      <c r="BG8" s="2">
        <v>6.5</v>
      </c>
      <c r="BH8" s="2">
        <v>9.4</v>
      </c>
      <c r="BI8" s="2"/>
      <c r="BJ8" s="2"/>
      <c r="BK8" s="2"/>
      <c r="BL8" s="2"/>
      <c r="BM8" s="2"/>
      <c r="BN8" s="2">
        <v>75</v>
      </c>
      <c r="BO8" s="2">
        <v>34</v>
      </c>
      <c r="BP8" s="2">
        <v>40</v>
      </c>
      <c r="BQ8" s="2">
        <v>43</v>
      </c>
      <c r="BR8" s="2">
        <v>46</v>
      </c>
      <c r="BS8" s="2">
        <v>52</v>
      </c>
      <c r="BT8" s="2">
        <v>0</v>
      </c>
      <c r="BU8" s="2">
        <v>13</v>
      </c>
      <c r="BV8" s="2">
        <v>24</v>
      </c>
      <c r="BW8" s="2">
        <v>36</v>
      </c>
      <c r="BX8" s="2">
        <v>63</v>
      </c>
      <c r="BY8" s="2">
        <v>39</v>
      </c>
      <c r="BZ8" s="2">
        <v>15.4</v>
      </c>
      <c r="CA8" s="2">
        <v>2.6</v>
      </c>
      <c r="CB8" s="2">
        <v>5.9963609854577098E-5</v>
      </c>
      <c r="CC8" s="2"/>
    </row>
    <row r="9" spans="1:81" x14ac:dyDescent="0.25">
      <c r="A9" s="33" t="s">
        <v>68</v>
      </c>
      <c r="B9" s="57">
        <v>36.5</v>
      </c>
      <c r="C9" s="45" t="s">
        <v>28</v>
      </c>
      <c r="D9" s="57">
        <v>28</v>
      </c>
      <c r="F9" s="33" t="s">
        <v>96</v>
      </c>
      <c r="G9" s="76">
        <v>-692490.8</v>
      </c>
      <c r="H9" s="45" t="s">
        <v>54</v>
      </c>
      <c r="I9" s="33" t="str">
        <f t="shared" ca="1" si="0"/>
        <v>10b</v>
      </c>
      <c r="J9" s="47">
        <f t="shared" ca="1" si="32"/>
        <v>4</v>
      </c>
      <c r="K9" s="19">
        <f t="shared" ca="1" si="33"/>
        <v>-6</v>
      </c>
      <c r="L9" s="116" t="str">
        <f t="shared" ca="1" si="1"/>
        <v>EW_sand_Ruled_68</v>
      </c>
      <c r="M9" s="105" t="str">
        <f t="shared" ca="1" si="2"/>
        <v>API sand</v>
      </c>
      <c r="N9" s="47">
        <f t="shared" ca="1" si="3"/>
        <v>9.8999999999999986</v>
      </c>
      <c r="O9" s="63">
        <f t="shared" ca="1" si="34"/>
        <v>0</v>
      </c>
      <c r="P9" s="63">
        <f t="shared" ca="1" si="35"/>
        <v>0</v>
      </c>
      <c r="Q9" s="47">
        <f t="shared" ca="1" si="4"/>
        <v>39</v>
      </c>
      <c r="R9" s="47">
        <f t="shared" ca="1" si="5"/>
        <v>34</v>
      </c>
      <c r="S9" s="47">
        <f t="shared" ca="1" si="6"/>
        <v>1.2</v>
      </c>
      <c r="T9" s="47">
        <f t="shared" ca="1" si="7"/>
        <v>0</v>
      </c>
      <c r="U9" s="75">
        <f t="shared" ca="1" si="8"/>
        <v>0</v>
      </c>
      <c r="V9" s="75">
        <f t="shared" ca="1" si="9"/>
        <v>0</v>
      </c>
      <c r="W9" s="47">
        <f t="shared" ca="1" si="36"/>
        <v>0</v>
      </c>
      <c r="X9" s="47">
        <f t="shared" ca="1" si="10"/>
        <v>58900</v>
      </c>
      <c r="Y9" s="47">
        <f t="shared" ca="1" si="11"/>
        <v>0</v>
      </c>
      <c r="Z9" s="47">
        <f t="shared" ca="1" si="12"/>
        <v>111.19999999999996</v>
      </c>
      <c r="AA9" s="47">
        <f t="shared" ca="1" si="13"/>
        <v>1</v>
      </c>
      <c r="AB9" s="47">
        <f t="shared" ca="1" si="14"/>
        <v>11520</v>
      </c>
      <c r="AC9" s="63">
        <f t="shared" ca="1" si="15"/>
        <v>74000</v>
      </c>
      <c r="AD9" s="63">
        <f t="shared" ca="1" si="16"/>
        <v>7000</v>
      </c>
      <c r="AE9" s="63">
        <f t="shared" ca="1" si="17"/>
        <v>0.3</v>
      </c>
      <c r="AF9" s="63">
        <f t="shared" ca="1" si="18"/>
        <v>0</v>
      </c>
      <c r="AG9" s="63">
        <f t="shared" ca="1" si="19"/>
        <v>0</v>
      </c>
      <c r="AH9" s="63">
        <f t="shared" ca="1" si="20"/>
        <v>0</v>
      </c>
      <c r="AI9" s="63">
        <f t="shared" ca="1" si="21"/>
        <v>0</v>
      </c>
      <c r="AJ9" s="47">
        <f t="shared" ca="1" si="22"/>
        <v>48.000000000000007</v>
      </c>
      <c r="AK9" s="47">
        <f t="shared" ca="1" si="23"/>
        <v>1</v>
      </c>
      <c r="AL9" s="47">
        <f t="shared" ca="1" si="24"/>
        <v>1</v>
      </c>
      <c r="AM9" s="47">
        <f t="shared" ca="1" si="25"/>
        <v>1</v>
      </c>
      <c r="AN9" s="47">
        <f t="shared" ca="1" si="26"/>
        <v>1</v>
      </c>
      <c r="AO9" s="47">
        <f t="shared" ca="1" si="27"/>
        <v>1</v>
      </c>
      <c r="AP9" s="47">
        <f t="shared" ca="1" si="28"/>
        <v>1</v>
      </c>
      <c r="AQ9" s="47">
        <f t="shared" ca="1" si="29"/>
        <v>0</v>
      </c>
      <c r="AR9" s="47">
        <f t="shared" ca="1" si="30"/>
        <v>68</v>
      </c>
      <c r="AS9" s="33">
        <f t="shared" ca="1" si="31"/>
        <v>0.4</v>
      </c>
      <c r="AW9" s="2">
        <v>4.2</v>
      </c>
      <c r="AX9" s="2" t="s">
        <v>257</v>
      </c>
      <c r="AY9" s="130">
        <v>29.7</v>
      </c>
      <c r="AZ9" s="2">
        <v>19.399999999999999</v>
      </c>
      <c r="BA9" s="2"/>
      <c r="BB9" s="2">
        <v>24</v>
      </c>
      <c r="BC9" s="2"/>
      <c r="BD9" s="2">
        <v>13.3</v>
      </c>
      <c r="BE9" s="2">
        <v>15.2</v>
      </c>
      <c r="BF9" s="2">
        <v>15.5</v>
      </c>
      <c r="BG9" s="2">
        <v>16</v>
      </c>
      <c r="BH9" s="2">
        <v>19</v>
      </c>
      <c r="BI9" s="2"/>
      <c r="BJ9" s="2"/>
      <c r="BK9" s="2"/>
      <c r="BL9" s="2"/>
      <c r="BM9" s="2"/>
      <c r="BN9" s="2">
        <v>75</v>
      </c>
      <c r="BO9" s="2">
        <v>34</v>
      </c>
      <c r="BP9" s="2">
        <v>40</v>
      </c>
      <c r="BQ9" s="2">
        <v>43</v>
      </c>
      <c r="BR9" s="2">
        <v>46</v>
      </c>
      <c r="BS9" s="2">
        <v>52</v>
      </c>
      <c r="BT9" s="2">
        <v>46</v>
      </c>
      <c r="BU9" s="2">
        <v>59</v>
      </c>
      <c r="BV9" s="2">
        <v>70</v>
      </c>
      <c r="BW9" s="2">
        <v>81</v>
      </c>
      <c r="BX9" s="2">
        <v>109</v>
      </c>
      <c r="BY9" s="2">
        <v>39</v>
      </c>
      <c r="BZ9" s="2">
        <v>15.4</v>
      </c>
      <c r="CA9" s="2">
        <v>2.6</v>
      </c>
      <c r="CB9" s="2">
        <v>5.9963609854577098E-5</v>
      </c>
      <c r="CC9" s="2"/>
    </row>
    <row r="10" spans="1:81" s="56" customFormat="1" x14ac:dyDescent="0.25">
      <c r="A10" s="56" t="s">
        <v>69</v>
      </c>
      <c r="B10" s="58">
        <v>36.5</v>
      </c>
      <c r="C10" s="45" t="s">
        <v>28</v>
      </c>
      <c r="D10" s="58">
        <v>28</v>
      </c>
      <c r="F10" s="33" t="s">
        <v>51</v>
      </c>
      <c r="G10" s="71">
        <v>27360.38</v>
      </c>
      <c r="H10" s="45" t="s">
        <v>53</v>
      </c>
      <c r="I10" s="33" t="str">
        <f t="shared" ca="1" si="0"/>
        <v>10b</v>
      </c>
      <c r="J10" s="47">
        <f t="shared" ca="1" si="32"/>
        <v>5</v>
      </c>
      <c r="K10" s="19">
        <f t="shared" ca="1" si="33"/>
        <v>-9</v>
      </c>
      <c r="L10" s="116" t="str">
        <f t="shared" ca="1" si="1"/>
        <v>EW_sand_Ruled_79</v>
      </c>
      <c r="M10" s="105" t="str">
        <f t="shared" ca="1" si="2"/>
        <v>API sand</v>
      </c>
      <c r="N10" s="47">
        <f t="shared" ca="1" si="3"/>
        <v>9.8999999999999986</v>
      </c>
      <c r="O10" s="63">
        <f t="shared" ca="1" si="34"/>
        <v>0</v>
      </c>
      <c r="P10" s="63">
        <f t="shared" ca="1" si="35"/>
        <v>0</v>
      </c>
      <c r="Q10" s="47">
        <f t="shared" ca="1" si="4"/>
        <v>40</v>
      </c>
      <c r="R10" s="47">
        <f t="shared" ca="1" si="5"/>
        <v>35</v>
      </c>
      <c r="S10" s="47">
        <f t="shared" ca="1" si="6"/>
        <v>1.2</v>
      </c>
      <c r="T10" s="47">
        <f t="shared" ca="1" si="7"/>
        <v>0</v>
      </c>
      <c r="U10" s="75">
        <f t="shared" ca="1" si="8"/>
        <v>0</v>
      </c>
      <c r="V10" s="75">
        <f t="shared" ca="1" si="9"/>
        <v>0</v>
      </c>
      <c r="W10" s="47">
        <f t="shared" ca="1" si="36"/>
        <v>0</v>
      </c>
      <c r="X10" s="47">
        <f t="shared" ca="1" si="10"/>
        <v>89500</v>
      </c>
      <c r="Y10" s="47">
        <f t="shared" ca="1" si="11"/>
        <v>0</v>
      </c>
      <c r="Z10" s="47">
        <f t="shared" ca="1" si="12"/>
        <v>114.99999999999996</v>
      </c>
      <c r="AA10" s="47">
        <f t="shared" ca="1" si="13"/>
        <v>1</v>
      </c>
      <c r="AB10" s="47">
        <f t="shared" ca="1" si="14"/>
        <v>12000</v>
      </c>
      <c r="AC10" s="63">
        <f t="shared" ca="1" si="15"/>
        <v>108000</v>
      </c>
      <c r="AD10" s="63">
        <f t="shared" ca="1" si="16"/>
        <v>2307.6923076923076</v>
      </c>
      <c r="AE10" s="63">
        <f t="shared" ca="1" si="17"/>
        <v>0.3</v>
      </c>
      <c r="AF10" s="63">
        <f t="shared" ca="1" si="18"/>
        <v>0</v>
      </c>
      <c r="AG10" s="63">
        <f t="shared" ca="1" si="19"/>
        <v>0</v>
      </c>
      <c r="AH10" s="63">
        <f t="shared" ca="1" si="20"/>
        <v>0</v>
      </c>
      <c r="AI10" s="63">
        <f t="shared" ca="1" si="21"/>
        <v>0</v>
      </c>
      <c r="AJ10" s="47">
        <f t="shared" ca="1" si="22"/>
        <v>50.000000000000007</v>
      </c>
      <c r="AK10" s="47">
        <f t="shared" ca="1" si="23"/>
        <v>1</v>
      </c>
      <c r="AL10" s="47">
        <f t="shared" ca="1" si="24"/>
        <v>1</v>
      </c>
      <c r="AM10" s="47">
        <f t="shared" ca="1" si="25"/>
        <v>1</v>
      </c>
      <c r="AN10" s="47">
        <f t="shared" ca="1" si="26"/>
        <v>1</v>
      </c>
      <c r="AO10" s="47">
        <f t="shared" ca="1" si="27"/>
        <v>1</v>
      </c>
      <c r="AP10" s="47">
        <f t="shared" ca="1" si="28"/>
        <v>1</v>
      </c>
      <c r="AQ10" s="47">
        <f t="shared" ca="1" si="29"/>
        <v>0</v>
      </c>
      <c r="AR10" s="47">
        <f t="shared" ca="1" si="30"/>
        <v>79</v>
      </c>
      <c r="AS10" s="33">
        <f t="shared" ca="1" si="31"/>
        <v>0.4</v>
      </c>
      <c r="AW10" s="2">
        <v>4.2</v>
      </c>
      <c r="AX10" s="2" t="s">
        <v>259</v>
      </c>
      <c r="AY10" s="130">
        <v>25.5</v>
      </c>
      <c r="AZ10" s="2">
        <v>20</v>
      </c>
      <c r="BA10" s="2"/>
      <c r="BB10" s="2">
        <v>14</v>
      </c>
      <c r="BC10" s="2"/>
      <c r="BD10" s="2">
        <v>6.2</v>
      </c>
      <c r="BE10" s="2">
        <v>8.4</v>
      </c>
      <c r="BF10" s="2">
        <v>8.9</v>
      </c>
      <c r="BG10" s="2">
        <v>9.4</v>
      </c>
      <c r="BH10" s="2">
        <v>11.2</v>
      </c>
      <c r="BI10" s="2"/>
      <c r="BJ10" s="2"/>
      <c r="BK10" s="2"/>
      <c r="BL10" s="2"/>
      <c r="BM10" s="2"/>
      <c r="BN10" s="2">
        <v>56</v>
      </c>
      <c r="BO10" s="2">
        <v>32</v>
      </c>
      <c r="BP10" s="2">
        <v>37</v>
      </c>
      <c r="BQ10" s="2">
        <v>40</v>
      </c>
      <c r="BR10" s="2">
        <v>43</v>
      </c>
      <c r="BS10" s="2">
        <v>49</v>
      </c>
      <c r="BT10" s="2">
        <v>9</v>
      </c>
      <c r="BU10" s="2">
        <v>46</v>
      </c>
      <c r="BV10" s="2">
        <v>61</v>
      </c>
      <c r="BW10" s="2">
        <v>76</v>
      </c>
      <c r="BX10" s="2">
        <v>113</v>
      </c>
      <c r="BY10" s="2">
        <v>30.5</v>
      </c>
      <c r="BZ10" s="2">
        <v>4.4000000000000004</v>
      </c>
      <c r="CA10" s="2">
        <v>1.2</v>
      </c>
      <c r="CB10" s="2">
        <v>1.2987947287947701E-6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14a</v>
      </c>
      <c r="J11" s="47">
        <f t="shared" ca="1" si="32"/>
        <v>6</v>
      </c>
      <c r="K11" s="19">
        <f t="shared" ca="1" si="33"/>
        <v>-12.9</v>
      </c>
      <c r="L11" s="116" t="str">
        <f t="shared" ca="1" si="1"/>
        <v>EW_sand_Ruled_59</v>
      </c>
      <c r="M11" s="105" t="str">
        <f t="shared" ca="1" si="2"/>
        <v>API sand</v>
      </c>
      <c r="N11" s="47">
        <f t="shared" ca="1" si="3"/>
        <v>8.5</v>
      </c>
      <c r="O11" s="63">
        <f t="shared" ca="1" si="34"/>
        <v>0</v>
      </c>
      <c r="P11" s="63">
        <f t="shared" ca="1" si="35"/>
        <v>0</v>
      </c>
      <c r="Q11" s="47">
        <f t="shared" ca="1" si="4"/>
        <v>26</v>
      </c>
      <c r="R11" s="47">
        <f t="shared" ca="1" si="5"/>
        <v>21</v>
      </c>
      <c r="S11" s="47">
        <f t="shared" ca="1" si="6"/>
        <v>0.9</v>
      </c>
      <c r="T11" s="47">
        <f t="shared" ca="1" si="7"/>
        <v>0</v>
      </c>
      <c r="U11" s="75">
        <f t="shared" ca="1" si="8"/>
        <v>0</v>
      </c>
      <c r="V11" s="75">
        <f t="shared" ca="1" si="9"/>
        <v>0</v>
      </c>
      <c r="W11" s="47">
        <f t="shared" ca="1" si="36"/>
        <v>0</v>
      </c>
      <c r="X11" s="47">
        <f t="shared" ca="1" si="10"/>
        <v>12700</v>
      </c>
      <c r="Y11" s="47">
        <f t="shared" ca="1" si="11"/>
        <v>0</v>
      </c>
      <c r="Z11" s="47">
        <f t="shared" ca="1" si="12"/>
        <v>69.799999999999983</v>
      </c>
      <c r="AA11" s="47">
        <f t="shared" ca="1" si="13"/>
        <v>1</v>
      </c>
      <c r="AB11" s="47">
        <f t="shared" ca="1" si="14"/>
        <v>3280</v>
      </c>
      <c r="AC11" s="63">
        <f t="shared" ca="1" si="15"/>
        <v>97000</v>
      </c>
      <c r="AD11" s="63">
        <f t="shared" ca="1" si="16"/>
        <v>1322.3140495867769</v>
      </c>
      <c r="AE11" s="63">
        <f t="shared" ca="1" si="17"/>
        <v>0.3</v>
      </c>
      <c r="AF11" s="63">
        <f t="shared" ca="1" si="18"/>
        <v>0</v>
      </c>
      <c r="AG11" s="63">
        <f t="shared" ca="1" si="19"/>
        <v>0</v>
      </c>
      <c r="AH11" s="63">
        <f t="shared" ca="1" si="20"/>
        <v>0</v>
      </c>
      <c r="AI11" s="63">
        <f t="shared" ca="1" si="21"/>
        <v>0</v>
      </c>
      <c r="AJ11" s="47">
        <f t="shared" ca="1" si="22"/>
        <v>13.600000000000003</v>
      </c>
      <c r="AK11" s="47">
        <f t="shared" ca="1" si="23"/>
        <v>1</v>
      </c>
      <c r="AL11" s="47">
        <f t="shared" ca="1" si="24"/>
        <v>1</v>
      </c>
      <c r="AM11" s="47">
        <f t="shared" ca="1" si="25"/>
        <v>1</v>
      </c>
      <c r="AN11" s="47">
        <f t="shared" ca="1" si="26"/>
        <v>1</v>
      </c>
      <c r="AO11" s="47">
        <f t="shared" ca="1" si="27"/>
        <v>1</v>
      </c>
      <c r="AP11" s="47">
        <f t="shared" ca="1" si="28"/>
        <v>1</v>
      </c>
      <c r="AQ11" s="47">
        <f t="shared" ca="1" si="29"/>
        <v>0</v>
      </c>
      <c r="AR11" s="47">
        <f t="shared" ca="1" si="30"/>
        <v>59</v>
      </c>
      <c r="AS11" s="33">
        <f t="shared" ca="1" si="31"/>
        <v>0.2</v>
      </c>
      <c r="AW11" s="2">
        <v>6</v>
      </c>
      <c r="AX11" s="2" t="s">
        <v>259</v>
      </c>
      <c r="AY11" s="130">
        <v>25.5</v>
      </c>
      <c r="AZ11" s="2">
        <v>20</v>
      </c>
      <c r="BA11" s="2"/>
      <c r="BB11" s="2">
        <v>14</v>
      </c>
      <c r="BC11" s="2"/>
      <c r="BD11" s="2">
        <v>4.4000000000000004</v>
      </c>
      <c r="BE11" s="2">
        <v>6.6</v>
      </c>
      <c r="BF11" s="2">
        <v>7.1</v>
      </c>
      <c r="BG11" s="2">
        <v>7.6</v>
      </c>
      <c r="BH11" s="2">
        <v>9.4</v>
      </c>
      <c r="BI11" s="2"/>
      <c r="BJ11" s="2"/>
      <c r="BK11" s="2"/>
      <c r="BL11" s="2"/>
      <c r="BM11" s="2"/>
      <c r="BN11" s="2">
        <v>56</v>
      </c>
      <c r="BO11" s="2">
        <v>32</v>
      </c>
      <c r="BP11" s="2">
        <v>37</v>
      </c>
      <c r="BQ11" s="2">
        <v>40</v>
      </c>
      <c r="BR11" s="2">
        <v>43</v>
      </c>
      <c r="BS11" s="2">
        <v>49</v>
      </c>
      <c r="BT11" s="2">
        <v>13</v>
      </c>
      <c r="BU11" s="2">
        <v>50</v>
      </c>
      <c r="BV11" s="2">
        <v>65</v>
      </c>
      <c r="BW11" s="2">
        <v>80</v>
      </c>
      <c r="BX11" s="2">
        <v>116</v>
      </c>
      <c r="BY11" s="2">
        <v>30.5</v>
      </c>
      <c r="BZ11" s="2">
        <v>4.4000000000000004</v>
      </c>
      <c r="CA11" s="2">
        <v>1.2</v>
      </c>
      <c r="CB11" s="2">
        <v>1.2987947287947701E-6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2876.4569999999999</v>
      </c>
      <c r="H12" s="45" t="s">
        <v>53</v>
      </c>
      <c r="I12" s="33" t="str">
        <f t="shared" ca="1" si="0"/>
        <v>14b</v>
      </c>
      <c r="J12" s="47">
        <f t="shared" ca="1" si="32"/>
        <v>7</v>
      </c>
      <c r="K12" s="19">
        <f t="shared" ca="1" si="33"/>
        <v>-25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8.5</v>
      </c>
      <c r="O12" s="63">
        <f t="shared" ca="1" si="34"/>
        <v>168</v>
      </c>
      <c r="P12" s="63">
        <f t="shared" ca="1" si="35"/>
        <v>10.992366412213739</v>
      </c>
      <c r="Q12" s="47">
        <f t="shared" ca="1" si="4"/>
        <v>0</v>
      </c>
      <c r="R12" s="47" t="e">
        <f t="shared" ca="1" si="5"/>
        <v>#N/A</v>
      </c>
      <c r="S12" s="47">
        <f t="shared" ca="1" si="6"/>
        <v>1.9</v>
      </c>
      <c r="T12" s="47">
        <f t="shared" ca="1" si="7"/>
        <v>0</v>
      </c>
      <c r="U12" s="75">
        <f t="shared" ca="1" si="8"/>
        <v>1.7999999999999999E-2</v>
      </c>
      <c r="V12" s="75">
        <f t="shared" ca="1" si="9"/>
        <v>0</v>
      </c>
      <c r="W12" s="47">
        <f t="shared" ca="1" si="36"/>
        <v>0.5</v>
      </c>
      <c r="X12" s="47">
        <f t="shared" ca="1" si="10"/>
        <v>20100</v>
      </c>
      <c r="Y12" s="47">
        <f t="shared" ca="1" si="11"/>
        <v>0</v>
      </c>
      <c r="Z12" s="47" t="e">
        <f t="shared" ca="1" si="12"/>
        <v>#N/A</v>
      </c>
      <c r="AA12" s="47">
        <f t="shared" ca="1" si="13"/>
        <v>1</v>
      </c>
      <c r="AB12" s="47" t="e">
        <f t="shared" ca="1" si="14"/>
        <v>#N/A</v>
      </c>
      <c r="AC12" s="63">
        <f t="shared" ca="1" si="15"/>
        <v>218000</v>
      </c>
      <c r="AD12" s="63">
        <f t="shared" ca="1" si="16"/>
        <v>14274.809160305342</v>
      </c>
      <c r="AE12" s="63">
        <f t="shared" ca="1" si="17"/>
        <v>0.3</v>
      </c>
      <c r="AF12" s="63">
        <f t="shared" ca="1" si="18"/>
        <v>0</v>
      </c>
      <c r="AG12" s="63">
        <f t="shared" ca="1" si="19"/>
        <v>0</v>
      </c>
      <c r="AH12" s="63">
        <f t="shared" ca="1" si="20"/>
        <v>0</v>
      </c>
      <c r="AI12" s="63">
        <f t="shared" ca="1" si="21"/>
        <v>0</v>
      </c>
      <c r="AJ12" s="47" t="e">
        <f t="shared" ca="1" si="22"/>
        <v>#N/A</v>
      </c>
      <c r="AK12" s="47">
        <f t="shared" ca="1" si="23"/>
        <v>1</v>
      </c>
      <c r="AL12" s="47">
        <f t="shared" ca="1" si="24"/>
        <v>1</v>
      </c>
      <c r="AM12" s="47">
        <f t="shared" ca="1" si="25"/>
        <v>1</v>
      </c>
      <c r="AN12" s="47">
        <f t="shared" ca="1" si="26"/>
        <v>1</v>
      </c>
      <c r="AO12" s="47">
        <f t="shared" ca="1" si="27"/>
        <v>1</v>
      </c>
      <c r="AP12" s="47">
        <f t="shared" ca="1" si="28"/>
        <v>1</v>
      </c>
      <c r="AQ12" s="47">
        <f t="shared" ca="1" si="29"/>
        <v>0</v>
      </c>
      <c r="AR12" s="47">
        <f t="shared" ca="1" si="30"/>
        <v>0</v>
      </c>
      <c r="AS12" s="33">
        <f t="shared" ca="1" si="31"/>
        <v>0.4</v>
      </c>
      <c r="AW12" s="2">
        <v>6</v>
      </c>
      <c r="AX12" s="2" t="s">
        <v>261</v>
      </c>
      <c r="AY12" s="130">
        <v>24</v>
      </c>
      <c r="AZ12" s="2">
        <v>19.899999999999999</v>
      </c>
      <c r="BA12" s="2"/>
      <c r="BB12" s="2">
        <v>6</v>
      </c>
      <c r="BC12" s="2"/>
      <c r="BD12" s="2">
        <v>7.4</v>
      </c>
      <c r="BE12" s="2">
        <v>10.3</v>
      </c>
      <c r="BF12" s="2">
        <v>10.8</v>
      </c>
      <c r="BG12" s="2">
        <v>12.3</v>
      </c>
      <c r="BH12" s="2">
        <v>20.6</v>
      </c>
      <c r="BI12" s="2"/>
      <c r="BJ12" s="2"/>
      <c r="BK12" s="2"/>
      <c r="BL12" s="2"/>
      <c r="BM12" s="2"/>
      <c r="BN12" s="2">
        <v>68</v>
      </c>
      <c r="BO12" s="2">
        <v>33</v>
      </c>
      <c r="BP12" s="2">
        <v>39</v>
      </c>
      <c r="BQ12" s="2">
        <v>42</v>
      </c>
      <c r="BR12" s="2">
        <v>45</v>
      </c>
      <c r="BS12" s="2">
        <v>51</v>
      </c>
      <c r="BT12" s="2">
        <v>6</v>
      </c>
      <c r="BU12" s="2">
        <v>54</v>
      </c>
      <c r="BV12" s="2">
        <v>74</v>
      </c>
      <c r="BW12" s="2">
        <v>95</v>
      </c>
      <c r="BX12" s="2">
        <v>145</v>
      </c>
      <c r="BY12" s="2">
        <v>58.9</v>
      </c>
      <c r="BZ12" s="2">
        <v>4.5999999999999996</v>
      </c>
      <c r="CA12" s="2">
        <v>1.2</v>
      </c>
      <c r="CB12" s="2">
        <v>2.9491005397214E-6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15b</v>
      </c>
      <c r="J13" s="47">
        <f t="shared" ca="1" si="32"/>
        <v>8</v>
      </c>
      <c r="K13" s="19">
        <f t="shared" ca="1" si="33"/>
        <v>-38.1</v>
      </c>
      <c r="L13" s="116" t="str">
        <f t="shared" ca="1" si="1"/>
        <v>EW_sand_Ruled_80</v>
      </c>
      <c r="M13" s="105" t="str">
        <f t="shared" ca="1" si="2"/>
        <v>API sand</v>
      </c>
      <c r="N13" s="47">
        <f t="shared" ca="1" si="3"/>
        <v>9</v>
      </c>
      <c r="O13" s="63">
        <f t="shared" ca="1" si="34"/>
        <v>0</v>
      </c>
      <c r="P13" s="63">
        <f t="shared" ca="1" si="35"/>
        <v>0</v>
      </c>
      <c r="Q13" s="47">
        <f t="shared" ca="1" si="4"/>
        <v>28</v>
      </c>
      <c r="R13" s="47">
        <f t="shared" ca="1" si="5"/>
        <v>23</v>
      </c>
      <c r="S13" s="47">
        <f t="shared" ca="1" si="6"/>
        <v>1</v>
      </c>
      <c r="T13" s="47">
        <f t="shared" ca="1" si="7"/>
        <v>0</v>
      </c>
      <c r="U13" s="75">
        <f t="shared" ca="1" si="8"/>
        <v>0</v>
      </c>
      <c r="V13" s="75">
        <f t="shared" ca="1" si="9"/>
        <v>0</v>
      </c>
      <c r="W13" s="47">
        <f t="shared" ca="1" si="36"/>
        <v>0</v>
      </c>
      <c r="X13" s="47">
        <f t="shared" ca="1" si="10"/>
        <v>46000</v>
      </c>
      <c r="Y13" s="47">
        <f t="shared" ca="1" si="11"/>
        <v>0</v>
      </c>
      <c r="Z13" s="47">
        <f t="shared" ca="1" si="12"/>
        <v>75.399999999999977</v>
      </c>
      <c r="AA13" s="47">
        <f t="shared" ca="1" si="13"/>
        <v>1</v>
      </c>
      <c r="AB13" s="47">
        <f t="shared" ca="1" si="14"/>
        <v>4040</v>
      </c>
      <c r="AC13" s="63">
        <f t="shared" ca="1" si="15"/>
        <v>188000</v>
      </c>
      <c r="AD13" s="63">
        <f t="shared" ca="1" si="16"/>
        <v>2881.3559322033907</v>
      </c>
      <c r="AE13" s="63">
        <f t="shared" ca="1" si="17"/>
        <v>0.3</v>
      </c>
      <c r="AF13" s="63">
        <f t="shared" ca="1" si="18"/>
        <v>0</v>
      </c>
      <c r="AG13" s="63">
        <f t="shared" ca="1" si="19"/>
        <v>0</v>
      </c>
      <c r="AH13" s="63">
        <f t="shared" ca="1" si="20"/>
        <v>0</v>
      </c>
      <c r="AI13" s="63">
        <f t="shared" ca="1" si="21"/>
        <v>0</v>
      </c>
      <c r="AJ13" s="47">
        <f t="shared" ca="1" si="22"/>
        <v>16.800000000000004</v>
      </c>
      <c r="AK13" s="47">
        <f t="shared" ca="1" si="23"/>
        <v>1</v>
      </c>
      <c r="AL13" s="47">
        <f t="shared" ca="1" si="24"/>
        <v>1</v>
      </c>
      <c r="AM13" s="47">
        <f t="shared" ca="1" si="25"/>
        <v>1</v>
      </c>
      <c r="AN13" s="47">
        <f t="shared" ca="1" si="26"/>
        <v>1</v>
      </c>
      <c r="AO13" s="47">
        <f t="shared" ca="1" si="27"/>
        <v>1</v>
      </c>
      <c r="AP13" s="47">
        <f t="shared" ca="1" si="28"/>
        <v>1</v>
      </c>
      <c r="AQ13" s="47">
        <f t="shared" ca="1" si="29"/>
        <v>0</v>
      </c>
      <c r="AR13" s="47">
        <f t="shared" ca="1" si="30"/>
        <v>80</v>
      </c>
      <c r="AS13" s="33">
        <f t="shared" ca="1" si="31"/>
        <v>0.2</v>
      </c>
      <c r="AW13" s="2">
        <v>9</v>
      </c>
      <c r="AX13" s="2" t="s">
        <v>261</v>
      </c>
      <c r="AY13" s="130">
        <v>24</v>
      </c>
      <c r="AZ13" s="2">
        <v>19.899999999999999</v>
      </c>
      <c r="BA13" s="2"/>
      <c r="BB13" s="2">
        <v>6</v>
      </c>
      <c r="BC13" s="2"/>
      <c r="BD13" s="2">
        <v>12.6</v>
      </c>
      <c r="BE13" s="2">
        <v>15.4</v>
      </c>
      <c r="BF13" s="2">
        <v>16</v>
      </c>
      <c r="BG13" s="2">
        <v>17.399999999999999</v>
      </c>
      <c r="BH13" s="2">
        <v>25.8</v>
      </c>
      <c r="BI13" s="2"/>
      <c r="BJ13" s="2"/>
      <c r="BK13" s="2"/>
      <c r="BL13" s="2"/>
      <c r="BM13" s="2"/>
      <c r="BN13" s="2">
        <v>68</v>
      </c>
      <c r="BO13" s="2">
        <v>33</v>
      </c>
      <c r="BP13" s="2">
        <v>39</v>
      </c>
      <c r="BQ13" s="2">
        <v>42</v>
      </c>
      <c r="BR13" s="2">
        <v>45</v>
      </c>
      <c r="BS13" s="2">
        <v>51</v>
      </c>
      <c r="BT13" s="2">
        <v>26</v>
      </c>
      <c r="BU13" s="2">
        <v>74</v>
      </c>
      <c r="BV13" s="2">
        <v>95</v>
      </c>
      <c r="BW13" s="2">
        <v>115</v>
      </c>
      <c r="BX13" s="2">
        <v>165</v>
      </c>
      <c r="BY13" s="2">
        <v>58.9</v>
      </c>
      <c r="BZ13" s="2">
        <v>4.5999999999999996</v>
      </c>
      <c r="CA13" s="2">
        <v>1.2</v>
      </c>
      <c r="CB13" s="2">
        <v>2.9491005397214E-6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15b</v>
      </c>
      <c r="J14" s="47">
        <f t="shared" ca="1" si="32"/>
        <v>9</v>
      </c>
      <c r="K14" s="19">
        <f t="shared" ca="1" si="33"/>
        <v>-44</v>
      </c>
      <c r="L14" s="116" t="str">
        <f t="shared" ca="1" si="1"/>
        <v>EW_sand_Ruled_80</v>
      </c>
      <c r="M14" s="105" t="str">
        <f t="shared" ca="1" si="2"/>
        <v>API sand</v>
      </c>
      <c r="N14" s="47">
        <f t="shared" ca="1" si="3"/>
        <v>9</v>
      </c>
      <c r="O14" s="63">
        <f t="shared" ca="1" si="34"/>
        <v>0</v>
      </c>
      <c r="P14" s="63">
        <f t="shared" ca="1" si="35"/>
        <v>0</v>
      </c>
      <c r="Q14" s="47">
        <f t="shared" ca="1" si="4"/>
        <v>28</v>
      </c>
      <c r="R14" s="47">
        <f t="shared" ca="1" si="5"/>
        <v>23</v>
      </c>
      <c r="S14" s="47">
        <f t="shared" ca="1" si="6"/>
        <v>1</v>
      </c>
      <c r="T14" s="47">
        <f t="shared" ca="1" si="7"/>
        <v>0</v>
      </c>
      <c r="U14" s="75">
        <f t="shared" ca="1" si="8"/>
        <v>0</v>
      </c>
      <c r="V14" s="75">
        <f t="shared" ca="1" si="9"/>
        <v>0</v>
      </c>
      <c r="W14" s="47">
        <f t="shared" ca="1" si="36"/>
        <v>0</v>
      </c>
      <c r="X14" s="47">
        <f t="shared" ca="1" si="10"/>
        <v>46000</v>
      </c>
      <c r="Y14" s="47">
        <f t="shared" ca="1" si="11"/>
        <v>0</v>
      </c>
      <c r="Z14" s="47">
        <f t="shared" ca="1" si="12"/>
        <v>75.399999999999977</v>
      </c>
      <c r="AA14" s="47">
        <f t="shared" ca="1" si="13"/>
        <v>1</v>
      </c>
      <c r="AB14" s="47">
        <f t="shared" ca="1" si="14"/>
        <v>4040</v>
      </c>
      <c r="AC14" s="63">
        <f t="shared" ca="1" si="15"/>
        <v>182000</v>
      </c>
      <c r="AD14" s="63">
        <f t="shared" ca="1" si="16"/>
        <v>15625.000000000009</v>
      </c>
      <c r="AE14" s="63">
        <f t="shared" ca="1" si="17"/>
        <v>0.3</v>
      </c>
      <c r="AF14" s="63">
        <f t="shared" ca="1" si="18"/>
        <v>0</v>
      </c>
      <c r="AG14" s="63">
        <f t="shared" ca="1" si="19"/>
        <v>0</v>
      </c>
      <c r="AH14" s="63">
        <f t="shared" ca="1" si="20"/>
        <v>0</v>
      </c>
      <c r="AI14" s="63">
        <f t="shared" ca="1" si="21"/>
        <v>0</v>
      </c>
      <c r="AJ14" s="47">
        <f t="shared" ca="1" si="22"/>
        <v>16.800000000000004</v>
      </c>
      <c r="AK14" s="47">
        <f t="shared" ca="1" si="23"/>
        <v>1</v>
      </c>
      <c r="AL14" s="47">
        <f t="shared" ca="1" si="24"/>
        <v>1</v>
      </c>
      <c r="AM14" s="47">
        <f t="shared" ca="1" si="25"/>
        <v>1</v>
      </c>
      <c r="AN14" s="47">
        <f t="shared" ca="1" si="26"/>
        <v>1</v>
      </c>
      <c r="AO14" s="47">
        <f t="shared" ca="1" si="27"/>
        <v>1</v>
      </c>
      <c r="AP14" s="47">
        <f t="shared" ca="1" si="28"/>
        <v>1</v>
      </c>
      <c r="AQ14" s="47">
        <f t="shared" ca="1" si="29"/>
        <v>0</v>
      </c>
      <c r="AR14" s="47">
        <f t="shared" ca="1" si="30"/>
        <v>80</v>
      </c>
      <c r="AS14" s="33">
        <f t="shared" ca="1" si="31"/>
        <v>0.2</v>
      </c>
      <c r="AW14" s="2">
        <v>9</v>
      </c>
      <c r="AX14" s="2" t="s">
        <v>261</v>
      </c>
      <c r="AY14" s="130">
        <v>24</v>
      </c>
      <c r="AZ14" s="2">
        <v>19.899999999999999</v>
      </c>
      <c r="BA14" s="2"/>
      <c r="BB14" s="2">
        <v>6</v>
      </c>
      <c r="BC14" s="2"/>
      <c r="BD14" s="2">
        <f>-5+20.2</f>
        <v>15.2</v>
      </c>
      <c r="BE14" s="2">
        <v>24.2</v>
      </c>
      <c r="BF14" s="2">
        <v>24.8</v>
      </c>
      <c r="BG14" s="2">
        <v>25.4</v>
      </c>
      <c r="BH14" s="2">
        <f>10+29.2</f>
        <v>39.200000000000003</v>
      </c>
      <c r="BI14" s="2"/>
      <c r="BJ14" s="2"/>
      <c r="BK14" s="2"/>
      <c r="BL14" s="2"/>
      <c r="BM14" s="2"/>
      <c r="BN14" s="2">
        <v>79</v>
      </c>
      <c r="BO14" s="2">
        <v>34</v>
      </c>
      <c r="BP14" s="2">
        <v>40</v>
      </c>
      <c r="BQ14" s="2">
        <v>43</v>
      </c>
      <c r="BR14" s="2">
        <v>46</v>
      </c>
      <c r="BS14" s="2">
        <v>52</v>
      </c>
      <c r="BT14" s="2">
        <v>16</v>
      </c>
      <c r="BU14" s="2">
        <v>82</v>
      </c>
      <c r="BV14" s="2">
        <v>108</v>
      </c>
      <c r="BW14" s="2">
        <v>135</v>
      </c>
      <c r="BX14" s="2">
        <v>200</v>
      </c>
      <c r="BY14" s="2">
        <v>89.5</v>
      </c>
      <c r="BZ14" s="2">
        <v>4.4000000000000004</v>
      </c>
      <c r="CA14" s="2">
        <v>1.2</v>
      </c>
      <c r="CB14" s="2">
        <v>1.2009607805544799E-5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21a</v>
      </c>
      <c r="J15" s="47">
        <f t="shared" ca="1" si="32"/>
        <v>10</v>
      </c>
      <c r="K15" s="19">
        <f t="shared" ca="1" si="33"/>
        <v>-48.8</v>
      </c>
      <c r="L15" s="116" t="str">
        <f t="shared" ca="1" si="1"/>
        <v>EW_sand_Ruled_68</v>
      </c>
      <c r="M15" s="105" t="str">
        <f t="shared" ca="1" si="2"/>
        <v>API sand</v>
      </c>
      <c r="N15" s="47">
        <f t="shared" ca="1" si="3"/>
        <v>9.8000000000000007</v>
      </c>
      <c r="O15" s="63">
        <f t="shared" ca="1" si="34"/>
        <v>0</v>
      </c>
      <c r="P15" s="63">
        <f t="shared" ca="1" si="35"/>
        <v>0</v>
      </c>
      <c r="Q15" s="47">
        <f t="shared" ca="1" si="4"/>
        <v>28</v>
      </c>
      <c r="R15" s="47">
        <f t="shared" ca="1" si="5"/>
        <v>23</v>
      </c>
      <c r="S15" s="47">
        <f t="shared" ca="1" si="6"/>
        <v>0.9</v>
      </c>
      <c r="T15" s="47">
        <f t="shared" ca="1" si="7"/>
        <v>0</v>
      </c>
      <c r="U15" s="75">
        <f t="shared" ca="1" si="8"/>
        <v>0</v>
      </c>
      <c r="V15" s="75">
        <f t="shared" ca="1" si="9"/>
        <v>0</v>
      </c>
      <c r="W15" s="47">
        <f t="shared" ca="1" si="36"/>
        <v>0</v>
      </c>
      <c r="X15" s="47">
        <f t="shared" ca="1" si="10"/>
        <v>46000</v>
      </c>
      <c r="Y15" s="47">
        <f t="shared" ca="1" si="11"/>
        <v>0</v>
      </c>
      <c r="Z15" s="47">
        <f t="shared" ca="1" si="12"/>
        <v>75.399999999999977</v>
      </c>
      <c r="AA15" s="47">
        <f t="shared" ca="1" si="13"/>
        <v>1</v>
      </c>
      <c r="AB15" s="47">
        <f t="shared" ca="1" si="14"/>
        <v>4040</v>
      </c>
      <c r="AC15" s="63">
        <f t="shared" ca="1" si="15"/>
        <v>196000</v>
      </c>
      <c r="AD15" s="63">
        <f t="shared" ca="1" si="16"/>
        <v>2574.8502994011974</v>
      </c>
      <c r="AE15" s="63">
        <f t="shared" ca="1" si="17"/>
        <v>0.3</v>
      </c>
      <c r="AF15" s="63">
        <f t="shared" ca="1" si="18"/>
        <v>0</v>
      </c>
      <c r="AG15" s="63">
        <f t="shared" ca="1" si="19"/>
        <v>0</v>
      </c>
      <c r="AH15" s="63">
        <f t="shared" ca="1" si="20"/>
        <v>0</v>
      </c>
      <c r="AI15" s="63">
        <f t="shared" ca="1" si="21"/>
        <v>0</v>
      </c>
      <c r="AJ15" s="47">
        <f t="shared" ca="1" si="22"/>
        <v>16.800000000000004</v>
      </c>
      <c r="AK15" s="47">
        <f t="shared" ca="1" si="23"/>
        <v>1</v>
      </c>
      <c r="AL15" s="47">
        <f t="shared" ca="1" si="24"/>
        <v>1</v>
      </c>
      <c r="AM15" s="47">
        <f t="shared" ca="1" si="25"/>
        <v>1</v>
      </c>
      <c r="AN15" s="47">
        <f t="shared" ca="1" si="26"/>
        <v>1</v>
      </c>
      <c r="AO15" s="47">
        <f t="shared" ca="1" si="27"/>
        <v>1</v>
      </c>
      <c r="AP15" s="47">
        <f t="shared" ca="1" si="28"/>
        <v>1</v>
      </c>
      <c r="AQ15" s="47">
        <f t="shared" ca="1" si="29"/>
        <v>0</v>
      </c>
      <c r="AR15" s="47">
        <f t="shared" ca="1" si="30"/>
        <v>68</v>
      </c>
      <c r="AS15" s="33">
        <f t="shared" ca="1" si="31"/>
        <v>0.2</v>
      </c>
      <c r="AW15" s="2">
        <v>12.9</v>
      </c>
      <c r="AX15" s="2" t="s">
        <v>261</v>
      </c>
      <c r="AY15" s="130">
        <v>24</v>
      </c>
      <c r="AZ15" s="2">
        <v>19.899999999999999</v>
      </c>
      <c r="BA15" s="2"/>
      <c r="BB15" s="2">
        <v>6</v>
      </c>
      <c r="BC15" s="2"/>
      <c r="BD15" s="2">
        <f>-5+15.5</f>
        <v>10.5</v>
      </c>
      <c r="BE15" s="2">
        <v>19.399999999999999</v>
      </c>
      <c r="BF15" s="2">
        <v>20</v>
      </c>
      <c r="BG15" s="2">
        <v>20.6</v>
      </c>
      <c r="BH15" s="2">
        <f>10+24.4</f>
        <v>34.4</v>
      </c>
      <c r="BI15" s="2"/>
      <c r="BJ15" s="2"/>
      <c r="BK15" s="2"/>
      <c r="BL15" s="2"/>
      <c r="BM15" s="2"/>
      <c r="BN15" s="2">
        <v>79</v>
      </c>
      <c r="BO15" s="2">
        <v>34</v>
      </c>
      <c r="BP15" s="2">
        <v>40</v>
      </c>
      <c r="BQ15" s="2">
        <v>43</v>
      </c>
      <c r="BR15" s="2">
        <v>46</v>
      </c>
      <c r="BS15" s="2">
        <v>52</v>
      </c>
      <c r="BT15" s="2">
        <v>25</v>
      </c>
      <c r="BU15" s="2">
        <v>90</v>
      </c>
      <c r="BV15" s="2">
        <v>117</v>
      </c>
      <c r="BW15" s="2">
        <v>143</v>
      </c>
      <c r="BX15" s="2">
        <v>208</v>
      </c>
      <c r="BY15" s="2">
        <v>89.5</v>
      </c>
      <c r="BZ15" s="2">
        <v>4.4000000000000004</v>
      </c>
      <c r="CA15" s="2">
        <v>1.2</v>
      </c>
      <c r="CB15" s="2">
        <v>1.2009607805544799E-5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23d</v>
      </c>
      <c r="J16" s="47">
        <f t="shared" ca="1" si="32"/>
        <v>11</v>
      </c>
      <c r="K16" s="19">
        <f t="shared" ca="1" si="33"/>
        <v>-65.5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8.8999999999999986</v>
      </c>
      <c r="O16" s="63">
        <f t="shared" ca="1" si="34"/>
        <v>488</v>
      </c>
      <c r="P16" s="63">
        <f t="shared" ca="1" si="35"/>
        <v>5.5172413793103452</v>
      </c>
      <c r="Q16" s="47">
        <f t="shared" ca="1" si="4"/>
        <v>0</v>
      </c>
      <c r="R16" s="47" t="e">
        <f t="shared" ca="1" si="5"/>
        <v>#N/A</v>
      </c>
      <c r="S16" s="47">
        <f t="shared" ca="1" si="6"/>
        <v>1.8</v>
      </c>
      <c r="T16" s="47">
        <f t="shared" ca="1" si="7"/>
        <v>0</v>
      </c>
      <c r="U16" s="75">
        <f t="shared" ca="1" si="8"/>
        <v>1.7999999999999999E-2</v>
      </c>
      <c r="V16" s="75">
        <f t="shared" ca="1" si="9"/>
        <v>0</v>
      </c>
      <c r="W16" s="47">
        <f t="shared" ca="1" si="36"/>
        <v>0.25</v>
      </c>
      <c r="X16" s="47">
        <f t="shared" ca="1" si="10"/>
        <v>45800</v>
      </c>
      <c r="Y16" s="47">
        <f t="shared" ca="1" si="11"/>
        <v>0</v>
      </c>
      <c r="Z16" s="47" t="e">
        <f t="shared" ca="1" si="12"/>
        <v>#N/A</v>
      </c>
      <c r="AA16" s="47">
        <f t="shared" ca="1" si="13"/>
        <v>1</v>
      </c>
      <c r="AB16" s="47" t="e">
        <f t="shared" ca="1" si="14"/>
        <v>#N/A</v>
      </c>
      <c r="AC16" s="63">
        <f t="shared" ca="1" si="15"/>
        <v>761000</v>
      </c>
      <c r="AD16" s="63">
        <f t="shared" ca="1" si="16"/>
        <v>10482.758620689654</v>
      </c>
      <c r="AE16" s="63">
        <f t="shared" ca="1" si="17"/>
        <v>0.3</v>
      </c>
      <c r="AF16" s="63">
        <f t="shared" ca="1" si="18"/>
        <v>0</v>
      </c>
      <c r="AG16" s="63">
        <f t="shared" ca="1" si="19"/>
        <v>0</v>
      </c>
      <c r="AH16" s="63">
        <f t="shared" ca="1" si="20"/>
        <v>0</v>
      </c>
      <c r="AI16" s="63">
        <f t="shared" ca="1" si="21"/>
        <v>0</v>
      </c>
      <c r="AJ16" s="47" t="e">
        <f t="shared" ca="1" si="22"/>
        <v>#N/A</v>
      </c>
      <c r="AK16" s="47">
        <f t="shared" ca="1" si="23"/>
        <v>1</v>
      </c>
      <c r="AL16" s="47">
        <f t="shared" ca="1" si="24"/>
        <v>1</v>
      </c>
      <c r="AM16" s="47">
        <f t="shared" ca="1" si="25"/>
        <v>1</v>
      </c>
      <c r="AN16" s="47">
        <f t="shared" ca="1" si="26"/>
        <v>1</v>
      </c>
      <c r="AO16" s="47">
        <f t="shared" ca="1" si="27"/>
        <v>1</v>
      </c>
      <c r="AP16" s="47">
        <f t="shared" ca="1" si="28"/>
        <v>1</v>
      </c>
      <c r="AQ16" s="47">
        <f t="shared" ca="1" si="29"/>
        <v>0</v>
      </c>
      <c r="AR16" s="47">
        <f t="shared" ca="1" si="30"/>
        <v>0</v>
      </c>
      <c r="AS16" s="33">
        <f t="shared" ca="1" si="31"/>
        <v>0.4</v>
      </c>
      <c r="AW16" s="2">
        <v>12.9</v>
      </c>
      <c r="AX16" s="2" t="s">
        <v>264</v>
      </c>
      <c r="AY16" s="130">
        <v>31.6</v>
      </c>
      <c r="AZ16" s="2">
        <v>18.5</v>
      </c>
      <c r="BA16" s="2"/>
      <c r="BB16" s="2">
        <v>38</v>
      </c>
      <c r="BC16" s="2"/>
      <c r="BD16" s="2">
        <v>5.7</v>
      </c>
      <c r="BE16" s="2">
        <v>8.4</v>
      </c>
      <c r="BF16" s="2">
        <v>8.6999999999999993</v>
      </c>
      <c r="BG16" s="2">
        <v>8.9</v>
      </c>
      <c r="BH16" s="2">
        <v>11.2</v>
      </c>
      <c r="BI16" s="2"/>
      <c r="BJ16" s="2"/>
      <c r="BK16" s="2"/>
      <c r="BL16" s="2"/>
      <c r="BM16" s="2"/>
      <c r="BN16" s="2">
        <v>59</v>
      </c>
      <c r="BO16" s="2">
        <v>26</v>
      </c>
      <c r="BP16" s="2">
        <v>26</v>
      </c>
      <c r="BQ16" s="2">
        <v>28</v>
      </c>
      <c r="BR16" s="2">
        <v>30</v>
      </c>
      <c r="BS16" s="2">
        <v>34</v>
      </c>
      <c r="BT16" s="2">
        <v>12</v>
      </c>
      <c r="BU16" s="2">
        <v>72</v>
      </c>
      <c r="BV16" s="2">
        <v>97</v>
      </c>
      <c r="BW16" s="2">
        <v>122</v>
      </c>
      <c r="BX16" s="2">
        <v>183</v>
      </c>
      <c r="BY16" s="2">
        <v>12.7</v>
      </c>
      <c r="BZ16" s="2">
        <v>2.5</v>
      </c>
      <c r="CA16" s="2">
        <v>0.9</v>
      </c>
      <c r="CB16" s="2">
        <v>5.84151274151961E-9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/>
      </c>
      <c r="J17" s="47" t="str">
        <f t="shared" ca="1" si="32"/>
        <v/>
      </c>
      <c r="K17" s="19" t="str">
        <f t="shared" ca="1" si="33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34"/>
        <v/>
      </c>
      <c r="P17" s="63" t="str">
        <f t="shared" ca="1" si="35"/>
        <v/>
      </c>
      <c r="Q17" s="47" t="str">
        <f t="shared" ca="1" si="4"/>
        <v/>
      </c>
      <c r="R17" s="47" t="str">
        <f t="shared" ca="1" si="5"/>
        <v/>
      </c>
      <c r="S17" s="47" t="str">
        <f t="shared" ca="1" si="6"/>
        <v/>
      </c>
      <c r="T17" s="47" t="str">
        <f t="shared" ca="1" si="7"/>
        <v/>
      </c>
      <c r="U17" s="75" t="str">
        <f t="shared" ca="1" si="8"/>
        <v/>
      </c>
      <c r="V17" s="75" t="str">
        <f t="shared" ca="1" si="9"/>
        <v/>
      </c>
      <c r="W17" s="47" t="str">
        <f t="shared" ca="1" si="36"/>
        <v/>
      </c>
      <c r="X17" s="47" t="str">
        <f t="shared" ca="1" si="10"/>
        <v/>
      </c>
      <c r="Y17" s="47" t="str">
        <f t="shared" ca="1" si="11"/>
        <v/>
      </c>
      <c r="Z17" s="47" t="str">
        <f t="shared" ca="1" si="12"/>
        <v/>
      </c>
      <c r="AA17" s="47" t="str">
        <f t="shared" ca="1" si="13"/>
        <v/>
      </c>
      <c r="AB17" s="47" t="str">
        <f t="shared" ca="1" si="14"/>
        <v/>
      </c>
      <c r="AC17" s="63" t="str">
        <f t="shared" ca="1" si="15"/>
        <v/>
      </c>
      <c r="AD17" s="63" t="str">
        <f t="shared" ca="1" si="16"/>
        <v/>
      </c>
      <c r="AE17" s="63" t="str">
        <f t="shared" ca="1" si="17"/>
        <v/>
      </c>
      <c r="AF17" s="63" t="str">
        <f t="shared" ca="1" si="18"/>
        <v/>
      </c>
      <c r="AG17" s="63" t="str">
        <f t="shared" ca="1" si="19"/>
        <v/>
      </c>
      <c r="AH17" s="63" t="str">
        <f t="shared" ca="1" si="20"/>
        <v/>
      </c>
      <c r="AI17" s="63" t="str">
        <f t="shared" ca="1" si="21"/>
        <v/>
      </c>
      <c r="AJ17" s="47" t="str">
        <f t="shared" ca="1" si="22"/>
        <v/>
      </c>
      <c r="AK17" s="47" t="str">
        <f t="shared" ca="1" si="23"/>
        <v/>
      </c>
      <c r="AL17" s="47" t="str">
        <f t="shared" ca="1" si="24"/>
        <v/>
      </c>
      <c r="AM17" s="47" t="str">
        <f t="shared" ca="1" si="25"/>
        <v/>
      </c>
      <c r="AN17" s="47" t="str">
        <f t="shared" ca="1" si="26"/>
        <v/>
      </c>
      <c r="AO17" s="47" t="str">
        <f t="shared" ca="1" si="27"/>
        <v/>
      </c>
      <c r="AP17" s="47" t="str">
        <f t="shared" ca="1" si="28"/>
        <v/>
      </c>
      <c r="AQ17" s="47" t="str">
        <f t="shared" ca="1" si="29"/>
        <v/>
      </c>
      <c r="AR17" s="47" t="str">
        <f t="shared" ca="1" si="30"/>
        <v/>
      </c>
      <c r="AS17" s="33" t="str">
        <f t="shared" ca="1" si="31"/>
        <v/>
      </c>
      <c r="AW17" s="2">
        <v>25</v>
      </c>
      <c r="AX17" s="2" t="s">
        <v>264</v>
      </c>
      <c r="AY17" s="130">
        <v>31.6</v>
      </c>
      <c r="AZ17" s="2">
        <v>18.5</v>
      </c>
      <c r="BA17" s="2"/>
      <c r="BB17" s="2">
        <v>38</v>
      </c>
      <c r="BC17" s="2"/>
      <c r="BD17" s="2">
        <v>3.8</v>
      </c>
      <c r="BE17" s="2">
        <v>6.4</v>
      </c>
      <c r="BF17" s="2">
        <v>6.7</v>
      </c>
      <c r="BG17" s="2">
        <v>6.9</v>
      </c>
      <c r="BH17" s="2">
        <v>9.3000000000000007</v>
      </c>
      <c r="BI17" s="2"/>
      <c r="BJ17" s="2"/>
      <c r="BK17" s="2"/>
      <c r="BL17" s="2"/>
      <c r="BM17" s="2"/>
      <c r="BN17" s="2">
        <v>59</v>
      </c>
      <c r="BO17" s="2">
        <v>26</v>
      </c>
      <c r="BP17" s="2">
        <v>26</v>
      </c>
      <c r="BQ17" s="2">
        <v>28</v>
      </c>
      <c r="BR17" s="2">
        <v>30</v>
      </c>
      <c r="BS17" s="2">
        <v>34</v>
      </c>
      <c r="BT17" s="2">
        <v>28</v>
      </c>
      <c r="BU17" s="2">
        <v>88</v>
      </c>
      <c r="BV17" s="2">
        <v>113</v>
      </c>
      <c r="BW17" s="2">
        <v>137</v>
      </c>
      <c r="BX17" s="2">
        <v>198</v>
      </c>
      <c r="BY17" s="2">
        <v>12.7</v>
      </c>
      <c r="BZ17" s="2">
        <v>2.5</v>
      </c>
      <c r="CA17" s="2">
        <v>0.9</v>
      </c>
      <c r="CB17" s="2">
        <v>5.84151274151961E-9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2"/>
        <v/>
      </c>
      <c r="K18" s="19" t="str">
        <f t="shared" ca="1" si="33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34"/>
        <v/>
      </c>
      <c r="P18" s="63" t="str">
        <f t="shared" ca="1" si="35"/>
        <v/>
      </c>
      <c r="Q18" s="47" t="str">
        <f t="shared" ca="1" si="4"/>
        <v/>
      </c>
      <c r="R18" s="47" t="str">
        <f t="shared" ca="1" si="5"/>
        <v/>
      </c>
      <c r="S18" s="47" t="str">
        <f t="shared" ca="1" si="6"/>
        <v/>
      </c>
      <c r="T18" s="47" t="str">
        <f t="shared" ca="1" si="7"/>
        <v/>
      </c>
      <c r="U18" s="75" t="str">
        <f t="shared" ca="1" si="8"/>
        <v/>
      </c>
      <c r="V18" s="75" t="str">
        <f t="shared" ca="1" si="9"/>
        <v/>
      </c>
      <c r="W18" s="47" t="str">
        <f t="shared" ca="1" si="36"/>
        <v/>
      </c>
      <c r="X18" s="47" t="str">
        <f t="shared" ca="1" si="10"/>
        <v/>
      </c>
      <c r="Y18" s="47" t="str">
        <f t="shared" ca="1" si="11"/>
        <v/>
      </c>
      <c r="Z18" s="47" t="str">
        <f t="shared" ca="1" si="12"/>
        <v/>
      </c>
      <c r="AA18" s="47" t="str">
        <f t="shared" ca="1" si="13"/>
        <v/>
      </c>
      <c r="AB18" s="47" t="str">
        <f t="shared" ca="1" si="14"/>
        <v/>
      </c>
      <c r="AC18" s="63" t="str">
        <f t="shared" ca="1" si="15"/>
        <v/>
      </c>
      <c r="AD18" s="63" t="str">
        <f t="shared" ca="1" si="16"/>
        <v/>
      </c>
      <c r="AE18" s="63" t="str">
        <f t="shared" ca="1" si="17"/>
        <v/>
      </c>
      <c r="AF18" s="63" t="str">
        <f t="shared" ca="1" si="18"/>
        <v/>
      </c>
      <c r="AG18" s="63" t="str">
        <f t="shared" ca="1" si="19"/>
        <v/>
      </c>
      <c r="AH18" s="63" t="str">
        <f t="shared" ca="1" si="20"/>
        <v/>
      </c>
      <c r="AI18" s="63" t="str">
        <f t="shared" ca="1" si="21"/>
        <v/>
      </c>
      <c r="AJ18" s="47" t="str">
        <f t="shared" ca="1" si="22"/>
        <v/>
      </c>
      <c r="AK18" s="47" t="str">
        <f t="shared" ca="1" si="23"/>
        <v/>
      </c>
      <c r="AL18" s="47" t="str">
        <f t="shared" ca="1" si="24"/>
        <v/>
      </c>
      <c r="AM18" s="47" t="str">
        <f t="shared" ca="1" si="25"/>
        <v/>
      </c>
      <c r="AN18" s="47" t="str">
        <f t="shared" ca="1" si="26"/>
        <v/>
      </c>
      <c r="AO18" s="47" t="str">
        <f t="shared" ca="1" si="27"/>
        <v/>
      </c>
      <c r="AP18" s="47" t="str">
        <f t="shared" ca="1" si="28"/>
        <v/>
      </c>
      <c r="AQ18" s="47" t="str">
        <f t="shared" ca="1" si="29"/>
        <v/>
      </c>
      <c r="AR18" s="47" t="str">
        <f t="shared" ca="1" si="30"/>
        <v/>
      </c>
      <c r="AS18" s="33" t="str">
        <f t="shared" ca="1" si="31"/>
        <v/>
      </c>
      <c r="AW18" s="2">
        <v>25</v>
      </c>
      <c r="AX18" s="2" t="s">
        <v>266</v>
      </c>
      <c r="AY18" s="130">
        <v>34.4</v>
      </c>
      <c r="AZ18" s="2">
        <v>18.5</v>
      </c>
      <c r="BA18" s="2">
        <v>23</v>
      </c>
      <c r="BB18" s="2">
        <v>76</v>
      </c>
      <c r="BC18" s="2">
        <v>4</v>
      </c>
      <c r="BD18" s="2">
        <v>2.7</v>
      </c>
      <c r="BE18" s="2">
        <v>4.4000000000000004</v>
      </c>
      <c r="BF18" s="2">
        <v>4.5</v>
      </c>
      <c r="BG18" s="2">
        <v>4.7</v>
      </c>
      <c r="BH18" s="2">
        <v>7</v>
      </c>
      <c r="BI18" s="2">
        <v>35</v>
      </c>
      <c r="BJ18" s="2">
        <v>168</v>
      </c>
      <c r="BK18" s="2">
        <v>224</v>
      </c>
      <c r="BL18" s="2">
        <v>281</v>
      </c>
      <c r="BM18" s="2">
        <v>444</v>
      </c>
      <c r="BN18" s="2"/>
      <c r="BO18" s="2"/>
      <c r="BP18" s="2"/>
      <c r="BQ18" s="2"/>
      <c r="BR18" s="2"/>
      <c r="BS18" s="2"/>
      <c r="BT18" s="2">
        <v>25</v>
      </c>
      <c r="BU18" s="2">
        <v>123</v>
      </c>
      <c r="BV18" s="2">
        <v>218</v>
      </c>
      <c r="BW18" s="2">
        <v>312</v>
      </c>
      <c r="BX18" s="2">
        <v>545</v>
      </c>
      <c r="BY18" s="2">
        <v>20.100000000000001</v>
      </c>
      <c r="BZ18" s="2">
        <v>5.5</v>
      </c>
      <c r="CA18" s="2">
        <v>1.9</v>
      </c>
      <c r="CB18" s="2">
        <v>7.9849714494462996E-11</v>
      </c>
      <c r="CC18" s="2">
        <v>1.8</v>
      </c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2"/>
        <v/>
      </c>
      <c r="K19" s="19" t="str">
        <f t="shared" ca="1" si="33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34"/>
        <v/>
      </c>
      <c r="P19" s="63" t="str">
        <f t="shared" ca="1" si="35"/>
        <v/>
      </c>
      <c r="Q19" s="47" t="str">
        <f t="shared" ca="1" si="4"/>
        <v/>
      </c>
      <c r="R19" s="47" t="str">
        <f t="shared" ca="1" si="5"/>
        <v/>
      </c>
      <c r="S19" s="47" t="str">
        <f t="shared" ca="1" si="6"/>
        <v/>
      </c>
      <c r="T19" s="47" t="str">
        <f t="shared" ca="1" si="7"/>
        <v/>
      </c>
      <c r="U19" s="75" t="str">
        <f t="shared" ca="1" si="8"/>
        <v/>
      </c>
      <c r="V19" s="75" t="str">
        <f t="shared" ca="1" si="9"/>
        <v/>
      </c>
      <c r="W19" s="47" t="str">
        <f t="shared" ca="1" si="36"/>
        <v/>
      </c>
      <c r="X19" s="47" t="str">
        <f t="shared" ca="1" si="10"/>
        <v/>
      </c>
      <c r="Y19" s="47" t="str">
        <f t="shared" ca="1" si="11"/>
        <v/>
      </c>
      <c r="Z19" s="47" t="str">
        <f t="shared" ca="1" si="12"/>
        <v/>
      </c>
      <c r="AA19" s="47" t="str">
        <f t="shared" ca="1" si="13"/>
        <v/>
      </c>
      <c r="AB19" s="47" t="str">
        <f t="shared" ca="1" si="14"/>
        <v/>
      </c>
      <c r="AC19" s="63" t="str">
        <f t="shared" ca="1" si="15"/>
        <v/>
      </c>
      <c r="AD19" s="63" t="str">
        <f t="shared" ca="1" si="16"/>
        <v/>
      </c>
      <c r="AE19" s="63" t="str">
        <f t="shared" ca="1" si="17"/>
        <v/>
      </c>
      <c r="AF19" s="63" t="str">
        <f t="shared" ca="1" si="18"/>
        <v/>
      </c>
      <c r="AG19" s="63" t="str">
        <f t="shared" ca="1" si="19"/>
        <v/>
      </c>
      <c r="AH19" s="63" t="str">
        <f t="shared" ca="1" si="20"/>
        <v/>
      </c>
      <c r="AI19" s="63" t="str">
        <f t="shared" ca="1" si="21"/>
        <v/>
      </c>
      <c r="AJ19" s="47" t="str">
        <f t="shared" ca="1" si="22"/>
        <v/>
      </c>
      <c r="AK19" s="47" t="str">
        <f t="shared" ca="1" si="23"/>
        <v/>
      </c>
      <c r="AL19" s="47" t="str">
        <f t="shared" ca="1" si="24"/>
        <v/>
      </c>
      <c r="AM19" s="47" t="str">
        <f t="shared" ca="1" si="25"/>
        <v/>
      </c>
      <c r="AN19" s="47" t="str">
        <f t="shared" ca="1" si="26"/>
        <v/>
      </c>
      <c r="AO19" s="47" t="str">
        <f t="shared" ca="1" si="27"/>
        <v/>
      </c>
      <c r="AP19" s="47" t="str">
        <f t="shared" ca="1" si="28"/>
        <v/>
      </c>
      <c r="AQ19" s="47" t="str">
        <f t="shared" ca="1" si="29"/>
        <v/>
      </c>
      <c r="AR19" s="47" t="str">
        <f t="shared" ca="1" si="30"/>
        <v/>
      </c>
      <c r="AS19" s="33" t="str">
        <f t="shared" ca="1" si="31"/>
        <v/>
      </c>
      <c r="AW19" s="2">
        <v>38.1</v>
      </c>
      <c r="AX19" s="2" t="s">
        <v>266</v>
      </c>
      <c r="AY19" s="130">
        <v>34.4</v>
      </c>
      <c r="AZ19" s="2">
        <v>18.5</v>
      </c>
      <c r="BA19" s="2">
        <v>23</v>
      </c>
      <c r="BB19" s="2">
        <v>76</v>
      </c>
      <c r="BC19" s="2">
        <v>4</v>
      </c>
      <c r="BD19" s="2">
        <v>5.5</v>
      </c>
      <c r="BE19" s="2">
        <v>7.2</v>
      </c>
      <c r="BF19" s="2">
        <v>7.3</v>
      </c>
      <c r="BG19" s="2">
        <v>7.5</v>
      </c>
      <c r="BH19" s="2">
        <v>9.8000000000000007</v>
      </c>
      <c r="BI19" s="2">
        <v>178</v>
      </c>
      <c r="BJ19" s="2">
        <v>312</v>
      </c>
      <c r="BK19" s="2">
        <v>367</v>
      </c>
      <c r="BL19" s="2">
        <v>424</v>
      </c>
      <c r="BM19" s="2">
        <v>588</v>
      </c>
      <c r="BN19" s="2"/>
      <c r="BO19" s="2"/>
      <c r="BP19" s="2"/>
      <c r="BQ19" s="2"/>
      <c r="BR19" s="2"/>
      <c r="BS19" s="2"/>
      <c r="BT19" s="2">
        <v>212</v>
      </c>
      <c r="BU19" s="2">
        <v>310</v>
      </c>
      <c r="BV19" s="2">
        <v>405</v>
      </c>
      <c r="BW19" s="2">
        <v>499</v>
      </c>
      <c r="BX19" s="2">
        <v>732</v>
      </c>
      <c r="BY19" s="2">
        <v>20.100000000000001</v>
      </c>
      <c r="BZ19" s="2">
        <v>5.5</v>
      </c>
      <c r="CA19" s="2">
        <v>1.9</v>
      </c>
      <c r="CB19" s="2">
        <v>7.9849714494462996E-11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2"/>
        <v/>
      </c>
      <c r="K20" s="19" t="str">
        <f t="shared" ca="1" si="33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34"/>
        <v/>
      </c>
      <c r="P20" s="63" t="str">
        <f t="shared" ca="1" si="35"/>
        <v/>
      </c>
      <c r="Q20" s="47" t="str">
        <f t="shared" ca="1" si="4"/>
        <v/>
      </c>
      <c r="R20" s="47" t="str">
        <f t="shared" ca="1" si="5"/>
        <v/>
      </c>
      <c r="S20" s="47" t="str">
        <f t="shared" ca="1" si="6"/>
        <v/>
      </c>
      <c r="T20" s="47" t="str">
        <f t="shared" ca="1" si="7"/>
        <v/>
      </c>
      <c r="U20" s="75" t="str">
        <f t="shared" ca="1" si="8"/>
        <v/>
      </c>
      <c r="V20" s="75" t="str">
        <f t="shared" ca="1" si="9"/>
        <v/>
      </c>
      <c r="W20" s="47" t="str">
        <f t="shared" ca="1" si="36"/>
        <v/>
      </c>
      <c r="X20" s="47" t="str">
        <f t="shared" ca="1" si="10"/>
        <v/>
      </c>
      <c r="Y20" s="47" t="str">
        <f t="shared" ca="1" si="11"/>
        <v/>
      </c>
      <c r="Z20" s="47" t="str">
        <f t="shared" ca="1" si="12"/>
        <v/>
      </c>
      <c r="AA20" s="47" t="str">
        <f t="shared" ca="1" si="13"/>
        <v/>
      </c>
      <c r="AB20" s="47" t="str">
        <f t="shared" ca="1" si="14"/>
        <v/>
      </c>
      <c r="AC20" s="63" t="str">
        <f t="shared" ca="1" si="15"/>
        <v/>
      </c>
      <c r="AD20" s="63" t="str">
        <f t="shared" ca="1" si="16"/>
        <v/>
      </c>
      <c r="AE20" s="63" t="str">
        <f t="shared" ca="1" si="17"/>
        <v/>
      </c>
      <c r="AF20" s="63" t="str">
        <f t="shared" ca="1" si="18"/>
        <v/>
      </c>
      <c r="AG20" s="63" t="str">
        <f t="shared" ca="1" si="19"/>
        <v/>
      </c>
      <c r="AH20" s="63" t="str">
        <f t="shared" ca="1" si="20"/>
        <v/>
      </c>
      <c r="AI20" s="63" t="str">
        <f t="shared" ca="1" si="21"/>
        <v/>
      </c>
      <c r="AJ20" s="47" t="str">
        <f t="shared" ca="1" si="22"/>
        <v/>
      </c>
      <c r="AK20" s="47" t="str">
        <f t="shared" ca="1" si="23"/>
        <v/>
      </c>
      <c r="AL20" s="47" t="str">
        <f t="shared" ca="1" si="24"/>
        <v/>
      </c>
      <c r="AM20" s="47" t="str">
        <f t="shared" ca="1" si="25"/>
        <v/>
      </c>
      <c r="AN20" s="47" t="str">
        <f t="shared" ca="1" si="26"/>
        <v/>
      </c>
      <c r="AO20" s="47" t="str">
        <f t="shared" ca="1" si="27"/>
        <v/>
      </c>
      <c r="AP20" s="47" t="str">
        <f t="shared" ca="1" si="28"/>
        <v/>
      </c>
      <c r="AQ20" s="47" t="str">
        <f t="shared" ca="1" si="29"/>
        <v/>
      </c>
      <c r="AR20" s="47" t="str">
        <f t="shared" ca="1" si="30"/>
        <v/>
      </c>
      <c r="AS20" s="33" t="str">
        <f t="shared" ca="1" si="31"/>
        <v/>
      </c>
      <c r="AW20" s="2">
        <v>38.1</v>
      </c>
      <c r="AX20" s="2" t="s">
        <v>268</v>
      </c>
      <c r="AY20" s="130">
        <v>27.5</v>
      </c>
      <c r="AZ20" s="2">
        <v>19</v>
      </c>
      <c r="BA20" s="2"/>
      <c r="BB20" s="2">
        <v>28</v>
      </c>
      <c r="BC20" s="2"/>
      <c r="BD20" s="2">
        <v>18.3</v>
      </c>
      <c r="BE20" s="2">
        <v>26.8</v>
      </c>
      <c r="BF20" s="2">
        <v>27.9</v>
      </c>
      <c r="BG20" s="2">
        <v>28.9</v>
      </c>
      <c r="BH20" s="2">
        <v>36.9</v>
      </c>
      <c r="BI20" s="2"/>
      <c r="BJ20" s="2"/>
      <c r="BK20" s="2"/>
      <c r="BL20" s="2"/>
      <c r="BM20" s="2"/>
      <c r="BN20" s="2">
        <v>80</v>
      </c>
      <c r="BO20" s="2">
        <v>26</v>
      </c>
      <c r="BP20" s="2">
        <v>28</v>
      </c>
      <c r="BQ20" s="2">
        <v>31</v>
      </c>
      <c r="BR20" s="2">
        <v>33</v>
      </c>
      <c r="BS20" s="2">
        <v>37</v>
      </c>
      <c r="BT20" s="2">
        <v>38</v>
      </c>
      <c r="BU20" s="2">
        <v>142</v>
      </c>
      <c r="BV20" s="2">
        <v>188</v>
      </c>
      <c r="BW20" s="2">
        <v>234</v>
      </c>
      <c r="BX20" s="2">
        <v>349</v>
      </c>
      <c r="BY20" s="2">
        <v>46</v>
      </c>
      <c r="BZ20" s="2">
        <v>3.4</v>
      </c>
      <c r="CA20" s="2">
        <v>1</v>
      </c>
      <c r="CB20" s="2">
        <v>4.9696256046571099E-7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2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34"/>
        <v/>
      </c>
      <c r="P21" s="63" t="str">
        <f t="shared" ca="1" si="35"/>
        <v/>
      </c>
      <c r="Q21" s="47" t="str">
        <f t="shared" ca="1" si="4"/>
        <v/>
      </c>
      <c r="R21" s="47" t="str">
        <f t="shared" ca="1" si="5"/>
        <v/>
      </c>
      <c r="S21" s="47" t="str">
        <f t="shared" ca="1" si="6"/>
        <v/>
      </c>
      <c r="T21" s="47" t="str">
        <f t="shared" ca="1" si="7"/>
        <v/>
      </c>
      <c r="U21" s="75" t="str">
        <f t="shared" ca="1" si="8"/>
        <v/>
      </c>
      <c r="V21" s="75" t="str">
        <f t="shared" ca="1" si="9"/>
        <v/>
      </c>
      <c r="W21" s="47" t="str">
        <f t="shared" ca="1" si="36"/>
        <v/>
      </c>
      <c r="X21" s="47" t="str">
        <f t="shared" ca="1" si="10"/>
        <v/>
      </c>
      <c r="Y21" s="47" t="str">
        <f t="shared" ca="1" si="11"/>
        <v/>
      </c>
      <c r="Z21" s="47" t="str">
        <f t="shared" ca="1" si="12"/>
        <v/>
      </c>
      <c r="AA21" s="47" t="str">
        <f t="shared" ca="1" si="13"/>
        <v/>
      </c>
      <c r="AB21" s="47" t="str">
        <f t="shared" ca="1" si="14"/>
        <v/>
      </c>
      <c r="AC21" s="63" t="str">
        <f t="shared" ca="1" si="15"/>
        <v/>
      </c>
      <c r="AD21" s="63" t="str">
        <f t="shared" ca="1" si="16"/>
        <v/>
      </c>
      <c r="AE21" s="63" t="str">
        <f t="shared" ca="1" si="17"/>
        <v/>
      </c>
      <c r="AF21" s="63" t="str">
        <f t="shared" ca="1" si="18"/>
        <v/>
      </c>
      <c r="AG21" s="63" t="str">
        <f t="shared" ca="1" si="19"/>
        <v/>
      </c>
      <c r="AH21" s="63" t="str">
        <f t="shared" ca="1" si="20"/>
        <v/>
      </c>
      <c r="AI21" s="63" t="str">
        <f t="shared" ca="1" si="21"/>
        <v/>
      </c>
      <c r="AJ21" s="47" t="str">
        <f t="shared" ca="1" si="22"/>
        <v/>
      </c>
      <c r="AK21" s="47" t="str">
        <f t="shared" ca="1" si="23"/>
        <v/>
      </c>
      <c r="AL21" s="47" t="str">
        <f t="shared" ca="1" si="24"/>
        <v/>
      </c>
      <c r="AM21" s="47" t="str">
        <f t="shared" ca="1" si="25"/>
        <v/>
      </c>
      <c r="AN21" s="47" t="str">
        <f t="shared" ca="1" si="26"/>
        <v/>
      </c>
      <c r="AO21" s="47" t="str">
        <f t="shared" ca="1" si="27"/>
        <v/>
      </c>
      <c r="AP21" s="47" t="str">
        <f t="shared" ca="1" si="28"/>
        <v/>
      </c>
      <c r="AQ21" s="47" t="str">
        <f t="shared" ca="1" si="29"/>
        <v/>
      </c>
      <c r="AR21" s="47" t="str">
        <f t="shared" ca="1" si="30"/>
        <v/>
      </c>
      <c r="AS21" s="33" t="str">
        <f t="shared" ca="1" si="31"/>
        <v/>
      </c>
      <c r="AW21" s="2">
        <v>44</v>
      </c>
      <c r="AX21" s="2" t="s">
        <v>268</v>
      </c>
      <c r="AY21" s="130">
        <v>27.5</v>
      </c>
      <c r="AZ21" s="2">
        <v>19</v>
      </c>
      <c r="BA21" s="2"/>
      <c r="BB21" s="2">
        <v>28</v>
      </c>
      <c r="BC21" s="2"/>
      <c r="BD21" s="2">
        <v>23</v>
      </c>
      <c r="BE21" s="2">
        <v>31.5</v>
      </c>
      <c r="BF21" s="2">
        <v>32.6</v>
      </c>
      <c r="BG21" s="2">
        <v>33.6</v>
      </c>
      <c r="BH21" s="2">
        <v>41.6</v>
      </c>
      <c r="BI21" s="2"/>
      <c r="BJ21" s="2"/>
      <c r="BK21" s="2"/>
      <c r="BL21" s="2"/>
      <c r="BM21" s="2"/>
      <c r="BN21" s="2">
        <v>80</v>
      </c>
      <c r="BO21" s="2">
        <v>26</v>
      </c>
      <c r="BP21" s="2">
        <v>28</v>
      </c>
      <c r="BQ21" s="2">
        <v>31</v>
      </c>
      <c r="BR21" s="2">
        <v>33</v>
      </c>
      <c r="BS21" s="2">
        <v>37</v>
      </c>
      <c r="BT21" s="2">
        <v>55</v>
      </c>
      <c r="BU21" s="2">
        <v>159</v>
      </c>
      <c r="BV21" s="2">
        <v>205</v>
      </c>
      <c r="BW21" s="2">
        <v>251</v>
      </c>
      <c r="BX21" s="2">
        <v>366</v>
      </c>
      <c r="BY21" s="2">
        <v>46</v>
      </c>
      <c r="BZ21" s="2">
        <v>3.4</v>
      </c>
      <c r="CA21" s="2">
        <v>1</v>
      </c>
      <c r="CB21" s="2">
        <v>4.9696256046571099E-7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2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34"/>
        <v/>
      </c>
      <c r="P22" s="63" t="str">
        <f t="shared" ca="1" si="35"/>
        <v/>
      </c>
      <c r="Q22" s="47" t="str">
        <f t="shared" ca="1" si="4"/>
        <v/>
      </c>
      <c r="R22" s="47" t="str">
        <f t="shared" ca="1" si="5"/>
        <v/>
      </c>
      <c r="S22" s="47" t="str">
        <f t="shared" ca="1" si="6"/>
        <v/>
      </c>
      <c r="T22" s="47" t="str">
        <f t="shared" ca="1" si="7"/>
        <v/>
      </c>
      <c r="U22" s="75" t="str">
        <f t="shared" ca="1" si="8"/>
        <v/>
      </c>
      <c r="V22" s="75" t="str">
        <f t="shared" ca="1" si="9"/>
        <v/>
      </c>
      <c r="W22" s="47" t="str">
        <f t="shared" ca="1" si="36"/>
        <v/>
      </c>
      <c r="X22" s="47" t="str">
        <f t="shared" ca="1" si="10"/>
        <v/>
      </c>
      <c r="Y22" s="47" t="str">
        <f t="shared" ca="1" si="11"/>
        <v/>
      </c>
      <c r="Z22" s="47" t="str">
        <f t="shared" ca="1" si="12"/>
        <v/>
      </c>
      <c r="AA22" s="47" t="str">
        <f t="shared" ca="1" si="13"/>
        <v/>
      </c>
      <c r="AB22" s="47" t="str">
        <f t="shared" ca="1" si="14"/>
        <v/>
      </c>
      <c r="AC22" s="63" t="str">
        <f t="shared" ca="1" si="15"/>
        <v/>
      </c>
      <c r="AD22" s="63" t="str">
        <f t="shared" ca="1" si="16"/>
        <v/>
      </c>
      <c r="AE22" s="63" t="str">
        <f t="shared" ca="1" si="17"/>
        <v/>
      </c>
      <c r="AF22" s="63" t="str">
        <f t="shared" ca="1" si="18"/>
        <v/>
      </c>
      <c r="AG22" s="63" t="str">
        <f t="shared" ca="1" si="19"/>
        <v/>
      </c>
      <c r="AH22" s="63" t="str">
        <f t="shared" ca="1" si="20"/>
        <v/>
      </c>
      <c r="AI22" s="63" t="str">
        <f t="shared" ca="1" si="21"/>
        <v/>
      </c>
      <c r="AJ22" s="47" t="str">
        <f t="shared" ca="1" si="22"/>
        <v/>
      </c>
      <c r="AK22" s="47" t="str">
        <f t="shared" ca="1" si="23"/>
        <v/>
      </c>
      <c r="AL22" s="47" t="str">
        <f t="shared" ca="1" si="24"/>
        <v/>
      </c>
      <c r="AM22" s="47" t="str">
        <f t="shared" ca="1" si="25"/>
        <v/>
      </c>
      <c r="AN22" s="47" t="str">
        <f t="shared" ca="1" si="26"/>
        <v/>
      </c>
      <c r="AO22" s="47" t="str">
        <f t="shared" ca="1" si="27"/>
        <v/>
      </c>
      <c r="AP22" s="47" t="str">
        <f t="shared" ca="1" si="28"/>
        <v/>
      </c>
      <c r="AQ22" s="47" t="str">
        <f t="shared" ca="1" si="29"/>
        <v/>
      </c>
      <c r="AR22" s="47" t="str">
        <f t="shared" ca="1" si="30"/>
        <v/>
      </c>
      <c r="AS22" s="33" t="str">
        <f t="shared" ca="1" si="31"/>
        <v/>
      </c>
      <c r="AW22" s="2">
        <v>44</v>
      </c>
      <c r="AX22" s="2" t="s">
        <v>268</v>
      </c>
      <c r="AY22" s="130">
        <v>27.5</v>
      </c>
      <c r="AZ22" s="2">
        <v>19</v>
      </c>
      <c r="BA22" s="2"/>
      <c r="BB22" s="2">
        <v>28</v>
      </c>
      <c r="BC22" s="2"/>
      <c r="BD22" s="2">
        <f>-5+23</f>
        <v>18</v>
      </c>
      <c r="BE22" s="2">
        <v>31.5</v>
      </c>
      <c r="BF22" s="2">
        <v>32.6</v>
      </c>
      <c r="BG22" s="2">
        <v>33.6</v>
      </c>
      <c r="BH22" s="2">
        <v>41.6</v>
      </c>
      <c r="BI22" s="2"/>
      <c r="BJ22" s="2"/>
      <c r="BK22" s="2"/>
      <c r="BL22" s="2"/>
      <c r="BM22" s="2"/>
      <c r="BN22" s="2">
        <v>80</v>
      </c>
      <c r="BO22" s="2">
        <v>26</v>
      </c>
      <c r="BP22" s="2">
        <v>28</v>
      </c>
      <c r="BQ22" s="2">
        <v>31</v>
      </c>
      <c r="BR22" s="2">
        <v>33</v>
      </c>
      <c r="BS22" s="2">
        <v>38</v>
      </c>
      <c r="BT22" s="2">
        <v>44</v>
      </c>
      <c r="BU22" s="2">
        <v>132</v>
      </c>
      <c r="BV22" s="2">
        <v>182</v>
      </c>
      <c r="BW22" s="2">
        <v>232</v>
      </c>
      <c r="BX22" s="2">
        <v>359</v>
      </c>
      <c r="BY22" s="2">
        <v>46</v>
      </c>
      <c r="BZ22" s="2">
        <v>3</v>
      </c>
      <c r="CA22" s="2">
        <v>1</v>
      </c>
      <c r="CB22" s="2">
        <v>2.1025371871892799E-10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2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34"/>
        <v/>
      </c>
      <c r="P23" s="63" t="str">
        <f t="shared" ca="1" si="35"/>
        <v/>
      </c>
      <c r="Q23" s="47" t="str">
        <f t="shared" ca="1" si="4"/>
        <v/>
      </c>
      <c r="R23" s="47" t="str">
        <f t="shared" ca="1" si="5"/>
        <v/>
      </c>
      <c r="S23" s="47" t="str">
        <f t="shared" ca="1" si="6"/>
        <v/>
      </c>
      <c r="T23" s="47" t="str">
        <f t="shared" ca="1" si="7"/>
        <v/>
      </c>
      <c r="U23" s="75" t="str">
        <f t="shared" ca="1" si="8"/>
        <v/>
      </c>
      <c r="V23" s="75" t="str">
        <f t="shared" ca="1" si="9"/>
        <v/>
      </c>
      <c r="W23" s="47" t="str">
        <f t="shared" ca="1" si="36"/>
        <v/>
      </c>
      <c r="X23" s="47" t="str">
        <f t="shared" ca="1" si="10"/>
        <v/>
      </c>
      <c r="Y23" s="47" t="str">
        <f t="shared" ca="1" si="11"/>
        <v/>
      </c>
      <c r="Z23" s="47" t="str">
        <f t="shared" ca="1" si="12"/>
        <v/>
      </c>
      <c r="AA23" s="47" t="str">
        <f t="shared" ca="1" si="13"/>
        <v/>
      </c>
      <c r="AB23" s="47" t="str">
        <f t="shared" ca="1" si="14"/>
        <v/>
      </c>
      <c r="AC23" s="63" t="str">
        <f t="shared" ca="1" si="15"/>
        <v/>
      </c>
      <c r="AD23" s="63" t="str">
        <f t="shared" ca="1" si="16"/>
        <v/>
      </c>
      <c r="AE23" s="63" t="str">
        <f t="shared" ca="1" si="17"/>
        <v/>
      </c>
      <c r="AF23" s="63" t="str">
        <f t="shared" ca="1" si="18"/>
        <v/>
      </c>
      <c r="AG23" s="63" t="str">
        <f t="shared" ca="1" si="19"/>
        <v/>
      </c>
      <c r="AH23" s="63" t="str">
        <f t="shared" ca="1" si="20"/>
        <v/>
      </c>
      <c r="AI23" s="63" t="str">
        <f t="shared" ca="1" si="21"/>
        <v/>
      </c>
      <c r="AJ23" s="47" t="str">
        <f t="shared" ca="1" si="22"/>
        <v/>
      </c>
      <c r="AK23" s="47" t="str">
        <f t="shared" ca="1" si="23"/>
        <v/>
      </c>
      <c r="AL23" s="47" t="str">
        <f t="shared" ca="1" si="24"/>
        <v/>
      </c>
      <c r="AM23" s="47" t="str">
        <f t="shared" ca="1" si="25"/>
        <v/>
      </c>
      <c r="AN23" s="47" t="str">
        <f t="shared" ca="1" si="26"/>
        <v/>
      </c>
      <c r="AO23" s="47" t="str">
        <f t="shared" ca="1" si="27"/>
        <v/>
      </c>
      <c r="AP23" s="47" t="str">
        <f t="shared" ca="1" si="28"/>
        <v/>
      </c>
      <c r="AQ23" s="47" t="str">
        <f t="shared" ca="1" si="29"/>
        <v/>
      </c>
      <c r="AR23" s="47" t="str">
        <f t="shared" ca="1" si="30"/>
        <v/>
      </c>
      <c r="AS23" s="33" t="str">
        <f t="shared" ca="1" si="31"/>
        <v/>
      </c>
      <c r="AW23" s="2">
        <v>48.8</v>
      </c>
      <c r="AX23" s="2" t="s">
        <v>268</v>
      </c>
      <c r="AY23" s="130">
        <v>27.5</v>
      </c>
      <c r="AZ23" s="2">
        <v>19</v>
      </c>
      <c r="BA23" s="2"/>
      <c r="BB23" s="2">
        <v>28</v>
      </c>
      <c r="BC23" s="2"/>
      <c r="BD23" s="2">
        <f>10+23</f>
        <v>33</v>
      </c>
      <c r="BE23" s="2">
        <f>15+31.5</f>
        <v>46.5</v>
      </c>
      <c r="BF23" s="2">
        <f>15+32.6</f>
        <v>47.6</v>
      </c>
      <c r="BG23" s="2">
        <f>15+33.6</f>
        <v>48.6</v>
      </c>
      <c r="BH23" s="2">
        <f>15+41.6</f>
        <v>56.6</v>
      </c>
      <c r="BI23" s="2"/>
      <c r="BJ23" s="2"/>
      <c r="BK23" s="2"/>
      <c r="BL23" s="2"/>
      <c r="BM23" s="2"/>
      <c r="BN23" s="2">
        <v>80</v>
      </c>
      <c r="BO23" s="2">
        <v>26</v>
      </c>
      <c r="BP23" s="2">
        <v>28</v>
      </c>
      <c r="BQ23" s="2">
        <v>31</v>
      </c>
      <c r="BR23" s="2">
        <v>33</v>
      </c>
      <c r="BS23" s="2">
        <v>38</v>
      </c>
      <c r="BT23" s="2">
        <v>118</v>
      </c>
      <c r="BU23" s="2">
        <v>207</v>
      </c>
      <c r="BV23" s="2">
        <v>257</v>
      </c>
      <c r="BW23" s="2">
        <v>307</v>
      </c>
      <c r="BX23" s="2">
        <v>433</v>
      </c>
      <c r="BY23" s="2">
        <v>46</v>
      </c>
      <c r="BZ23" s="2">
        <v>3</v>
      </c>
      <c r="CA23" s="2">
        <v>1</v>
      </c>
      <c r="CB23" s="2">
        <v>2.1025371871892799E-10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2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34"/>
        <v/>
      </c>
      <c r="P24" s="63" t="str">
        <f t="shared" ca="1" si="35"/>
        <v/>
      </c>
      <c r="Q24" s="47" t="str">
        <f t="shared" ca="1" si="4"/>
        <v/>
      </c>
      <c r="R24" s="47" t="str">
        <f t="shared" ca="1" si="5"/>
        <v/>
      </c>
      <c r="S24" s="47" t="str">
        <f t="shared" ca="1" si="6"/>
        <v/>
      </c>
      <c r="T24" s="47" t="str">
        <f t="shared" ca="1" si="7"/>
        <v/>
      </c>
      <c r="U24" s="75" t="str">
        <f t="shared" ca="1" si="8"/>
        <v/>
      </c>
      <c r="V24" s="75" t="str">
        <f t="shared" ca="1" si="9"/>
        <v/>
      </c>
      <c r="W24" s="47" t="str">
        <f t="shared" ca="1" si="36"/>
        <v/>
      </c>
      <c r="X24" s="47" t="str">
        <f t="shared" ca="1" si="10"/>
        <v/>
      </c>
      <c r="Y24" s="47" t="str">
        <f t="shared" ca="1" si="11"/>
        <v/>
      </c>
      <c r="Z24" s="47" t="str">
        <f t="shared" ca="1" si="12"/>
        <v/>
      </c>
      <c r="AA24" s="47" t="str">
        <f t="shared" ca="1" si="13"/>
        <v/>
      </c>
      <c r="AB24" s="47" t="str">
        <f t="shared" ca="1" si="14"/>
        <v/>
      </c>
      <c r="AC24" s="63" t="str">
        <f t="shared" ca="1" si="15"/>
        <v/>
      </c>
      <c r="AD24" s="63" t="str">
        <f t="shared" ca="1" si="16"/>
        <v/>
      </c>
      <c r="AE24" s="63" t="str">
        <f t="shared" ca="1" si="17"/>
        <v/>
      </c>
      <c r="AF24" s="63" t="str">
        <f t="shared" ca="1" si="18"/>
        <v/>
      </c>
      <c r="AG24" s="63" t="str">
        <f t="shared" ca="1" si="19"/>
        <v/>
      </c>
      <c r="AH24" s="63" t="str">
        <f t="shared" ca="1" si="20"/>
        <v/>
      </c>
      <c r="AI24" s="63" t="str">
        <f t="shared" ca="1" si="21"/>
        <v/>
      </c>
      <c r="AJ24" s="47" t="str">
        <f t="shared" ca="1" si="22"/>
        <v/>
      </c>
      <c r="AK24" s="47" t="str">
        <f t="shared" ca="1" si="23"/>
        <v/>
      </c>
      <c r="AL24" s="47" t="str">
        <f t="shared" ca="1" si="24"/>
        <v/>
      </c>
      <c r="AM24" s="47" t="str">
        <f t="shared" ca="1" si="25"/>
        <v/>
      </c>
      <c r="AN24" s="47" t="str">
        <f t="shared" ca="1" si="26"/>
        <v/>
      </c>
      <c r="AO24" s="47" t="str">
        <f t="shared" ca="1" si="27"/>
        <v/>
      </c>
      <c r="AP24" s="47" t="str">
        <f t="shared" ca="1" si="28"/>
        <v/>
      </c>
      <c r="AQ24" s="47" t="str">
        <f t="shared" ca="1" si="29"/>
        <v/>
      </c>
      <c r="AR24" s="47" t="str">
        <f t="shared" ca="1" si="30"/>
        <v/>
      </c>
      <c r="AS24" s="33" t="str">
        <f t="shared" ca="1" si="31"/>
        <v/>
      </c>
      <c r="AW24" s="2">
        <v>48.8</v>
      </c>
      <c r="AX24" s="2" t="s">
        <v>271</v>
      </c>
      <c r="AY24" s="130">
        <v>24.7</v>
      </c>
      <c r="AZ24" s="2">
        <v>19.8</v>
      </c>
      <c r="BA24" s="2"/>
      <c r="BB24" s="2">
        <v>11</v>
      </c>
      <c r="BC24" s="2"/>
      <c r="BD24" s="2">
        <v>12</v>
      </c>
      <c r="BE24" s="2">
        <v>18.899999999999999</v>
      </c>
      <c r="BF24" s="2">
        <v>20.3</v>
      </c>
      <c r="BG24" s="2">
        <v>23.4</v>
      </c>
      <c r="BH24" s="2">
        <v>39.700000000000003</v>
      </c>
      <c r="BI24" s="2"/>
      <c r="BJ24" s="2"/>
      <c r="BK24" s="2"/>
      <c r="BL24" s="2"/>
      <c r="BM24" s="2"/>
      <c r="BN24" s="2">
        <v>68</v>
      </c>
      <c r="BO24" s="2">
        <v>26</v>
      </c>
      <c r="BP24" s="2">
        <v>28</v>
      </c>
      <c r="BQ24" s="2">
        <v>30</v>
      </c>
      <c r="BR24" s="2">
        <v>33</v>
      </c>
      <c r="BS24" s="2">
        <v>37</v>
      </c>
      <c r="BT24" s="2">
        <v>48</v>
      </c>
      <c r="BU24" s="2">
        <v>146</v>
      </c>
      <c r="BV24" s="2">
        <v>196</v>
      </c>
      <c r="BW24" s="2">
        <v>246</v>
      </c>
      <c r="BX24" s="2">
        <v>371</v>
      </c>
      <c r="BY24" s="2">
        <v>46</v>
      </c>
      <c r="BZ24" s="2">
        <v>2.5</v>
      </c>
      <c r="CA24" s="2">
        <v>0.9</v>
      </c>
      <c r="CB24" s="2">
        <v>2.8167370998330099E-10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2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34"/>
        <v/>
      </c>
      <c r="P25" s="63" t="str">
        <f t="shared" ca="1" si="35"/>
        <v/>
      </c>
      <c r="Q25" s="47" t="str">
        <f t="shared" ca="1" si="4"/>
        <v/>
      </c>
      <c r="R25" s="47" t="str">
        <f t="shared" ca="1" si="5"/>
        <v/>
      </c>
      <c r="S25" s="47" t="str">
        <f t="shared" ca="1" si="6"/>
        <v/>
      </c>
      <c r="T25" s="47" t="str">
        <f t="shared" ca="1" si="7"/>
        <v/>
      </c>
      <c r="U25" s="75" t="str">
        <f t="shared" ca="1" si="8"/>
        <v/>
      </c>
      <c r="V25" s="75" t="str">
        <f t="shared" ca="1" si="9"/>
        <v/>
      </c>
      <c r="W25" s="47" t="str">
        <f t="shared" ca="1" si="36"/>
        <v/>
      </c>
      <c r="X25" s="47" t="str">
        <f t="shared" ca="1" si="10"/>
        <v/>
      </c>
      <c r="Y25" s="47" t="str">
        <f t="shared" ca="1" si="11"/>
        <v/>
      </c>
      <c r="Z25" s="47" t="str">
        <f t="shared" ca="1" si="12"/>
        <v/>
      </c>
      <c r="AA25" s="47" t="str">
        <f t="shared" ca="1" si="13"/>
        <v/>
      </c>
      <c r="AB25" s="47" t="str">
        <f t="shared" ca="1" si="14"/>
        <v/>
      </c>
      <c r="AC25" s="63" t="str">
        <f t="shared" ca="1" si="15"/>
        <v/>
      </c>
      <c r="AD25" s="63" t="str">
        <f t="shared" ca="1" si="16"/>
        <v/>
      </c>
      <c r="AE25" s="63" t="str">
        <f t="shared" ca="1" si="17"/>
        <v/>
      </c>
      <c r="AF25" s="63" t="str">
        <f t="shared" ca="1" si="18"/>
        <v/>
      </c>
      <c r="AG25" s="63" t="str">
        <f t="shared" ca="1" si="19"/>
        <v/>
      </c>
      <c r="AH25" s="63" t="str">
        <f t="shared" ca="1" si="20"/>
        <v/>
      </c>
      <c r="AI25" s="63" t="str">
        <f t="shared" ca="1" si="21"/>
        <v/>
      </c>
      <c r="AJ25" s="47" t="str">
        <f t="shared" ca="1" si="22"/>
        <v/>
      </c>
      <c r="AK25" s="47" t="str">
        <f t="shared" ca="1" si="23"/>
        <v/>
      </c>
      <c r="AL25" s="47" t="str">
        <f t="shared" ca="1" si="24"/>
        <v/>
      </c>
      <c r="AM25" s="47" t="str">
        <f t="shared" ca="1" si="25"/>
        <v/>
      </c>
      <c r="AN25" s="47" t="str">
        <f t="shared" ca="1" si="26"/>
        <v/>
      </c>
      <c r="AO25" s="47" t="str">
        <f t="shared" ca="1" si="27"/>
        <v/>
      </c>
      <c r="AP25" s="47" t="str">
        <f t="shared" ca="1" si="28"/>
        <v/>
      </c>
      <c r="AQ25" s="47" t="str">
        <f t="shared" ca="1" si="29"/>
        <v/>
      </c>
      <c r="AR25" s="47" t="str">
        <f t="shared" ca="1" si="30"/>
        <v/>
      </c>
      <c r="AS25" s="33" t="str">
        <f t="shared" ca="1" si="31"/>
        <v/>
      </c>
      <c r="AW25" s="2">
        <v>65.5</v>
      </c>
      <c r="AX25" s="2" t="s">
        <v>271</v>
      </c>
      <c r="AY25" s="130">
        <v>24.7</v>
      </c>
      <c r="AZ25" s="2">
        <v>19.8</v>
      </c>
      <c r="BA25" s="2"/>
      <c r="BB25" s="2">
        <v>11</v>
      </c>
      <c r="BC25" s="2"/>
      <c r="BD25" s="2">
        <v>32.6</v>
      </c>
      <c r="BE25" s="2">
        <v>39.5</v>
      </c>
      <c r="BF25" s="2">
        <v>40.799999999999997</v>
      </c>
      <c r="BG25" s="2">
        <v>44</v>
      </c>
      <c r="BH25" s="2">
        <v>60.3</v>
      </c>
      <c r="BI25" s="2"/>
      <c r="BJ25" s="2"/>
      <c r="BK25" s="2"/>
      <c r="BL25" s="2"/>
      <c r="BM25" s="2"/>
      <c r="BN25" s="2">
        <v>68</v>
      </c>
      <c r="BO25" s="2">
        <v>26</v>
      </c>
      <c r="BP25" s="2">
        <v>28</v>
      </c>
      <c r="BQ25" s="2">
        <v>30</v>
      </c>
      <c r="BR25" s="2">
        <v>33</v>
      </c>
      <c r="BS25" s="2">
        <v>37</v>
      </c>
      <c r="BT25" s="2">
        <v>92</v>
      </c>
      <c r="BU25" s="2">
        <v>190</v>
      </c>
      <c r="BV25" s="2">
        <v>239</v>
      </c>
      <c r="BW25" s="2">
        <v>289</v>
      </c>
      <c r="BX25" s="2">
        <v>415</v>
      </c>
      <c r="BY25" s="2">
        <v>46</v>
      </c>
      <c r="BZ25" s="2">
        <v>2.5</v>
      </c>
      <c r="CA25" s="2">
        <v>0.9</v>
      </c>
      <c r="CB25" s="2">
        <v>2.8167370998330099E-10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2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34"/>
        <v/>
      </c>
      <c r="P26" s="63" t="str">
        <f t="shared" ca="1" si="35"/>
        <v/>
      </c>
      <c r="Q26" s="47" t="str">
        <f t="shared" ca="1" si="4"/>
        <v/>
      </c>
      <c r="R26" s="47" t="str">
        <f t="shared" ca="1" si="5"/>
        <v/>
      </c>
      <c r="S26" s="47" t="str">
        <f t="shared" ca="1" si="6"/>
        <v/>
      </c>
      <c r="T26" s="47" t="str">
        <f t="shared" ca="1" si="7"/>
        <v/>
      </c>
      <c r="U26" s="75" t="str">
        <f t="shared" ca="1" si="8"/>
        <v/>
      </c>
      <c r="V26" s="75" t="str">
        <f t="shared" ca="1" si="9"/>
        <v/>
      </c>
      <c r="W26" s="47" t="str">
        <f t="shared" ca="1" si="36"/>
        <v/>
      </c>
      <c r="Y26" s="47" t="str">
        <f t="shared" ca="1" si="11"/>
        <v/>
      </c>
      <c r="Z26" s="47" t="str">
        <f t="shared" ca="1" si="12"/>
        <v/>
      </c>
      <c r="AA26" s="47" t="str">
        <f t="shared" ca="1" si="13"/>
        <v/>
      </c>
      <c r="AB26" s="47" t="str">
        <f t="shared" ca="1" si="14"/>
        <v/>
      </c>
      <c r="AC26" s="63" t="str">
        <f t="shared" ca="1" si="15"/>
        <v/>
      </c>
      <c r="AD26" s="63" t="str">
        <f t="shared" ca="1" si="16"/>
        <v/>
      </c>
      <c r="AE26" s="63" t="str">
        <f t="shared" ca="1" si="17"/>
        <v/>
      </c>
      <c r="AF26" s="63" t="str">
        <f t="shared" ca="1" si="18"/>
        <v/>
      </c>
      <c r="AG26" s="63" t="str">
        <f t="shared" ca="1" si="19"/>
        <v/>
      </c>
      <c r="AH26" s="63" t="str">
        <f t="shared" ca="1" si="20"/>
        <v/>
      </c>
      <c r="AI26" s="63" t="str">
        <f t="shared" ca="1" si="21"/>
        <v/>
      </c>
      <c r="AJ26" s="47" t="str">
        <f t="shared" ca="1" si="22"/>
        <v/>
      </c>
      <c r="AK26" s="47" t="str">
        <f t="shared" ca="1" si="23"/>
        <v/>
      </c>
      <c r="AM26" s="47" t="str">
        <f t="shared" ca="1" si="25"/>
        <v/>
      </c>
      <c r="AN26" s="47" t="str">
        <f t="shared" ca="1" si="26"/>
        <v/>
      </c>
      <c r="AO26" s="47" t="str">
        <f t="shared" ca="1" si="27"/>
        <v/>
      </c>
      <c r="AP26" s="47" t="str">
        <f t="shared" ca="1" si="28"/>
        <v/>
      </c>
      <c r="AQ26" s="47" t="str">
        <f t="shared" ca="1" si="29"/>
        <v/>
      </c>
      <c r="AR26" s="47" t="str">
        <f t="shared" ca="1" si="30"/>
        <v/>
      </c>
      <c r="AS26" s="33" t="str">
        <f t="shared" ca="1" si="31"/>
        <v/>
      </c>
      <c r="AW26" s="2">
        <v>65.5</v>
      </c>
      <c r="AX26" s="2" t="s">
        <v>273</v>
      </c>
      <c r="AY26" s="130">
        <v>32</v>
      </c>
      <c r="AZ26" s="2">
        <v>18.899999999999999</v>
      </c>
      <c r="BA26" s="2">
        <v>47</v>
      </c>
      <c r="BB26" s="2">
        <v>85</v>
      </c>
      <c r="BC26" s="2">
        <v>3</v>
      </c>
      <c r="BD26" s="2">
        <v>2.4</v>
      </c>
      <c r="BE26" s="2">
        <v>10.5</v>
      </c>
      <c r="BF26" s="2">
        <v>11.9</v>
      </c>
      <c r="BG26" s="2">
        <v>27</v>
      </c>
      <c r="BH26" s="2">
        <v>73.7</v>
      </c>
      <c r="BI26" s="2">
        <v>402</v>
      </c>
      <c r="BJ26" s="2">
        <v>488</v>
      </c>
      <c r="BK26" s="2">
        <v>531</v>
      </c>
      <c r="BL26" s="2">
        <v>575</v>
      </c>
      <c r="BM26" s="2">
        <v>661</v>
      </c>
      <c r="BN26" s="2"/>
      <c r="BO26" s="2"/>
      <c r="BP26" s="2"/>
      <c r="BQ26" s="2"/>
      <c r="BR26" s="2"/>
      <c r="BS26" s="2"/>
      <c r="BT26" s="2">
        <v>503</v>
      </c>
      <c r="BU26" s="2">
        <v>675</v>
      </c>
      <c r="BV26" s="2">
        <v>761</v>
      </c>
      <c r="BW26" s="2">
        <v>848</v>
      </c>
      <c r="BX26" s="2">
        <v>1020</v>
      </c>
      <c r="BY26" s="2">
        <v>45.8</v>
      </c>
      <c r="BZ26" s="2">
        <v>5.0999999999999996</v>
      </c>
      <c r="CA26" s="2">
        <v>1.8</v>
      </c>
      <c r="CB26" s="2">
        <v>3.8476338744589698E-12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4"/>
        <v/>
      </c>
      <c r="AJ27" s="47" t="str">
        <f t="shared" si="22"/>
        <v/>
      </c>
      <c r="AK27" s="47" t="str">
        <f t="shared" si="23"/>
        <v/>
      </c>
      <c r="AN27" s="47" t="str">
        <f t="shared" si="26"/>
        <v/>
      </c>
      <c r="AO27" s="47" t="str">
        <f t="shared" si="27"/>
        <v/>
      </c>
      <c r="AQ27" s="47" t="str">
        <f t="shared" si="29"/>
        <v/>
      </c>
      <c r="AR27" s="47" t="str">
        <f t="shared" ca="1" si="30"/>
        <v/>
      </c>
      <c r="AW27" s="2">
        <v>80</v>
      </c>
      <c r="AX27" s="2" t="s">
        <v>273</v>
      </c>
      <c r="AY27" s="130">
        <v>32</v>
      </c>
      <c r="AZ27" s="2">
        <v>18.899999999999999</v>
      </c>
      <c r="BA27" s="2">
        <v>47</v>
      </c>
      <c r="BB27" s="2">
        <v>85</v>
      </c>
      <c r="BC27" s="2">
        <v>3</v>
      </c>
      <c r="BD27" s="2">
        <v>4.3</v>
      </c>
      <c r="BE27" s="2">
        <v>12.4</v>
      </c>
      <c r="BF27" s="2">
        <v>13.8</v>
      </c>
      <c r="BG27" s="2">
        <v>28.9</v>
      </c>
      <c r="BH27" s="2">
        <v>75.599999999999994</v>
      </c>
      <c r="BI27" s="2">
        <v>482</v>
      </c>
      <c r="BJ27" s="2">
        <v>568</v>
      </c>
      <c r="BK27" s="2">
        <v>611</v>
      </c>
      <c r="BL27" s="2">
        <v>655</v>
      </c>
      <c r="BM27" s="2">
        <v>741</v>
      </c>
      <c r="BN27" s="2"/>
      <c r="BO27" s="2"/>
      <c r="BP27" s="2"/>
      <c r="BQ27" s="2"/>
      <c r="BR27" s="2"/>
      <c r="BS27" s="2"/>
      <c r="BT27" s="2">
        <v>654</v>
      </c>
      <c r="BU27" s="2">
        <v>826</v>
      </c>
      <c r="BV27" s="2">
        <v>913</v>
      </c>
      <c r="BW27" s="2">
        <v>999</v>
      </c>
      <c r="BX27" s="2">
        <v>1171</v>
      </c>
      <c r="BY27" s="2">
        <v>45.8</v>
      </c>
      <c r="BZ27" s="2">
        <v>5.0999999999999996</v>
      </c>
      <c r="CA27" s="2">
        <v>1.8</v>
      </c>
      <c r="CB27" s="2">
        <v>3.8476338744589698E-12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29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037" priority="12">
      <formula>$L32="API sand"</formula>
    </cfRule>
  </conditionalFormatting>
  <conditionalFormatting sqref="R32:S36 AB32:AB35 AJ32:AL36 Z32:Z36 N32:N36">
    <cfRule type="expression" dxfId="2036" priority="11">
      <formula>$M32="API sand"</formula>
    </cfRule>
  </conditionalFormatting>
  <conditionalFormatting sqref="R32:T36 Z32:AB35 AK32:AL36 N32:N36">
    <cfRule type="expression" dxfId="2035" priority="10">
      <formula>$M32="API clay"</formula>
    </cfRule>
  </conditionalFormatting>
  <conditionalFormatting sqref="U32:W36 AM32:AP36 N32:P36">
    <cfRule type="expression" dxfId="2034" priority="7">
      <formula>$L32="Stiff clay w/o free water"</formula>
    </cfRule>
    <cfRule type="expression" dxfId="2033" priority="9">
      <formula>$L32="API clay"</formula>
    </cfRule>
  </conditionalFormatting>
  <conditionalFormatting sqref="U32:Y36 AM32:AP36 N32:P36">
    <cfRule type="expression" dxfId="2032" priority="8">
      <formula>$L32="Kirsch soft clay"</formula>
    </cfRule>
  </conditionalFormatting>
  <conditionalFormatting sqref="U32:Y36 AM32:AP36 N32:P36">
    <cfRule type="expression" dxfId="2031" priority="6">
      <formula>$L32="Kirsch stiff clay"</formula>
    </cfRule>
  </conditionalFormatting>
  <conditionalFormatting sqref="AM32:AP36 Q32:Q36 X32:Y36 N32:N36">
    <cfRule type="expression" dxfId="2030" priority="5">
      <formula>$L32="Kirsch sand"</formula>
    </cfRule>
  </conditionalFormatting>
  <conditionalFormatting sqref="AC32:AD36 AI32:AI36 AM32:AP36 N32:N36">
    <cfRule type="expression" dxfId="2029" priority="4">
      <formula>$L32="Modified Weak rock"</formula>
    </cfRule>
  </conditionalFormatting>
  <conditionalFormatting sqref="AM32:AP36 N32:P36 U32:V36">
    <cfRule type="expression" dxfId="2028" priority="3">
      <formula>$L32="Reese stiff clay"</formula>
    </cfRule>
  </conditionalFormatting>
  <conditionalFormatting sqref="AB36">
    <cfRule type="expression" dxfId="2027" priority="2">
      <formula>$M36="API sand"</formula>
    </cfRule>
  </conditionalFormatting>
  <conditionalFormatting sqref="Z36:AB36">
    <cfRule type="expression" dxfId="2026" priority="1">
      <formula>$M36="API clay"</formula>
    </cfRule>
  </conditionalFormatting>
  <conditionalFormatting sqref="AE37:AH37">
    <cfRule type="expression" dxfId="2025" priority="13">
      <formula>#REF!="Modified Weak rock"</formula>
    </cfRule>
  </conditionalFormatting>
  <dataValidations count="4">
    <dataValidation type="textLength" showInputMessage="1" showErrorMessage="1" sqref="M27:M31" xr:uid="{13DFDAC0-CF28-427D-B602-41D47159EDEF}">
      <formula1>0</formula1>
      <formula2>100</formula2>
    </dataValidation>
    <dataValidation showInputMessage="1" showErrorMessage="1" sqref="L6:M26" xr:uid="{28D2BEAA-54BC-468C-B638-91C8C16048E9}"/>
    <dataValidation type="list" showInputMessage="1" showErrorMessage="1" sqref="L32:L255" xr:uid="{6C6D36CE-978A-4F32-8910-45DCB5628D5E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039807E8-850A-4C51-BE0C-B8E12B9A70E4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C9FB4-A21B-4229-B3CA-5159336FC3F4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Ak_Pisa_WTG70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13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EW_sand_Ruled_68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31</v>
      </c>
      <c r="R6" s="47">
        <f t="shared" ref="R6:R26" ca="1" si="7">IF(I6="","",IF(Q6&lt;&gt;0,Q6-5,NA()))</f>
        <v>26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1800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83.999999999999972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5760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24.000000000000007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68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0.1</v>
      </c>
      <c r="BF6" s="2">
        <v>0.3</v>
      </c>
      <c r="BG6" s="2">
        <v>0.6</v>
      </c>
      <c r="BH6" s="2">
        <v>1.3</v>
      </c>
      <c r="BI6" s="2"/>
      <c r="BJ6" s="2"/>
      <c r="BK6" s="2"/>
      <c r="BL6" s="2"/>
      <c r="BM6" s="2"/>
      <c r="BN6" s="2">
        <v>68</v>
      </c>
      <c r="BO6" s="2">
        <v>25</v>
      </c>
      <c r="BP6" s="2">
        <v>31</v>
      </c>
      <c r="BQ6" s="2">
        <v>34</v>
      </c>
      <c r="BR6" s="2">
        <v>37</v>
      </c>
      <c r="BS6" s="2">
        <v>47</v>
      </c>
      <c r="BT6" s="2">
        <v>0</v>
      </c>
      <c r="BU6" s="2">
        <v>2</v>
      </c>
      <c r="BV6" s="2">
        <v>5</v>
      </c>
      <c r="BW6" s="2">
        <v>8</v>
      </c>
      <c r="BX6" s="2">
        <v>14</v>
      </c>
      <c r="BY6" s="2">
        <v>1.8</v>
      </c>
      <c r="BZ6" s="2">
        <v>1</v>
      </c>
      <c r="CA6" s="2">
        <v>0.5</v>
      </c>
      <c r="CB6" s="2">
        <v>2.1911912383800001E-4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-0.5</v>
      </c>
      <c r="L7" s="116" t="str">
        <f t="shared" ca="1" si="1"/>
        <v>EW_sand_Ruled_92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41</v>
      </c>
      <c r="R7" s="47">
        <f t="shared" ca="1" si="7"/>
        <v>36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25800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25000</v>
      </c>
      <c r="AD7" s="63">
        <f t="shared" ca="1" si="19"/>
        <v>20000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92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0.3</v>
      </c>
      <c r="BE7" s="2">
        <v>0.7</v>
      </c>
      <c r="BF7" s="2">
        <v>0.9</v>
      </c>
      <c r="BG7" s="2">
        <v>1.3</v>
      </c>
      <c r="BH7" s="2">
        <v>2</v>
      </c>
      <c r="BI7" s="2"/>
      <c r="BJ7" s="2"/>
      <c r="BK7" s="2"/>
      <c r="BL7" s="2"/>
      <c r="BM7" s="2"/>
      <c r="BN7" s="2">
        <v>68</v>
      </c>
      <c r="BO7" s="2">
        <v>25</v>
      </c>
      <c r="BP7" s="2">
        <v>31</v>
      </c>
      <c r="BQ7" s="2">
        <v>34</v>
      </c>
      <c r="BR7" s="2">
        <v>37</v>
      </c>
      <c r="BS7" s="2">
        <v>47</v>
      </c>
      <c r="BT7" s="2">
        <v>7</v>
      </c>
      <c r="BU7" s="2">
        <v>13</v>
      </c>
      <c r="BV7" s="2">
        <v>16</v>
      </c>
      <c r="BW7" s="2">
        <v>19</v>
      </c>
      <c r="BX7" s="2">
        <v>25</v>
      </c>
      <c r="BY7" s="2">
        <v>1.8</v>
      </c>
      <c r="BZ7" s="2">
        <v>1</v>
      </c>
      <c r="CA7" s="2">
        <v>0.5</v>
      </c>
      <c r="CB7" s="2">
        <v>2.1911912383800001E-4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-1</v>
      </c>
      <c r="L8" s="116" t="str">
        <f t="shared" ca="1" si="1"/>
        <v>EW_sand_Ruled_96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41</v>
      </c>
      <c r="R8" s="47">
        <f t="shared" ca="1" si="7"/>
        <v>36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41800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42000</v>
      </c>
      <c r="AD8" s="63">
        <f t="shared" ca="1" si="19"/>
        <v>8125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96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4.8</v>
      </c>
      <c r="BE8" s="2">
        <v>5</v>
      </c>
      <c r="BF8" s="2">
        <v>5.2</v>
      </c>
      <c r="BG8" s="2">
        <v>5.4</v>
      </c>
      <c r="BH8" s="2">
        <v>5.6</v>
      </c>
      <c r="BI8" s="2"/>
      <c r="BJ8" s="2"/>
      <c r="BK8" s="2"/>
      <c r="BL8" s="2"/>
      <c r="BM8" s="2"/>
      <c r="BN8" s="2">
        <v>92</v>
      </c>
      <c r="BO8" s="2">
        <v>34</v>
      </c>
      <c r="BP8" s="2">
        <v>41</v>
      </c>
      <c r="BQ8" s="2">
        <v>44</v>
      </c>
      <c r="BR8" s="2">
        <v>47</v>
      </c>
      <c r="BS8" s="2">
        <v>53</v>
      </c>
      <c r="BT8" s="2">
        <v>0</v>
      </c>
      <c r="BU8" s="2">
        <v>17</v>
      </c>
      <c r="BV8" s="2">
        <v>25</v>
      </c>
      <c r="BW8" s="2">
        <v>33</v>
      </c>
      <c r="BX8" s="2">
        <v>50</v>
      </c>
      <c r="BY8" s="2">
        <v>25.8</v>
      </c>
      <c r="BZ8" s="2">
        <v>1</v>
      </c>
      <c r="CA8" s="2">
        <v>0.5</v>
      </c>
      <c r="CB8" s="2">
        <v>2.1911912383800001E-4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02a</v>
      </c>
      <c r="J9" s="47">
        <f t="shared" ca="1" si="35"/>
        <v>4</v>
      </c>
      <c r="K9" s="19">
        <f t="shared" ca="1" si="36"/>
        <v>-2.6</v>
      </c>
      <c r="L9" s="116" t="str">
        <f t="shared" ca="1" si="1"/>
        <v>Cowden Clay</v>
      </c>
      <c r="M9" s="105" t="str">
        <f t="shared" ca="1" si="2"/>
        <v>API clay</v>
      </c>
      <c r="N9" s="47">
        <f t="shared" ca="1" si="3"/>
        <v>10.199999999999999</v>
      </c>
      <c r="O9" s="63">
        <f t="shared" ca="1" si="4"/>
        <v>106</v>
      </c>
      <c r="P9" s="63">
        <f t="shared" ca="1" si="5"/>
        <v>-85.000000000000014</v>
      </c>
      <c r="Q9" s="47">
        <f t="shared" ca="1" si="6"/>
        <v>0</v>
      </c>
      <c r="R9" s="47" t="e">
        <f t="shared" ca="1" si="7"/>
        <v>#N/A</v>
      </c>
      <c r="S9" s="47">
        <f t="shared" ca="1" si="8"/>
        <v>3</v>
      </c>
      <c r="T9" s="47">
        <f t="shared" ca="1" si="9"/>
        <v>0</v>
      </c>
      <c r="U9" s="75">
        <f t="shared" ca="1" si="10"/>
        <v>1.7999999999999999E-2</v>
      </c>
      <c r="V9" s="75">
        <f t="shared" ca="1" si="11"/>
        <v>0</v>
      </c>
      <c r="W9" s="47">
        <f t="shared" ca="1" si="12"/>
        <v>0.5</v>
      </c>
      <c r="X9" s="47">
        <f t="shared" ca="1" si="13"/>
        <v>16300</v>
      </c>
      <c r="Y9" s="47">
        <f t="shared" ca="1" si="14"/>
        <v>0</v>
      </c>
      <c r="Z9" s="47" t="e">
        <f t="shared" ca="1" si="15"/>
        <v>#N/A</v>
      </c>
      <c r="AA9" s="47">
        <f t="shared" ca="1" si="16"/>
        <v>1</v>
      </c>
      <c r="AB9" s="47" t="e">
        <f t="shared" ca="1" si="17"/>
        <v>#N/A</v>
      </c>
      <c r="AC9" s="63">
        <f t="shared" ca="1" si="18"/>
        <v>108000</v>
      </c>
      <c r="AD9" s="63">
        <f t="shared" ca="1" si="19"/>
        <v>-82500.000000000015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 t="e">
        <f t="shared" ca="1" si="25"/>
        <v>#N/A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0</v>
      </c>
      <c r="AS9" s="33">
        <f t="shared" ca="1" si="34"/>
        <v>0.4</v>
      </c>
      <c r="AW9" s="2">
        <v>1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6.9</v>
      </c>
      <c r="BE9" s="2">
        <v>7.2</v>
      </c>
      <c r="BF9" s="2">
        <v>7.4</v>
      </c>
      <c r="BG9" s="2">
        <v>7.5</v>
      </c>
      <c r="BH9" s="2">
        <v>7.8</v>
      </c>
      <c r="BI9" s="2"/>
      <c r="BJ9" s="2"/>
      <c r="BK9" s="2"/>
      <c r="BL9" s="2"/>
      <c r="BM9" s="2"/>
      <c r="BN9" s="2">
        <v>92</v>
      </c>
      <c r="BO9" s="2">
        <v>34</v>
      </c>
      <c r="BP9" s="2">
        <v>41</v>
      </c>
      <c r="BQ9" s="2">
        <v>44</v>
      </c>
      <c r="BR9" s="2">
        <v>47</v>
      </c>
      <c r="BS9" s="2">
        <v>53</v>
      </c>
      <c r="BT9" s="2">
        <v>10</v>
      </c>
      <c r="BU9" s="2">
        <v>28</v>
      </c>
      <c r="BV9" s="2">
        <v>35</v>
      </c>
      <c r="BW9" s="2">
        <v>43</v>
      </c>
      <c r="BX9" s="2">
        <v>61</v>
      </c>
      <c r="BY9" s="2">
        <v>25.8</v>
      </c>
      <c r="BZ9" s="2">
        <v>1</v>
      </c>
      <c r="CA9" s="2">
        <v>0.5</v>
      </c>
      <c r="CB9" s="2">
        <v>2.1911912383800001E-4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10a</v>
      </c>
      <c r="J10" s="47">
        <f t="shared" ca="1" si="35"/>
        <v>5</v>
      </c>
      <c r="K10" s="19">
        <f t="shared" ca="1" si="36"/>
        <v>-3</v>
      </c>
      <c r="L10" s="116" t="str">
        <f t="shared" ca="1" si="1"/>
        <v>EW_sand_Ruled_66</v>
      </c>
      <c r="M10" s="105" t="str">
        <f t="shared" ca="1" si="2"/>
        <v>API sand</v>
      </c>
      <c r="N10" s="47">
        <f t="shared" ca="1" si="3"/>
        <v>10</v>
      </c>
      <c r="O10" s="63">
        <f t="shared" ca="1" si="4"/>
        <v>0</v>
      </c>
      <c r="P10" s="63">
        <f t="shared" ca="1" si="5"/>
        <v>0</v>
      </c>
      <c r="Q10" s="47">
        <f t="shared" ca="1" si="6"/>
        <v>38</v>
      </c>
      <c r="R10" s="47">
        <f t="shared" ca="1" si="7"/>
        <v>33</v>
      </c>
      <c r="S10" s="47">
        <f t="shared" ca="1" si="8"/>
        <v>1.2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45800</v>
      </c>
      <c r="Y10" s="47">
        <f t="shared" ca="1" si="14"/>
        <v>0</v>
      </c>
      <c r="Z10" s="47">
        <f t="shared" ca="1" si="15"/>
        <v>107.39999999999996</v>
      </c>
      <c r="AA10" s="47">
        <f t="shared" ca="1" si="16"/>
        <v>1</v>
      </c>
      <c r="AB10" s="47">
        <f t="shared" ca="1" si="17"/>
        <v>11040</v>
      </c>
      <c r="AC10" s="63">
        <f t="shared" ca="1" si="18"/>
        <v>60000</v>
      </c>
      <c r="AD10" s="63">
        <f t="shared" ca="1" si="19"/>
        <v>5428.5714285714284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46.000000000000007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66</v>
      </c>
      <c r="AS10" s="33">
        <f t="shared" ca="1" si="34"/>
        <v>0.4</v>
      </c>
      <c r="AW10" s="2">
        <v>1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8.4</v>
      </c>
      <c r="BE10" s="2">
        <v>10.199999999999999</v>
      </c>
      <c r="BF10" s="2">
        <v>10.7</v>
      </c>
      <c r="BG10" s="2">
        <v>11.4</v>
      </c>
      <c r="BH10" s="2">
        <v>14</v>
      </c>
      <c r="BI10" s="2"/>
      <c r="BJ10" s="2"/>
      <c r="BK10" s="2"/>
      <c r="BL10" s="2"/>
      <c r="BM10" s="2"/>
      <c r="BN10" s="2">
        <v>96</v>
      </c>
      <c r="BO10" s="2">
        <v>35</v>
      </c>
      <c r="BP10" s="2">
        <v>41</v>
      </c>
      <c r="BQ10" s="2">
        <v>45</v>
      </c>
      <c r="BR10" s="2">
        <v>48</v>
      </c>
      <c r="BS10" s="2">
        <v>54</v>
      </c>
      <c r="BT10" s="2">
        <v>2</v>
      </c>
      <c r="BU10" s="2">
        <v>31</v>
      </c>
      <c r="BV10" s="2">
        <v>42</v>
      </c>
      <c r="BW10" s="2">
        <v>54</v>
      </c>
      <c r="BX10" s="2">
        <v>82</v>
      </c>
      <c r="BY10" s="2">
        <v>41.8</v>
      </c>
      <c r="BZ10" s="2">
        <v>1</v>
      </c>
      <c r="CA10" s="2">
        <v>0.5</v>
      </c>
      <c r="CB10" s="2">
        <v>1.2741678976790501E-4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10b</v>
      </c>
      <c r="J11" s="47">
        <f t="shared" ca="1" si="35"/>
        <v>6</v>
      </c>
      <c r="K11" s="19">
        <f t="shared" ca="1" si="36"/>
        <v>-10</v>
      </c>
      <c r="L11" s="116" t="str">
        <f t="shared" ca="1" si="1"/>
        <v>EW_sand_Ruled_80</v>
      </c>
      <c r="M11" s="105" t="str">
        <f t="shared" ca="1" si="2"/>
        <v>API sand</v>
      </c>
      <c r="N11" s="47">
        <f t="shared" ca="1" si="3"/>
        <v>9.8999999999999986</v>
      </c>
      <c r="O11" s="63">
        <f t="shared" ca="1" si="4"/>
        <v>0</v>
      </c>
      <c r="P11" s="63">
        <f t="shared" ca="1" si="5"/>
        <v>0</v>
      </c>
      <c r="Q11" s="47">
        <f t="shared" ca="1" si="6"/>
        <v>40</v>
      </c>
      <c r="R11" s="47">
        <f t="shared" ca="1" si="7"/>
        <v>35</v>
      </c>
      <c r="S11" s="47">
        <f t="shared" ca="1" si="8"/>
        <v>1.2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93200</v>
      </c>
      <c r="Y11" s="47">
        <f t="shared" ca="1" si="14"/>
        <v>0</v>
      </c>
      <c r="Z11" s="47">
        <f t="shared" ca="1" si="15"/>
        <v>114.99999999999996</v>
      </c>
      <c r="AA11" s="47">
        <f t="shared" ca="1" si="16"/>
        <v>1</v>
      </c>
      <c r="AB11" s="47">
        <f t="shared" ca="1" si="17"/>
        <v>12000</v>
      </c>
      <c r="AC11" s="63">
        <f t="shared" ca="1" si="18"/>
        <v>106000</v>
      </c>
      <c r="AD11" s="63">
        <f t="shared" ca="1" si="19"/>
        <v>11333.333333333334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50.000000000000007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80</v>
      </c>
      <c r="AS11" s="33">
        <f t="shared" ca="1" si="34"/>
        <v>0.4</v>
      </c>
      <c r="AW11" s="2">
        <v>2.6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9.1999999999999993</v>
      </c>
      <c r="BE11" s="2">
        <v>11</v>
      </c>
      <c r="BF11" s="2">
        <v>11.5</v>
      </c>
      <c r="BG11" s="2">
        <v>12.2</v>
      </c>
      <c r="BH11" s="2">
        <v>14.8</v>
      </c>
      <c r="BI11" s="2"/>
      <c r="BJ11" s="2"/>
      <c r="BK11" s="2"/>
      <c r="BL11" s="2"/>
      <c r="BM11" s="2"/>
      <c r="BN11" s="2">
        <v>96</v>
      </c>
      <c r="BO11" s="2">
        <v>35</v>
      </c>
      <c r="BP11" s="2">
        <v>41</v>
      </c>
      <c r="BQ11" s="2">
        <v>45</v>
      </c>
      <c r="BR11" s="2">
        <v>48</v>
      </c>
      <c r="BS11" s="2">
        <v>54</v>
      </c>
      <c r="BT11" s="2">
        <v>15</v>
      </c>
      <c r="BU11" s="2">
        <v>43</v>
      </c>
      <c r="BV11" s="2">
        <v>55</v>
      </c>
      <c r="BW11" s="2">
        <v>67</v>
      </c>
      <c r="BX11" s="2">
        <v>95</v>
      </c>
      <c r="BY11" s="2">
        <v>41.8</v>
      </c>
      <c r="BZ11" s="2">
        <v>1</v>
      </c>
      <c r="CA11" s="2">
        <v>0.5</v>
      </c>
      <c r="CB11" s="2">
        <v>1.2741678976790501E-4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10b</v>
      </c>
      <c r="J12" s="47">
        <f t="shared" ca="1" si="35"/>
        <v>7</v>
      </c>
      <c r="K12" s="19">
        <f t="shared" ca="1" si="36"/>
        <v>-11.5</v>
      </c>
      <c r="L12" s="116" t="str">
        <f t="shared" ca="1" si="1"/>
        <v>EW_sand_Ruled_69</v>
      </c>
      <c r="M12" s="105" t="str">
        <f t="shared" ca="1" si="2"/>
        <v>API sand</v>
      </c>
      <c r="N12" s="47">
        <f t="shared" ca="1" si="3"/>
        <v>9.8999999999999986</v>
      </c>
      <c r="O12" s="63">
        <f t="shared" ca="1" si="4"/>
        <v>0</v>
      </c>
      <c r="P12" s="63">
        <f t="shared" ca="1" si="5"/>
        <v>0</v>
      </c>
      <c r="Q12" s="47">
        <f t="shared" ca="1" si="6"/>
        <v>39</v>
      </c>
      <c r="R12" s="47">
        <f t="shared" ca="1" si="7"/>
        <v>34</v>
      </c>
      <c r="S12" s="47">
        <f t="shared" ca="1" si="8"/>
        <v>0.9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70500</v>
      </c>
      <c r="Y12" s="47">
        <f t="shared" ca="1" si="14"/>
        <v>0</v>
      </c>
      <c r="Z12" s="47">
        <f t="shared" ca="1" si="15"/>
        <v>111.19999999999996</v>
      </c>
      <c r="AA12" s="47">
        <f t="shared" ca="1" si="16"/>
        <v>1</v>
      </c>
      <c r="AB12" s="47">
        <f t="shared" ca="1" si="17"/>
        <v>11520</v>
      </c>
      <c r="AC12" s="63">
        <f t="shared" ca="1" si="18"/>
        <v>127000</v>
      </c>
      <c r="AD12" s="63">
        <f t="shared" ca="1" si="19"/>
        <v>-6551.7241379310335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48.000000000000007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69</v>
      </c>
      <c r="AS12" s="33">
        <f t="shared" ca="1" si="34"/>
        <v>0.4</v>
      </c>
      <c r="AW12" s="2">
        <v>2.6</v>
      </c>
      <c r="AX12" s="2" t="s">
        <v>255</v>
      </c>
      <c r="AY12" s="130">
        <v>23.1</v>
      </c>
      <c r="AZ12" s="2">
        <v>20.2</v>
      </c>
      <c r="BA12" s="2">
        <v>18</v>
      </c>
      <c r="BB12" s="2">
        <v>28</v>
      </c>
      <c r="BC12" s="2">
        <v>5</v>
      </c>
      <c r="BD12" s="2">
        <v>2.2999999999999998</v>
      </c>
      <c r="BE12" s="2">
        <v>2.2999999999999998</v>
      </c>
      <c r="BF12" s="2">
        <v>2.4</v>
      </c>
      <c r="BG12" s="2">
        <v>2.6</v>
      </c>
      <c r="BH12" s="2">
        <v>2.9</v>
      </c>
      <c r="BI12" s="2">
        <v>55</v>
      </c>
      <c r="BJ12" s="2">
        <v>106</v>
      </c>
      <c r="BK12" s="2">
        <v>129</v>
      </c>
      <c r="BL12" s="2">
        <v>155</v>
      </c>
      <c r="BM12" s="2">
        <v>208</v>
      </c>
      <c r="BN12" s="2"/>
      <c r="BO12" s="2"/>
      <c r="BP12" s="2"/>
      <c r="BQ12" s="2"/>
      <c r="BR12" s="2"/>
      <c r="BS12" s="2"/>
      <c r="BT12" s="2">
        <v>35</v>
      </c>
      <c r="BU12" s="2">
        <v>76</v>
      </c>
      <c r="BV12" s="2">
        <v>108</v>
      </c>
      <c r="BW12" s="2">
        <v>141</v>
      </c>
      <c r="BX12" s="2">
        <v>207</v>
      </c>
      <c r="BY12" s="2">
        <v>16.3</v>
      </c>
      <c r="BZ12" s="2">
        <v>14.6</v>
      </c>
      <c r="CA12" s="2">
        <v>3</v>
      </c>
      <c r="CB12" s="2">
        <v>1.10596666430684E-7</v>
      </c>
      <c r="CC12" s="2">
        <v>1.8</v>
      </c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14b</v>
      </c>
      <c r="J13" s="47">
        <f t="shared" ca="1" si="35"/>
        <v>8</v>
      </c>
      <c r="K13" s="19">
        <f t="shared" ca="1" si="36"/>
        <v>-14.4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8.5</v>
      </c>
      <c r="O13" s="63">
        <f t="shared" ca="1" si="4"/>
        <v>416</v>
      </c>
      <c r="P13" s="63">
        <f t="shared" ca="1" si="5"/>
        <v>-4.1911764705882355</v>
      </c>
      <c r="Q13" s="47">
        <f t="shared" ca="1" si="6"/>
        <v>0</v>
      </c>
      <c r="R13" s="47" t="e">
        <f t="shared" ca="1" si="7"/>
        <v>#N/A</v>
      </c>
      <c r="S13" s="47">
        <f t="shared" ca="1" si="8"/>
        <v>3</v>
      </c>
      <c r="T13" s="47">
        <f t="shared" ca="1" si="9"/>
        <v>0</v>
      </c>
      <c r="U13" s="75">
        <f t="shared" ca="1" si="10"/>
        <v>1.7999999999999999E-2</v>
      </c>
      <c r="V13" s="75">
        <f t="shared" ca="1" si="11"/>
        <v>0</v>
      </c>
      <c r="W13" s="47">
        <f t="shared" ca="1" si="12"/>
        <v>0.25</v>
      </c>
      <c r="X13" s="47">
        <f t="shared" ca="1" si="13"/>
        <v>32400</v>
      </c>
      <c r="Y13" s="47">
        <f t="shared" ca="1" si="14"/>
        <v>0</v>
      </c>
      <c r="Z13" s="47" t="e">
        <f t="shared" ca="1" si="15"/>
        <v>#N/A</v>
      </c>
      <c r="AA13" s="47">
        <f t="shared" ca="1" si="16"/>
        <v>1</v>
      </c>
      <c r="AB13" s="47" t="e">
        <f t="shared" ca="1" si="17"/>
        <v>#N/A</v>
      </c>
      <c r="AC13" s="63">
        <f t="shared" ca="1" si="18"/>
        <v>505000</v>
      </c>
      <c r="AD13" s="63">
        <f t="shared" ca="1" si="19"/>
        <v>-4117.6470588235297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 t="e">
        <f t="shared" ca="1" si="25"/>
        <v>#N/A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0</v>
      </c>
      <c r="AS13" s="33">
        <f t="shared" ca="1" si="34"/>
        <v>0.4</v>
      </c>
      <c r="AW13" s="2">
        <v>3</v>
      </c>
      <c r="AX13" s="2" t="s">
        <v>255</v>
      </c>
      <c r="AY13" s="130">
        <v>23.1</v>
      </c>
      <c r="AZ13" s="2">
        <v>20.2</v>
      </c>
      <c r="BA13" s="2">
        <v>18</v>
      </c>
      <c r="BB13" s="2">
        <v>28</v>
      </c>
      <c r="BC13" s="2">
        <v>5</v>
      </c>
      <c r="BD13" s="2">
        <v>1.7</v>
      </c>
      <c r="BE13" s="2">
        <v>1.7</v>
      </c>
      <c r="BF13" s="2">
        <v>1.8</v>
      </c>
      <c r="BG13" s="2">
        <v>2</v>
      </c>
      <c r="BH13" s="2">
        <v>2.2999999999999998</v>
      </c>
      <c r="BI13" s="2">
        <v>22</v>
      </c>
      <c r="BJ13" s="2">
        <v>72</v>
      </c>
      <c r="BK13" s="2">
        <v>95</v>
      </c>
      <c r="BL13" s="2">
        <v>121</v>
      </c>
      <c r="BM13" s="2">
        <v>174</v>
      </c>
      <c r="BN13" s="2"/>
      <c r="BO13" s="2"/>
      <c r="BP13" s="2"/>
      <c r="BQ13" s="2"/>
      <c r="BR13" s="2"/>
      <c r="BS13" s="2"/>
      <c r="BT13" s="2">
        <v>3</v>
      </c>
      <c r="BU13" s="2">
        <v>43</v>
      </c>
      <c r="BV13" s="2">
        <v>75</v>
      </c>
      <c r="BW13" s="2">
        <v>108</v>
      </c>
      <c r="BX13" s="2">
        <v>174</v>
      </c>
      <c r="BY13" s="2">
        <v>16.3</v>
      </c>
      <c r="BZ13" s="2">
        <v>14.6</v>
      </c>
      <c r="CA13" s="2">
        <v>3</v>
      </c>
      <c r="CB13" s="2">
        <v>1.10596666430684E-7</v>
      </c>
      <c r="CC13" s="2">
        <v>1.8</v>
      </c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14b</v>
      </c>
      <c r="J14" s="47">
        <f t="shared" ca="1" si="35"/>
        <v>9</v>
      </c>
      <c r="K14" s="19">
        <f t="shared" ca="1" si="36"/>
        <v>-28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8.5</v>
      </c>
      <c r="O14" s="63">
        <f t="shared" ca="1" si="4"/>
        <v>180</v>
      </c>
      <c r="P14" s="63">
        <f t="shared" ca="1" si="5"/>
        <v>3.3333333333333335</v>
      </c>
      <c r="Q14" s="47">
        <f t="shared" ca="1" si="6"/>
        <v>0</v>
      </c>
      <c r="R14" s="47" t="e">
        <f t="shared" ca="1" si="7"/>
        <v>#N/A</v>
      </c>
      <c r="S14" s="47">
        <f t="shared" ca="1" si="8"/>
        <v>1.9</v>
      </c>
      <c r="T14" s="47">
        <f t="shared" ca="1" si="9"/>
        <v>0</v>
      </c>
      <c r="U14" s="75">
        <f t="shared" ca="1" si="10"/>
        <v>1.7999999999999999E-2</v>
      </c>
      <c r="V14" s="75">
        <f t="shared" ca="1" si="11"/>
        <v>0</v>
      </c>
      <c r="W14" s="47">
        <f t="shared" ca="1" si="12"/>
        <v>0.5</v>
      </c>
      <c r="X14" s="47">
        <f t="shared" ca="1" si="13"/>
        <v>17100</v>
      </c>
      <c r="Y14" s="47">
        <f t="shared" ca="1" si="14"/>
        <v>0</v>
      </c>
      <c r="Z14" s="47" t="e">
        <f t="shared" ca="1" si="15"/>
        <v>#N/A</v>
      </c>
      <c r="AA14" s="47">
        <f t="shared" ca="1" si="16"/>
        <v>1</v>
      </c>
      <c r="AB14" s="47" t="e">
        <f t="shared" ca="1" si="17"/>
        <v>#N/A</v>
      </c>
      <c r="AC14" s="63">
        <f t="shared" ca="1" si="18"/>
        <v>230000</v>
      </c>
      <c r="AD14" s="63">
        <f t="shared" ca="1" si="19"/>
        <v>4666.666666666667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 t="e">
        <f t="shared" ca="1" si="25"/>
        <v>#N/A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0</v>
      </c>
      <c r="AS14" s="33">
        <f t="shared" ca="1" si="34"/>
        <v>0.4</v>
      </c>
      <c r="AW14" s="2">
        <v>3</v>
      </c>
      <c r="AX14" s="2" t="s">
        <v>259</v>
      </c>
      <c r="AY14" s="130">
        <v>25.5</v>
      </c>
      <c r="AZ14" s="2">
        <v>20</v>
      </c>
      <c r="BA14" s="2"/>
      <c r="BB14" s="2">
        <v>14</v>
      </c>
      <c r="BC14" s="2"/>
      <c r="BD14" s="2">
        <v>7.4</v>
      </c>
      <c r="BE14" s="2">
        <v>8.6999999999999993</v>
      </c>
      <c r="BF14" s="2">
        <v>8.8000000000000007</v>
      </c>
      <c r="BG14" s="2">
        <v>9.1</v>
      </c>
      <c r="BH14" s="2">
        <v>11.5</v>
      </c>
      <c r="BI14" s="2"/>
      <c r="BJ14" s="2"/>
      <c r="BK14" s="2"/>
      <c r="BL14" s="2"/>
      <c r="BM14" s="2"/>
      <c r="BN14" s="2">
        <v>66</v>
      </c>
      <c r="BO14" s="2">
        <v>33</v>
      </c>
      <c r="BP14" s="2">
        <v>38</v>
      </c>
      <c r="BQ14" s="2">
        <v>41</v>
      </c>
      <c r="BR14" s="2">
        <v>44</v>
      </c>
      <c r="BS14" s="2">
        <v>50</v>
      </c>
      <c r="BT14" s="2">
        <v>3</v>
      </c>
      <c r="BU14" s="2">
        <v>41</v>
      </c>
      <c r="BV14" s="2">
        <v>60</v>
      </c>
      <c r="BW14" s="2">
        <v>79</v>
      </c>
      <c r="BX14" s="2">
        <v>125</v>
      </c>
      <c r="BY14" s="2">
        <v>45.8</v>
      </c>
      <c r="BZ14" s="2">
        <v>4.4000000000000004</v>
      </c>
      <c r="CA14" s="2">
        <v>1.2</v>
      </c>
      <c r="CB14" s="2">
        <v>2.5286463568904E-6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15a</v>
      </c>
      <c r="J15" s="47">
        <f t="shared" ca="1" si="35"/>
        <v>10</v>
      </c>
      <c r="K15" s="19">
        <f t="shared" ca="1" si="36"/>
        <v>-31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9.3000000000000007</v>
      </c>
      <c r="O15" s="63">
        <f t="shared" ca="1" si="4"/>
        <v>309</v>
      </c>
      <c r="P15" s="63">
        <f t="shared" ca="1" si="5"/>
        <v>202.5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0.25</v>
      </c>
      <c r="X15" s="47">
        <f t="shared" ca="1" si="13"/>
        <v>62000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420000</v>
      </c>
      <c r="AD15" s="63">
        <f t="shared" ca="1" si="19"/>
        <v>320500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10</v>
      </c>
      <c r="AX15" s="2" t="s">
        <v>259</v>
      </c>
      <c r="AY15" s="130">
        <v>25.5</v>
      </c>
      <c r="AZ15" s="2">
        <v>20</v>
      </c>
      <c r="BA15" s="2"/>
      <c r="BB15" s="2">
        <v>14</v>
      </c>
      <c r="BC15" s="2"/>
      <c r="BD15" s="2">
        <v>12</v>
      </c>
      <c r="BE15" s="2">
        <v>13.3</v>
      </c>
      <c r="BF15" s="2">
        <v>13.5</v>
      </c>
      <c r="BG15" s="2">
        <v>13.8</v>
      </c>
      <c r="BH15" s="2">
        <v>16.2</v>
      </c>
      <c r="BI15" s="2"/>
      <c r="BJ15" s="2"/>
      <c r="BK15" s="2"/>
      <c r="BL15" s="2"/>
      <c r="BM15" s="2"/>
      <c r="BN15" s="2">
        <v>66</v>
      </c>
      <c r="BO15" s="2">
        <v>33</v>
      </c>
      <c r="BP15" s="2">
        <v>38</v>
      </c>
      <c r="BQ15" s="2">
        <v>41</v>
      </c>
      <c r="BR15" s="2">
        <v>44</v>
      </c>
      <c r="BS15" s="2">
        <v>50</v>
      </c>
      <c r="BT15" s="2">
        <v>41</v>
      </c>
      <c r="BU15" s="2">
        <v>79</v>
      </c>
      <c r="BV15" s="2">
        <v>98</v>
      </c>
      <c r="BW15" s="2">
        <v>117</v>
      </c>
      <c r="BX15" s="2">
        <v>163</v>
      </c>
      <c r="BY15" s="2">
        <v>45.8</v>
      </c>
      <c r="BZ15" s="2">
        <v>4.4000000000000004</v>
      </c>
      <c r="CA15" s="2">
        <v>1.2</v>
      </c>
      <c r="CB15" s="2">
        <v>2.5286463568904E-6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15a</v>
      </c>
      <c r="J16" s="47">
        <f t="shared" ca="1" si="35"/>
        <v>11</v>
      </c>
      <c r="K16" s="19">
        <f t="shared" ca="1" si="36"/>
        <v>-35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9.3000000000000007</v>
      </c>
      <c r="O16" s="63">
        <f t="shared" ca="1" si="4"/>
        <v>1009</v>
      </c>
      <c r="P16" s="63">
        <f t="shared" ca="1" si="5"/>
        <v>19.019607843137255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3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89900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1467000</v>
      </c>
      <c r="AD16" s="63">
        <f t="shared" ca="1" si="19"/>
        <v>35098.03921568628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10</v>
      </c>
      <c r="AX16" s="2" t="s">
        <v>261</v>
      </c>
      <c r="AY16" s="130">
        <v>24</v>
      </c>
      <c r="AZ16" s="2">
        <v>19.899999999999999</v>
      </c>
      <c r="BA16" s="2"/>
      <c r="BB16" s="2">
        <v>6</v>
      </c>
      <c r="BC16" s="2"/>
      <c r="BD16" s="2">
        <v>14.2</v>
      </c>
      <c r="BE16" s="2">
        <v>16.3</v>
      </c>
      <c r="BF16" s="2">
        <v>16.899999999999999</v>
      </c>
      <c r="BG16" s="2">
        <v>17.5</v>
      </c>
      <c r="BH16" s="2">
        <v>19.8</v>
      </c>
      <c r="BI16" s="2"/>
      <c r="BJ16" s="2"/>
      <c r="BK16" s="2"/>
      <c r="BL16" s="2"/>
      <c r="BM16" s="2"/>
      <c r="BN16" s="2">
        <v>80</v>
      </c>
      <c r="BO16" s="2">
        <v>34</v>
      </c>
      <c r="BP16" s="2">
        <v>40</v>
      </c>
      <c r="BQ16" s="2">
        <v>43</v>
      </c>
      <c r="BR16" s="2">
        <v>47</v>
      </c>
      <c r="BS16" s="2">
        <v>53</v>
      </c>
      <c r="BT16" s="2">
        <v>12</v>
      </c>
      <c r="BU16" s="2">
        <v>79</v>
      </c>
      <c r="BV16" s="2">
        <v>106</v>
      </c>
      <c r="BW16" s="2">
        <v>132</v>
      </c>
      <c r="BX16" s="2">
        <v>199</v>
      </c>
      <c r="BY16" s="2">
        <v>93.2</v>
      </c>
      <c r="BZ16" s="2">
        <v>4.2</v>
      </c>
      <c r="CA16" s="2">
        <v>1.2</v>
      </c>
      <c r="CB16" s="2">
        <v>7.7818707055970108E-6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21a</v>
      </c>
      <c r="J17" s="47">
        <f t="shared" ca="1" si="35"/>
        <v>12</v>
      </c>
      <c r="K17" s="19">
        <f t="shared" ca="1" si="36"/>
        <v>-55.4</v>
      </c>
      <c r="L17" s="116" t="str">
        <f t="shared" ca="1" si="1"/>
        <v>EW_sand_Ruled_13</v>
      </c>
      <c r="M17" s="105" t="str">
        <f t="shared" ca="1" si="2"/>
        <v>API sand</v>
      </c>
      <c r="N17" s="47">
        <f t="shared" ca="1" si="3"/>
        <v>9.8000000000000007</v>
      </c>
      <c r="O17" s="63">
        <f t="shared" ca="1" si="4"/>
        <v>0</v>
      </c>
      <c r="P17" s="63">
        <f t="shared" ca="1" si="5"/>
        <v>0</v>
      </c>
      <c r="Q17" s="47">
        <f t="shared" ca="1" si="6"/>
        <v>24.5</v>
      </c>
      <c r="R17" s="47">
        <f t="shared" ca="1" si="7"/>
        <v>19.5</v>
      </c>
      <c r="S17" s="47">
        <f t="shared" ca="1" si="8"/>
        <v>0.5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17000</v>
      </c>
      <c r="Y17" s="47">
        <f t="shared" ca="1" si="14"/>
        <v>0</v>
      </c>
      <c r="Z17" s="47">
        <f t="shared" ca="1" si="15"/>
        <v>63.199999999999989</v>
      </c>
      <c r="AA17" s="47">
        <f t="shared" ca="1" si="16"/>
        <v>1</v>
      </c>
      <c r="AB17" s="47">
        <f t="shared" ca="1" si="17"/>
        <v>2700</v>
      </c>
      <c r="AC17" s="63">
        <f t="shared" ca="1" si="18"/>
        <v>136000</v>
      </c>
      <c r="AD17" s="63">
        <f t="shared" ca="1" si="19"/>
        <v>1363.6363636363626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11.200000000000003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13</v>
      </c>
      <c r="AS17" s="33">
        <f t="shared" ca="1" si="34"/>
        <v>0.2</v>
      </c>
      <c r="AW17" s="2">
        <v>11.5</v>
      </c>
      <c r="AX17" s="2" t="s">
        <v>261</v>
      </c>
      <c r="AY17" s="130">
        <v>24</v>
      </c>
      <c r="AZ17" s="2">
        <v>19.899999999999999</v>
      </c>
      <c r="BA17" s="2"/>
      <c r="BB17" s="2">
        <v>6</v>
      </c>
      <c r="BC17" s="2"/>
      <c r="BD17" s="2">
        <v>24.1</v>
      </c>
      <c r="BE17" s="2">
        <v>26.2</v>
      </c>
      <c r="BF17" s="2">
        <v>26.8</v>
      </c>
      <c r="BG17" s="2">
        <v>27.4</v>
      </c>
      <c r="BH17" s="2">
        <v>29.7</v>
      </c>
      <c r="BI17" s="2"/>
      <c r="BJ17" s="2"/>
      <c r="BK17" s="2"/>
      <c r="BL17" s="2"/>
      <c r="BM17" s="2"/>
      <c r="BN17" s="2">
        <v>80</v>
      </c>
      <c r="BO17" s="2">
        <v>34</v>
      </c>
      <c r="BP17" s="2">
        <v>40</v>
      </c>
      <c r="BQ17" s="2">
        <v>43</v>
      </c>
      <c r="BR17" s="2">
        <v>47</v>
      </c>
      <c r="BS17" s="2">
        <v>53</v>
      </c>
      <c r="BT17" s="2">
        <v>30</v>
      </c>
      <c r="BU17" s="2">
        <v>96</v>
      </c>
      <c r="BV17" s="2">
        <v>123</v>
      </c>
      <c r="BW17" s="2">
        <v>150</v>
      </c>
      <c r="BX17" s="2">
        <v>216</v>
      </c>
      <c r="BY17" s="2">
        <v>93.2</v>
      </c>
      <c r="BZ17" s="2">
        <v>4.2</v>
      </c>
      <c r="CA17" s="2">
        <v>1.2</v>
      </c>
      <c r="CB17" s="2">
        <v>7.7818707055970108E-6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23d</v>
      </c>
      <c r="J18" s="47">
        <f t="shared" ca="1" si="35"/>
        <v>13</v>
      </c>
      <c r="K18" s="19">
        <f t="shared" ca="1" si="36"/>
        <v>-66.400000000000006</v>
      </c>
      <c r="L18" s="116" t="str">
        <f t="shared" ca="1" si="1"/>
        <v>Cowden Clay</v>
      </c>
      <c r="M18" s="105" t="str">
        <f t="shared" ca="1" si="2"/>
        <v>API clay</v>
      </c>
      <c r="N18" s="47">
        <f t="shared" ca="1" si="3"/>
        <v>8.8999999999999986</v>
      </c>
      <c r="O18" s="63">
        <f t="shared" ca="1" si="4"/>
        <v>488</v>
      </c>
      <c r="P18" s="63">
        <f t="shared" ca="1" si="5"/>
        <v>5.4411764705882373</v>
      </c>
      <c r="Q18" s="47">
        <f t="shared" ca="1" si="6"/>
        <v>0</v>
      </c>
      <c r="R18" s="47" t="e">
        <f t="shared" ca="1" si="7"/>
        <v>#N/A</v>
      </c>
      <c r="S18" s="47">
        <f t="shared" ca="1" si="8"/>
        <v>1.8</v>
      </c>
      <c r="T18" s="47">
        <f t="shared" ca="1" si="9"/>
        <v>0</v>
      </c>
      <c r="U18" s="75">
        <f t="shared" ca="1" si="10"/>
        <v>1.7999999999999999E-2</v>
      </c>
      <c r="V18" s="75">
        <f t="shared" ca="1" si="11"/>
        <v>0</v>
      </c>
      <c r="W18" s="47">
        <f t="shared" ca="1" si="12"/>
        <v>0.25</v>
      </c>
      <c r="X18" s="47">
        <f t="shared" ca="1" si="13"/>
        <v>45800</v>
      </c>
      <c r="Y18" s="47">
        <f t="shared" ca="1" si="14"/>
        <v>0</v>
      </c>
      <c r="Z18" s="47" t="e">
        <f t="shared" ca="1" si="15"/>
        <v>#N/A</v>
      </c>
      <c r="AA18" s="47">
        <f t="shared" ca="1" si="16"/>
        <v>1</v>
      </c>
      <c r="AB18" s="47" t="e">
        <f t="shared" ca="1" si="17"/>
        <v>#N/A</v>
      </c>
      <c r="AC18" s="63">
        <f t="shared" ca="1" si="18"/>
        <v>763000</v>
      </c>
      <c r="AD18" s="63">
        <f t="shared" ca="1" si="19"/>
        <v>10220.588235294121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 t="e">
        <f t="shared" ca="1" si="25"/>
        <v>#N/A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0</v>
      </c>
      <c r="AS18" s="33">
        <f t="shared" ca="1" si="34"/>
        <v>0.4</v>
      </c>
      <c r="AW18" s="2">
        <v>11.5</v>
      </c>
      <c r="AX18" s="2" t="s">
        <v>261</v>
      </c>
      <c r="AY18" s="130">
        <v>24</v>
      </c>
      <c r="AZ18" s="2">
        <v>19.899999999999999</v>
      </c>
      <c r="BA18" s="2"/>
      <c r="BB18" s="2">
        <v>6</v>
      </c>
      <c r="BC18" s="2"/>
      <c r="BD18" s="2">
        <v>19.899999999999999</v>
      </c>
      <c r="BE18" s="2">
        <v>23</v>
      </c>
      <c r="BF18" s="2">
        <v>23.7</v>
      </c>
      <c r="BG18" s="2">
        <v>24.9</v>
      </c>
      <c r="BH18" s="2">
        <v>31.6</v>
      </c>
      <c r="BI18" s="2"/>
      <c r="BJ18" s="2"/>
      <c r="BK18" s="2"/>
      <c r="BL18" s="2"/>
      <c r="BM18" s="2"/>
      <c r="BN18" s="2">
        <v>69</v>
      </c>
      <c r="BO18" s="2">
        <v>33</v>
      </c>
      <c r="BP18" s="2">
        <v>39</v>
      </c>
      <c r="BQ18" s="2">
        <v>42</v>
      </c>
      <c r="BR18" s="2">
        <v>45</v>
      </c>
      <c r="BS18" s="2">
        <v>51</v>
      </c>
      <c r="BT18" s="2">
        <v>32</v>
      </c>
      <c r="BU18" s="2">
        <v>99</v>
      </c>
      <c r="BV18" s="2">
        <v>127</v>
      </c>
      <c r="BW18" s="2">
        <v>155</v>
      </c>
      <c r="BX18" s="2">
        <v>223</v>
      </c>
      <c r="BY18" s="2">
        <v>70.5</v>
      </c>
      <c r="BZ18" s="2">
        <v>2.9</v>
      </c>
      <c r="CA18" s="2">
        <v>0.9</v>
      </c>
      <c r="CB18" s="2">
        <v>1.5566122132859799E-6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/>
      </c>
      <c r="J19" s="47" t="str">
        <f t="shared" ca="1" si="35"/>
        <v/>
      </c>
      <c r="K19" s="19" t="str">
        <f t="shared" ca="1" si="36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4"/>
        <v/>
      </c>
      <c r="P19" s="63" t="str">
        <f t="shared" ca="1" si="5"/>
        <v/>
      </c>
      <c r="Q19" s="47" t="str">
        <f t="shared" ca="1" si="6"/>
        <v/>
      </c>
      <c r="R19" s="47" t="str">
        <f t="shared" ca="1" si="7"/>
        <v/>
      </c>
      <c r="S19" s="47" t="str">
        <f t="shared" ca="1" si="8"/>
        <v/>
      </c>
      <c r="T19" s="47" t="str">
        <f t="shared" ca="1" si="9"/>
        <v/>
      </c>
      <c r="U19" s="75" t="str">
        <f t="shared" ca="1" si="10"/>
        <v/>
      </c>
      <c r="V19" s="75" t="str">
        <f t="shared" ca="1" si="11"/>
        <v/>
      </c>
      <c r="W19" s="47" t="str">
        <f t="shared" ca="1" si="12"/>
        <v/>
      </c>
      <c r="X19" s="47" t="str">
        <f t="shared" ca="1" si="13"/>
        <v/>
      </c>
      <c r="Y19" s="47" t="str">
        <f t="shared" ca="1" si="14"/>
        <v/>
      </c>
      <c r="Z19" s="47" t="str">
        <f t="shared" ca="1" si="15"/>
        <v/>
      </c>
      <c r="AA19" s="47" t="str">
        <f t="shared" ca="1" si="16"/>
        <v/>
      </c>
      <c r="AB19" s="47" t="str">
        <f t="shared" ca="1" si="17"/>
        <v/>
      </c>
      <c r="AC19" s="63" t="str">
        <f t="shared" ca="1" si="18"/>
        <v/>
      </c>
      <c r="AD19" s="63" t="str">
        <f t="shared" ca="1" si="19"/>
        <v/>
      </c>
      <c r="AE19" s="63" t="str">
        <f t="shared" ca="1" si="20"/>
        <v/>
      </c>
      <c r="AF19" s="63" t="str">
        <f t="shared" ca="1" si="21"/>
        <v/>
      </c>
      <c r="AG19" s="63" t="str">
        <f t="shared" ca="1" si="22"/>
        <v/>
      </c>
      <c r="AH19" s="63" t="str">
        <f t="shared" ca="1" si="23"/>
        <v/>
      </c>
      <c r="AI19" s="63" t="str">
        <f t="shared" ca="1" si="24"/>
        <v/>
      </c>
      <c r="AJ19" s="47" t="str">
        <f t="shared" ca="1" si="25"/>
        <v/>
      </c>
      <c r="AK19" s="47" t="str">
        <f t="shared" ca="1" si="26"/>
        <v/>
      </c>
      <c r="AL19" s="47" t="str">
        <f t="shared" ca="1" si="27"/>
        <v/>
      </c>
      <c r="AM19" s="47" t="str">
        <f t="shared" ca="1" si="28"/>
        <v/>
      </c>
      <c r="AN19" s="47" t="str">
        <f t="shared" ca="1" si="29"/>
        <v/>
      </c>
      <c r="AO19" s="47" t="str">
        <f t="shared" ca="1" si="30"/>
        <v/>
      </c>
      <c r="AP19" s="47" t="str">
        <f t="shared" ca="1" si="31"/>
        <v/>
      </c>
      <c r="AQ19" s="47" t="str">
        <f t="shared" ca="1" si="32"/>
        <v/>
      </c>
      <c r="AR19" s="47" t="str">
        <f t="shared" ca="1" si="33"/>
        <v/>
      </c>
      <c r="AS19" s="33" t="str">
        <f t="shared" ca="1" si="34"/>
        <v/>
      </c>
      <c r="AW19" s="2">
        <v>14.4</v>
      </c>
      <c r="AX19" s="2" t="s">
        <v>261</v>
      </c>
      <c r="AY19" s="130">
        <v>24</v>
      </c>
      <c r="AZ19" s="2">
        <v>19.899999999999999</v>
      </c>
      <c r="BA19" s="2"/>
      <c r="BB19" s="2">
        <v>6</v>
      </c>
      <c r="BC19" s="2"/>
      <c r="BD19" s="2">
        <v>9.8000000000000007</v>
      </c>
      <c r="BE19" s="2">
        <v>13</v>
      </c>
      <c r="BF19" s="2">
        <v>13.6</v>
      </c>
      <c r="BG19" s="2">
        <v>14.9</v>
      </c>
      <c r="BH19" s="2">
        <v>21.6</v>
      </c>
      <c r="BI19" s="2"/>
      <c r="BJ19" s="2"/>
      <c r="BK19" s="2"/>
      <c r="BL19" s="2"/>
      <c r="BM19" s="2"/>
      <c r="BN19" s="2">
        <v>69</v>
      </c>
      <c r="BO19" s="2">
        <v>33</v>
      </c>
      <c r="BP19" s="2">
        <v>39</v>
      </c>
      <c r="BQ19" s="2">
        <v>42</v>
      </c>
      <c r="BR19" s="2">
        <v>45</v>
      </c>
      <c r="BS19" s="2">
        <v>51</v>
      </c>
      <c r="BT19" s="2">
        <v>14</v>
      </c>
      <c r="BU19" s="2">
        <v>81</v>
      </c>
      <c r="BV19" s="2">
        <v>108</v>
      </c>
      <c r="BW19" s="2">
        <v>136</v>
      </c>
      <c r="BX19" s="2">
        <v>205</v>
      </c>
      <c r="BY19" s="2">
        <v>70.5</v>
      </c>
      <c r="BZ19" s="2">
        <v>2.9</v>
      </c>
      <c r="CA19" s="2">
        <v>0.9</v>
      </c>
      <c r="CB19" s="2">
        <v>1.5566122132859799E-6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5"/>
        <v/>
      </c>
      <c r="K20" s="19" t="str">
        <f t="shared" ca="1" si="36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4"/>
        <v/>
      </c>
      <c r="P20" s="63" t="str">
        <f t="shared" ca="1" si="5"/>
        <v/>
      </c>
      <c r="Q20" s="47" t="str">
        <f t="shared" ca="1" si="6"/>
        <v/>
      </c>
      <c r="R20" s="47" t="str">
        <f t="shared" ca="1" si="7"/>
        <v/>
      </c>
      <c r="S20" s="47" t="str">
        <f t="shared" ca="1" si="8"/>
        <v/>
      </c>
      <c r="T20" s="47" t="str">
        <f t="shared" ca="1" si="9"/>
        <v/>
      </c>
      <c r="U20" s="75" t="str">
        <f t="shared" ca="1" si="10"/>
        <v/>
      </c>
      <c r="V20" s="75" t="str">
        <f t="shared" ca="1" si="11"/>
        <v/>
      </c>
      <c r="W20" s="47" t="str">
        <f t="shared" ca="1" si="12"/>
        <v/>
      </c>
      <c r="X20" s="47" t="str">
        <f t="shared" ca="1" si="13"/>
        <v/>
      </c>
      <c r="Y20" s="47" t="str">
        <f t="shared" ca="1" si="14"/>
        <v/>
      </c>
      <c r="Z20" s="47" t="str">
        <f t="shared" ca="1" si="15"/>
        <v/>
      </c>
      <c r="AA20" s="47" t="str">
        <f t="shared" ca="1" si="16"/>
        <v/>
      </c>
      <c r="AB20" s="47" t="str">
        <f t="shared" ca="1" si="17"/>
        <v/>
      </c>
      <c r="AC20" s="63" t="str">
        <f t="shared" ca="1" si="18"/>
        <v/>
      </c>
      <c r="AD20" s="63" t="str">
        <f t="shared" ca="1" si="19"/>
        <v/>
      </c>
      <c r="AE20" s="63" t="str">
        <f t="shared" ca="1" si="20"/>
        <v/>
      </c>
      <c r="AF20" s="63" t="str">
        <f t="shared" ca="1" si="21"/>
        <v/>
      </c>
      <c r="AG20" s="63" t="str">
        <f t="shared" ca="1" si="22"/>
        <v/>
      </c>
      <c r="AH20" s="63" t="str">
        <f t="shared" ca="1" si="23"/>
        <v/>
      </c>
      <c r="AI20" s="63" t="str">
        <f t="shared" ca="1" si="24"/>
        <v/>
      </c>
      <c r="AJ20" s="47" t="str">
        <f t="shared" ca="1" si="25"/>
        <v/>
      </c>
      <c r="AK20" s="47" t="str">
        <f t="shared" ca="1" si="26"/>
        <v/>
      </c>
      <c r="AL20" s="47" t="str">
        <f t="shared" ca="1" si="27"/>
        <v/>
      </c>
      <c r="AM20" s="47" t="str">
        <f t="shared" ca="1" si="28"/>
        <v/>
      </c>
      <c r="AN20" s="47" t="str">
        <f t="shared" ca="1" si="29"/>
        <v/>
      </c>
      <c r="AO20" s="47" t="str">
        <f t="shared" ca="1" si="30"/>
        <v/>
      </c>
      <c r="AP20" s="47" t="str">
        <f t="shared" ca="1" si="31"/>
        <v/>
      </c>
      <c r="AQ20" s="47" t="str">
        <f t="shared" ca="1" si="32"/>
        <v/>
      </c>
      <c r="AR20" s="47" t="str">
        <f t="shared" ca="1" si="33"/>
        <v/>
      </c>
      <c r="AS20" s="33" t="str">
        <f t="shared" ca="1" si="34"/>
        <v/>
      </c>
      <c r="AW20" s="2">
        <v>14.4</v>
      </c>
      <c r="AX20" s="2" t="s">
        <v>266</v>
      </c>
      <c r="AY20" s="130">
        <v>34.4</v>
      </c>
      <c r="AZ20" s="2">
        <v>18.5</v>
      </c>
      <c r="BA20" s="2">
        <v>23</v>
      </c>
      <c r="BB20" s="2">
        <v>76</v>
      </c>
      <c r="BC20" s="2">
        <v>4</v>
      </c>
      <c r="BD20" s="2">
        <v>5.8</v>
      </c>
      <c r="BE20" s="2">
        <v>8.5</v>
      </c>
      <c r="BF20" s="2">
        <v>8.6999999999999993</v>
      </c>
      <c r="BG20" s="2">
        <v>8.9</v>
      </c>
      <c r="BH20" s="2">
        <v>11.5</v>
      </c>
      <c r="BI20" s="2">
        <v>240</v>
      </c>
      <c r="BJ20" s="2">
        <v>416</v>
      </c>
      <c r="BK20" s="2">
        <v>468</v>
      </c>
      <c r="BL20" s="2">
        <v>521</v>
      </c>
      <c r="BM20" s="2">
        <v>689</v>
      </c>
      <c r="BN20" s="2"/>
      <c r="BO20" s="2"/>
      <c r="BP20" s="2"/>
      <c r="BQ20" s="2"/>
      <c r="BR20" s="2"/>
      <c r="BS20" s="2"/>
      <c r="BT20" s="2">
        <v>177</v>
      </c>
      <c r="BU20" s="2">
        <v>418</v>
      </c>
      <c r="BV20" s="2">
        <v>505</v>
      </c>
      <c r="BW20" s="2">
        <v>591</v>
      </c>
      <c r="BX20" s="2">
        <v>825</v>
      </c>
      <c r="BY20" s="2">
        <v>32.4</v>
      </c>
      <c r="BZ20" s="2">
        <v>11.8</v>
      </c>
      <c r="CA20" s="2">
        <v>3</v>
      </c>
      <c r="CB20" s="2">
        <v>2.8977682679016098E-9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5"/>
        <v/>
      </c>
      <c r="K21" s="19" t="str">
        <f ca="1">IF(OFFSET($AW$6,(ROW()-6)*2,0)=0,"",-OFFSET($AW$6,(ROW()-6)*2,0))</f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4"/>
        <v/>
      </c>
      <c r="P21" s="63" t="str">
        <f t="shared" ca="1" si="5"/>
        <v/>
      </c>
      <c r="Q21" s="47" t="str">
        <f t="shared" ca="1" si="6"/>
        <v/>
      </c>
      <c r="R21" s="47" t="str">
        <f t="shared" ca="1" si="7"/>
        <v/>
      </c>
      <c r="S21" s="47" t="str">
        <f t="shared" ca="1" si="8"/>
        <v/>
      </c>
      <c r="T21" s="47" t="str">
        <f t="shared" ca="1" si="9"/>
        <v/>
      </c>
      <c r="U21" s="75" t="str">
        <f t="shared" ca="1" si="10"/>
        <v/>
      </c>
      <c r="V21" s="75" t="str">
        <f t="shared" ca="1" si="11"/>
        <v/>
      </c>
      <c r="W21" s="47" t="str">
        <f t="shared" ca="1" si="12"/>
        <v/>
      </c>
      <c r="X21" s="47" t="str">
        <f t="shared" ca="1" si="13"/>
        <v/>
      </c>
      <c r="Y21" s="47" t="str">
        <f t="shared" ca="1" si="14"/>
        <v/>
      </c>
      <c r="Z21" s="47" t="str">
        <f t="shared" ca="1" si="15"/>
        <v/>
      </c>
      <c r="AA21" s="47" t="str">
        <f t="shared" ca="1" si="16"/>
        <v/>
      </c>
      <c r="AB21" s="47" t="str">
        <f t="shared" ca="1" si="17"/>
        <v/>
      </c>
      <c r="AC21" s="63" t="str">
        <f t="shared" ca="1" si="18"/>
        <v/>
      </c>
      <c r="AD21" s="63" t="str">
        <f t="shared" ca="1" si="19"/>
        <v/>
      </c>
      <c r="AE21" s="63" t="str">
        <f t="shared" ca="1" si="20"/>
        <v/>
      </c>
      <c r="AF21" s="63" t="str">
        <f t="shared" ca="1" si="21"/>
        <v/>
      </c>
      <c r="AG21" s="63" t="str">
        <f t="shared" ca="1" si="22"/>
        <v/>
      </c>
      <c r="AH21" s="63" t="str">
        <f t="shared" ca="1" si="23"/>
        <v/>
      </c>
      <c r="AI21" s="63" t="str">
        <f t="shared" ca="1" si="24"/>
        <v/>
      </c>
      <c r="AJ21" s="47" t="str">
        <f t="shared" ca="1" si="25"/>
        <v/>
      </c>
      <c r="AK21" s="47" t="str">
        <f t="shared" ca="1" si="26"/>
        <v/>
      </c>
      <c r="AL21" s="47" t="str">
        <f t="shared" ca="1" si="27"/>
        <v/>
      </c>
      <c r="AM21" s="47" t="str">
        <f t="shared" ca="1" si="28"/>
        <v/>
      </c>
      <c r="AN21" s="47" t="str">
        <f t="shared" ca="1" si="29"/>
        <v/>
      </c>
      <c r="AO21" s="47" t="str">
        <f t="shared" ca="1" si="30"/>
        <v/>
      </c>
      <c r="AP21" s="47" t="str">
        <f t="shared" ca="1" si="31"/>
        <v/>
      </c>
      <c r="AQ21" s="47" t="str">
        <f t="shared" ca="1" si="32"/>
        <v/>
      </c>
      <c r="AR21" s="47" t="str">
        <f t="shared" ca="1" si="33"/>
        <v/>
      </c>
      <c r="AS21" s="33" t="str">
        <f t="shared" ca="1" si="34"/>
        <v/>
      </c>
      <c r="AW21" s="2">
        <v>28</v>
      </c>
      <c r="AX21" s="2" t="s">
        <v>266</v>
      </c>
      <c r="AY21" s="130">
        <v>34.4</v>
      </c>
      <c r="AZ21" s="2">
        <v>18.5</v>
      </c>
      <c r="BA21" s="2">
        <v>23</v>
      </c>
      <c r="BB21" s="2">
        <v>76</v>
      </c>
      <c r="BC21" s="2">
        <v>4</v>
      </c>
      <c r="BD21" s="2">
        <v>5</v>
      </c>
      <c r="BE21" s="2">
        <v>7.7</v>
      </c>
      <c r="BF21" s="2">
        <v>7.9</v>
      </c>
      <c r="BG21" s="2">
        <v>8.1999999999999993</v>
      </c>
      <c r="BH21" s="2">
        <v>10.7</v>
      </c>
      <c r="BI21" s="2">
        <v>184</v>
      </c>
      <c r="BJ21" s="2">
        <v>359</v>
      </c>
      <c r="BK21" s="2">
        <v>411</v>
      </c>
      <c r="BL21" s="2">
        <v>464</v>
      </c>
      <c r="BM21" s="2">
        <v>632</v>
      </c>
      <c r="BN21" s="2"/>
      <c r="BO21" s="2"/>
      <c r="BP21" s="2"/>
      <c r="BQ21" s="2"/>
      <c r="BR21" s="2"/>
      <c r="BS21" s="2"/>
      <c r="BT21" s="2">
        <v>121</v>
      </c>
      <c r="BU21" s="2">
        <v>363</v>
      </c>
      <c r="BV21" s="2">
        <v>449</v>
      </c>
      <c r="BW21" s="2">
        <v>536</v>
      </c>
      <c r="BX21" s="2">
        <v>770</v>
      </c>
      <c r="BY21" s="2">
        <v>32.4</v>
      </c>
      <c r="BZ21" s="2">
        <v>11.8</v>
      </c>
      <c r="CA21" s="2">
        <v>3</v>
      </c>
      <c r="CB21" s="2">
        <v>2.8977682679016098E-9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5"/>
        <v/>
      </c>
      <c r="K22" s="19" t="str">
        <f t="shared" ref="K22:K25" ca="1" si="37">IF(OFFSET($AW$6,(ROW()-6)*2,0)=0,"",-OFFSET($AW$6,(ROW()-6)*2,0))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4"/>
        <v/>
      </c>
      <c r="P22" s="63" t="str">
        <f t="shared" ca="1" si="5"/>
        <v/>
      </c>
      <c r="Q22" s="47" t="str">
        <f t="shared" ca="1" si="6"/>
        <v/>
      </c>
      <c r="R22" s="47" t="str">
        <f t="shared" ca="1" si="7"/>
        <v/>
      </c>
      <c r="S22" s="47" t="str">
        <f t="shared" ca="1" si="8"/>
        <v/>
      </c>
      <c r="T22" s="47" t="str">
        <f t="shared" ca="1" si="9"/>
        <v/>
      </c>
      <c r="U22" s="75" t="str">
        <f t="shared" ca="1" si="10"/>
        <v/>
      </c>
      <c r="V22" s="75" t="str">
        <f t="shared" ca="1" si="11"/>
        <v/>
      </c>
      <c r="W22" s="47" t="str">
        <f t="shared" ca="1" si="12"/>
        <v/>
      </c>
      <c r="X22" s="47" t="str">
        <f t="shared" ca="1" si="13"/>
        <v/>
      </c>
      <c r="Y22" s="47" t="str">
        <f t="shared" ca="1" si="14"/>
        <v/>
      </c>
      <c r="Z22" s="47" t="str">
        <f t="shared" ca="1" si="15"/>
        <v/>
      </c>
      <c r="AA22" s="47" t="str">
        <f t="shared" ca="1" si="16"/>
        <v/>
      </c>
      <c r="AB22" s="47" t="str">
        <f t="shared" ca="1" si="17"/>
        <v/>
      </c>
      <c r="AC22" s="63" t="str">
        <f t="shared" ca="1" si="18"/>
        <v/>
      </c>
      <c r="AD22" s="63" t="str">
        <f t="shared" ca="1" si="19"/>
        <v/>
      </c>
      <c r="AE22" s="63" t="str">
        <f t="shared" ca="1" si="20"/>
        <v/>
      </c>
      <c r="AF22" s="63" t="str">
        <f t="shared" ca="1" si="21"/>
        <v/>
      </c>
      <c r="AG22" s="63" t="str">
        <f t="shared" ca="1" si="22"/>
        <v/>
      </c>
      <c r="AH22" s="63" t="str">
        <f t="shared" ca="1" si="23"/>
        <v/>
      </c>
      <c r="AI22" s="63" t="str">
        <f t="shared" ca="1" si="24"/>
        <v/>
      </c>
      <c r="AJ22" s="47" t="str">
        <f t="shared" ca="1" si="25"/>
        <v/>
      </c>
      <c r="AK22" s="47" t="str">
        <f t="shared" ca="1" si="26"/>
        <v/>
      </c>
      <c r="AL22" s="47" t="str">
        <f t="shared" ca="1" si="27"/>
        <v/>
      </c>
      <c r="AM22" s="47" t="str">
        <f t="shared" ca="1" si="28"/>
        <v/>
      </c>
      <c r="AN22" s="47" t="str">
        <f t="shared" ca="1" si="29"/>
        <v/>
      </c>
      <c r="AO22" s="47" t="str">
        <f t="shared" ca="1" si="30"/>
        <v/>
      </c>
      <c r="AP22" s="47" t="str">
        <f t="shared" ca="1" si="31"/>
        <v/>
      </c>
      <c r="AQ22" s="47" t="str">
        <f t="shared" ca="1" si="32"/>
        <v/>
      </c>
      <c r="AR22" s="47" t="str">
        <f t="shared" ca="1" si="33"/>
        <v/>
      </c>
      <c r="AS22" s="33" t="str">
        <f t="shared" ca="1" si="34"/>
        <v/>
      </c>
      <c r="AW22" s="2">
        <v>28</v>
      </c>
      <c r="AX22" s="2" t="s">
        <v>266</v>
      </c>
      <c r="AY22" s="130">
        <v>34.4</v>
      </c>
      <c r="AZ22" s="2">
        <v>18.5</v>
      </c>
      <c r="BA22" s="2">
        <v>23</v>
      </c>
      <c r="BB22" s="2">
        <v>76</v>
      </c>
      <c r="BC22" s="2">
        <v>4</v>
      </c>
      <c r="BD22" s="2">
        <v>4.4000000000000004</v>
      </c>
      <c r="BE22" s="2">
        <v>4.5999999999999996</v>
      </c>
      <c r="BF22" s="2">
        <v>4.7</v>
      </c>
      <c r="BG22" s="2">
        <v>5</v>
      </c>
      <c r="BH22" s="2">
        <v>6.6</v>
      </c>
      <c r="BI22" s="2">
        <v>75</v>
      </c>
      <c r="BJ22" s="2">
        <v>180</v>
      </c>
      <c r="BK22" s="2">
        <v>228</v>
      </c>
      <c r="BL22" s="2">
        <v>280</v>
      </c>
      <c r="BM22" s="2">
        <v>413</v>
      </c>
      <c r="BN22" s="2"/>
      <c r="BO22" s="2"/>
      <c r="BP22" s="2"/>
      <c r="BQ22" s="2"/>
      <c r="BR22" s="2"/>
      <c r="BS22" s="2"/>
      <c r="BT22" s="2">
        <v>28</v>
      </c>
      <c r="BU22" s="2">
        <v>147</v>
      </c>
      <c r="BV22" s="2">
        <v>230</v>
      </c>
      <c r="BW22" s="2">
        <v>314</v>
      </c>
      <c r="BX22" s="2">
        <v>503</v>
      </c>
      <c r="BY22" s="2">
        <v>17.100000000000001</v>
      </c>
      <c r="BZ22" s="2">
        <v>4.7</v>
      </c>
      <c r="CA22" s="2">
        <v>1.9</v>
      </c>
      <c r="CB22" s="2">
        <v>7.3422510131543203E-11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31</v>
      </c>
      <c r="AX23" s="2" t="s">
        <v>266</v>
      </c>
      <c r="AY23" s="130">
        <v>34.4</v>
      </c>
      <c r="AZ23" s="2">
        <v>18.5</v>
      </c>
      <c r="BA23" s="2">
        <v>23</v>
      </c>
      <c r="BB23" s="2">
        <v>76</v>
      </c>
      <c r="BC23" s="2">
        <v>4</v>
      </c>
      <c r="BD23" s="2">
        <v>4.5999999999999996</v>
      </c>
      <c r="BE23" s="2">
        <v>4.8</v>
      </c>
      <c r="BF23" s="2">
        <v>4.9000000000000004</v>
      </c>
      <c r="BG23" s="2">
        <v>5.2</v>
      </c>
      <c r="BH23" s="2">
        <v>6.8</v>
      </c>
      <c r="BI23" s="2">
        <v>86</v>
      </c>
      <c r="BJ23" s="2">
        <v>190</v>
      </c>
      <c r="BK23" s="2">
        <v>238</v>
      </c>
      <c r="BL23" s="2">
        <v>290</v>
      </c>
      <c r="BM23" s="2">
        <v>424</v>
      </c>
      <c r="BN23" s="2"/>
      <c r="BO23" s="2"/>
      <c r="BP23" s="2"/>
      <c r="BQ23" s="2"/>
      <c r="BR23" s="2"/>
      <c r="BS23" s="2"/>
      <c r="BT23" s="2">
        <v>42</v>
      </c>
      <c r="BU23" s="2">
        <v>162</v>
      </c>
      <c r="BV23" s="2">
        <v>244</v>
      </c>
      <c r="BW23" s="2">
        <v>328</v>
      </c>
      <c r="BX23" s="2">
        <v>518</v>
      </c>
      <c r="BY23" s="2">
        <v>17.100000000000001</v>
      </c>
      <c r="BZ23" s="2">
        <v>4.7</v>
      </c>
      <c r="CA23" s="2">
        <v>1.9</v>
      </c>
      <c r="CB23" s="2">
        <v>7.3422510131543203E-11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31</v>
      </c>
      <c r="AX24" s="2" t="s">
        <v>305</v>
      </c>
      <c r="AY24" s="130">
        <v>28.5</v>
      </c>
      <c r="AZ24" s="2">
        <v>19.3</v>
      </c>
      <c r="BA24" s="2">
        <v>16</v>
      </c>
      <c r="BB24" s="2">
        <v>49</v>
      </c>
      <c r="BC24" s="2">
        <v>5</v>
      </c>
      <c r="BD24" s="2">
        <v>1.1000000000000001</v>
      </c>
      <c r="BE24" s="2">
        <v>6.4</v>
      </c>
      <c r="BF24" s="2">
        <v>7.4</v>
      </c>
      <c r="BG24" s="2">
        <v>8.6</v>
      </c>
      <c r="BH24" s="2">
        <v>15.4</v>
      </c>
      <c r="BI24" s="2">
        <v>43</v>
      </c>
      <c r="BJ24" s="2">
        <v>309</v>
      </c>
      <c r="BK24" s="2">
        <v>379</v>
      </c>
      <c r="BL24" s="2">
        <v>460</v>
      </c>
      <c r="BM24" s="2">
        <v>846</v>
      </c>
      <c r="BN24" s="2"/>
      <c r="BO24" s="2"/>
      <c r="BP24" s="2"/>
      <c r="BQ24" s="2"/>
      <c r="BR24" s="2"/>
      <c r="BS24" s="2"/>
      <c r="BT24" s="2">
        <v>31</v>
      </c>
      <c r="BU24" s="2">
        <v>303</v>
      </c>
      <c r="BV24" s="2">
        <v>420</v>
      </c>
      <c r="BW24" s="2">
        <v>548</v>
      </c>
      <c r="BX24" s="2">
        <v>1144</v>
      </c>
      <c r="BY24" s="2">
        <v>62</v>
      </c>
      <c r="BZ24" s="2">
        <v>15.1</v>
      </c>
      <c r="CA24" s="2">
        <v>3</v>
      </c>
      <c r="CB24" s="2">
        <v>7.7280538382082604E-9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35</v>
      </c>
      <c r="AX25" s="2" t="s">
        <v>305</v>
      </c>
      <c r="AY25" s="130">
        <v>28.5</v>
      </c>
      <c r="AZ25" s="2">
        <v>19.3</v>
      </c>
      <c r="BA25" s="2">
        <v>16</v>
      </c>
      <c r="BB25" s="2">
        <v>49</v>
      </c>
      <c r="BC25" s="2">
        <v>5</v>
      </c>
      <c r="BD25" s="2">
        <v>15.7</v>
      </c>
      <c r="BE25" s="2">
        <v>21.1</v>
      </c>
      <c r="BF25" s="2">
        <v>22.1</v>
      </c>
      <c r="BG25" s="2">
        <v>23.3</v>
      </c>
      <c r="BH25" s="2">
        <v>30.1</v>
      </c>
      <c r="BI25" s="2">
        <v>853</v>
      </c>
      <c r="BJ25" s="2">
        <v>1119</v>
      </c>
      <c r="BK25" s="2">
        <v>1189</v>
      </c>
      <c r="BL25" s="2">
        <v>1269</v>
      </c>
      <c r="BM25" s="2">
        <v>1655</v>
      </c>
      <c r="BN25" s="2"/>
      <c r="BO25" s="2"/>
      <c r="BP25" s="2"/>
      <c r="BQ25" s="2"/>
      <c r="BR25" s="2"/>
      <c r="BS25" s="2"/>
      <c r="BT25" s="2">
        <v>1313</v>
      </c>
      <c r="BU25" s="2">
        <v>1586</v>
      </c>
      <c r="BV25" s="2">
        <v>1702</v>
      </c>
      <c r="BW25" s="2">
        <v>1830</v>
      </c>
      <c r="BX25" s="2">
        <v>2426</v>
      </c>
      <c r="BY25" s="2">
        <v>62</v>
      </c>
      <c r="BZ25" s="2">
        <v>15.1</v>
      </c>
      <c r="CA25" s="2">
        <v>3</v>
      </c>
      <c r="CB25" s="2">
        <v>7.7280538382082604E-9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35</v>
      </c>
      <c r="AX26" s="2" t="s">
        <v>305</v>
      </c>
      <c r="AY26" s="130">
        <v>28.5</v>
      </c>
      <c r="AZ26" s="2">
        <v>19.3</v>
      </c>
      <c r="BA26" s="2">
        <v>16</v>
      </c>
      <c r="BB26" s="2">
        <v>49</v>
      </c>
      <c r="BC26" s="2">
        <v>5</v>
      </c>
      <c r="BD26" s="2">
        <v>1.3</v>
      </c>
      <c r="BE26" s="2">
        <v>15.3</v>
      </c>
      <c r="BF26" s="2">
        <v>19.8</v>
      </c>
      <c r="BG26" s="2">
        <v>46.6</v>
      </c>
      <c r="BH26" s="2">
        <v>129.5</v>
      </c>
      <c r="BI26" s="2">
        <v>897</v>
      </c>
      <c r="BJ26" s="2">
        <v>1009</v>
      </c>
      <c r="BK26" s="2">
        <v>1061</v>
      </c>
      <c r="BL26" s="2">
        <v>1114</v>
      </c>
      <c r="BM26" s="2">
        <v>1226</v>
      </c>
      <c r="BN26" s="2"/>
      <c r="BO26" s="2"/>
      <c r="BP26" s="2"/>
      <c r="BQ26" s="2"/>
      <c r="BR26" s="2"/>
      <c r="BS26" s="2"/>
      <c r="BT26" s="2">
        <v>1207</v>
      </c>
      <c r="BU26" s="2">
        <v>1380</v>
      </c>
      <c r="BV26" s="2">
        <v>1467</v>
      </c>
      <c r="BW26" s="2">
        <v>1554</v>
      </c>
      <c r="BX26" s="2">
        <v>1727</v>
      </c>
      <c r="BY26" s="2">
        <v>89.9</v>
      </c>
      <c r="BZ26" s="2">
        <v>16.3</v>
      </c>
      <c r="CA26" s="2">
        <v>3</v>
      </c>
      <c r="CB26" s="2">
        <v>9.4313042561350206E-11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55.4</v>
      </c>
      <c r="AX27" s="2" t="s">
        <v>305</v>
      </c>
      <c r="AY27" s="130">
        <v>28.5</v>
      </c>
      <c r="AZ27" s="2">
        <v>19.3</v>
      </c>
      <c r="BA27" s="2">
        <v>16</v>
      </c>
      <c r="BB27" s="2">
        <v>49</v>
      </c>
      <c r="BC27" s="2">
        <v>5</v>
      </c>
      <c r="BD27" s="2">
        <v>8.6</v>
      </c>
      <c r="BE27" s="2">
        <v>22.7</v>
      </c>
      <c r="BF27" s="2">
        <v>27.2</v>
      </c>
      <c r="BG27" s="2">
        <v>53.9</v>
      </c>
      <c r="BH27" s="2">
        <v>136.9</v>
      </c>
      <c r="BI27" s="2">
        <v>1286</v>
      </c>
      <c r="BJ27" s="2">
        <v>1397</v>
      </c>
      <c r="BK27" s="2">
        <v>1449</v>
      </c>
      <c r="BL27" s="2">
        <v>1502</v>
      </c>
      <c r="BM27" s="2">
        <v>1614</v>
      </c>
      <c r="BN27" s="2"/>
      <c r="BO27" s="2"/>
      <c r="BP27" s="2"/>
      <c r="BQ27" s="2"/>
      <c r="BR27" s="2"/>
      <c r="BS27" s="2"/>
      <c r="BT27" s="2">
        <v>1923</v>
      </c>
      <c r="BU27" s="2">
        <v>2096</v>
      </c>
      <c r="BV27" s="2">
        <v>2183</v>
      </c>
      <c r="BW27" s="2">
        <v>2270</v>
      </c>
      <c r="BX27" s="2">
        <v>2443</v>
      </c>
      <c r="BY27" s="2">
        <v>89.9</v>
      </c>
      <c r="BZ27" s="2">
        <v>16.3</v>
      </c>
      <c r="CA27" s="2">
        <v>3</v>
      </c>
      <c r="CB27" s="2">
        <v>9.4313042561350206E-11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55.4</v>
      </c>
      <c r="AX28" s="2" t="s">
        <v>271</v>
      </c>
      <c r="AY28" s="130">
        <v>24.7</v>
      </c>
      <c r="AZ28" s="2">
        <v>19.8</v>
      </c>
      <c r="BA28" s="2"/>
      <c r="BB28" s="2">
        <v>11</v>
      </c>
      <c r="BC28" s="2"/>
      <c r="BD28" s="2">
        <v>2</v>
      </c>
      <c r="BE28" s="2">
        <v>3</v>
      </c>
      <c r="BF28" s="2">
        <v>3.9</v>
      </c>
      <c r="BG28" s="2">
        <v>14.9</v>
      </c>
      <c r="BH28" s="2">
        <v>48.7</v>
      </c>
      <c r="BI28" s="2"/>
      <c r="BJ28" s="2"/>
      <c r="BK28" s="2"/>
      <c r="BL28" s="2"/>
      <c r="BM28" s="2"/>
      <c r="BN28" s="2">
        <v>13</v>
      </c>
      <c r="BO28" s="2">
        <v>24</v>
      </c>
      <c r="BP28" s="2">
        <v>24.5</v>
      </c>
      <c r="BQ28" s="2">
        <v>25</v>
      </c>
      <c r="BR28" s="2">
        <v>27</v>
      </c>
      <c r="BS28" s="2">
        <v>31</v>
      </c>
      <c r="BT28" s="2">
        <v>55</v>
      </c>
      <c r="BU28" s="2">
        <v>103</v>
      </c>
      <c r="BV28" s="2">
        <v>136</v>
      </c>
      <c r="BW28" s="2">
        <v>170</v>
      </c>
      <c r="BX28" s="2">
        <v>254</v>
      </c>
      <c r="BY28" s="2">
        <v>17</v>
      </c>
      <c r="BZ28" s="2">
        <v>1</v>
      </c>
      <c r="CA28" s="2">
        <v>0.5</v>
      </c>
      <c r="CB28" s="2">
        <v>3.2925576833942501E-14</v>
      </c>
      <c r="CC28" s="2"/>
    </row>
    <row r="29" spans="1:81" x14ac:dyDescent="0.25">
      <c r="A29" s="66"/>
      <c r="B29" s="66"/>
      <c r="C29" s="67"/>
      <c r="D29" s="35"/>
      <c r="AW29" s="2">
        <v>66.400000000000006</v>
      </c>
      <c r="AX29" s="2" t="s">
        <v>271</v>
      </c>
      <c r="AY29" s="130">
        <v>24.7</v>
      </c>
      <c r="AZ29" s="2">
        <v>19.8</v>
      </c>
      <c r="BA29" s="2"/>
      <c r="BB29" s="2">
        <v>11</v>
      </c>
      <c r="BC29" s="2"/>
      <c r="BD29" s="2">
        <v>2.7</v>
      </c>
      <c r="BE29" s="2">
        <v>3</v>
      </c>
      <c r="BF29" s="2">
        <v>4.5999999999999996</v>
      </c>
      <c r="BG29" s="2">
        <v>15.6</v>
      </c>
      <c r="BH29" s="2">
        <v>49.4</v>
      </c>
      <c r="BI29" s="2"/>
      <c r="BJ29" s="2"/>
      <c r="BK29" s="2"/>
      <c r="BL29" s="2"/>
      <c r="BM29" s="2"/>
      <c r="BN29" s="2">
        <v>13</v>
      </c>
      <c r="BO29" s="2">
        <v>24</v>
      </c>
      <c r="BP29" s="2">
        <v>24.5</v>
      </c>
      <c r="BQ29" s="2">
        <v>25</v>
      </c>
      <c r="BR29" s="2">
        <v>27</v>
      </c>
      <c r="BS29" s="2">
        <v>31</v>
      </c>
      <c r="BT29" s="2">
        <v>70</v>
      </c>
      <c r="BU29" s="2">
        <v>118</v>
      </c>
      <c r="BV29" s="2">
        <v>151</v>
      </c>
      <c r="BW29" s="2">
        <v>185</v>
      </c>
      <c r="BX29" s="2">
        <v>268</v>
      </c>
      <c r="BY29" s="2">
        <v>17</v>
      </c>
      <c r="BZ29" s="2">
        <v>1</v>
      </c>
      <c r="CA29" s="2">
        <v>0.5</v>
      </c>
      <c r="CB29" s="2">
        <v>3.2925576833942501E-14</v>
      </c>
      <c r="CC29" s="2"/>
    </row>
    <row r="30" spans="1:81" x14ac:dyDescent="0.25">
      <c r="A30" s="66"/>
      <c r="B30" s="66"/>
      <c r="C30" s="67"/>
      <c r="D30" s="35"/>
      <c r="AW30" s="2">
        <v>66.400000000000006</v>
      </c>
      <c r="AX30" s="2" t="s">
        <v>273</v>
      </c>
      <c r="AY30" s="130">
        <v>32</v>
      </c>
      <c r="AZ30" s="2">
        <v>18.899999999999999</v>
      </c>
      <c r="BA30" s="2">
        <v>47</v>
      </c>
      <c r="BB30" s="2">
        <v>85</v>
      </c>
      <c r="BC30" s="2">
        <v>3</v>
      </c>
      <c r="BD30" s="2">
        <v>2.4</v>
      </c>
      <c r="BE30" s="2">
        <v>10.5</v>
      </c>
      <c r="BF30" s="2">
        <v>11.9</v>
      </c>
      <c r="BG30" s="2">
        <v>26.9</v>
      </c>
      <c r="BH30" s="2">
        <v>73.3</v>
      </c>
      <c r="BI30" s="2">
        <v>402</v>
      </c>
      <c r="BJ30" s="2">
        <v>488</v>
      </c>
      <c r="BK30" s="2">
        <v>531</v>
      </c>
      <c r="BL30" s="2">
        <v>575</v>
      </c>
      <c r="BM30" s="2">
        <v>661</v>
      </c>
      <c r="BN30" s="2"/>
      <c r="BO30" s="2"/>
      <c r="BP30" s="2"/>
      <c r="BQ30" s="2"/>
      <c r="BR30" s="2"/>
      <c r="BS30" s="2"/>
      <c r="BT30" s="2">
        <v>504</v>
      </c>
      <c r="BU30" s="2">
        <v>676</v>
      </c>
      <c r="BV30" s="2">
        <v>763</v>
      </c>
      <c r="BW30" s="2">
        <v>850</v>
      </c>
      <c r="BX30" s="2">
        <v>1022</v>
      </c>
      <c r="BY30" s="2">
        <v>45.8</v>
      </c>
      <c r="BZ30" s="2">
        <v>5</v>
      </c>
      <c r="CA30" s="2">
        <v>1.8</v>
      </c>
      <c r="CB30" s="2">
        <v>3.8547270158295397E-12</v>
      </c>
      <c r="CC30" s="2">
        <v>1.8</v>
      </c>
    </row>
    <row r="31" spans="1:81" x14ac:dyDescent="0.25">
      <c r="A31" s="66"/>
      <c r="B31" s="66"/>
      <c r="C31" s="67"/>
      <c r="D31" s="35"/>
      <c r="AW31" s="2">
        <v>80</v>
      </c>
      <c r="AX31" s="2" t="s">
        <v>273</v>
      </c>
      <c r="AY31" s="130">
        <v>32</v>
      </c>
      <c r="AZ31" s="2">
        <v>18.899999999999999</v>
      </c>
      <c r="BA31" s="2">
        <v>47</v>
      </c>
      <c r="BB31" s="2">
        <v>85</v>
      </c>
      <c r="BC31" s="2">
        <v>3</v>
      </c>
      <c r="BD31" s="2">
        <v>4.0999999999999996</v>
      </c>
      <c r="BE31" s="2">
        <v>12.2</v>
      </c>
      <c r="BF31" s="2">
        <v>13.6</v>
      </c>
      <c r="BG31" s="2">
        <v>28.6</v>
      </c>
      <c r="BH31" s="2">
        <v>75</v>
      </c>
      <c r="BI31" s="2">
        <v>476</v>
      </c>
      <c r="BJ31" s="2">
        <v>562</v>
      </c>
      <c r="BK31" s="2">
        <v>605</v>
      </c>
      <c r="BL31" s="2">
        <v>649</v>
      </c>
      <c r="BM31" s="2">
        <v>735</v>
      </c>
      <c r="BN31" s="2"/>
      <c r="BO31" s="2"/>
      <c r="BP31" s="2"/>
      <c r="BQ31" s="2"/>
      <c r="BR31" s="2"/>
      <c r="BS31" s="2"/>
      <c r="BT31" s="2">
        <v>644</v>
      </c>
      <c r="BU31" s="2">
        <v>816</v>
      </c>
      <c r="BV31" s="2">
        <v>902</v>
      </c>
      <c r="BW31" s="2">
        <v>989</v>
      </c>
      <c r="BX31" s="2">
        <v>1161</v>
      </c>
      <c r="BY31" s="2">
        <v>45.8</v>
      </c>
      <c r="BZ31" s="2">
        <v>5</v>
      </c>
      <c r="CA31" s="2">
        <v>1.8</v>
      </c>
      <c r="CB31" s="2">
        <v>3.8547270158295397E-12</v>
      </c>
      <c r="CC31" s="2">
        <v>1.8</v>
      </c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/>
      <c r="AX34" s="2"/>
      <c r="AY34" s="130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/>
      <c r="AX35" s="2"/>
      <c r="AY35" s="130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/>
      <c r="AX36" s="2"/>
      <c r="AY36" s="130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/>
      <c r="AX37" s="2"/>
      <c r="AY37" s="130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/>
      <c r="AX38" s="2"/>
      <c r="AY38" s="130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/>
      <c r="AX39" s="2"/>
      <c r="AY39" s="130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024" priority="12">
      <formula>$L32="API sand"</formula>
    </cfRule>
  </conditionalFormatting>
  <conditionalFormatting sqref="R32:S36 AB32:AB35 AJ32:AL36 Z32:Z36 N32:N36">
    <cfRule type="expression" dxfId="2023" priority="11">
      <formula>$M32="API sand"</formula>
    </cfRule>
  </conditionalFormatting>
  <conditionalFormatting sqref="R32:T36 Z32:AB35 AK32:AL36 N32:N36">
    <cfRule type="expression" dxfId="2022" priority="10">
      <formula>$M32="API clay"</formula>
    </cfRule>
  </conditionalFormatting>
  <conditionalFormatting sqref="U32:W36 AM32:AP36 N32:P36">
    <cfRule type="expression" dxfId="2021" priority="7">
      <formula>$L32="Stiff clay w/o free water"</formula>
    </cfRule>
    <cfRule type="expression" dxfId="2020" priority="9">
      <formula>$L32="API clay"</formula>
    </cfRule>
  </conditionalFormatting>
  <conditionalFormatting sqref="U32:Y36 AM32:AP36 N32:P36">
    <cfRule type="expression" dxfId="2019" priority="8">
      <formula>$L32="Kirsch soft clay"</formula>
    </cfRule>
  </conditionalFormatting>
  <conditionalFormatting sqref="U32:Y36 AM32:AP36 N32:P36">
    <cfRule type="expression" dxfId="2018" priority="6">
      <formula>$L32="Kirsch stiff clay"</formula>
    </cfRule>
  </conditionalFormatting>
  <conditionalFormatting sqref="AM32:AP36 Q32:Q36 X32:Y36 N32:N36">
    <cfRule type="expression" dxfId="2017" priority="5">
      <formula>$L32="Kirsch sand"</formula>
    </cfRule>
  </conditionalFormatting>
  <conditionalFormatting sqref="AC32:AD36 AI32:AI36 AM32:AP36 N32:N36">
    <cfRule type="expression" dxfId="2016" priority="4">
      <formula>$L32="Modified Weak rock"</formula>
    </cfRule>
  </conditionalFormatting>
  <conditionalFormatting sqref="AM32:AP36 N32:P36 U32:V36">
    <cfRule type="expression" dxfId="2015" priority="3">
      <formula>$L32="Reese stiff clay"</formula>
    </cfRule>
  </conditionalFormatting>
  <conditionalFormatting sqref="AB36">
    <cfRule type="expression" dxfId="2014" priority="2">
      <formula>$M36="API sand"</formula>
    </cfRule>
  </conditionalFormatting>
  <conditionalFormatting sqref="Z36:AB36">
    <cfRule type="expression" dxfId="2013" priority="1">
      <formula>$M36="API clay"</formula>
    </cfRule>
  </conditionalFormatting>
  <conditionalFormatting sqref="AE37:AH37">
    <cfRule type="expression" dxfId="2012" priority="13">
      <formula>#REF!="Modified Weak rock"</formula>
    </cfRule>
  </conditionalFormatting>
  <dataValidations count="4">
    <dataValidation type="list" showInputMessage="1" showErrorMessage="1" sqref="M32:M36" xr:uid="{8857520C-4AA2-4EFE-9BD5-C36F0304626F}">
      <formula1>"',API sand,API clay"</formula1>
    </dataValidation>
    <dataValidation type="list" showInputMessage="1" showErrorMessage="1" sqref="L32:L255" xr:uid="{B168F2E3-EE20-4E2D-B026-EBD994C06CCB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5E4814BD-39BA-4072-BAC1-6585E78A00EC}"/>
    <dataValidation type="textLength" showInputMessage="1" showErrorMessage="1" sqref="M27:M31" xr:uid="{EB043AE8-D4FE-402C-B086-489F48725F51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DBAEF-FFE2-4404-BB10-309DE30E75E9}">
  <sheetPr>
    <tabColor rgb="FF7030A0"/>
  </sheetPr>
  <dimension ref="A1:CC255"/>
  <sheetViews>
    <sheetView zoomScale="85" zoomScaleNormal="85" workbookViewId="0">
      <selection activeCell="B11" sqref="B11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Ak_Pisa_WTG71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32"/>
      <c r="R3" s="155"/>
      <c r="S3" s="155"/>
      <c r="T3" s="132"/>
      <c r="U3" s="155"/>
      <c r="V3" s="155"/>
      <c r="W3" s="132"/>
      <c r="X3" s="69"/>
      <c r="Y3" s="132"/>
      <c r="Z3" s="132"/>
      <c r="AA3" s="132"/>
      <c r="AB3" s="132"/>
      <c r="AC3" s="69"/>
      <c r="AD3" s="39"/>
      <c r="AE3" s="39"/>
      <c r="AF3" s="39"/>
      <c r="AG3" s="39"/>
      <c r="AH3" s="39"/>
      <c r="AI3" s="39"/>
      <c r="AJ3" s="132"/>
      <c r="AK3" s="132"/>
      <c r="AL3" s="132"/>
      <c r="AM3" s="132"/>
      <c r="AN3" s="132"/>
      <c r="AO3" s="132"/>
      <c r="AP3" s="132"/>
      <c r="AW3" s="35" t="s">
        <v>316</v>
      </c>
    </row>
    <row r="4" spans="1:81" x14ac:dyDescent="0.25">
      <c r="A4" s="40" t="s">
        <v>60</v>
      </c>
      <c r="B4" s="33">
        <f ca="1">COUNTIF(J:J,"&gt;0")</f>
        <v>17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33" t="s">
        <v>38</v>
      </c>
      <c r="K5" s="133" t="s">
        <v>30</v>
      </c>
      <c r="L5" s="133" t="s">
        <v>31</v>
      </c>
      <c r="M5" s="133" t="s">
        <v>31</v>
      </c>
      <c r="N5" s="133" t="s">
        <v>32</v>
      </c>
      <c r="O5" s="133" t="s">
        <v>33</v>
      </c>
      <c r="P5" s="133" t="s">
        <v>35</v>
      </c>
      <c r="Q5" s="133" t="s">
        <v>36</v>
      </c>
      <c r="R5" s="133" t="s">
        <v>36</v>
      </c>
      <c r="S5" s="133" t="s">
        <v>34</v>
      </c>
      <c r="T5" s="133" t="s">
        <v>33</v>
      </c>
      <c r="U5" s="133" t="s">
        <v>34</v>
      </c>
      <c r="V5" s="133" t="s">
        <v>62</v>
      </c>
      <c r="W5" s="133" t="s">
        <v>34</v>
      </c>
      <c r="X5" s="133" t="s">
        <v>33</v>
      </c>
      <c r="Y5" s="133" t="s">
        <v>35</v>
      </c>
      <c r="Z5" s="133" t="s">
        <v>33</v>
      </c>
      <c r="AA5" s="133" t="s">
        <v>34</v>
      </c>
      <c r="AB5" s="133" t="s">
        <v>33</v>
      </c>
      <c r="AC5" s="133" t="s">
        <v>33</v>
      </c>
      <c r="AD5" s="133" t="s">
        <v>35</v>
      </c>
      <c r="AE5" s="133" t="s">
        <v>34</v>
      </c>
      <c r="AF5" s="133" t="s">
        <v>33</v>
      </c>
      <c r="AG5" s="133" t="s">
        <v>35</v>
      </c>
      <c r="AH5" s="133" t="s">
        <v>34</v>
      </c>
      <c r="AI5" s="133" t="s">
        <v>34</v>
      </c>
      <c r="AJ5" s="133" t="s">
        <v>34</v>
      </c>
      <c r="AK5" s="133" t="s">
        <v>34</v>
      </c>
      <c r="AL5" s="133" t="s">
        <v>34</v>
      </c>
      <c r="AM5" s="133" t="s">
        <v>34</v>
      </c>
      <c r="AN5" s="133" t="s">
        <v>34</v>
      </c>
      <c r="AO5" s="133" t="s">
        <v>34</v>
      </c>
      <c r="AP5" s="133" t="s">
        <v>34</v>
      </c>
      <c r="AQ5" s="133" t="s">
        <v>103</v>
      </c>
      <c r="AR5" s="133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EW_sand_Ruled_59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t="shared" ref="O6:O26" ca="1" si="4">IF(I6="","",IF(OFFSET($BJ$6,(ROW()-6)*2,0)=0,0,OFFSET($BJ$6,(ROW()-6)*2,0)))</f>
        <v>0</v>
      </c>
      <c r="P6" s="63">
        <f t="shared" ref="P6:P26" ca="1" si="5">IF(I6="","",IF(OFFSET($BJ$6,(ROW()-6)*2,0)=0,0,(OFFSET($BJ$6,(ROW()-6)*2+1,0)-OFFSET($BJ$6,(ROW()-6)*2,0))/(OFFSET($AW$6,(ROW()-6)*2+1,0)-OFFSET($AW$6,(ROW()-6)*2,0))))</f>
        <v>0</v>
      </c>
      <c r="Q6" s="47">
        <f t="shared" ref="Q6:Q27" ca="1" si="6">IF(I6="","",IF(OFFSET($BP$6,(ROW()-6)*2,0)=0,0,OFFSET($BP$6,(ROW()-6)*2,0)))</f>
        <v>30</v>
      </c>
      <c r="R6" s="47">
        <f t="shared" ref="R6:R26" ca="1" si="7">IF(I6="","",IF(Q6&lt;&gt;0,Q6-5,NA()))</f>
        <v>25</v>
      </c>
      <c r="S6" s="47">
        <f t="shared" ref="S6:S26" ca="1" si="8">IF(I6="","",IF(OFFSET($CA$6,(ROW()-6)*2,0)=0,0,OFFSET($CA$6,(ROW()-6)*2,0)))</f>
        <v>0.5</v>
      </c>
      <c r="T6" s="47">
        <f t="shared" ref="T6:T26" ca="1" si="9">IF(I6="","",0)</f>
        <v>0</v>
      </c>
      <c r="U6" s="75">
        <f t="shared" ref="U6:U26" ca="1" si="10">IF(I6="","",IF(EXACT(L6,"Cowden Clay"),0.018,0))</f>
        <v>0</v>
      </c>
      <c r="V6" s="75">
        <f t="shared" ref="V6:V26" ca="1" si="11">IF(I6="","",0)</f>
        <v>0</v>
      </c>
      <c r="W6" s="47">
        <f t="shared" ref="W6:W26" ca="1" si="12">IF(I6="","",IF(AND(O6&lt;&gt;0,O6&lt;250),0.5,IF(AND(O6&lt;&gt;0,O6&gt;=250),0.25,0)))</f>
        <v>0</v>
      </c>
      <c r="X6" s="47">
        <f t="shared" ref="X6:X25" ca="1" si="13">IF(I6="","",IF(OFFSET($BY$6,(ROW()-6)*2,0)=0,0,OFFSET($BY$6,(ROW()-6)*2,0)*1000))</f>
        <v>1600</v>
      </c>
      <c r="Y6" s="47">
        <f t="shared" ref="Y6:Y26" ca="1" si="14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5">IF(I6="","",VLOOKUP(R6,$AE$39:$AF$59,2))</f>
        <v>80.999999999999972</v>
      </c>
      <c r="AA6" s="47">
        <f t="shared" ref="AA6:AA26" ca="1" si="16">IF(I6="","",1)</f>
        <v>1</v>
      </c>
      <c r="AB6" s="47">
        <f t="shared" ref="AB6:AB26" ca="1" si="17">IF(I6="","",VLOOKUP(R6,$AE$39:$AG$59,3))</f>
        <v>4800</v>
      </c>
      <c r="AC6" s="63">
        <f t="shared" ref="AC6:AC26" ca="1" si="18">IF(I6="","",IF(OFFSET($BV$6,(ROW()-6)*2,0)=0,0,OFFSET($BV$6,(ROW()-6)*2,0)*1000))</f>
        <v>5000</v>
      </c>
      <c r="AD6" s="63">
        <f t="shared" ref="AD6:AD26" ca="1" si="19">IF(I6="","",IF(OFFSET($BV$6,(ROW()-6)*2,0)=0,0,((OFFSET($BV$6,(ROW()-6)*2+1,0)-OFFSET($BV$6,(ROW()-6)*2,0))/(OFFSET($AW$6,(ROW()-6)*2+1,0)-OFFSET($AW$6,(ROW()-6)*2,0)))*1000))</f>
        <v>20000</v>
      </c>
      <c r="AE6" s="63">
        <f t="shared" ref="AE6:AE26" ca="1" si="20">IF(I6="","",0.3)</f>
        <v>0.3</v>
      </c>
      <c r="AF6" s="63">
        <f t="shared" ref="AF6:AF26" ca="1" si="21">IF(I6="","",0)</f>
        <v>0</v>
      </c>
      <c r="AG6" s="63">
        <f t="shared" ref="AG6:AG26" ca="1" si="22">IF(I6="","",0)</f>
        <v>0</v>
      </c>
      <c r="AH6" s="63">
        <f t="shared" ref="AH6:AH26" ca="1" si="23">IF(I6="","",0)</f>
        <v>0</v>
      </c>
      <c r="AI6" s="63">
        <f t="shared" ref="AI6:AI26" ca="1" si="24">IF(I6="","",0)</f>
        <v>0</v>
      </c>
      <c r="AJ6" s="47">
        <f t="shared" ref="AJ6:AJ27" ca="1" si="25">IF(I6="","",VLOOKUP(R6,$AE$39:$AH$59,4))</f>
        <v>20.000000000000007</v>
      </c>
      <c r="AK6" s="47">
        <f t="shared" ref="AK6:AK27" ca="1" si="26">IF(I6="","",1)</f>
        <v>1</v>
      </c>
      <c r="AL6" s="47">
        <f t="shared" ref="AL6:AL25" ca="1" si="27">IF(I6="","",1)</f>
        <v>1</v>
      </c>
      <c r="AM6" s="47">
        <f t="shared" ref="AM6:AM26" ca="1" si="28">IF(I6="","",1)</f>
        <v>1</v>
      </c>
      <c r="AN6" s="47">
        <f t="shared" ref="AN6:AN27" ca="1" si="29">IF(I6="","",1)</f>
        <v>1</v>
      </c>
      <c r="AO6" s="47">
        <f t="shared" ref="AO6:AO27" ca="1" si="30">IF(I6="","",1)</f>
        <v>1</v>
      </c>
      <c r="AP6" s="47">
        <f t="shared" ref="AP6:AP26" ca="1" si="31">IF(I6="","",1)</f>
        <v>1</v>
      </c>
      <c r="AQ6" s="47">
        <f t="shared" ref="AQ6:AQ28" ca="1" si="32">IF(I6="","",0)</f>
        <v>0</v>
      </c>
      <c r="AR6" s="47">
        <f t="shared" ref="AR6:AR27" ca="1" si="33">IF(I6="","",IF(OFFSET($BN$6,(ROW()-6)*2,0)=0,0,OFFSET($BN$6,(ROW()-6)*2,0)))</f>
        <v>59</v>
      </c>
      <c r="AS6" s="33">
        <f t="shared" ref="AS6:AS26" ca="1" si="34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</v>
      </c>
      <c r="BF6" s="2">
        <v>0.2</v>
      </c>
      <c r="BG6" s="2">
        <v>0.5</v>
      </c>
      <c r="BH6" s="2">
        <v>1</v>
      </c>
      <c r="BI6" s="2"/>
      <c r="BJ6" s="2"/>
      <c r="BK6" s="2"/>
      <c r="BL6" s="2"/>
      <c r="BM6" s="2"/>
      <c r="BN6" s="2">
        <v>59</v>
      </c>
      <c r="BO6" s="2">
        <v>20</v>
      </c>
      <c r="BP6" s="2">
        <v>30</v>
      </c>
      <c r="BQ6" s="2">
        <v>33</v>
      </c>
      <c r="BR6" s="2">
        <v>36</v>
      </c>
      <c r="BS6" s="2">
        <v>47</v>
      </c>
      <c r="BT6" s="2">
        <v>0</v>
      </c>
      <c r="BU6" s="2">
        <v>2</v>
      </c>
      <c r="BV6" s="2">
        <v>5</v>
      </c>
      <c r="BW6" s="2">
        <v>7</v>
      </c>
      <c r="BX6" s="2">
        <v>13</v>
      </c>
      <c r="BY6" s="2">
        <v>1.6</v>
      </c>
      <c r="BZ6" s="2">
        <v>1</v>
      </c>
      <c r="CA6" s="2">
        <v>0.5</v>
      </c>
      <c r="CB6" s="2">
        <v>3.3144871447352502E-4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5">IF(I7&lt;&gt;"",J6+1,"")</f>
        <v>2</v>
      </c>
      <c r="K7" s="19">
        <f t="shared" ref="K7:K20" ca="1" si="36">IF(OFFSET($AW$6,(ROW()-6)*2,0)=0,"",-OFFSET($AW$6,(ROW()-6)*2,0))</f>
        <v>-0.5</v>
      </c>
      <c r="L7" s="116" t="str">
        <f t="shared" ca="1" si="1"/>
        <v>EW_sand_Ruled_100</v>
      </c>
      <c r="M7" s="105" t="str">
        <f t="shared" ca="1" si="2"/>
        <v>API sand</v>
      </c>
      <c r="N7" s="47">
        <f t="shared" ca="1" si="3"/>
        <v>9.6999999999999993</v>
      </c>
      <c r="O7" s="63">
        <f t="shared" ca="1" si="4"/>
        <v>0</v>
      </c>
      <c r="P7" s="63">
        <f t="shared" ca="1" si="5"/>
        <v>0</v>
      </c>
      <c r="Q7" s="47">
        <f t="shared" ca="1" si="6"/>
        <v>43</v>
      </c>
      <c r="R7" s="47">
        <f t="shared" ca="1" si="7"/>
        <v>38</v>
      </c>
      <c r="S7" s="47">
        <f t="shared" ca="1" si="8"/>
        <v>0.5</v>
      </c>
      <c r="T7" s="47">
        <f t="shared" ca="1" si="9"/>
        <v>0</v>
      </c>
      <c r="U7" s="75">
        <f t="shared" ca="1" si="10"/>
        <v>0</v>
      </c>
      <c r="V7" s="75">
        <f t="shared" ca="1" si="11"/>
        <v>0</v>
      </c>
      <c r="W7" s="47">
        <f t="shared" ca="1" si="12"/>
        <v>0</v>
      </c>
      <c r="X7" s="47">
        <f t="shared" ca="1" si="13"/>
        <v>48500</v>
      </c>
      <c r="Y7" s="47">
        <f t="shared" ca="1" si="14"/>
        <v>0</v>
      </c>
      <c r="Z7" s="47">
        <f t="shared" ca="1" si="15"/>
        <v>114.99999999999996</v>
      </c>
      <c r="AA7" s="47">
        <f t="shared" ca="1" si="16"/>
        <v>1</v>
      </c>
      <c r="AB7" s="47">
        <f t="shared" ca="1" si="17"/>
        <v>12000</v>
      </c>
      <c r="AC7" s="63">
        <f t="shared" ca="1" si="18"/>
        <v>35000</v>
      </c>
      <c r="AD7" s="63">
        <f t="shared" ca="1" si="19"/>
        <v>13000</v>
      </c>
      <c r="AE7" s="63">
        <f t="shared" ca="1" si="20"/>
        <v>0.3</v>
      </c>
      <c r="AF7" s="63">
        <f t="shared" ca="1" si="21"/>
        <v>0</v>
      </c>
      <c r="AG7" s="63">
        <f t="shared" ca="1" si="22"/>
        <v>0</v>
      </c>
      <c r="AH7" s="63">
        <f t="shared" ca="1" si="23"/>
        <v>0</v>
      </c>
      <c r="AI7" s="63">
        <f t="shared" ca="1" si="24"/>
        <v>0</v>
      </c>
      <c r="AJ7" s="47">
        <f t="shared" ca="1" si="25"/>
        <v>50.000000000000007</v>
      </c>
      <c r="AK7" s="47">
        <f t="shared" ca="1" si="26"/>
        <v>1</v>
      </c>
      <c r="AL7" s="47">
        <f t="shared" ca="1" si="27"/>
        <v>1</v>
      </c>
      <c r="AM7" s="47">
        <f t="shared" ca="1" si="28"/>
        <v>1</v>
      </c>
      <c r="AN7" s="47">
        <f t="shared" ca="1" si="29"/>
        <v>1</v>
      </c>
      <c r="AO7" s="47">
        <f t="shared" ca="1" si="30"/>
        <v>1</v>
      </c>
      <c r="AP7" s="47">
        <f t="shared" ca="1" si="31"/>
        <v>1</v>
      </c>
      <c r="AQ7" s="47">
        <f t="shared" ca="1" si="32"/>
        <v>0</v>
      </c>
      <c r="AR7" s="47">
        <f t="shared" ca="1" si="33"/>
        <v>100</v>
      </c>
      <c r="AS7" s="33">
        <f t="shared" ca="1" si="34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0.2</v>
      </c>
      <c r="BE7" s="2">
        <v>0.6</v>
      </c>
      <c r="BF7" s="2">
        <v>0.8</v>
      </c>
      <c r="BG7" s="2">
        <v>1</v>
      </c>
      <c r="BH7" s="2">
        <v>1.6</v>
      </c>
      <c r="BI7" s="2"/>
      <c r="BJ7" s="2"/>
      <c r="BK7" s="2"/>
      <c r="BL7" s="2"/>
      <c r="BM7" s="2"/>
      <c r="BN7" s="2">
        <v>59</v>
      </c>
      <c r="BO7" s="2">
        <v>20</v>
      </c>
      <c r="BP7" s="2">
        <v>30</v>
      </c>
      <c r="BQ7" s="2">
        <v>33</v>
      </c>
      <c r="BR7" s="2">
        <v>36</v>
      </c>
      <c r="BS7" s="2">
        <v>47</v>
      </c>
      <c r="BT7" s="2">
        <v>6</v>
      </c>
      <c r="BU7" s="2">
        <v>12</v>
      </c>
      <c r="BV7" s="2">
        <v>15</v>
      </c>
      <c r="BW7" s="2">
        <v>18</v>
      </c>
      <c r="BX7" s="2">
        <v>23</v>
      </c>
      <c r="BY7" s="2">
        <v>1.6</v>
      </c>
      <c r="BZ7" s="2">
        <v>1</v>
      </c>
      <c r="CA7" s="2">
        <v>0.5</v>
      </c>
      <c r="CB7" s="2">
        <v>3.3144871447352502E-4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01a</v>
      </c>
      <c r="J8" s="47">
        <f t="shared" ca="1" si="35"/>
        <v>3</v>
      </c>
      <c r="K8" s="19">
        <f t="shared" ca="1" si="36"/>
        <v>-1.5</v>
      </c>
      <c r="L8" s="116" t="str">
        <f t="shared" ca="1" si="1"/>
        <v>EW_sand_Ruled_100</v>
      </c>
      <c r="M8" s="105" t="str">
        <f t="shared" ca="1" si="2"/>
        <v>API sand</v>
      </c>
      <c r="N8" s="47">
        <f t="shared" ca="1" si="3"/>
        <v>9.6999999999999993</v>
      </c>
      <c r="O8" s="63">
        <f t="shared" ca="1" si="4"/>
        <v>0</v>
      </c>
      <c r="P8" s="63">
        <f t="shared" ca="1" si="5"/>
        <v>0</v>
      </c>
      <c r="Q8" s="47">
        <f t="shared" ca="1" si="6"/>
        <v>43</v>
      </c>
      <c r="R8" s="47">
        <f t="shared" ca="1" si="7"/>
        <v>38</v>
      </c>
      <c r="S8" s="47">
        <f t="shared" ca="1" si="8"/>
        <v>0.5</v>
      </c>
      <c r="T8" s="47">
        <f t="shared" ca="1" si="9"/>
        <v>0</v>
      </c>
      <c r="U8" s="75">
        <f t="shared" ca="1" si="10"/>
        <v>0</v>
      </c>
      <c r="V8" s="75">
        <f t="shared" ca="1" si="11"/>
        <v>0</v>
      </c>
      <c r="W8" s="47">
        <f t="shared" ca="1" si="12"/>
        <v>0</v>
      </c>
      <c r="X8" s="47">
        <f t="shared" ca="1" si="13"/>
        <v>57100</v>
      </c>
      <c r="Y8" s="47">
        <f t="shared" ca="1" si="14"/>
        <v>0</v>
      </c>
      <c r="Z8" s="47">
        <f t="shared" ca="1" si="15"/>
        <v>114.99999999999996</v>
      </c>
      <c r="AA8" s="47">
        <f t="shared" ca="1" si="16"/>
        <v>1</v>
      </c>
      <c r="AB8" s="47">
        <f t="shared" ca="1" si="17"/>
        <v>12000</v>
      </c>
      <c r="AC8" s="63">
        <f t="shared" ca="1" si="18"/>
        <v>57000</v>
      </c>
      <c r="AD8" s="63">
        <f t="shared" ca="1" si="19"/>
        <v>0</v>
      </c>
      <c r="AE8" s="63">
        <f t="shared" ca="1" si="20"/>
        <v>0.3</v>
      </c>
      <c r="AF8" s="63">
        <f t="shared" ca="1" si="21"/>
        <v>0</v>
      </c>
      <c r="AG8" s="63">
        <f t="shared" ca="1" si="22"/>
        <v>0</v>
      </c>
      <c r="AH8" s="63">
        <f t="shared" ca="1" si="23"/>
        <v>0</v>
      </c>
      <c r="AI8" s="63">
        <f t="shared" ca="1" si="24"/>
        <v>0</v>
      </c>
      <c r="AJ8" s="47">
        <f t="shared" ca="1" si="25"/>
        <v>50.000000000000007</v>
      </c>
      <c r="AK8" s="47">
        <f t="shared" ca="1" si="26"/>
        <v>1</v>
      </c>
      <c r="AL8" s="47">
        <f t="shared" ca="1" si="27"/>
        <v>1</v>
      </c>
      <c r="AM8" s="47">
        <f t="shared" ca="1" si="28"/>
        <v>1</v>
      </c>
      <c r="AN8" s="47">
        <f t="shared" ca="1" si="29"/>
        <v>1</v>
      </c>
      <c r="AO8" s="47">
        <f t="shared" ca="1" si="30"/>
        <v>1</v>
      </c>
      <c r="AP8" s="47">
        <f t="shared" ca="1" si="31"/>
        <v>1</v>
      </c>
      <c r="AQ8" s="47">
        <f t="shared" ca="1" si="32"/>
        <v>0</v>
      </c>
      <c r="AR8" s="47">
        <f t="shared" ca="1" si="33"/>
        <v>100</v>
      </c>
      <c r="AS8" s="33">
        <f t="shared" ca="1" si="34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8.8000000000000007</v>
      </c>
      <c r="BE8" s="2">
        <v>9.9</v>
      </c>
      <c r="BF8" s="2">
        <v>10.3</v>
      </c>
      <c r="BG8" s="2">
        <v>10.7</v>
      </c>
      <c r="BH8" s="2">
        <v>11.6</v>
      </c>
      <c r="BI8" s="2"/>
      <c r="BJ8" s="2"/>
      <c r="BK8" s="2"/>
      <c r="BL8" s="2"/>
      <c r="BM8" s="2"/>
      <c r="BN8" s="2">
        <v>100</v>
      </c>
      <c r="BO8" s="2">
        <v>37</v>
      </c>
      <c r="BP8" s="2">
        <v>43</v>
      </c>
      <c r="BQ8" s="2">
        <v>47</v>
      </c>
      <c r="BR8" s="2">
        <v>50</v>
      </c>
      <c r="BS8" s="2">
        <v>54</v>
      </c>
      <c r="BT8" s="2">
        <v>1</v>
      </c>
      <c r="BU8" s="2">
        <v>25</v>
      </c>
      <c r="BV8" s="2">
        <v>35</v>
      </c>
      <c r="BW8" s="2">
        <v>45</v>
      </c>
      <c r="BX8" s="2">
        <v>69</v>
      </c>
      <c r="BY8" s="2">
        <v>48.5</v>
      </c>
      <c r="BZ8" s="2">
        <v>1</v>
      </c>
      <c r="CA8" s="2">
        <v>0.5</v>
      </c>
      <c r="CB8" s="2">
        <v>3.3144871447352502E-4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10a</v>
      </c>
      <c r="J9" s="47">
        <f t="shared" ca="1" si="35"/>
        <v>4</v>
      </c>
      <c r="K9" s="19">
        <f t="shared" ca="1" si="36"/>
        <v>-2.5</v>
      </c>
      <c r="L9" s="116" t="str">
        <f t="shared" ca="1" si="1"/>
        <v>EW_sand_Ruled_68</v>
      </c>
      <c r="M9" s="105" t="str">
        <f t="shared" ca="1" si="2"/>
        <v>API sand</v>
      </c>
      <c r="N9" s="47">
        <f t="shared" ca="1" si="3"/>
        <v>10</v>
      </c>
      <c r="O9" s="63">
        <f t="shared" ca="1" si="4"/>
        <v>0</v>
      </c>
      <c r="P9" s="63">
        <f t="shared" ca="1" si="5"/>
        <v>0</v>
      </c>
      <c r="Q9" s="47">
        <f t="shared" ca="1" si="6"/>
        <v>39</v>
      </c>
      <c r="R9" s="47">
        <f t="shared" ca="1" si="7"/>
        <v>34</v>
      </c>
      <c r="S9" s="47">
        <f t="shared" ca="1" si="8"/>
        <v>1.5</v>
      </c>
      <c r="T9" s="47">
        <f t="shared" ca="1" si="9"/>
        <v>0</v>
      </c>
      <c r="U9" s="75">
        <f t="shared" ca="1" si="10"/>
        <v>0</v>
      </c>
      <c r="V9" s="75">
        <f t="shared" ca="1" si="11"/>
        <v>0</v>
      </c>
      <c r="W9" s="47">
        <f t="shared" ca="1" si="12"/>
        <v>0</v>
      </c>
      <c r="X9" s="47">
        <f t="shared" ca="1" si="13"/>
        <v>43000</v>
      </c>
      <c r="Y9" s="47">
        <f t="shared" ca="1" si="14"/>
        <v>0</v>
      </c>
      <c r="Z9" s="47">
        <f t="shared" ca="1" si="15"/>
        <v>111.19999999999996</v>
      </c>
      <c r="AA9" s="47">
        <f t="shared" ca="1" si="16"/>
        <v>1</v>
      </c>
      <c r="AB9" s="47">
        <f t="shared" ca="1" si="17"/>
        <v>11520</v>
      </c>
      <c r="AC9" s="63">
        <f t="shared" ca="1" si="18"/>
        <v>57000</v>
      </c>
      <c r="AD9" s="63">
        <f t="shared" ca="1" si="19"/>
        <v>5428.5714285714284</v>
      </c>
      <c r="AE9" s="63">
        <f t="shared" ca="1" si="20"/>
        <v>0.3</v>
      </c>
      <c r="AF9" s="63">
        <f t="shared" ca="1" si="21"/>
        <v>0</v>
      </c>
      <c r="AG9" s="63">
        <f t="shared" ca="1" si="22"/>
        <v>0</v>
      </c>
      <c r="AH9" s="63">
        <f t="shared" ca="1" si="23"/>
        <v>0</v>
      </c>
      <c r="AI9" s="63">
        <f t="shared" ca="1" si="24"/>
        <v>0</v>
      </c>
      <c r="AJ9" s="47">
        <f t="shared" ca="1" si="25"/>
        <v>48.000000000000007</v>
      </c>
      <c r="AK9" s="47">
        <f t="shared" ca="1" si="26"/>
        <v>1</v>
      </c>
      <c r="AL9" s="47">
        <f t="shared" ca="1" si="27"/>
        <v>1</v>
      </c>
      <c r="AM9" s="47">
        <f t="shared" ca="1" si="28"/>
        <v>1</v>
      </c>
      <c r="AN9" s="47">
        <f t="shared" ca="1" si="29"/>
        <v>1</v>
      </c>
      <c r="AO9" s="47">
        <f t="shared" ca="1" si="30"/>
        <v>1</v>
      </c>
      <c r="AP9" s="47">
        <f t="shared" ca="1" si="31"/>
        <v>1</v>
      </c>
      <c r="AQ9" s="47">
        <f t="shared" ca="1" si="32"/>
        <v>0</v>
      </c>
      <c r="AR9" s="47">
        <f t="shared" ca="1" si="33"/>
        <v>68</v>
      </c>
      <c r="AS9" s="33">
        <f t="shared" ca="1" si="34"/>
        <v>0.4</v>
      </c>
      <c r="AW9" s="2">
        <v>1.5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15.8</v>
      </c>
      <c r="BE9" s="2">
        <v>16.899999999999999</v>
      </c>
      <c r="BF9" s="2">
        <v>17.399999999999999</v>
      </c>
      <c r="BG9" s="2">
        <v>17.7</v>
      </c>
      <c r="BH9" s="2">
        <v>18.600000000000001</v>
      </c>
      <c r="BI9" s="2"/>
      <c r="BJ9" s="2"/>
      <c r="BK9" s="2"/>
      <c r="BL9" s="2"/>
      <c r="BM9" s="2"/>
      <c r="BN9" s="2">
        <v>100</v>
      </c>
      <c r="BO9" s="2">
        <v>37</v>
      </c>
      <c r="BP9" s="2">
        <v>43</v>
      </c>
      <c r="BQ9" s="2">
        <v>47</v>
      </c>
      <c r="BR9" s="2">
        <v>50</v>
      </c>
      <c r="BS9" s="2">
        <v>54</v>
      </c>
      <c r="BT9" s="2">
        <v>14</v>
      </c>
      <c r="BU9" s="2">
        <v>38</v>
      </c>
      <c r="BV9" s="2">
        <v>48</v>
      </c>
      <c r="BW9" s="2">
        <v>58</v>
      </c>
      <c r="BX9" s="2">
        <v>81</v>
      </c>
      <c r="BY9" s="2">
        <v>48.5</v>
      </c>
      <c r="BZ9" s="2">
        <v>1</v>
      </c>
      <c r="CA9" s="2">
        <v>0.5</v>
      </c>
      <c r="CB9" s="2">
        <v>3.3144871447352502E-4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10b</v>
      </c>
      <c r="J10" s="47">
        <f t="shared" ca="1" si="35"/>
        <v>5</v>
      </c>
      <c r="K10" s="19">
        <f t="shared" ca="1" si="36"/>
        <v>-6</v>
      </c>
      <c r="L10" s="116" t="str">
        <f t="shared" ca="1" si="1"/>
        <v>EW_sand_Ruled_73</v>
      </c>
      <c r="M10" s="105" t="str">
        <f t="shared" ca="1" si="2"/>
        <v>API sand</v>
      </c>
      <c r="N10" s="47">
        <f t="shared" ca="1" si="3"/>
        <v>9.8999999999999986</v>
      </c>
      <c r="O10" s="63">
        <f t="shared" ca="1" si="4"/>
        <v>0</v>
      </c>
      <c r="P10" s="63">
        <f t="shared" ca="1" si="5"/>
        <v>0</v>
      </c>
      <c r="Q10" s="47">
        <f t="shared" ca="1" si="6"/>
        <v>40</v>
      </c>
      <c r="R10" s="47">
        <f t="shared" ca="1" si="7"/>
        <v>35</v>
      </c>
      <c r="S10" s="47">
        <f t="shared" ca="1" si="8"/>
        <v>1.4</v>
      </c>
      <c r="T10" s="47">
        <f t="shared" ca="1" si="9"/>
        <v>0</v>
      </c>
      <c r="U10" s="75">
        <f t="shared" ca="1" si="10"/>
        <v>0</v>
      </c>
      <c r="V10" s="75">
        <f t="shared" ca="1" si="11"/>
        <v>0</v>
      </c>
      <c r="W10" s="47">
        <f t="shared" ca="1" si="12"/>
        <v>0</v>
      </c>
      <c r="X10" s="47">
        <f t="shared" ca="1" si="13"/>
        <v>63900</v>
      </c>
      <c r="Y10" s="47">
        <f t="shared" ca="1" si="14"/>
        <v>0</v>
      </c>
      <c r="Z10" s="47">
        <f t="shared" ca="1" si="15"/>
        <v>114.99999999999996</v>
      </c>
      <c r="AA10" s="47">
        <f t="shared" ca="1" si="16"/>
        <v>1</v>
      </c>
      <c r="AB10" s="47">
        <f t="shared" ca="1" si="17"/>
        <v>12000</v>
      </c>
      <c r="AC10" s="63">
        <f t="shared" ca="1" si="18"/>
        <v>82000</v>
      </c>
      <c r="AD10" s="63">
        <f t="shared" ca="1" si="19"/>
        <v>10666.666666666666</v>
      </c>
      <c r="AE10" s="63">
        <f t="shared" ca="1" si="20"/>
        <v>0.3</v>
      </c>
      <c r="AF10" s="63">
        <f t="shared" ca="1" si="21"/>
        <v>0</v>
      </c>
      <c r="AG10" s="63">
        <f t="shared" ca="1" si="22"/>
        <v>0</v>
      </c>
      <c r="AH10" s="63">
        <f t="shared" ca="1" si="23"/>
        <v>0</v>
      </c>
      <c r="AI10" s="63">
        <f t="shared" ca="1" si="24"/>
        <v>0</v>
      </c>
      <c r="AJ10" s="47">
        <f t="shared" ca="1" si="25"/>
        <v>50.000000000000007</v>
      </c>
      <c r="AK10" s="47">
        <f t="shared" ca="1" si="26"/>
        <v>1</v>
      </c>
      <c r="AL10" s="47">
        <f t="shared" ca="1" si="27"/>
        <v>1</v>
      </c>
      <c r="AM10" s="47">
        <f t="shared" ca="1" si="28"/>
        <v>1</v>
      </c>
      <c r="AN10" s="47">
        <f t="shared" ca="1" si="29"/>
        <v>1</v>
      </c>
      <c r="AO10" s="47">
        <f t="shared" ca="1" si="30"/>
        <v>1</v>
      </c>
      <c r="AP10" s="47">
        <f t="shared" ca="1" si="31"/>
        <v>1</v>
      </c>
      <c r="AQ10" s="47">
        <f t="shared" ca="1" si="32"/>
        <v>0</v>
      </c>
      <c r="AR10" s="47">
        <f t="shared" ca="1" si="33"/>
        <v>73</v>
      </c>
      <c r="AS10" s="33">
        <f t="shared" ca="1" si="34"/>
        <v>0.4</v>
      </c>
      <c r="AW10" s="2">
        <v>1.5</v>
      </c>
      <c r="AX10" s="2" t="s">
        <v>279</v>
      </c>
      <c r="AY10" s="130">
        <v>25.3</v>
      </c>
      <c r="AZ10" s="2">
        <v>19.7</v>
      </c>
      <c r="BA10" s="2"/>
      <c r="BB10" s="2">
        <v>5</v>
      </c>
      <c r="BC10" s="2"/>
      <c r="BD10" s="2">
        <v>19.2</v>
      </c>
      <c r="BE10" s="2">
        <v>20.2</v>
      </c>
      <c r="BF10" s="2">
        <v>20.6</v>
      </c>
      <c r="BG10" s="2">
        <v>21.2</v>
      </c>
      <c r="BH10" s="2">
        <v>22.6</v>
      </c>
      <c r="BI10" s="2"/>
      <c r="BJ10" s="2"/>
      <c r="BK10" s="2"/>
      <c r="BL10" s="2"/>
      <c r="BM10" s="2"/>
      <c r="BN10" s="2">
        <v>100</v>
      </c>
      <c r="BO10" s="2">
        <v>37</v>
      </c>
      <c r="BP10" s="2">
        <v>43</v>
      </c>
      <c r="BQ10" s="2">
        <v>46</v>
      </c>
      <c r="BR10" s="2">
        <v>50</v>
      </c>
      <c r="BS10" s="2">
        <v>54</v>
      </c>
      <c r="BT10" s="2">
        <v>10</v>
      </c>
      <c r="BU10" s="2">
        <v>43</v>
      </c>
      <c r="BV10" s="2">
        <v>57</v>
      </c>
      <c r="BW10" s="2">
        <v>70</v>
      </c>
      <c r="BX10" s="2">
        <v>103</v>
      </c>
      <c r="BY10" s="2">
        <v>57.1</v>
      </c>
      <c r="BZ10" s="2">
        <v>1</v>
      </c>
      <c r="CA10" s="2">
        <v>0.5</v>
      </c>
      <c r="CB10" s="2">
        <v>1.0985212029580501E-4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10b</v>
      </c>
      <c r="J11" s="47">
        <f t="shared" ca="1" si="35"/>
        <v>6</v>
      </c>
      <c r="K11" s="19">
        <f t="shared" ca="1" si="36"/>
        <v>-7.5</v>
      </c>
      <c r="L11" s="116" t="str">
        <f t="shared" ca="1" si="1"/>
        <v>EW_sand_Ruled_60</v>
      </c>
      <c r="M11" s="105" t="str">
        <f t="shared" ca="1" si="2"/>
        <v>API sand</v>
      </c>
      <c r="N11" s="47">
        <f t="shared" ca="1" si="3"/>
        <v>9.8999999999999986</v>
      </c>
      <c r="O11" s="63">
        <f t="shared" ca="1" si="4"/>
        <v>0</v>
      </c>
      <c r="P11" s="63">
        <f t="shared" ca="1" si="5"/>
        <v>0</v>
      </c>
      <c r="Q11" s="47">
        <f t="shared" ca="1" si="6"/>
        <v>38</v>
      </c>
      <c r="R11" s="47">
        <f t="shared" ca="1" si="7"/>
        <v>33</v>
      </c>
      <c r="S11" s="47">
        <f t="shared" ca="1" si="8"/>
        <v>1</v>
      </c>
      <c r="T11" s="47">
        <f t="shared" ca="1" si="9"/>
        <v>0</v>
      </c>
      <c r="U11" s="75">
        <f t="shared" ca="1" si="10"/>
        <v>0</v>
      </c>
      <c r="V11" s="75">
        <f t="shared" ca="1" si="11"/>
        <v>0</v>
      </c>
      <c r="W11" s="47">
        <f t="shared" ca="1" si="12"/>
        <v>0</v>
      </c>
      <c r="X11" s="47">
        <f t="shared" ca="1" si="13"/>
        <v>45100</v>
      </c>
      <c r="Y11" s="47">
        <f t="shared" ca="1" si="14"/>
        <v>0</v>
      </c>
      <c r="Z11" s="47">
        <f t="shared" ca="1" si="15"/>
        <v>107.39999999999996</v>
      </c>
      <c r="AA11" s="47">
        <f t="shared" ca="1" si="16"/>
        <v>1</v>
      </c>
      <c r="AB11" s="47">
        <f t="shared" ca="1" si="17"/>
        <v>11040</v>
      </c>
      <c r="AC11" s="63">
        <f t="shared" ca="1" si="18"/>
        <v>93000</v>
      </c>
      <c r="AD11" s="63">
        <f t="shared" ca="1" si="19"/>
        <v>-11000</v>
      </c>
      <c r="AE11" s="63">
        <f t="shared" ca="1" si="20"/>
        <v>0.3</v>
      </c>
      <c r="AF11" s="63">
        <f t="shared" ca="1" si="21"/>
        <v>0</v>
      </c>
      <c r="AG11" s="63">
        <f t="shared" ca="1" si="22"/>
        <v>0</v>
      </c>
      <c r="AH11" s="63">
        <f t="shared" ca="1" si="23"/>
        <v>0</v>
      </c>
      <c r="AI11" s="63">
        <f t="shared" ca="1" si="24"/>
        <v>0</v>
      </c>
      <c r="AJ11" s="47">
        <f t="shared" ca="1" si="25"/>
        <v>46.000000000000007</v>
      </c>
      <c r="AK11" s="47">
        <f t="shared" ca="1" si="26"/>
        <v>1</v>
      </c>
      <c r="AL11" s="47">
        <f t="shared" ca="1" si="27"/>
        <v>1</v>
      </c>
      <c r="AM11" s="47">
        <f t="shared" ca="1" si="28"/>
        <v>1</v>
      </c>
      <c r="AN11" s="47">
        <f t="shared" ca="1" si="29"/>
        <v>1</v>
      </c>
      <c r="AO11" s="47">
        <f t="shared" ca="1" si="30"/>
        <v>1</v>
      </c>
      <c r="AP11" s="47">
        <f t="shared" ca="1" si="31"/>
        <v>1</v>
      </c>
      <c r="AQ11" s="47">
        <f t="shared" ca="1" si="32"/>
        <v>0</v>
      </c>
      <c r="AR11" s="47">
        <f t="shared" ca="1" si="33"/>
        <v>60</v>
      </c>
      <c r="AS11" s="33">
        <f t="shared" ca="1" si="34"/>
        <v>0.4</v>
      </c>
      <c r="AW11" s="2">
        <v>2.5</v>
      </c>
      <c r="AX11" s="2" t="s">
        <v>279</v>
      </c>
      <c r="AY11" s="130">
        <v>25.3</v>
      </c>
      <c r="AZ11" s="2">
        <v>19.7</v>
      </c>
      <c r="BA11" s="2"/>
      <c r="BB11" s="2">
        <v>5</v>
      </c>
      <c r="BC11" s="2"/>
      <c r="BD11" s="2">
        <v>12.9</v>
      </c>
      <c r="BE11" s="2">
        <v>13.9</v>
      </c>
      <c r="BF11" s="2">
        <v>14.3</v>
      </c>
      <c r="BG11" s="2">
        <v>14.9</v>
      </c>
      <c r="BH11" s="2">
        <v>16.3</v>
      </c>
      <c r="BI11" s="2"/>
      <c r="BJ11" s="2"/>
      <c r="BK11" s="2"/>
      <c r="BL11" s="2"/>
      <c r="BM11" s="2"/>
      <c r="BN11" s="2">
        <v>100</v>
      </c>
      <c r="BO11" s="2">
        <v>37</v>
      </c>
      <c r="BP11" s="2">
        <v>43</v>
      </c>
      <c r="BQ11" s="2">
        <v>46</v>
      </c>
      <c r="BR11" s="2">
        <v>50</v>
      </c>
      <c r="BS11" s="2">
        <v>54</v>
      </c>
      <c r="BT11" s="2">
        <v>11</v>
      </c>
      <c r="BU11" s="2">
        <v>44</v>
      </c>
      <c r="BV11" s="2">
        <v>57</v>
      </c>
      <c r="BW11" s="2">
        <v>71</v>
      </c>
      <c r="BX11" s="2">
        <v>104</v>
      </c>
      <c r="BY11" s="2">
        <v>57.1</v>
      </c>
      <c r="BZ11" s="2">
        <v>1</v>
      </c>
      <c r="CA11" s="2">
        <v>0.5</v>
      </c>
      <c r="CB11" s="2">
        <v>1.0985212029580501E-4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10b</v>
      </c>
      <c r="J12" s="47">
        <f t="shared" ca="1" si="35"/>
        <v>7</v>
      </c>
      <c r="K12" s="19">
        <f t="shared" ca="1" si="36"/>
        <v>-8.5</v>
      </c>
      <c r="L12" s="116" t="str">
        <f t="shared" ca="1" si="1"/>
        <v>EW_sand_Ruled_54</v>
      </c>
      <c r="M12" s="105" t="str">
        <f t="shared" ca="1" si="2"/>
        <v>API sand</v>
      </c>
      <c r="N12" s="47">
        <f t="shared" ca="1" si="3"/>
        <v>9.8999999999999986</v>
      </c>
      <c r="O12" s="63">
        <f t="shared" ca="1" si="4"/>
        <v>0</v>
      </c>
      <c r="P12" s="63">
        <f t="shared" ca="1" si="5"/>
        <v>0</v>
      </c>
      <c r="Q12" s="47">
        <f t="shared" ca="1" si="6"/>
        <v>37</v>
      </c>
      <c r="R12" s="47">
        <f t="shared" ca="1" si="7"/>
        <v>32</v>
      </c>
      <c r="S12" s="47">
        <f t="shared" ca="1" si="8"/>
        <v>0.9</v>
      </c>
      <c r="T12" s="47">
        <f t="shared" ca="1" si="9"/>
        <v>0</v>
      </c>
      <c r="U12" s="75">
        <f t="shared" ca="1" si="10"/>
        <v>0</v>
      </c>
      <c r="V12" s="75">
        <f t="shared" ca="1" si="11"/>
        <v>0</v>
      </c>
      <c r="W12" s="47">
        <f t="shared" ca="1" si="12"/>
        <v>0</v>
      </c>
      <c r="X12" s="47">
        <f t="shared" ca="1" si="13"/>
        <v>39700</v>
      </c>
      <c r="Y12" s="47">
        <f t="shared" ca="1" si="14"/>
        <v>0</v>
      </c>
      <c r="Z12" s="47">
        <f t="shared" ca="1" si="15"/>
        <v>103.59999999999997</v>
      </c>
      <c r="AA12" s="47">
        <f t="shared" ca="1" si="16"/>
        <v>1</v>
      </c>
      <c r="AB12" s="47">
        <f t="shared" ca="1" si="17"/>
        <v>10560</v>
      </c>
      <c r="AC12" s="63">
        <f t="shared" ca="1" si="18"/>
        <v>86000</v>
      </c>
      <c r="AD12" s="63">
        <f t="shared" ca="1" si="19"/>
        <v>3714.2857142857142</v>
      </c>
      <c r="AE12" s="63">
        <f t="shared" ca="1" si="20"/>
        <v>0.3</v>
      </c>
      <c r="AF12" s="63">
        <f t="shared" ca="1" si="21"/>
        <v>0</v>
      </c>
      <c r="AG12" s="63">
        <f t="shared" ca="1" si="22"/>
        <v>0</v>
      </c>
      <c r="AH12" s="63">
        <f t="shared" ca="1" si="23"/>
        <v>0</v>
      </c>
      <c r="AI12" s="63">
        <f t="shared" ca="1" si="24"/>
        <v>0</v>
      </c>
      <c r="AJ12" s="47">
        <f t="shared" ca="1" si="25"/>
        <v>44.000000000000007</v>
      </c>
      <c r="AK12" s="47">
        <f t="shared" ca="1" si="26"/>
        <v>1</v>
      </c>
      <c r="AL12" s="47">
        <f t="shared" ca="1" si="27"/>
        <v>1</v>
      </c>
      <c r="AM12" s="47">
        <f t="shared" ca="1" si="28"/>
        <v>1</v>
      </c>
      <c r="AN12" s="47">
        <f t="shared" ca="1" si="29"/>
        <v>1</v>
      </c>
      <c r="AO12" s="47">
        <f t="shared" ca="1" si="30"/>
        <v>1</v>
      </c>
      <c r="AP12" s="47">
        <f t="shared" ca="1" si="31"/>
        <v>1</v>
      </c>
      <c r="AQ12" s="47">
        <f t="shared" ca="1" si="32"/>
        <v>0</v>
      </c>
      <c r="AR12" s="47">
        <f t="shared" ca="1" si="33"/>
        <v>54</v>
      </c>
      <c r="AS12" s="33">
        <f t="shared" ca="1" si="34"/>
        <v>0.4</v>
      </c>
      <c r="AW12" s="2">
        <v>2.5</v>
      </c>
      <c r="AX12" s="2" t="s">
        <v>259</v>
      </c>
      <c r="AY12" s="130">
        <v>25.5</v>
      </c>
      <c r="AZ12" s="2">
        <v>20</v>
      </c>
      <c r="BA12" s="2"/>
      <c r="BB12" s="2">
        <v>14</v>
      </c>
      <c r="BC12" s="2"/>
      <c r="BD12" s="2">
        <v>9.1999999999999993</v>
      </c>
      <c r="BE12" s="2">
        <v>10.3</v>
      </c>
      <c r="BF12" s="2">
        <v>10.6</v>
      </c>
      <c r="BG12" s="2">
        <v>10.8</v>
      </c>
      <c r="BH12" s="2">
        <v>12</v>
      </c>
      <c r="BI12" s="2"/>
      <c r="BJ12" s="2"/>
      <c r="BK12" s="2"/>
      <c r="BL12" s="2"/>
      <c r="BM12" s="2"/>
      <c r="BN12" s="2">
        <v>68</v>
      </c>
      <c r="BO12" s="2">
        <v>33</v>
      </c>
      <c r="BP12" s="2">
        <v>39</v>
      </c>
      <c r="BQ12" s="2">
        <v>42</v>
      </c>
      <c r="BR12" s="2">
        <v>45</v>
      </c>
      <c r="BS12" s="2">
        <v>51</v>
      </c>
      <c r="BT12" s="2">
        <v>2</v>
      </c>
      <c r="BU12" s="2">
        <v>41</v>
      </c>
      <c r="BV12" s="2">
        <v>57</v>
      </c>
      <c r="BW12" s="2">
        <v>74</v>
      </c>
      <c r="BX12" s="2">
        <v>113</v>
      </c>
      <c r="BY12" s="2">
        <v>43</v>
      </c>
      <c r="BZ12" s="2">
        <v>6</v>
      </c>
      <c r="CA12" s="2">
        <v>1.5</v>
      </c>
      <c r="CB12" s="2">
        <v>6.0303916186630199E-6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10b</v>
      </c>
      <c r="J13" s="47">
        <f t="shared" ca="1" si="35"/>
        <v>8</v>
      </c>
      <c r="K13" s="19">
        <f t="shared" ca="1" si="36"/>
        <v>-12</v>
      </c>
      <c r="L13" s="116" t="str">
        <f t="shared" ca="1" si="1"/>
        <v>EW_sand_Ruled_76</v>
      </c>
      <c r="M13" s="105" t="str">
        <f t="shared" ca="1" si="2"/>
        <v>API sand</v>
      </c>
      <c r="N13" s="47">
        <f t="shared" ca="1" si="3"/>
        <v>9.8999999999999986</v>
      </c>
      <c r="O13" s="63">
        <f t="shared" ca="1" si="4"/>
        <v>0</v>
      </c>
      <c r="P13" s="63">
        <f t="shared" ca="1" si="5"/>
        <v>0</v>
      </c>
      <c r="Q13" s="47">
        <f t="shared" ca="1" si="6"/>
        <v>40</v>
      </c>
      <c r="R13" s="47">
        <f t="shared" ca="1" si="7"/>
        <v>35</v>
      </c>
      <c r="S13" s="47">
        <f t="shared" ca="1" si="8"/>
        <v>1.1000000000000001</v>
      </c>
      <c r="T13" s="47">
        <f t="shared" ca="1" si="9"/>
        <v>0</v>
      </c>
      <c r="U13" s="75">
        <f t="shared" ca="1" si="10"/>
        <v>0</v>
      </c>
      <c r="V13" s="75">
        <f t="shared" ca="1" si="11"/>
        <v>0</v>
      </c>
      <c r="W13" s="47">
        <f t="shared" ca="1" si="12"/>
        <v>0</v>
      </c>
      <c r="X13" s="47">
        <f t="shared" ca="1" si="13"/>
        <v>85200</v>
      </c>
      <c r="Y13" s="47">
        <f t="shared" ca="1" si="14"/>
        <v>0</v>
      </c>
      <c r="Z13" s="47">
        <f t="shared" ca="1" si="15"/>
        <v>114.99999999999996</v>
      </c>
      <c r="AA13" s="47">
        <f t="shared" ca="1" si="16"/>
        <v>1</v>
      </c>
      <c r="AB13" s="47">
        <f t="shared" ca="1" si="17"/>
        <v>12000</v>
      </c>
      <c r="AC13" s="63">
        <f t="shared" ca="1" si="18"/>
        <v>118000</v>
      </c>
      <c r="AD13" s="63">
        <f t="shared" ca="1" si="19"/>
        <v>5333.333333333333</v>
      </c>
      <c r="AE13" s="63">
        <f t="shared" ca="1" si="20"/>
        <v>0.3</v>
      </c>
      <c r="AF13" s="63">
        <f t="shared" ca="1" si="21"/>
        <v>0</v>
      </c>
      <c r="AG13" s="63">
        <f t="shared" ca="1" si="22"/>
        <v>0</v>
      </c>
      <c r="AH13" s="63">
        <f t="shared" ca="1" si="23"/>
        <v>0</v>
      </c>
      <c r="AI13" s="63">
        <f t="shared" ca="1" si="24"/>
        <v>0</v>
      </c>
      <c r="AJ13" s="47">
        <f t="shared" ca="1" si="25"/>
        <v>50.000000000000007</v>
      </c>
      <c r="AK13" s="47">
        <f t="shared" ca="1" si="26"/>
        <v>1</v>
      </c>
      <c r="AL13" s="47">
        <f t="shared" ca="1" si="27"/>
        <v>1</v>
      </c>
      <c r="AM13" s="47">
        <f t="shared" ca="1" si="28"/>
        <v>1</v>
      </c>
      <c r="AN13" s="47">
        <f t="shared" ca="1" si="29"/>
        <v>1</v>
      </c>
      <c r="AO13" s="47">
        <f t="shared" ca="1" si="30"/>
        <v>1</v>
      </c>
      <c r="AP13" s="47">
        <f t="shared" ca="1" si="31"/>
        <v>1</v>
      </c>
      <c r="AQ13" s="47">
        <f t="shared" ca="1" si="32"/>
        <v>0</v>
      </c>
      <c r="AR13" s="47">
        <f t="shared" ca="1" si="33"/>
        <v>76</v>
      </c>
      <c r="AS13" s="33">
        <f t="shared" ca="1" si="34"/>
        <v>0.4</v>
      </c>
      <c r="AW13" s="2">
        <v>6</v>
      </c>
      <c r="AX13" s="2" t="s">
        <v>259</v>
      </c>
      <c r="AY13" s="130">
        <v>25.5</v>
      </c>
      <c r="AZ13" s="2">
        <v>20</v>
      </c>
      <c r="BA13" s="2"/>
      <c r="BB13" s="2">
        <v>14</v>
      </c>
      <c r="BC13" s="2"/>
      <c r="BD13" s="2">
        <v>9.4</v>
      </c>
      <c r="BE13" s="2">
        <v>10.6</v>
      </c>
      <c r="BF13" s="2">
        <v>10.8</v>
      </c>
      <c r="BG13" s="2">
        <v>11.1</v>
      </c>
      <c r="BH13" s="2">
        <v>12.3</v>
      </c>
      <c r="BI13" s="2"/>
      <c r="BJ13" s="2"/>
      <c r="BK13" s="2"/>
      <c r="BL13" s="2"/>
      <c r="BM13" s="2"/>
      <c r="BN13" s="2">
        <v>68</v>
      </c>
      <c r="BO13" s="2">
        <v>33</v>
      </c>
      <c r="BP13" s="2">
        <v>39</v>
      </c>
      <c r="BQ13" s="2">
        <v>42</v>
      </c>
      <c r="BR13" s="2">
        <v>45</v>
      </c>
      <c r="BS13" s="2">
        <v>51</v>
      </c>
      <c r="BT13" s="2">
        <v>21</v>
      </c>
      <c r="BU13" s="2">
        <v>60</v>
      </c>
      <c r="BV13" s="2">
        <v>76</v>
      </c>
      <c r="BW13" s="2">
        <v>92</v>
      </c>
      <c r="BX13" s="2">
        <v>131</v>
      </c>
      <c r="BY13" s="2">
        <v>43</v>
      </c>
      <c r="BZ13" s="2">
        <v>6</v>
      </c>
      <c r="CA13" s="2">
        <v>1.5</v>
      </c>
      <c r="CB13" s="2">
        <v>6.0303916186630199E-6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14a</v>
      </c>
      <c r="J14" s="47">
        <f t="shared" ca="1" si="35"/>
        <v>9</v>
      </c>
      <c r="K14" s="19">
        <f t="shared" ca="1" si="36"/>
        <v>-13.5</v>
      </c>
      <c r="L14" s="116" t="str">
        <f t="shared" ca="1" si="1"/>
        <v>EW_sand_Ruled_61</v>
      </c>
      <c r="M14" s="105" t="str">
        <f t="shared" ca="1" si="2"/>
        <v>API sand</v>
      </c>
      <c r="N14" s="47">
        <f t="shared" ca="1" si="3"/>
        <v>8.5</v>
      </c>
      <c r="O14" s="63">
        <f t="shared" ca="1" si="4"/>
        <v>0</v>
      </c>
      <c r="P14" s="63">
        <f t="shared" ca="1" si="5"/>
        <v>0</v>
      </c>
      <c r="Q14" s="47">
        <f t="shared" ca="1" si="6"/>
        <v>26</v>
      </c>
      <c r="R14" s="47">
        <f t="shared" ca="1" si="7"/>
        <v>21</v>
      </c>
      <c r="S14" s="47">
        <f t="shared" ca="1" si="8"/>
        <v>0.8</v>
      </c>
      <c r="T14" s="47">
        <f t="shared" ca="1" si="9"/>
        <v>0</v>
      </c>
      <c r="U14" s="75">
        <f t="shared" ca="1" si="10"/>
        <v>0</v>
      </c>
      <c r="V14" s="75">
        <f t="shared" ca="1" si="11"/>
        <v>0</v>
      </c>
      <c r="W14" s="47">
        <f t="shared" ca="1" si="12"/>
        <v>0</v>
      </c>
      <c r="X14" s="47">
        <f t="shared" ca="1" si="13"/>
        <v>14200</v>
      </c>
      <c r="Y14" s="47">
        <f t="shared" ca="1" si="14"/>
        <v>0</v>
      </c>
      <c r="Z14" s="47">
        <f t="shared" ca="1" si="15"/>
        <v>69.799999999999983</v>
      </c>
      <c r="AA14" s="47">
        <f t="shared" ca="1" si="16"/>
        <v>1</v>
      </c>
      <c r="AB14" s="47">
        <f t="shared" ca="1" si="17"/>
        <v>3280</v>
      </c>
      <c r="AC14" s="63">
        <f t="shared" ca="1" si="18"/>
        <v>100000</v>
      </c>
      <c r="AD14" s="63">
        <f t="shared" ca="1" si="19"/>
        <v>1677.4193548387098</v>
      </c>
      <c r="AE14" s="63">
        <f t="shared" ca="1" si="20"/>
        <v>0.3</v>
      </c>
      <c r="AF14" s="63">
        <f t="shared" ca="1" si="21"/>
        <v>0</v>
      </c>
      <c r="AG14" s="63">
        <f t="shared" ca="1" si="22"/>
        <v>0</v>
      </c>
      <c r="AH14" s="63">
        <f t="shared" ca="1" si="23"/>
        <v>0</v>
      </c>
      <c r="AI14" s="63">
        <f t="shared" ca="1" si="24"/>
        <v>0</v>
      </c>
      <c r="AJ14" s="47">
        <f t="shared" ca="1" si="25"/>
        <v>13.600000000000003</v>
      </c>
      <c r="AK14" s="47">
        <f t="shared" ca="1" si="26"/>
        <v>1</v>
      </c>
      <c r="AL14" s="47">
        <f t="shared" ca="1" si="27"/>
        <v>1</v>
      </c>
      <c r="AM14" s="47">
        <f t="shared" ca="1" si="28"/>
        <v>1</v>
      </c>
      <c r="AN14" s="47">
        <f t="shared" ca="1" si="29"/>
        <v>1</v>
      </c>
      <c r="AO14" s="47">
        <f t="shared" ca="1" si="30"/>
        <v>1</v>
      </c>
      <c r="AP14" s="47">
        <f t="shared" ca="1" si="31"/>
        <v>1</v>
      </c>
      <c r="AQ14" s="47">
        <f t="shared" ca="1" si="32"/>
        <v>0</v>
      </c>
      <c r="AR14" s="47">
        <f t="shared" ca="1" si="33"/>
        <v>61</v>
      </c>
      <c r="AS14" s="33">
        <f t="shared" ca="1" si="34"/>
        <v>0.2</v>
      </c>
      <c r="AW14" s="2">
        <v>6</v>
      </c>
      <c r="AX14" s="2" t="s">
        <v>261</v>
      </c>
      <c r="AY14" s="130">
        <v>24</v>
      </c>
      <c r="AZ14" s="2">
        <v>19.899999999999999</v>
      </c>
      <c r="BA14" s="2"/>
      <c r="BB14" s="2">
        <v>6</v>
      </c>
      <c r="BC14" s="2"/>
      <c r="BD14" s="2">
        <v>10.4</v>
      </c>
      <c r="BE14" s="2">
        <v>12.4</v>
      </c>
      <c r="BF14" s="2">
        <v>13</v>
      </c>
      <c r="BG14" s="2">
        <v>13.7</v>
      </c>
      <c r="BH14" s="2">
        <v>15.8</v>
      </c>
      <c r="BI14" s="2"/>
      <c r="BJ14" s="2"/>
      <c r="BK14" s="2"/>
      <c r="BL14" s="2"/>
      <c r="BM14" s="2"/>
      <c r="BN14" s="2">
        <v>73</v>
      </c>
      <c r="BO14" s="2">
        <v>34</v>
      </c>
      <c r="BP14" s="2">
        <v>40</v>
      </c>
      <c r="BQ14" s="2">
        <v>43</v>
      </c>
      <c r="BR14" s="2">
        <v>46</v>
      </c>
      <c r="BS14" s="2">
        <v>52</v>
      </c>
      <c r="BT14" s="2">
        <v>9</v>
      </c>
      <c r="BU14" s="2">
        <v>61</v>
      </c>
      <c r="BV14" s="2">
        <v>82</v>
      </c>
      <c r="BW14" s="2">
        <v>104</v>
      </c>
      <c r="BX14" s="2">
        <v>156</v>
      </c>
      <c r="BY14" s="2">
        <v>63.9</v>
      </c>
      <c r="BZ14" s="2">
        <v>5.4</v>
      </c>
      <c r="CA14" s="2">
        <v>1.4</v>
      </c>
      <c r="CB14" s="2">
        <v>7.9157528998431104E-6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14b</v>
      </c>
      <c r="J15" s="47">
        <f t="shared" ca="1" si="35"/>
        <v>10</v>
      </c>
      <c r="K15" s="19">
        <f t="shared" ca="1" si="36"/>
        <v>-29</v>
      </c>
      <c r="L15" s="116" t="str">
        <f t="shared" ca="1" si="1"/>
        <v>Cowden Clay</v>
      </c>
      <c r="M15" s="105" t="str">
        <f t="shared" ca="1" si="2"/>
        <v>API clay</v>
      </c>
      <c r="N15" s="47">
        <f t="shared" ca="1" si="3"/>
        <v>8.5</v>
      </c>
      <c r="O15" s="63">
        <f t="shared" ca="1" si="4"/>
        <v>181</v>
      </c>
      <c r="P15" s="63">
        <f t="shared" ca="1" si="5"/>
        <v>0.35971223021582738</v>
      </c>
      <c r="Q15" s="47">
        <f t="shared" ca="1" si="6"/>
        <v>0</v>
      </c>
      <c r="R15" s="47" t="e">
        <f t="shared" ca="1" si="7"/>
        <v>#N/A</v>
      </c>
      <c r="S15" s="47">
        <f t="shared" ca="1" si="8"/>
        <v>3</v>
      </c>
      <c r="T15" s="47">
        <f t="shared" ca="1" si="9"/>
        <v>0</v>
      </c>
      <c r="U15" s="75">
        <f t="shared" ca="1" si="10"/>
        <v>1.7999999999999999E-2</v>
      </c>
      <c r="V15" s="75">
        <f t="shared" ca="1" si="11"/>
        <v>0</v>
      </c>
      <c r="W15" s="47">
        <f t="shared" ca="1" si="12"/>
        <v>0.5</v>
      </c>
      <c r="X15" s="47">
        <f t="shared" ca="1" si="13"/>
        <v>19100</v>
      </c>
      <c r="Y15" s="47">
        <f t="shared" ca="1" si="14"/>
        <v>0</v>
      </c>
      <c r="Z15" s="47" t="e">
        <f t="shared" ca="1" si="15"/>
        <v>#N/A</v>
      </c>
      <c r="AA15" s="47">
        <f t="shared" ca="1" si="16"/>
        <v>1</v>
      </c>
      <c r="AB15" s="47" t="e">
        <f t="shared" ca="1" si="17"/>
        <v>#N/A</v>
      </c>
      <c r="AC15" s="63">
        <f t="shared" ca="1" si="18"/>
        <v>235000</v>
      </c>
      <c r="AD15" s="63">
        <f t="shared" ca="1" si="19"/>
        <v>1007.1942446043167</v>
      </c>
      <c r="AE15" s="63">
        <f t="shared" ca="1" si="20"/>
        <v>0.3</v>
      </c>
      <c r="AF15" s="63">
        <f t="shared" ca="1" si="21"/>
        <v>0</v>
      </c>
      <c r="AG15" s="63">
        <f t="shared" ca="1" si="22"/>
        <v>0</v>
      </c>
      <c r="AH15" s="63">
        <f t="shared" ca="1" si="23"/>
        <v>0</v>
      </c>
      <c r="AI15" s="63">
        <f t="shared" ca="1" si="24"/>
        <v>0</v>
      </c>
      <c r="AJ15" s="47" t="e">
        <f t="shared" ca="1" si="25"/>
        <v>#N/A</v>
      </c>
      <c r="AK15" s="47">
        <f t="shared" ca="1" si="26"/>
        <v>1</v>
      </c>
      <c r="AL15" s="47">
        <f t="shared" ca="1" si="27"/>
        <v>1</v>
      </c>
      <c r="AM15" s="47">
        <f t="shared" ca="1" si="28"/>
        <v>1</v>
      </c>
      <c r="AN15" s="47">
        <f t="shared" ca="1" si="29"/>
        <v>1</v>
      </c>
      <c r="AO15" s="47">
        <f t="shared" ca="1" si="30"/>
        <v>1</v>
      </c>
      <c r="AP15" s="47">
        <f t="shared" ca="1" si="31"/>
        <v>1</v>
      </c>
      <c r="AQ15" s="47">
        <f t="shared" ca="1" si="32"/>
        <v>0</v>
      </c>
      <c r="AR15" s="47">
        <f t="shared" ca="1" si="33"/>
        <v>0</v>
      </c>
      <c r="AS15" s="33">
        <f t="shared" ca="1" si="34"/>
        <v>0.4</v>
      </c>
      <c r="AW15" s="2">
        <v>7.5</v>
      </c>
      <c r="AX15" s="2" t="s">
        <v>261</v>
      </c>
      <c r="AY15" s="130">
        <v>24</v>
      </c>
      <c r="AZ15" s="2">
        <v>19.899999999999999</v>
      </c>
      <c r="BA15" s="2"/>
      <c r="BB15" s="2">
        <v>6</v>
      </c>
      <c r="BC15" s="2"/>
      <c r="BD15" s="2">
        <v>18.7</v>
      </c>
      <c r="BE15" s="2">
        <v>20.8</v>
      </c>
      <c r="BF15" s="2">
        <v>21.4</v>
      </c>
      <c r="BG15" s="2">
        <v>22</v>
      </c>
      <c r="BH15" s="2">
        <v>24.1</v>
      </c>
      <c r="BI15" s="2"/>
      <c r="BJ15" s="2"/>
      <c r="BK15" s="2"/>
      <c r="BL15" s="2"/>
      <c r="BM15" s="2"/>
      <c r="BN15" s="2">
        <v>73</v>
      </c>
      <c r="BO15" s="2">
        <v>34</v>
      </c>
      <c r="BP15" s="2">
        <v>40</v>
      </c>
      <c r="BQ15" s="2">
        <v>43</v>
      </c>
      <c r="BR15" s="2">
        <v>46</v>
      </c>
      <c r="BS15" s="2">
        <v>52</v>
      </c>
      <c r="BT15" s="2">
        <v>25</v>
      </c>
      <c r="BU15" s="2">
        <v>77</v>
      </c>
      <c r="BV15" s="2">
        <v>98</v>
      </c>
      <c r="BW15" s="2">
        <v>120</v>
      </c>
      <c r="BX15" s="2">
        <v>172</v>
      </c>
      <c r="BY15" s="2">
        <v>63.9</v>
      </c>
      <c r="BZ15" s="2">
        <v>5.4</v>
      </c>
      <c r="CA15" s="2">
        <v>1.4</v>
      </c>
      <c r="CB15" s="2">
        <v>7.9157528998431104E-6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15a</v>
      </c>
      <c r="J16" s="47">
        <f t="shared" ca="1" si="35"/>
        <v>11</v>
      </c>
      <c r="K16" s="19">
        <f t="shared" ca="1" si="36"/>
        <v>-42.9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9.3000000000000007</v>
      </c>
      <c r="O16" s="63">
        <f t="shared" ca="1" si="4"/>
        <v>478</v>
      </c>
      <c r="P16" s="63">
        <f t="shared" ca="1" si="5"/>
        <v>121.79487179487184</v>
      </c>
      <c r="Q16" s="47">
        <f t="shared" ca="1" si="6"/>
        <v>0</v>
      </c>
      <c r="R16" s="47" t="e">
        <f t="shared" ca="1" si="7"/>
        <v>#N/A</v>
      </c>
      <c r="S16" s="47">
        <f t="shared" ca="1" si="8"/>
        <v>3</v>
      </c>
      <c r="T16" s="47">
        <f t="shared" ca="1" si="9"/>
        <v>0</v>
      </c>
      <c r="U16" s="75">
        <f t="shared" ca="1" si="10"/>
        <v>1.7999999999999999E-2</v>
      </c>
      <c r="V16" s="75">
        <f t="shared" ca="1" si="11"/>
        <v>0</v>
      </c>
      <c r="W16" s="47">
        <f t="shared" ca="1" si="12"/>
        <v>0.25</v>
      </c>
      <c r="X16" s="47">
        <f t="shared" ca="1" si="13"/>
        <v>58400</v>
      </c>
      <c r="Y16" s="47">
        <f t="shared" ca="1" si="14"/>
        <v>0</v>
      </c>
      <c r="Z16" s="47" t="e">
        <f t="shared" ca="1" si="15"/>
        <v>#N/A</v>
      </c>
      <c r="AA16" s="47">
        <f t="shared" ca="1" si="16"/>
        <v>1</v>
      </c>
      <c r="AB16" s="47" t="e">
        <f t="shared" ca="1" si="17"/>
        <v>#N/A</v>
      </c>
      <c r="AC16" s="63">
        <f t="shared" ca="1" si="18"/>
        <v>697000</v>
      </c>
      <c r="AD16" s="63">
        <f t="shared" ca="1" si="19"/>
        <v>192307.69230769237</v>
      </c>
      <c r="AE16" s="63">
        <f t="shared" ca="1" si="20"/>
        <v>0.3</v>
      </c>
      <c r="AF16" s="63">
        <f t="shared" ca="1" si="21"/>
        <v>0</v>
      </c>
      <c r="AG16" s="63">
        <f t="shared" ca="1" si="22"/>
        <v>0</v>
      </c>
      <c r="AH16" s="63">
        <f t="shared" ca="1" si="23"/>
        <v>0</v>
      </c>
      <c r="AI16" s="63">
        <f t="shared" ca="1" si="24"/>
        <v>0</v>
      </c>
      <c r="AJ16" s="47" t="e">
        <f t="shared" ca="1" si="25"/>
        <v>#N/A</v>
      </c>
      <c r="AK16" s="47">
        <f t="shared" ca="1" si="26"/>
        <v>1</v>
      </c>
      <c r="AL16" s="47">
        <f t="shared" ca="1" si="27"/>
        <v>1</v>
      </c>
      <c r="AM16" s="47">
        <f t="shared" ca="1" si="28"/>
        <v>1</v>
      </c>
      <c r="AN16" s="47">
        <f t="shared" ca="1" si="29"/>
        <v>1</v>
      </c>
      <c r="AO16" s="47">
        <f t="shared" ca="1" si="30"/>
        <v>1</v>
      </c>
      <c r="AP16" s="47">
        <f t="shared" ca="1" si="31"/>
        <v>1</v>
      </c>
      <c r="AQ16" s="47">
        <f t="shared" ca="1" si="32"/>
        <v>0</v>
      </c>
      <c r="AR16" s="47">
        <f t="shared" ca="1" si="33"/>
        <v>0</v>
      </c>
      <c r="AS16" s="33">
        <f t="shared" ca="1" si="34"/>
        <v>0.4</v>
      </c>
      <c r="AW16" s="2">
        <v>7.5</v>
      </c>
      <c r="AX16" s="2" t="s">
        <v>261</v>
      </c>
      <c r="AY16" s="130">
        <v>24</v>
      </c>
      <c r="AZ16" s="2">
        <v>19.899999999999999</v>
      </c>
      <c r="BA16" s="2"/>
      <c r="BB16" s="2">
        <v>6</v>
      </c>
      <c r="BC16" s="2"/>
      <c r="BD16" s="2">
        <v>12.8</v>
      </c>
      <c r="BE16" s="2">
        <v>14.8</v>
      </c>
      <c r="BF16" s="2">
        <v>15.6</v>
      </c>
      <c r="BG16" s="2">
        <v>16.3</v>
      </c>
      <c r="BH16" s="2">
        <f>10+18.1</f>
        <v>28.1</v>
      </c>
      <c r="BI16" s="2"/>
      <c r="BJ16" s="2"/>
      <c r="BK16" s="2"/>
      <c r="BL16" s="2"/>
      <c r="BM16" s="2"/>
      <c r="BN16" s="2">
        <v>60</v>
      </c>
      <c r="BO16" s="2">
        <v>32</v>
      </c>
      <c r="BP16" s="2">
        <v>38</v>
      </c>
      <c r="BQ16" s="2">
        <v>41</v>
      </c>
      <c r="BR16" s="2">
        <v>44</v>
      </c>
      <c r="BS16" s="2">
        <v>50</v>
      </c>
      <c r="BT16" s="2">
        <v>21</v>
      </c>
      <c r="BU16" s="2">
        <v>72</v>
      </c>
      <c r="BV16" s="2">
        <v>93</v>
      </c>
      <c r="BW16" s="2">
        <v>113</v>
      </c>
      <c r="BX16" s="2">
        <v>164</v>
      </c>
      <c r="BY16" s="2">
        <v>45.1</v>
      </c>
      <c r="BZ16" s="2">
        <v>3.4</v>
      </c>
      <c r="CA16" s="2">
        <v>1</v>
      </c>
      <c r="CB16" s="2">
        <v>8.9919293068913095E-7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33"/>
      <c r="E17" s="133"/>
      <c r="I17" s="33" t="str">
        <f t="shared" ca="1" si="0"/>
        <v>21a</v>
      </c>
      <c r="J17" s="47">
        <f t="shared" ca="1" si="35"/>
        <v>12</v>
      </c>
      <c r="K17" s="19">
        <f t="shared" ca="1" si="36"/>
        <v>-46.8</v>
      </c>
      <c r="L17" s="116" t="str">
        <f t="shared" ca="1" si="1"/>
        <v>EW_sand_Ruled_58</v>
      </c>
      <c r="M17" s="105" t="str">
        <f t="shared" ca="1" si="2"/>
        <v>API sand</v>
      </c>
      <c r="N17" s="47">
        <f t="shared" ca="1" si="3"/>
        <v>9.8000000000000007</v>
      </c>
      <c r="O17" s="63">
        <f t="shared" ca="1" si="4"/>
        <v>0</v>
      </c>
      <c r="P17" s="63">
        <f t="shared" ca="1" si="5"/>
        <v>0</v>
      </c>
      <c r="Q17" s="47">
        <f t="shared" ca="1" si="6"/>
        <v>27</v>
      </c>
      <c r="R17" s="47">
        <f t="shared" ca="1" si="7"/>
        <v>22</v>
      </c>
      <c r="S17" s="47">
        <f t="shared" ca="1" si="8"/>
        <v>0.7</v>
      </c>
      <c r="T17" s="47">
        <f t="shared" ca="1" si="9"/>
        <v>0</v>
      </c>
      <c r="U17" s="75">
        <f t="shared" ca="1" si="10"/>
        <v>0</v>
      </c>
      <c r="V17" s="75">
        <f t="shared" ca="1" si="11"/>
        <v>0</v>
      </c>
      <c r="W17" s="47">
        <f t="shared" ca="1" si="12"/>
        <v>0</v>
      </c>
      <c r="X17" s="47">
        <f t="shared" ca="1" si="13"/>
        <v>59900</v>
      </c>
      <c r="Y17" s="47">
        <f t="shared" ca="1" si="14"/>
        <v>0</v>
      </c>
      <c r="Z17" s="47">
        <f t="shared" ca="1" si="15"/>
        <v>72.59999999999998</v>
      </c>
      <c r="AA17" s="47">
        <f t="shared" ca="1" si="16"/>
        <v>1</v>
      </c>
      <c r="AB17" s="47">
        <f t="shared" ca="1" si="17"/>
        <v>3660</v>
      </c>
      <c r="AC17" s="63">
        <f t="shared" ca="1" si="18"/>
        <v>182000</v>
      </c>
      <c r="AD17" s="63">
        <f t="shared" ca="1" si="19"/>
        <v>3846.1538461538439</v>
      </c>
      <c r="AE17" s="63">
        <f t="shared" ca="1" si="20"/>
        <v>0.3</v>
      </c>
      <c r="AF17" s="63">
        <f t="shared" ca="1" si="21"/>
        <v>0</v>
      </c>
      <c r="AG17" s="63">
        <f t="shared" ca="1" si="22"/>
        <v>0</v>
      </c>
      <c r="AH17" s="63">
        <f t="shared" ca="1" si="23"/>
        <v>0</v>
      </c>
      <c r="AI17" s="63">
        <f t="shared" ca="1" si="24"/>
        <v>0</v>
      </c>
      <c r="AJ17" s="47">
        <f t="shared" ca="1" si="25"/>
        <v>15.200000000000003</v>
      </c>
      <c r="AK17" s="47">
        <f t="shared" ca="1" si="26"/>
        <v>1</v>
      </c>
      <c r="AL17" s="47">
        <f t="shared" ca="1" si="27"/>
        <v>1</v>
      </c>
      <c r="AM17" s="47">
        <f t="shared" ca="1" si="28"/>
        <v>1</v>
      </c>
      <c r="AN17" s="47">
        <f t="shared" ca="1" si="29"/>
        <v>1</v>
      </c>
      <c r="AO17" s="47">
        <f t="shared" ca="1" si="30"/>
        <v>1</v>
      </c>
      <c r="AP17" s="47">
        <f t="shared" ca="1" si="31"/>
        <v>1</v>
      </c>
      <c r="AQ17" s="47">
        <f t="shared" ca="1" si="32"/>
        <v>0</v>
      </c>
      <c r="AR17" s="47">
        <f t="shared" ca="1" si="33"/>
        <v>58</v>
      </c>
      <c r="AS17" s="33">
        <f t="shared" ca="1" si="34"/>
        <v>0.2</v>
      </c>
      <c r="AW17" s="2">
        <v>8.5</v>
      </c>
      <c r="AX17" s="2" t="s">
        <v>261</v>
      </c>
      <c r="AY17" s="130">
        <v>24</v>
      </c>
      <c r="AZ17" s="2">
        <v>19.899999999999999</v>
      </c>
      <c r="BA17" s="2"/>
      <c r="BB17" s="2">
        <v>6</v>
      </c>
      <c r="BC17" s="2"/>
      <c r="BD17" s="2">
        <v>5.9</v>
      </c>
      <c r="BE17" s="2">
        <v>7.9</v>
      </c>
      <c r="BF17" s="2">
        <v>8.6999999999999993</v>
      </c>
      <c r="BG17" s="2">
        <v>9.4</v>
      </c>
      <c r="BH17" s="2">
        <f>10+11.1</f>
        <v>21.1</v>
      </c>
      <c r="BI17" s="2"/>
      <c r="BJ17" s="2"/>
      <c r="BK17" s="2"/>
      <c r="BL17" s="2"/>
      <c r="BM17" s="2"/>
      <c r="BN17" s="2">
        <v>60</v>
      </c>
      <c r="BO17" s="2">
        <v>32</v>
      </c>
      <c r="BP17" s="2">
        <v>38</v>
      </c>
      <c r="BQ17" s="2">
        <v>41</v>
      </c>
      <c r="BR17" s="2">
        <v>44</v>
      </c>
      <c r="BS17" s="2">
        <v>50</v>
      </c>
      <c r="BT17" s="2">
        <v>11</v>
      </c>
      <c r="BU17" s="2">
        <v>62</v>
      </c>
      <c r="BV17" s="2">
        <v>82</v>
      </c>
      <c r="BW17" s="2">
        <v>103</v>
      </c>
      <c r="BX17" s="2">
        <v>154</v>
      </c>
      <c r="BY17" s="2">
        <v>45.1</v>
      </c>
      <c r="BZ17" s="2">
        <v>3.4</v>
      </c>
      <c r="CA17" s="2">
        <v>1</v>
      </c>
      <c r="CB17" s="2">
        <v>8.9919293068913095E-7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>21a</v>
      </c>
      <c r="J18" s="47">
        <f t="shared" ca="1" si="35"/>
        <v>13</v>
      </c>
      <c r="K18" s="19">
        <f t="shared" ca="1" si="36"/>
        <v>-52</v>
      </c>
      <c r="L18" s="116" t="str">
        <f t="shared" ca="1" si="1"/>
        <v>EW_sand_Ruled_53</v>
      </c>
      <c r="M18" s="105" t="str">
        <f t="shared" ca="1" si="2"/>
        <v>API sand</v>
      </c>
      <c r="N18" s="47">
        <f t="shared" ca="1" si="3"/>
        <v>9.8000000000000007</v>
      </c>
      <c r="O18" s="63">
        <f t="shared" ca="1" si="4"/>
        <v>0</v>
      </c>
      <c r="P18" s="63">
        <f t="shared" ca="1" si="5"/>
        <v>0</v>
      </c>
      <c r="Q18" s="47">
        <f t="shared" ca="1" si="6"/>
        <v>27</v>
      </c>
      <c r="R18" s="47">
        <f t="shared" ca="1" si="7"/>
        <v>22</v>
      </c>
      <c r="S18" s="47">
        <f t="shared" ca="1" si="8"/>
        <v>0.6</v>
      </c>
      <c r="T18" s="47">
        <f t="shared" ca="1" si="9"/>
        <v>0</v>
      </c>
      <c r="U18" s="75">
        <f t="shared" ca="1" si="10"/>
        <v>0</v>
      </c>
      <c r="V18" s="75">
        <f t="shared" ca="1" si="11"/>
        <v>0</v>
      </c>
      <c r="W18" s="47">
        <f t="shared" ca="1" si="12"/>
        <v>0</v>
      </c>
      <c r="X18" s="47">
        <f t="shared" ca="1" si="13"/>
        <v>56300</v>
      </c>
      <c r="Y18" s="47">
        <f t="shared" ca="1" si="14"/>
        <v>0</v>
      </c>
      <c r="Z18" s="47">
        <f t="shared" ca="1" si="15"/>
        <v>72.59999999999998</v>
      </c>
      <c r="AA18" s="47">
        <f t="shared" ca="1" si="16"/>
        <v>1</v>
      </c>
      <c r="AB18" s="47">
        <f t="shared" ca="1" si="17"/>
        <v>3660</v>
      </c>
      <c r="AC18" s="63">
        <f t="shared" ca="1" si="18"/>
        <v>203000</v>
      </c>
      <c r="AD18" s="63">
        <f t="shared" ca="1" si="19"/>
        <v>-3571.4285714285716</v>
      </c>
      <c r="AE18" s="63">
        <f t="shared" ca="1" si="20"/>
        <v>0.3</v>
      </c>
      <c r="AF18" s="63">
        <f t="shared" ca="1" si="21"/>
        <v>0</v>
      </c>
      <c r="AG18" s="63">
        <f t="shared" ca="1" si="22"/>
        <v>0</v>
      </c>
      <c r="AH18" s="63">
        <f t="shared" ca="1" si="23"/>
        <v>0</v>
      </c>
      <c r="AI18" s="63">
        <f t="shared" ca="1" si="24"/>
        <v>0</v>
      </c>
      <c r="AJ18" s="47">
        <f t="shared" ca="1" si="25"/>
        <v>15.200000000000003</v>
      </c>
      <c r="AK18" s="47">
        <f t="shared" ca="1" si="26"/>
        <v>1</v>
      </c>
      <c r="AL18" s="47">
        <f t="shared" ca="1" si="27"/>
        <v>1</v>
      </c>
      <c r="AM18" s="47">
        <f t="shared" ca="1" si="28"/>
        <v>1</v>
      </c>
      <c r="AN18" s="47">
        <f t="shared" ca="1" si="29"/>
        <v>1</v>
      </c>
      <c r="AO18" s="47">
        <f t="shared" ca="1" si="30"/>
        <v>1</v>
      </c>
      <c r="AP18" s="47">
        <f t="shared" ca="1" si="31"/>
        <v>1</v>
      </c>
      <c r="AQ18" s="47">
        <f t="shared" ca="1" si="32"/>
        <v>0</v>
      </c>
      <c r="AR18" s="47">
        <f t="shared" ca="1" si="33"/>
        <v>53</v>
      </c>
      <c r="AS18" s="33">
        <f t="shared" ca="1" si="34"/>
        <v>0.2</v>
      </c>
      <c r="AW18" s="2">
        <v>8.5</v>
      </c>
      <c r="AX18" s="2" t="s">
        <v>261</v>
      </c>
      <c r="AY18" s="130">
        <v>24</v>
      </c>
      <c r="AZ18" s="2">
        <v>19.899999999999999</v>
      </c>
      <c r="BA18" s="2"/>
      <c r="BB18" s="2">
        <v>6</v>
      </c>
      <c r="BC18" s="2"/>
      <c r="BD18" s="2">
        <v>7.2</v>
      </c>
      <c r="BE18" s="2">
        <v>9.4</v>
      </c>
      <c r="BF18" s="2">
        <v>9.8000000000000007</v>
      </c>
      <c r="BG18" s="2">
        <v>10.1</v>
      </c>
      <c r="BH18" s="2">
        <v>11.9</v>
      </c>
      <c r="BI18" s="2"/>
      <c r="BJ18" s="2"/>
      <c r="BK18" s="2"/>
      <c r="BL18" s="2"/>
      <c r="BM18" s="2"/>
      <c r="BN18" s="2">
        <v>54</v>
      </c>
      <c r="BO18" s="2">
        <v>31</v>
      </c>
      <c r="BP18" s="2">
        <v>37</v>
      </c>
      <c r="BQ18" s="2">
        <v>40</v>
      </c>
      <c r="BR18" s="2">
        <v>43</v>
      </c>
      <c r="BS18" s="2">
        <v>48</v>
      </c>
      <c r="BT18" s="2">
        <v>11</v>
      </c>
      <c r="BU18" s="2">
        <v>65</v>
      </c>
      <c r="BV18" s="2">
        <v>86</v>
      </c>
      <c r="BW18" s="2">
        <v>108</v>
      </c>
      <c r="BX18" s="2">
        <v>162</v>
      </c>
      <c r="BY18" s="2">
        <v>39.700000000000003</v>
      </c>
      <c r="BZ18" s="2">
        <v>2.5</v>
      </c>
      <c r="CA18" s="2">
        <v>0.9</v>
      </c>
      <c r="CB18" s="2">
        <v>3.7908121215990101E-7</v>
      </c>
      <c r="CC18" s="2"/>
    </row>
    <row r="19" spans="1:81" x14ac:dyDescent="0.25">
      <c r="A19" s="133" t="s">
        <v>38</v>
      </c>
      <c r="B19" s="133" t="s">
        <v>30</v>
      </c>
      <c r="C19" s="133" t="s">
        <v>59</v>
      </c>
      <c r="D19" s="43"/>
      <c r="E19" s="35"/>
      <c r="I19" s="33" t="str">
        <f t="shared" ca="1" si="0"/>
        <v>23a</v>
      </c>
      <c r="J19" s="47">
        <f t="shared" ca="1" si="35"/>
        <v>14</v>
      </c>
      <c r="K19" s="19">
        <f t="shared" ca="1" si="36"/>
        <v>-59</v>
      </c>
      <c r="L19" s="116" t="str">
        <f t="shared" ca="1" si="1"/>
        <v>EW_sand_Ruled_100</v>
      </c>
      <c r="M19" s="105" t="str">
        <f t="shared" ca="1" si="2"/>
        <v>API sand</v>
      </c>
      <c r="N19" s="47">
        <f t="shared" ca="1" si="3"/>
        <v>10</v>
      </c>
      <c r="O19" s="63">
        <f t="shared" ca="1" si="4"/>
        <v>0</v>
      </c>
      <c r="P19" s="63">
        <f t="shared" ca="1" si="5"/>
        <v>0</v>
      </c>
      <c r="Q19" s="47">
        <f t="shared" ca="1" si="6"/>
        <v>30</v>
      </c>
      <c r="R19" s="47">
        <f t="shared" ca="1" si="7"/>
        <v>25</v>
      </c>
      <c r="S19" s="47">
        <f t="shared" ca="1" si="8"/>
        <v>1.2</v>
      </c>
      <c r="T19" s="47">
        <f t="shared" ca="1" si="9"/>
        <v>0</v>
      </c>
      <c r="U19" s="75">
        <f t="shared" ca="1" si="10"/>
        <v>0</v>
      </c>
      <c r="V19" s="75">
        <f t="shared" ca="1" si="11"/>
        <v>0</v>
      </c>
      <c r="W19" s="47">
        <f t="shared" ca="1" si="12"/>
        <v>0</v>
      </c>
      <c r="X19" s="47">
        <f t="shared" ca="1" si="13"/>
        <v>75000</v>
      </c>
      <c r="Y19" s="47">
        <f t="shared" ca="1" si="14"/>
        <v>0</v>
      </c>
      <c r="Z19" s="47">
        <f t="shared" ca="1" si="15"/>
        <v>80.999999999999972</v>
      </c>
      <c r="AA19" s="47">
        <f t="shared" ca="1" si="16"/>
        <v>1</v>
      </c>
      <c r="AB19" s="47">
        <f t="shared" ca="1" si="17"/>
        <v>4800</v>
      </c>
      <c r="AC19" s="63">
        <f t="shared" ca="1" si="18"/>
        <v>312000</v>
      </c>
      <c r="AD19" s="63">
        <f t="shared" ca="1" si="19"/>
        <v>-11666.666666666666</v>
      </c>
      <c r="AE19" s="63">
        <f t="shared" ca="1" si="20"/>
        <v>0.3</v>
      </c>
      <c r="AF19" s="63">
        <f t="shared" ca="1" si="21"/>
        <v>0</v>
      </c>
      <c r="AG19" s="63">
        <f t="shared" ca="1" si="22"/>
        <v>0</v>
      </c>
      <c r="AH19" s="63">
        <f t="shared" ca="1" si="23"/>
        <v>0</v>
      </c>
      <c r="AI19" s="63">
        <f t="shared" ca="1" si="24"/>
        <v>0</v>
      </c>
      <c r="AJ19" s="47">
        <f t="shared" ca="1" si="25"/>
        <v>20.000000000000007</v>
      </c>
      <c r="AK19" s="47">
        <f t="shared" ca="1" si="26"/>
        <v>1</v>
      </c>
      <c r="AL19" s="47">
        <f t="shared" ca="1" si="27"/>
        <v>1</v>
      </c>
      <c r="AM19" s="47">
        <f t="shared" ca="1" si="28"/>
        <v>1</v>
      </c>
      <c r="AN19" s="47">
        <f t="shared" ca="1" si="29"/>
        <v>1</v>
      </c>
      <c r="AO19" s="47">
        <f t="shared" ca="1" si="30"/>
        <v>1</v>
      </c>
      <c r="AP19" s="47">
        <f t="shared" ca="1" si="31"/>
        <v>1</v>
      </c>
      <c r="AQ19" s="47">
        <f t="shared" ca="1" si="32"/>
        <v>0</v>
      </c>
      <c r="AR19" s="47">
        <f t="shared" ca="1" si="33"/>
        <v>100</v>
      </c>
      <c r="AS19" s="33">
        <f t="shared" ca="1" si="34"/>
        <v>0.4</v>
      </c>
      <c r="AW19" s="2">
        <v>12</v>
      </c>
      <c r="AX19" s="2" t="s">
        <v>261</v>
      </c>
      <c r="AY19" s="130">
        <v>24</v>
      </c>
      <c r="AZ19" s="2">
        <v>19.899999999999999</v>
      </c>
      <c r="BA19" s="2"/>
      <c r="BB19" s="2">
        <v>6</v>
      </c>
      <c r="BC19" s="2"/>
      <c r="BD19" s="2">
        <v>8</v>
      </c>
      <c r="BE19" s="2">
        <v>10.1</v>
      </c>
      <c r="BF19" s="2">
        <v>10.5</v>
      </c>
      <c r="BG19" s="2">
        <v>10.9</v>
      </c>
      <c r="BH19" s="2">
        <v>12.6</v>
      </c>
      <c r="BI19" s="2"/>
      <c r="BJ19" s="2"/>
      <c r="BK19" s="2"/>
      <c r="BL19" s="2"/>
      <c r="BM19" s="2"/>
      <c r="BN19" s="2">
        <v>54</v>
      </c>
      <c r="BO19" s="2">
        <v>31</v>
      </c>
      <c r="BP19" s="2">
        <v>37</v>
      </c>
      <c r="BQ19" s="2">
        <v>40</v>
      </c>
      <c r="BR19" s="2">
        <v>43</v>
      </c>
      <c r="BS19" s="2">
        <v>48</v>
      </c>
      <c r="BT19" s="2">
        <v>23</v>
      </c>
      <c r="BU19" s="2">
        <v>77</v>
      </c>
      <c r="BV19" s="2">
        <v>99</v>
      </c>
      <c r="BW19" s="2">
        <v>121</v>
      </c>
      <c r="BX19" s="2">
        <v>175</v>
      </c>
      <c r="BY19" s="2">
        <v>39.700000000000003</v>
      </c>
      <c r="BZ19" s="2">
        <v>2.5</v>
      </c>
      <c r="CA19" s="2">
        <v>0.9</v>
      </c>
      <c r="CB19" s="2">
        <v>3.7908121215990101E-7</v>
      </c>
      <c r="CC19" s="2"/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>23c</v>
      </c>
      <c r="J20" s="47">
        <f t="shared" ca="1" si="35"/>
        <v>15</v>
      </c>
      <c r="K20" s="19">
        <f t="shared" ca="1" si="36"/>
        <v>-62</v>
      </c>
      <c r="L20" s="116" t="str">
        <f t="shared" ca="1" si="1"/>
        <v>EW_sand_Ruled_83</v>
      </c>
      <c r="M20" s="105" t="str">
        <f t="shared" ca="1" si="2"/>
        <v>API sand</v>
      </c>
      <c r="N20" s="47">
        <f t="shared" ca="1" si="3"/>
        <v>9.3000000000000007</v>
      </c>
      <c r="O20" s="63">
        <f t="shared" ca="1" si="4"/>
        <v>0</v>
      </c>
      <c r="P20" s="63">
        <f t="shared" ca="1" si="5"/>
        <v>0</v>
      </c>
      <c r="Q20" s="47">
        <f t="shared" ca="1" si="6"/>
        <v>29</v>
      </c>
      <c r="R20" s="47">
        <f t="shared" ca="1" si="7"/>
        <v>24</v>
      </c>
      <c r="S20" s="47">
        <f t="shared" ca="1" si="8"/>
        <v>0.9</v>
      </c>
      <c r="T20" s="47">
        <f t="shared" ca="1" si="9"/>
        <v>0</v>
      </c>
      <c r="U20" s="75">
        <f t="shared" ca="1" si="10"/>
        <v>0</v>
      </c>
      <c r="V20" s="75">
        <f t="shared" ca="1" si="11"/>
        <v>0</v>
      </c>
      <c r="W20" s="47">
        <f t="shared" ca="1" si="12"/>
        <v>0</v>
      </c>
      <c r="X20" s="47">
        <f t="shared" ca="1" si="13"/>
        <v>75000</v>
      </c>
      <c r="Y20" s="47">
        <f t="shared" ca="1" si="14"/>
        <v>0</v>
      </c>
      <c r="Z20" s="47">
        <f t="shared" ca="1" si="15"/>
        <v>78.199999999999974</v>
      </c>
      <c r="AA20" s="47">
        <f t="shared" ca="1" si="16"/>
        <v>1</v>
      </c>
      <c r="AB20" s="47">
        <f t="shared" ca="1" si="17"/>
        <v>4420</v>
      </c>
      <c r="AC20" s="63">
        <f t="shared" ca="1" si="18"/>
        <v>273000</v>
      </c>
      <c r="AD20" s="63">
        <f t="shared" ca="1" si="19"/>
        <v>-4358.9743589743521</v>
      </c>
      <c r="AE20" s="63">
        <f t="shared" ca="1" si="20"/>
        <v>0.3</v>
      </c>
      <c r="AF20" s="63">
        <f t="shared" ca="1" si="21"/>
        <v>0</v>
      </c>
      <c r="AG20" s="63">
        <f t="shared" ca="1" si="22"/>
        <v>0</v>
      </c>
      <c r="AH20" s="63">
        <f t="shared" ca="1" si="23"/>
        <v>0</v>
      </c>
      <c r="AI20" s="63">
        <f t="shared" ca="1" si="24"/>
        <v>0</v>
      </c>
      <c r="AJ20" s="47">
        <f t="shared" ca="1" si="25"/>
        <v>18.400000000000006</v>
      </c>
      <c r="AK20" s="47">
        <f t="shared" ca="1" si="26"/>
        <v>1</v>
      </c>
      <c r="AL20" s="47">
        <f t="shared" ca="1" si="27"/>
        <v>1</v>
      </c>
      <c r="AM20" s="47">
        <f t="shared" ca="1" si="28"/>
        <v>1</v>
      </c>
      <c r="AN20" s="47">
        <f t="shared" ca="1" si="29"/>
        <v>1</v>
      </c>
      <c r="AO20" s="47">
        <f t="shared" ca="1" si="30"/>
        <v>1</v>
      </c>
      <c r="AP20" s="47">
        <f t="shared" ca="1" si="31"/>
        <v>1</v>
      </c>
      <c r="AQ20" s="47">
        <f t="shared" ca="1" si="32"/>
        <v>0</v>
      </c>
      <c r="AR20" s="47">
        <f t="shared" ca="1" si="33"/>
        <v>83</v>
      </c>
      <c r="AS20" s="33">
        <f t="shared" ca="1" si="34"/>
        <v>0.4</v>
      </c>
      <c r="AW20" s="2">
        <v>12</v>
      </c>
      <c r="AX20" s="2" t="s">
        <v>261</v>
      </c>
      <c r="AY20" s="130">
        <v>24</v>
      </c>
      <c r="AZ20" s="2">
        <v>19.899999999999999</v>
      </c>
      <c r="BA20" s="2"/>
      <c r="BB20" s="2">
        <v>6</v>
      </c>
      <c r="BC20" s="2"/>
      <c r="BD20" s="2">
        <v>17.8</v>
      </c>
      <c r="BE20" s="2">
        <v>19.899999999999999</v>
      </c>
      <c r="BF20" s="2">
        <v>20.5</v>
      </c>
      <c r="BG20" s="2">
        <v>21.1</v>
      </c>
      <c r="BH20" s="2">
        <v>23.1</v>
      </c>
      <c r="BI20" s="2"/>
      <c r="BJ20" s="2"/>
      <c r="BK20" s="2"/>
      <c r="BL20" s="2"/>
      <c r="BM20" s="2"/>
      <c r="BN20" s="2">
        <v>76</v>
      </c>
      <c r="BO20" s="2">
        <v>34</v>
      </c>
      <c r="BP20" s="2">
        <v>40</v>
      </c>
      <c r="BQ20" s="2">
        <v>43</v>
      </c>
      <c r="BR20" s="2">
        <v>46</v>
      </c>
      <c r="BS20" s="2">
        <v>52</v>
      </c>
      <c r="BT20" s="2">
        <v>19</v>
      </c>
      <c r="BU20" s="2">
        <v>89</v>
      </c>
      <c r="BV20" s="2">
        <v>118</v>
      </c>
      <c r="BW20" s="2">
        <v>147</v>
      </c>
      <c r="BX20" s="2">
        <v>218</v>
      </c>
      <c r="BY20" s="2">
        <v>85.2</v>
      </c>
      <c r="BZ20" s="2">
        <v>3.5</v>
      </c>
      <c r="CA20" s="2">
        <v>1.1000000000000001</v>
      </c>
      <c r="CB20" s="2">
        <v>6.3041565384622896E-6</v>
      </c>
      <c r="CC20" s="2"/>
    </row>
    <row r="21" spans="1:81" x14ac:dyDescent="0.25">
      <c r="A21" s="66"/>
      <c r="B21" s="66"/>
      <c r="C21" s="67"/>
      <c r="D21" s="43"/>
      <c r="I21" s="33" t="str">
        <f t="shared" ca="1" si="0"/>
        <v>23d</v>
      </c>
      <c r="J21" s="47">
        <f t="shared" ca="1" si="35"/>
        <v>16</v>
      </c>
      <c r="K21" s="19">
        <f ca="1">IF(OFFSET($AW$6,(ROW()-6)*2,0)=0,"",-OFFSET($AW$6,(ROW()-6)*2,0))</f>
        <v>-65.900000000000006</v>
      </c>
      <c r="L21" s="116" t="str">
        <f t="shared" ca="1" si="1"/>
        <v>Cowden Clay</v>
      </c>
      <c r="M21" s="105" t="str">
        <f t="shared" ca="1" si="2"/>
        <v>API clay</v>
      </c>
      <c r="N21" s="47">
        <f t="shared" ca="1" si="3"/>
        <v>8.8999999999999986</v>
      </c>
      <c r="O21" s="63">
        <f t="shared" ca="1" si="4"/>
        <v>1245</v>
      </c>
      <c r="P21" s="63">
        <f t="shared" ca="1" si="5"/>
        <v>-177.07317073170756</v>
      </c>
      <c r="Q21" s="47">
        <f t="shared" ca="1" si="6"/>
        <v>0</v>
      </c>
      <c r="R21" s="47" t="e">
        <f t="shared" ca="1" si="7"/>
        <v>#N/A</v>
      </c>
      <c r="S21" s="47">
        <f t="shared" ca="1" si="8"/>
        <v>3</v>
      </c>
      <c r="T21" s="47">
        <f t="shared" ca="1" si="9"/>
        <v>0</v>
      </c>
      <c r="U21" s="75">
        <f t="shared" ca="1" si="10"/>
        <v>1.7999999999999999E-2</v>
      </c>
      <c r="V21" s="75">
        <f t="shared" ca="1" si="11"/>
        <v>0</v>
      </c>
      <c r="W21" s="47">
        <f t="shared" ca="1" si="12"/>
        <v>0.25</v>
      </c>
      <c r="X21" s="47">
        <f t="shared" ca="1" si="13"/>
        <v>76900</v>
      </c>
      <c r="Y21" s="47">
        <f t="shared" ca="1" si="14"/>
        <v>0</v>
      </c>
      <c r="Z21" s="47" t="e">
        <f t="shared" ca="1" si="15"/>
        <v>#N/A</v>
      </c>
      <c r="AA21" s="47">
        <f t="shared" ca="1" si="16"/>
        <v>1</v>
      </c>
      <c r="AB21" s="47" t="e">
        <f t="shared" ca="1" si="17"/>
        <v>#N/A</v>
      </c>
      <c r="AC21" s="63">
        <f t="shared" ca="1" si="18"/>
        <v>1453000</v>
      </c>
      <c r="AD21" s="63">
        <f t="shared" ca="1" si="19"/>
        <v>0</v>
      </c>
      <c r="AE21" s="63">
        <f t="shared" ca="1" si="20"/>
        <v>0.3</v>
      </c>
      <c r="AF21" s="63">
        <f t="shared" ca="1" si="21"/>
        <v>0</v>
      </c>
      <c r="AG21" s="63">
        <f t="shared" ca="1" si="22"/>
        <v>0</v>
      </c>
      <c r="AH21" s="63">
        <f t="shared" ca="1" si="23"/>
        <v>0</v>
      </c>
      <c r="AI21" s="63">
        <f t="shared" ca="1" si="24"/>
        <v>0</v>
      </c>
      <c r="AJ21" s="47" t="e">
        <f t="shared" ca="1" si="25"/>
        <v>#N/A</v>
      </c>
      <c r="AK21" s="47">
        <f t="shared" ca="1" si="26"/>
        <v>1</v>
      </c>
      <c r="AL21" s="47">
        <f t="shared" ca="1" si="27"/>
        <v>1</v>
      </c>
      <c r="AM21" s="47">
        <f t="shared" ca="1" si="28"/>
        <v>1</v>
      </c>
      <c r="AN21" s="47">
        <f t="shared" ca="1" si="29"/>
        <v>1</v>
      </c>
      <c r="AO21" s="47">
        <f t="shared" ca="1" si="30"/>
        <v>1</v>
      </c>
      <c r="AP21" s="47">
        <f t="shared" ca="1" si="31"/>
        <v>1</v>
      </c>
      <c r="AQ21" s="47">
        <f t="shared" ca="1" si="32"/>
        <v>0</v>
      </c>
      <c r="AR21" s="47">
        <f t="shared" ca="1" si="33"/>
        <v>0</v>
      </c>
      <c r="AS21" s="33">
        <f t="shared" ca="1" si="34"/>
        <v>0.4</v>
      </c>
      <c r="AW21" s="2">
        <v>13.5</v>
      </c>
      <c r="AX21" s="2" t="s">
        <v>261</v>
      </c>
      <c r="AY21" s="130">
        <v>24</v>
      </c>
      <c r="AZ21" s="2">
        <v>19.899999999999999</v>
      </c>
      <c r="BA21" s="2"/>
      <c r="BB21" s="2">
        <v>6</v>
      </c>
      <c r="BC21" s="2"/>
      <c r="BD21" s="2">
        <v>21.2</v>
      </c>
      <c r="BE21" s="2">
        <v>23.3</v>
      </c>
      <c r="BF21" s="2">
        <v>23.9</v>
      </c>
      <c r="BG21" s="2">
        <v>24.5</v>
      </c>
      <c r="BH21" s="2">
        <v>26.5</v>
      </c>
      <c r="BI21" s="2"/>
      <c r="BJ21" s="2"/>
      <c r="BK21" s="2"/>
      <c r="BL21" s="2"/>
      <c r="BM21" s="2"/>
      <c r="BN21" s="2">
        <v>76</v>
      </c>
      <c r="BO21" s="2">
        <v>34</v>
      </c>
      <c r="BP21" s="2">
        <v>40</v>
      </c>
      <c r="BQ21" s="2">
        <v>43</v>
      </c>
      <c r="BR21" s="2">
        <v>46</v>
      </c>
      <c r="BS21" s="2">
        <v>52</v>
      </c>
      <c r="BT21" s="2">
        <v>27</v>
      </c>
      <c r="BU21" s="2">
        <v>98</v>
      </c>
      <c r="BV21" s="2">
        <v>126</v>
      </c>
      <c r="BW21" s="2">
        <v>155</v>
      </c>
      <c r="BX21" s="2">
        <v>226</v>
      </c>
      <c r="BY21" s="2">
        <v>85.2</v>
      </c>
      <c r="BZ21" s="2">
        <v>3.5</v>
      </c>
      <c r="CA21" s="2">
        <v>1.1000000000000001</v>
      </c>
      <c r="CB21" s="2">
        <v>6.3041565384622896E-6</v>
      </c>
      <c r="CC21" s="2"/>
    </row>
    <row r="22" spans="1:81" x14ac:dyDescent="0.25">
      <c r="A22" s="66"/>
      <c r="B22" s="66"/>
      <c r="C22" s="67"/>
      <c r="D22" s="35"/>
      <c r="I22" s="33" t="str">
        <f t="shared" ca="1" si="0"/>
        <v>23d</v>
      </c>
      <c r="J22" s="47">
        <f t="shared" ca="1" si="35"/>
        <v>17</v>
      </c>
      <c r="K22" s="19">
        <f t="shared" ref="K22:K25" ca="1" si="37">IF(OFFSET($AW$6,(ROW()-6)*2,0)=0,"",-OFFSET($AW$6,(ROW()-6)*2,0))</f>
        <v>-70</v>
      </c>
      <c r="L22" s="116" t="str">
        <f t="shared" ca="1" si="1"/>
        <v>Cowden Clay</v>
      </c>
      <c r="M22" s="105" t="str">
        <f t="shared" ca="1" si="2"/>
        <v>API clay</v>
      </c>
      <c r="N22" s="47">
        <f t="shared" ca="1" si="3"/>
        <v>8.8999999999999986</v>
      </c>
      <c r="O22" s="63">
        <f t="shared" ca="1" si="4"/>
        <v>551</v>
      </c>
      <c r="P22" s="63">
        <f t="shared" ca="1" si="5"/>
        <v>-5.5</v>
      </c>
      <c r="Q22" s="47">
        <f t="shared" ca="1" si="6"/>
        <v>0</v>
      </c>
      <c r="R22" s="47" t="e">
        <f t="shared" ca="1" si="7"/>
        <v>#N/A</v>
      </c>
      <c r="S22" s="47">
        <f t="shared" ca="1" si="8"/>
        <v>2.9</v>
      </c>
      <c r="T22" s="47">
        <f t="shared" ca="1" si="9"/>
        <v>0</v>
      </c>
      <c r="U22" s="75">
        <f t="shared" ca="1" si="10"/>
        <v>1.7999999999999999E-2</v>
      </c>
      <c r="V22" s="75">
        <f t="shared" ca="1" si="11"/>
        <v>0</v>
      </c>
      <c r="W22" s="47">
        <f t="shared" ca="1" si="12"/>
        <v>0.25</v>
      </c>
      <c r="X22" s="47">
        <f t="shared" ca="1" si="13"/>
        <v>47100</v>
      </c>
      <c r="Y22" s="47">
        <f t="shared" ca="1" si="14"/>
        <v>0</v>
      </c>
      <c r="Z22" s="47" t="e">
        <f t="shared" ca="1" si="15"/>
        <v>#N/A</v>
      </c>
      <c r="AA22" s="47">
        <f t="shared" ca="1" si="16"/>
        <v>1</v>
      </c>
      <c r="AB22" s="47" t="e">
        <f t="shared" ca="1" si="17"/>
        <v>#N/A</v>
      </c>
      <c r="AC22" s="63">
        <f t="shared" ca="1" si="18"/>
        <v>879000</v>
      </c>
      <c r="AD22" s="63">
        <f t="shared" ca="1" si="19"/>
        <v>-8100</v>
      </c>
      <c r="AE22" s="63">
        <f t="shared" ca="1" si="20"/>
        <v>0.3</v>
      </c>
      <c r="AF22" s="63">
        <f t="shared" ca="1" si="21"/>
        <v>0</v>
      </c>
      <c r="AG22" s="63">
        <f t="shared" ca="1" si="22"/>
        <v>0</v>
      </c>
      <c r="AH22" s="63">
        <f t="shared" ca="1" si="23"/>
        <v>0</v>
      </c>
      <c r="AI22" s="63">
        <f t="shared" ca="1" si="24"/>
        <v>0</v>
      </c>
      <c r="AJ22" s="47" t="e">
        <f t="shared" ca="1" si="25"/>
        <v>#N/A</v>
      </c>
      <c r="AK22" s="47">
        <f t="shared" ca="1" si="26"/>
        <v>1</v>
      </c>
      <c r="AL22" s="47">
        <f t="shared" ca="1" si="27"/>
        <v>1</v>
      </c>
      <c r="AM22" s="47">
        <f t="shared" ca="1" si="28"/>
        <v>1</v>
      </c>
      <c r="AN22" s="47">
        <f t="shared" ca="1" si="29"/>
        <v>1</v>
      </c>
      <c r="AO22" s="47">
        <f t="shared" ca="1" si="30"/>
        <v>1</v>
      </c>
      <c r="AP22" s="47">
        <f t="shared" ca="1" si="31"/>
        <v>1</v>
      </c>
      <c r="AQ22" s="47">
        <f t="shared" ca="1" si="32"/>
        <v>0</v>
      </c>
      <c r="AR22" s="47">
        <f t="shared" ca="1" si="33"/>
        <v>0</v>
      </c>
      <c r="AS22" s="33">
        <f t="shared" ca="1" si="34"/>
        <v>0.4</v>
      </c>
      <c r="AW22" s="2">
        <v>13.5</v>
      </c>
      <c r="AX22" s="2" t="s">
        <v>264</v>
      </c>
      <c r="AY22" s="130">
        <v>31.6</v>
      </c>
      <c r="AZ22" s="2">
        <v>18.5</v>
      </c>
      <c r="BA22" s="2"/>
      <c r="BB22" s="2">
        <v>38</v>
      </c>
      <c r="BC22" s="2"/>
      <c r="BD22" s="2">
        <v>6.2</v>
      </c>
      <c r="BE22" s="2">
        <v>8.5</v>
      </c>
      <c r="BF22" s="2">
        <v>8.6999999999999993</v>
      </c>
      <c r="BG22" s="2">
        <v>8.9</v>
      </c>
      <c r="BH22" s="2">
        <v>11.2</v>
      </c>
      <c r="BI22" s="2"/>
      <c r="BJ22" s="2"/>
      <c r="BK22" s="2"/>
      <c r="BL22" s="2"/>
      <c r="BM22" s="2"/>
      <c r="BN22" s="2">
        <v>61</v>
      </c>
      <c r="BO22" s="2">
        <v>26</v>
      </c>
      <c r="BP22" s="2">
        <v>26</v>
      </c>
      <c r="BQ22" s="2">
        <v>28</v>
      </c>
      <c r="BR22" s="2">
        <v>31</v>
      </c>
      <c r="BS22" s="2">
        <v>35</v>
      </c>
      <c r="BT22" s="2">
        <v>13</v>
      </c>
      <c r="BU22" s="2">
        <v>73</v>
      </c>
      <c r="BV22" s="2">
        <v>100</v>
      </c>
      <c r="BW22" s="2">
        <v>127</v>
      </c>
      <c r="BX22" s="2">
        <v>192</v>
      </c>
      <c r="BY22" s="2">
        <v>14.2</v>
      </c>
      <c r="BZ22" s="2">
        <v>2.2999999999999998</v>
      </c>
      <c r="CA22" s="2">
        <v>0.8</v>
      </c>
      <c r="CB22" s="2">
        <v>7.6939968392636199E-9</v>
      </c>
      <c r="CC22" s="2"/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5"/>
        <v/>
      </c>
      <c r="K23" s="19" t="str">
        <f t="shared" ca="1" si="37"/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4"/>
        <v/>
      </c>
      <c r="P23" s="63" t="str">
        <f t="shared" ca="1" si="5"/>
        <v/>
      </c>
      <c r="Q23" s="47" t="str">
        <f t="shared" ca="1" si="6"/>
        <v/>
      </c>
      <c r="R23" s="47" t="str">
        <f t="shared" ca="1" si="7"/>
        <v/>
      </c>
      <c r="S23" s="47" t="str">
        <f t="shared" ca="1" si="8"/>
        <v/>
      </c>
      <c r="T23" s="47" t="str">
        <f t="shared" ca="1" si="9"/>
        <v/>
      </c>
      <c r="U23" s="75" t="str">
        <f t="shared" ca="1" si="10"/>
        <v/>
      </c>
      <c r="V23" s="75" t="str">
        <f t="shared" ca="1" si="11"/>
        <v/>
      </c>
      <c r="W23" s="47" t="str">
        <f t="shared" ca="1" si="12"/>
        <v/>
      </c>
      <c r="X23" s="47" t="str">
        <f t="shared" ca="1" si="13"/>
        <v/>
      </c>
      <c r="Y23" s="47" t="str">
        <f t="shared" ca="1" si="14"/>
        <v/>
      </c>
      <c r="Z23" s="47" t="str">
        <f t="shared" ca="1" si="15"/>
        <v/>
      </c>
      <c r="AA23" s="47" t="str">
        <f t="shared" ca="1" si="16"/>
        <v/>
      </c>
      <c r="AB23" s="47" t="str">
        <f t="shared" ca="1" si="17"/>
        <v/>
      </c>
      <c r="AC23" s="63" t="str">
        <f t="shared" ca="1" si="18"/>
        <v/>
      </c>
      <c r="AD23" s="63" t="str">
        <f t="shared" ca="1" si="19"/>
        <v/>
      </c>
      <c r="AE23" s="63" t="str">
        <f t="shared" ca="1" si="20"/>
        <v/>
      </c>
      <c r="AF23" s="63" t="str">
        <f t="shared" ca="1" si="21"/>
        <v/>
      </c>
      <c r="AG23" s="63" t="str">
        <f t="shared" ca="1" si="22"/>
        <v/>
      </c>
      <c r="AH23" s="63" t="str">
        <f t="shared" ca="1" si="23"/>
        <v/>
      </c>
      <c r="AI23" s="63" t="str">
        <f t="shared" ca="1" si="24"/>
        <v/>
      </c>
      <c r="AJ23" s="47" t="str">
        <f t="shared" ca="1" si="25"/>
        <v/>
      </c>
      <c r="AK23" s="47" t="str">
        <f t="shared" ca="1" si="26"/>
        <v/>
      </c>
      <c r="AL23" s="47" t="str">
        <f t="shared" ca="1" si="27"/>
        <v/>
      </c>
      <c r="AM23" s="47" t="str">
        <f t="shared" ca="1" si="28"/>
        <v/>
      </c>
      <c r="AN23" s="47" t="str">
        <f t="shared" ca="1" si="29"/>
        <v/>
      </c>
      <c r="AO23" s="47" t="str">
        <f t="shared" ca="1" si="30"/>
        <v/>
      </c>
      <c r="AP23" s="47" t="str">
        <f t="shared" ca="1" si="31"/>
        <v/>
      </c>
      <c r="AQ23" s="47" t="str">
        <f t="shared" ca="1" si="32"/>
        <v/>
      </c>
      <c r="AR23" s="47" t="str">
        <f t="shared" ca="1" si="33"/>
        <v/>
      </c>
      <c r="AS23" s="33" t="str">
        <f t="shared" ca="1" si="34"/>
        <v/>
      </c>
      <c r="AW23" s="2">
        <v>29</v>
      </c>
      <c r="AX23" s="2" t="s">
        <v>264</v>
      </c>
      <c r="AY23" s="130">
        <v>31.6</v>
      </c>
      <c r="AZ23" s="2">
        <v>18.5</v>
      </c>
      <c r="BA23" s="2"/>
      <c r="BB23" s="2">
        <v>38</v>
      </c>
      <c r="BC23" s="2"/>
      <c r="BD23" s="2">
        <v>5.4</v>
      </c>
      <c r="BE23" s="2">
        <v>7.7</v>
      </c>
      <c r="BF23" s="2">
        <v>7.9</v>
      </c>
      <c r="BG23" s="2">
        <v>8.1</v>
      </c>
      <c r="BH23" s="2">
        <v>10.4</v>
      </c>
      <c r="BI23" s="2"/>
      <c r="BJ23" s="2"/>
      <c r="BK23" s="2"/>
      <c r="BL23" s="2"/>
      <c r="BM23" s="2"/>
      <c r="BN23" s="2">
        <v>61</v>
      </c>
      <c r="BO23" s="2">
        <v>26</v>
      </c>
      <c r="BP23" s="2">
        <v>26</v>
      </c>
      <c r="BQ23" s="2">
        <v>28</v>
      </c>
      <c r="BR23" s="2">
        <v>31</v>
      </c>
      <c r="BS23" s="2">
        <v>35</v>
      </c>
      <c r="BT23" s="2">
        <v>39</v>
      </c>
      <c r="BU23" s="2">
        <v>100</v>
      </c>
      <c r="BV23" s="2">
        <v>126</v>
      </c>
      <c r="BW23" s="2">
        <v>153</v>
      </c>
      <c r="BX23" s="2">
        <v>219</v>
      </c>
      <c r="BY23" s="2">
        <v>14.2</v>
      </c>
      <c r="BZ23" s="2">
        <v>2.2999999999999998</v>
      </c>
      <c r="CA23" s="2">
        <v>0.8</v>
      </c>
      <c r="CB23" s="2">
        <v>7.6939968392636199E-9</v>
      </c>
      <c r="CC23" s="2"/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5"/>
        <v/>
      </c>
      <c r="K24" s="19" t="str">
        <f t="shared" ca="1" si="37"/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4"/>
        <v/>
      </c>
      <c r="P24" s="63" t="str">
        <f t="shared" ca="1" si="5"/>
        <v/>
      </c>
      <c r="Q24" s="47" t="str">
        <f t="shared" ca="1" si="6"/>
        <v/>
      </c>
      <c r="R24" s="47" t="str">
        <f t="shared" ca="1" si="7"/>
        <v/>
      </c>
      <c r="S24" s="47" t="str">
        <f t="shared" ca="1" si="8"/>
        <v/>
      </c>
      <c r="T24" s="47" t="str">
        <f t="shared" ca="1" si="9"/>
        <v/>
      </c>
      <c r="U24" s="75" t="str">
        <f t="shared" ca="1" si="10"/>
        <v/>
      </c>
      <c r="V24" s="75" t="str">
        <f t="shared" ca="1" si="11"/>
        <v/>
      </c>
      <c r="W24" s="47" t="str">
        <f t="shared" ca="1" si="12"/>
        <v/>
      </c>
      <c r="X24" s="47" t="str">
        <f t="shared" ca="1" si="13"/>
        <v/>
      </c>
      <c r="Y24" s="47" t="str">
        <f t="shared" ca="1" si="14"/>
        <v/>
      </c>
      <c r="Z24" s="47" t="str">
        <f t="shared" ca="1" si="15"/>
        <v/>
      </c>
      <c r="AA24" s="47" t="str">
        <f t="shared" ca="1" si="16"/>
        <v/>
      </c>
      <c r="AB24" s="47" t="str">
        <f t="shared" ca="1" si="17"/>
        <v/>
      </c>
      <c r="AC24" s="63" t="str">
        <f t="shared" ca="1" si="18"/>
        <v/>
      </c>
      <c r="AD24" s="63" t="str">
        <f t="shared" ca="1" si="19"/>
        <v/>
      </c>
      <c r="AE24" s="63" t="str">
        <f t="shared" ca="1" si="20"/>
        <v/>
      </c>
      <c r="AF24" s="63" t="str">
        <f t="shared" ca="1" si="21"/>
        <v/>
      </c>
      <c r="AG24" s="63" t="str">
        <f t="shared" ca="1" si="22"/>
        <v/>
      </c>
      <c r="AH24" s="63" t="str">
        <f t="shared" ca="1" si="23"/>
        <v/>
      </c>
      <c r="AI24" s="63" t="str">
        <f t="shared" ca="1" si="24"/>
        <v/>
      </c>
      <c r="AJ24" s="47" t="str">
        <f t="shared" ca="1" si="25"/>
        <v/>
      </c>
      <c r="AK24" s="47" t="str">
        <f t="shared" ca="1" si="26"/>
        <v/>
      </c>
      <c r="AL24" s="47" t="str">
        <f t="shared" ca="1" si="27"/>
        <v/>
      </c>
      <c r="AM24" s="47" t="str">
        <f t="shared" ca="1" si="28"/>
        <v/>
      </c>
      <c r="AN24" s="47" t="str">
        <f t="shared" ca="1" si="29"/>
        <v/>
      </c>
      <c r="AO24" s="47" t="str">
        <f t="shared" ca="1" si="30"/>
        <v/>
      </c>
      <c r="AP24" s="47" t="str">
        <f t="shared" ca="1" si="31"/>
        <v/>
      </c>
      <c r="AQ24" s="47" t="str">
        <f t="shared" ca="1" si="32"/>
        <v/>
      </c>
      <c r="AR24" s="47" t="str">
        <f t="shared" ca="1" si="33"/>
        <v/>
      </c>
      <c r="AS24" s="33" t="str">
        <f t="shared" ca="1" si="34"/>
        <v/>
      </c>
      <c r="AW24" s="2">
        <v>29</v>
      </c>
      <c r="AX24" s="2" t="s">
        <v>266</v>
      </c>
      <c r="AY24" s="130">
        <v>34.4</v>
      </c>
      <c r="AZ24" s="2">
        <v>18.5</v>
      </c>
      <c r="BA24" s="2">
        <v>23</v>
      </c>
      <c r="BB24" s="2">
        <v>76</v>
      </c>
      <c r="BC24" s="2">
        <v>4</v>
      </c>
      <c r="BD24" s="2">
        <v>4.0999999999999996</v>
      </c>
      <c r="BE24" s="2">
        <v>4.5999999999999996</v>
      </c>
      <c r="BF24" s="2">
        <v>4.7</v>
      </c>
      <c r="BG24" s="2">
        <v>4.9000000000000004</v>
      </c>
      <c r="BH24" s="2">
        <v>7.6</v>
      </c>
      <c r="BI24" s="2">
        <v>75</v>
      </c>
      <c r="BJ24" s="2">
        <v>181</v>
      </c>
      <c r="BK24" s="2">
        <v>229</v>
      </c>
      <c r="BL24" s="2">
        <v>279</v>
      </c>
      <c r="BM24" s="2">
        <v>449</v>
      </c>
      <c r="BN24" s="2"/>
      <c r="BO24" s="2"/>
      <c r="BP24" s="2"/>
      <c r="BQ24" s="2"/>
      <c r="BR24" s="2"/>
      <c r="BS24" s="2"/>
      <c r="BT24" s="2">
        <v>29</v>
      </c>
      <c r="BU24" s="2">
        <v>152</v>
      </c>
      <c r="BV24" s="2">
        <v>235</v>
      </c>
      <c r="BW24" s="2">
        <v>320</v>
      </c>
      <c r="BX24" s="2">
        <v>554</v>
      </c>
      <c r="BY24" s="2">
        <v>19.100000000000001</v>
      </c>
      <c r="BZ24" s="2">
        <v>4.0999999999999996</v>
      </c>
      <c r="CA24" s="2">
        <v>3</v>
      </c>
      <c r="CB24" s="2">
        <v>6.7406463263572801E-11</v>
      </c>
      <c r="CC24" s="2">
        <v>1.8</v>
      </c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5"/>
        <v/>
      </c>
      <c r="K25" s="19" t="str">
        <f t="shared" ca="1" si="37"/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4"/>
        <v/>
      </c>
      <c r="P25" s="63" t="str">
        <f t="shared" ca="1" si="5"/>
        <v/>
      </c>
      <c r="Q25" s="47" t="str">
        <f t="shared" ca="1" si="6"/>
        <v/>
      </c>
      <c r="R25" s="47" t="str">
        <f t="shared" ca="1" si="7"/>
        <v/>
      </c>
      <c r="S25" s="47" t="str">
        <f t="shared" ca="1" si="8"/>
        <v/>
      </c>
      <c r="T25" s="47" t="str">
        <f t="shared" ca="1" si="9"/>
        <v/>
      </c>
      <c r="U25" s="75" t="str">
        <f t="shared" ca="1" si="10"/>
        <v/>
      </c>
      <c r="V25" s="75" t="str">
        <f t="shared" ca="1" si="11"/>
        <v/>
      </c>
      <c r="W25" s="47" t="str">
        <f t="shared" ca="1" si="12"/>
        <v/>
      </c>
      <c r="X25" s="47" t="str">
        <f t="shared" ca="1" si="13"/>
        <v/>
      </c>
      <c r="Y25" s="47" t="str">
        <f t="shared" ca="1" si="14"/>
        <v/>
      </c>
      <c r="Z25" s="47" t="str">
        <f t="shared" ca="1" si="15"/>
        <v/>
      </c>
      <c r="AA25" s="47" t="str">
        <f t="shared" ca="1" si="16"/>
        <v/>
      </c>
      <c r="AB25" s="47" t="str">
        <f t="shared" ca="1" si="17"/>
        <v/>
      </c>
      <c r="AC25" s="63" t="str">
        <f t="shared" ca="1" si="18"/>
        <v/>
      </c>
      <c r="AD25" s="63" t="str">
        <f t="shared" ca="1" si="19"/>
        <v/>
      </c>
      <c r="AE25" s="63" t="str">
        <f t="shared" ca="1" si="20"/>
        <v/>
      </c>
      <c r="AF25" s="63" t="str">
        <f t="shared" ca="1" si="21"/>
        <v/>
      </c>
      <c r="AG25" s="63" t="str">
        <f t="shared" ca="1" si="22"/>
        <v/>
      </c>
      <c r="AH25" s="63" t="str">
        <f t="shared" ca="1" si="23"/>
        <v/>
      </c>
      <c r="AI25" s="63" t="str">
        <f t="shared" ca="1" si="24"/>
        <v/>
      </c>
      <c r="AJ25" s="47" t="str">
        <f t="shared" ca="1" si="25"/>
        <v/>
      </c>
      <c r="AK25" s="47" t="str">
        <f t="shared" ca="1" si="26"/>
        <v/>
      </c>
      <c r="AL25" s="47" t="str">
        <f t="shared" ca="1" si="27"/>
        <v/>
      </c>
      <c r="AM25" s="47" t="str">
        <f t="shared" ca="1" si="28"/>
        <v/>
      </c>
      <c r="AN25" s="47" t="str">
        <f t="shared" ca="1" si="29"/>
        <v/>
      </c>
      <c r="AO25" s="47" t="str">
        <f t="shared" ca="1" si="30"/>
        <v/>
      </c>
      <c r="AP25" s="47" t="str">
        <f t="shared" ca="1" si="31"/>
        <v/>
      </c>
      <c r="AQ25" s="47" t="str">
        <f t="shared" ca="1" si="32"/>
        <v/>
      </c>
      <c r="AR25" s="47" t="str">
        <f t="shared" ca="1" si="33"/>
        <v/>
      </c>
      <c r="AS25" s="33" t="str">
        <f t="shared" ca="1" si="34"/>
        <v/>
      </c>
      <c r="AW25" s="2">
        <v>42.9</v>
      </c>
      <c r="AX25" s="2" t="s">
        <v>266</v>
      </c>
      <c r="AY25" s="130">
        <v>34.4</v>
      </c>
      <c r="AZ25" s="2">
        <v>18.5</v>
      </c>
      <c r="BA25" s="2">
        <v>23</v>
      </c>
      <c r="BB25" s="2">
        <v>76</v>
      </c>
      <c r="BC25" s="2">
        <v>4</v>
      </c>
      <c r="BD25" s="2">
        <v>4.4000000000000004</v>
      </c>
      <c r="BE25" s="2">
        <v>4.9000000000000004</v>
      </c>
      <c r="BF25" s="2">
        <v>5</v>
      </c>
      <c r="BG25" s="2">
        <v>5.3</v>
      </c>
      <c r="BH25" s="2">
        <v>7.9</v>
      </c>
      <c r="BI25" s="2">
        <v>80</v>
      </c>
      <c r="BJ25" s="2">
        <v>186</v>
      </c>
      <c r="BK25" s="2">
        <v>234</v>
      </c>
      <c r="BL25" s="2">
        <v>285</v>
      </c>
      <c r="BM25" s="2">
        <v>454</v>
      </c>
      <c r="BN25" s="2"/>
      <c r="BO25" s="2"/>
      <c r="BP25" s="2"/>
      <c r="BQ25" s="2"/>
      <c r="BR25" s="2"/>
      <c r="BS25" s="2"/>
      <c r="BT25" s="2">
        <v>42</v>
      </c>
      <c r="BU25" s="2">
        <v>165</v>
      </c>
      <c r="BV25" s="2">
        <v>249</v>
      </c>
      <c r="BW25" s="2">
        <v>334</v>
      </c>
      <c r="BX25" s="2">
        <v>568</v>
      </c>
      <c r="BY25" s="2">
        <v>19.100000000000001</v>
      </c>
      <c r="BZ25" s="2">
        <v>4.0999999999999996</v>
      </c>
      <c r="CA25" s="2">
        <v>3</v>
      </c>
      <c r="CB25" s="2">
        <v>6.7406463263572801E-11</v>
      </c>
      <c r="CC25" s="2">
        <v>1.8</v>
      </c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5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4"/>
        <v/>
      </c>
      <c r="P26" s="63" t="str">
        <f t="shared" ca="1" si="5"/>
        <v/>
      </c>
      <c r="Q26" s="47" t="str">
        <f t="shared" ca="1" si="6"/>
        <v/>
      </c>
      <c r="R26" s="47" t="str">
        <f t="shared" ca="1" si="7"/>
        <v/>
      </c>
      <c r="S26" s="47" t="str">
        <f t="shared" ca="1" si="8"/>
        <v/>
      </c>
      <c r="T26" s="47" t="str">
        <f t="shared" ca="1" si="9"/>
        <v/>
      </c>
      <c r="U26" s="75" t="str">
        <f t="shared" ca="1" si="10"/>
        <v/>
      </c>
      <c r="V26" s="75" t="str">
        <f t="shared" ca="1" si="11"/>
        <v/>
      </c>
      <c r="W26" s="47" t="str">
        <f t="shared" ca="1" si="12"/>
        <v/>
      </c>
      <c r="Y26" s="47" t="str">
        <f t="shared" ca="1" si="14"/>
        <v/>
      </c>
      <c r="Z26" s="47" t="str">
        <f t="shared" ca="1" si="15"/>
        <v/>
      </c>
      <c r="AA26" s="47" t="str">
        <f t="shared" ca="1" si="16"/>
        <v/>
      </c>
      <c r="AB26" s="47" t="str">
        <f t="shared" ca="1" si="17"/>
        <v/>
      </c>
      <c r="AC26" s="63" t="str">
        <f t="shared" ca="1" si="18"/>
        <v/>
      </c>
      <c r="AD26" s="63" t="str">
        <f t="shared" ca="1" si="19"/>
        <v/>
      </c>
      <c r="AE26" s="63" t="str">
        <f t="shared" ca="1" si="20"/>
        <v/>
      </c>
      <c r="AF26" s="63" t="str">
        <f t="shared" ca="1" si="21"/>
        <v/>
      </c>
      <c r="AG26" s="63" t="str">
        <f t="shared" ca="1" si="22"/>
        <v/>
      </c>
      <c r="AH26" s="63" t="str">
        <f t="shared" ca="1" si="23"/>
        <v/>
      </c>
      <c r="AI26" s="63" t="str">
        <f t="shared" ca="1" si="24"/>
        <v/>
      </c>
      <c r="AJ26" s="47" t="str">
        <f t="shared" ca="1" si="25"/>
        <v/>
      </c>
      <c r="AK26" s="47" t="str">
        <f t="shared" ca="1" si="26"/>
        <v/>
      </c>
      <c r="AM26" s="47" t="str">
        <f t="shared" ca="1" si="28"/>
        <v/>
      </c>
      <c r="AN26" s="47" t="str">
        <f t="shared" ca="1" si="29"/>
        <v/>
      </c>
      <c r="AO26" s="47" t="str">
        <f t="shared" ca="1" si="30"/>
        <v/>
      </c>
      <c r="AP26" s="47" t="str">
        <f t="shared" ca="1" si="31"/>
        <v/>
      </c>
      <c r="AQ26" s="47" t="str">
        <f t="shared" ca="1" si="32"/>
        <v/>
      </c>
      <c r="AR26" s="47" t="str">
        <f t="shared" ca="1" si="33"/>
        <v/>
      </c>
      <c r="AS26" s="33" t="str">
        <f t="shared" ca="1" si="34"/>
        <v/>
      </c>
      <c r="AW26" s="2">
        <v>42.9</v>
      </c>
      <c r="AX26" s="2" t="s">
        <v>305</v>
      </c>
      <c r="AY26" s="130">
        <v>28.5</v>
      </c>
      <c r="AZ26" s="2">
        <v>19.3</v>
      </c>
      <c r="BA26" s="2">
        <v>16</v>
      </c>
      <c r="BB26" s="2">
        <v>49</v>
      </c>
      <c r="BC26" s="2">
        <v>5</v>
      </c>
      <c r="BD26" s="2">
        <v>5.2</v>
      </c>
      <c r="BE26" s="2">
        <v>9.8000000000000007</v>
      </c>
      <c r="BF26" s="2">
        <v>11</v>
      </c>
      <c r="BG26" s="2">
        <v>12</v>
      </c>
      <c r="BH26" s="2">
        <v>15.3</v>
      </c>
      <c r="BI26" s="2">
        <v>201</v>
      </c>
      <c r="BJ26" s="2">
        <v>478</v>
      </c>
      <c r="BK26" s="2">
        <v>565</v>
      </c>
      <c r="BL26" s="2">
        <v>639</v>
      </c>
      <c r="BM26" s="2">
        <v>855</v>
      </c>
      <c r="BN26" s="2"/>
      <c r="BO26" s="2"/>
      <c r="BP26" s="2"/>
      <c r="BQ26" s="2"/>
      <c r="BR26" s="2"/>
      <c r="BS26" s="2"/>
      <c r="BT26" s="2">
        <v>130</v>
      </c>
      <c r="BU26" s="2">
        <v>557</v>
      </c>
      <c r="BV26" s="2">
        <v>697</v>
      </c>
      <c r="BW26" s="2">
        <v>817</v>
      </c>
      <c r="BX26" s="2">
        <v>1153</v>
      </c>
      <c r="BY26" s="2">
        <v>58.4</v>
      </c>
      <c r="BZ26" s="2">
        <v>10.199999999999999</v>
      </c>
      <c r="CA26" s="2">
        <v>3</v>
      </c>
      <c r="CB26" s="2">
        <v>6.2935597312838997E-10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6"/>
        <v/>
      </c>
      <c r="AJ27" s="47" t="str">
        <f t="shared" si="25"/>
        <v/>
      </c>
      <c r="AK27" s="47" t="str">
        <f t="shared" si="26"/>
        <v/>
      </c>
      <c r="AN27" s="47" t="str">
        <f t="shared" si="29"/>
        <v/>
      </c>
      <c r="AO27" s="47" t="str">
        <f t="shared" si="30"/>
        <v/>
      </c>
      <c r="AQ27" s="47" t="str">
        <f t="shared" si="32"/>
        <v/>
      </c>
      <c r="AR27" s="47" t="str">
        <f t="shared" ca="1" si="33"/>
        <v/>
      </c>
      <c r="AW27" s="2">
        <v>46.8</v>
      </c>
      <c r="AX27" s="2" t="s">
        <v>305</v>
      </c>
      <c r="AY27" s="130">
        <v>28.5</v>
      </c>
      <c r="AZ27" s="2">
        <v>19.3</v>
      </c>
      <c r="BA27" s="2">
        <v>16</v>
      </c>
      <c r="BB27" s="2">
        <v>49</v>
      </c>
      <c r="BC27" s="2">
        <v>5</v>
      </c>
      <c r="BD27" s="2">
        <v>13.8</v>
      </c>
      <c r="BE27" s="2">
        <v>18.3</v>
      </c>
      <c r="BF27" s="2">
        <v>19.600000000000001</v>
      </c>
      <c r="BG27" s="2">
        <v>20.6</v>
      </c>
      <c r="BH27" s="2">
        <v>23.9</v>
      </c>
      <c r="BI27" s="2">
        <v>677</v>
      </c>
      <c r="BJ27" s="2">
        <v>953</v>
      </c>
      <c r="BK27" s="2">
        <v>1040</v>
      </c>
      <c r="BL27" s="2">
        <v>1115</v>
      </c>
      <c r="BM27" s="2">
        <v>1331</v>
      </c>
      <c r="BN27" s="2"/>
      <c r="BO27" s="2"/>
      <c r="BP27" s="2"/>
      <c r="BQ27" s="2"/>
      <c r="BR27" s="2"/>
      <c r="BS27" s="2"/>
      <c r="BT27" s="2">
        <v>880</v>
      </c>
      <c r="BU27" s="2">
        <v>1308</v>
      </c>
      <c r="BV27" s="2">
        <v>1447</v>
      </c>
      <c r="BW27" s="2">
        <v>1567</v>
      </c>
      <c r="BX27" s="2">
        <v>1903</v>
      </c>
      <c r="BY27" s="2">
        <v>58.4</v>
      </c>
      <c r="BZ27" s="2">
        <v>10.199999999999999</v>
      </c>
      <c r="CA27" s="2">
        <v>3</v>
      </c>
      <c r="CB27" s="2">
        <v>6.2935597312838997E-10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2"/>
        <v/>
      </c>
      <c r="AW28" s="2">
        <v>46.8</v>
      </c>
      <c r="AX28" s="2" t="s">
        <v>271</v>
      </c>
      <c r="AY28" s="130">
        <v>24.7</v>
      </c>
      <c r="AZ28" s="2">
        <v>19.8</v>
      </c>
      <c r="BA28" s="2"/>
      <c r="BB28" s="2">
        <v>11</v>
      </c>
      <c r="BC28" s="2"/>
      <c r="BD28" s="2">
        <v>12.9</v>
      </c>
      <c r="BE28" s="2">
        <v>15.9</v>
      </c>
      <c r="BF28" s="2">
        <v>16.399999999999999</v>
      </c>
      <c r="BG28" s="2">
        <v>17.3</v>
      </c>
      <c r="BH28" s="2">
        <v>22.6</v>
      </c>
      <c r="BI28" s="2"/>
      <c r="BJ28" s="2"/>
      <c r="BK28" s="2"/>
      <c r="BL28" s="2"/>
      <c r="BM28" s="2"/>
      <c r="BN28" s="2">
        <v>58</v>
      </c>
      <c r="BO28" s="2">
        <v>26</v>
      </c>
      <c r="BP28" s="2">
        <v>27</v>
      </c>
      <c r="BQ28" s="2">
        <v>29</v>
      </c>
      <c r="BR28" s="2">
        <v>32</v>
      </c>
      <c r="BS28" s="2">
        <v>36</v>
      </c>
      <c r="BT28" s="2">
        <v>46</v>
      </c>
      <c r="BU28" s="2">
        <v>137</v>
      </c>
      <c r="BV28" s="2">
        <v>182</v>
      </c>
      <c r="BW28" s="2">
        <v>226</v>
      </c>
      <c r="BX28" s="2">
        <v>338</v>
      </c>
      <c r="BY28" s="2">
        <v>59.9</v>
      </c>
      <c r="BZ28" s="2">
        <v>1.8</v>
      </c>
      <c r="CA28" s="2">
        <v>0.7</v>
      </c>
      <c r="CB28" s="2">
        <v>7.4955096116013096E-9</v>
      </c>
      <c r="CC28" s="2"/>
    </row>
    <row r="29" spans="1:81" x14ac:dyDescent="0.25">
      <c r="A29" s="66"/>
      <c r="B29" s="66"/>
      <c r="C29" s="67"/>
      <c r="D29" s="35"/>
      <c r="AW29" s="2">
        <v>52</v>
      </c>
      <c r="AX29" s="2" t="s">
        <v>271</v>
      </c>
      <c r="AY29" s="130">
        <v>24.7</v>
      </c>
      <c r="AZ29" s="2">
        <v>19.8</v>
      </c>
      <c r="BA29" s="2"/>
      <c r="BB29" s="2">
        <v>11</v>
      </c>
      <c r="BC29" s="2"/>
      <c r="BD29" s="2">
        <v>18.600000000000001</v>
      </c>
      <c r="BE29" s="2">
        <v>21.6</v>
      </c>
      <c r="BF29" s="2">
        <v>22.1</v>
      </c>
      <c r="BG29" s="2">
        <v>23</v>
      </c>
      <c r="BH29" s="2">
        <v>28.3</v>
      </c>
      <c r="BI29" s="2"/>
      <c r="BJ29" s="2"/>
      <c r="BK29" s="2"/>
      <c r="BL29" s="2"/>
      <c r="BM29" s="2"/>
      <c r="BN29" s="2">
        <v>58</v>
      </c>
      <c r="BO29" s="2">
        <v>26</v>
      </c>
      <c r="BP29" s="2">
        <v>27</v>
      </c>
      <c r="BQ29" s="2">
        <v>29</v>
      </c>
      <c r="BR29" s="2">
        <v>32</v>
      </c>
      <c r="BS29" s="2">
        <v>36</v>
      </c>
      <c r="BT29" s="2">
        <v>66</v>
      </c>
      <c r="BU29" s="2">
        <v>157</v>
      </c>
      <c r="BV29" s="2">
        <v>202</v>
      </c>
      <c r="BW29" s="2">
        <v>247</v>
      </c>
      <c r="BX29" s="2">
        <v>358</v>
      </c>
      <c r="BY29" s="2">
        <v>59.9</v>
      </c>
      <c r="BZ29" s="2">
        <v>1.8</v>
      </c>
      <c r="CA29" s="2">
        <v>0.7</v>
      </c>
      <c r="CB29" s="2">
        <v>7.4955096116013096E-9</v>
      </c>
      <c r="CC29" s="2"/>
    </row>
    <row r="30" spans="1:81" x14ac:dyDescent="0.25">
      <c r="A30" s="66"/>
      <c r="B30" s="66"/>
      <c r="C30" s="67"/>
      <c r="D30" s="35"/>
      <c r="AW30" s="2">
        <v>52</v>
      </c>
      <c r="AX30" s="2" t="s">
        <v>271</v>
      </c>
      <c r="AY30" s="130">
        <v>24.7</v>
      </c>
      <c r="AZ30" s="2">
        <v>19.8</v>
      </c>
      <c r="BA30" s="2"/>
      <c r="BB30" s="2">
        <v>11</v>
      </c>
      <c r="BC30" s="2"/>
      <c r="BD30" s="2">
        <v>17.5</v>
      </c>
      <c r="BE30" s="2">
        <v>20.5</v>
      </c>
      <c r="BF30" s="2">
        <v>20.9</v>
      </c>
      <c r="BG30" s="2">
        <v>21.4</v>
      </c>
      <c r="BH30" s="2">
        <v>25.6</v>
      </c>
      <c r="BI30" s="2"/>
      <c r="BJ30" s="2"/>
      <c r="BK30" s="2"/>
      <c r="BL30" s="2"/>
      <c r="BM30" s="2"/>
      <c r="BN30" s="2">
        <v>53</v>
      </c>
      <c r="BO30" s="2">
        <v>26</v>
      </c>
      <c r="BP30" s="2">
        <v>27</v>
      </c>
      <c r="BQ30" s="2">
        <v>29</v>
      </c>
      <c r="BR30" s="2">
        <v>31</v>
      </c>
      <c r="BS30" s="2">
        <v>35</v>
      </c>
      <c r="BT30" s="2">
        <v>83</v>
      </c>
      <c r="BU30" s="2">
        <v>158</v>
      </c>
      <c r="BV30" s="2">
        <v>203</v>
      </c>
      <c r="BW30" s="2">
        <v>247</v>
      </c>
      <c r="BX30" s="2">
        <v>358</v>
      </c>
      <c r="BY30" s="2">
        <v>56.3</v>
      </c>
      <c r="BZ30" s="2">
        <v>1.5</v>
      </c>
      <c r="CA30" s="2">
        <v>0.6</v>
      </c>
      <c r="CB30" s="2">
        <v>2.4388800158450598E-10</v>
      </c>
      <c r="CC30" s="2"/>
    </row>
    <row r="31" spans="1:81" x14ac:dyDescent="0.25">
      <c r="A31" s="66"/>
      <c r="B31" s="66"/>
      <c r="C31" s="67"/>
      <c r="D31" s="35"/>
      <c r="AW31" s="2">
        <v>59</v>
      </c>
      <c r="AX31" s="2" t="s">
        <v>271</v>
      </c>
      <c r="AY31" s="130">
        <v>24.7</v>
      </c>
      <c r="AZ31" s="2">
        <v>19.8</v>
      </c>
      <c r="BA31" s="2"/>
      <c r="BB31" s="2">
        <v>11</v>
      </c>
      <c r="BC31" s="2"/>
      <c r="BD31" s="2">
        <v>7.4</v>
      </c>
      <c r="BE31" s="2">
        <v>10.4</v>
      </c>
      <c r="BF31" s="2">
        <v>10.8</v>
      </c>
      <c r="BG31" s="2">
        <v>11.3</v>
      </c>
      <c r="BH31" s="2">
        <v>15.5</v>
      </c>
      <c r="BI31" s="2"/>
      <c r="BJ31" s="2"/>
      <c r="BK31" s="2"/>
      <c r="BL31" s="2"/>
      <c r="BM31" s="2"/>
      <c r="BN31" s="2">
        <v>53</v>
      </c>
      <c r="BO31" s="2">
        <v>26</v>
      </c>
      <c r="BP31" s="2">
        <v>27</v>
      </c>
      <c r="BQ31" s="2">
        <v>29</v>
      </c>
      <c r="BR31" s="2">
        <v>31</v>
      </c>
      <c r="BS31" s="2">
        <v>35</v>
      </c>
      <c r="BT31" s="2">
        <v>59</v>
      </c>
      <c r="BU31" s="2">
        <v>133</v>
      </c>
      <c r="BV31" s="2">
        <v>178</v>
      </c>
      <c r="BW31" s="2">
        <v>222</v>
      </c>
      <c r="BX31" s="2">
        <v>333</v>
      </c>
      <c r="BY31" s="2">
        <v>56.3</v>
      </c>
      <c r="BZ31" s="2">
        <v>1.5</v>
      </c>
      <c r="CA31" s="2">
        <v>0.6</v>
      </c>
      <c r="CB31" s="2">
        <v>2.4388800158450598E-10</v>
      </c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>
        <v>59</v>
      </c>
      <c r="AX32" s="2" t="s">
        <v>300</v>
      </c>
      <c r="AY32" s="130">
        <v>21</v>
      </c>
      <c r="AZ32" s="2">
        <v>20</v>
      </c>
      <c r="BA32" s="2"/>
      <c r="BB32" s="2">
        <v>29</v>
      </c>
      <c r="BC32" s="2"/>
      <c r="BD32" s="2">
        <v>88.7</v>
      </c>
      <c r="BE32" s="2">
        <v>95.3</v>
      </c>
      <c r="BF32" s="2">
        <v>97</v>
      </c>
      <c r="BG32" s="2">
        <v>99.5</v>
      </c>
      <c r="BH32" s="2">
        <v>109.7</v>
      </c>
      <c r="BI32" s="2"/>
      <c r="BJ32" s="2"/>
      <c r="BK32" s="2"/>
      <c r="BL32" s="2"/>
      <c r="BM32" s="2"/>
      <c r="BN32" s="2">
        <v>100</v>
      </c>
      <c r="BO32" s="2">
        <v>26</v>
      </c>
      <c r="BP32" s="2">
        <v>30</v>
      </c>
      <c r="BQ32" s="2">
        <v>32</v>
      </c>
      <c r="BR32" s="2">
        <v>35</v>
      </c>
      <c r="BS32" s="2">
        <v>39</v>
      </c>
      <c r="BT32" s="2">
        <v>109</v>
      </c>
      <c r="BU32" s="2">
        <v>254</v>
      </c>
      <c r="BV32" s="2">
        <v>312</v>
      </c>
      <c r="BW32" s="2">
        <v>370</v>
      </c>
      <c r="BX32" s="2">
        <v>516</v>
      </c>
      <c r="BY32" s="2">
        <v>75</v>
      </c>
      <c r="BZ32" s="2">
        <v>4.3</v>
      </c>
      <c r="CA32" s="2">
        <v>1.2</v>
      </c>
      <c r="CB32" s="2">
        <v>3.6866363919564099E-7</v>
      </c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>
        <v>62</v>
      </c>
      <c r="AX33" s="2" t="s">
        <v>300</v>
      </c>
      <c r="AY33" s="130">
        <v>21</v>
      </c>
      <c r="AZ33" s="2">
        <v>20</v>
      </c>
      <c r="BA33" s="2"/>
      <c r="BB33" s="2">
        <v>29</v>
      </c>
      <c r="BC33" s="2"/>
      <c r="BD33" s="2">
        <v>48.7</v>
      </c>
      <c r="BE33" s="2">
        <v>55.3</v>
      </c>
      <c r="BF33" s="2">
        <v>56.9</v>
      </c>
      <c r="BG33" s="2">
        <v>59.5</v>
      </c>
      <c r="BH33" s="2">
        <v>69.7</v>
      </c>
      <c r="BI33" s="2"/>
      <c r="BJ33" s="2"/>
      <c r="BK33" s="2"/>
      <c r="BL33" s="2"/>
      <c r="BM33" s="2"/>
      <c r="BN33" s="2">
        <v>100</v>
      </c>
      <c r="BO33" s="2">
        <v>26</v>
      </c>
      <c r="BP33" s="2">
        <v>30</v>
      </c>
      <c r="BQ33" s="2">
        <v>32</v>
      </c>
      <c r="BR33" s="2">
        <v>35</v>
      </c>
      <c r="BS33" s="2">
        <v>39</v>
      </c>
      <c r="BT33" s="2">
        <v>73</v>
      </c>
      <c r="BU33" s="2">
        <v>218</v>
      </c>
      <c r="BV33" s="2">
        <v>277</v>
      </c>
      <c r="BW33" s="2">
        <v>335</v>
      </c>
      <c r="BX33" s="2">
        <v>480</v>
      </c>
      <c r="BY33" s="2">
        <v>75</v>
      </c>
      <c r="BZ33" s="2">
        <v>4.3</v>
      </c>
      <c r="CA33" s="2">
        <v>1.2</v>
      </c>
      <c r="CB33" s="2">
        <v>3.6866363919564099E-7</v>
      </c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  <c r="AW34" s="2">
        <v>62</v>
      </c>
      <c r="AX34" s="2" t="s">
        <v>302</v>
      </c>
      <c r="AY34" s="130">
        <v>27.7</v>
      </c>
      <c r="AZ34" s="2">
        <v>19.3</v>
      </c>
      <c r="BA34" s="2"/>
      <c r="BB34" s="2">
        <v>15</v>
      </c>
      <c r="BC34" s="2"/>
      <c r="BD34" s="2">
        <v>38</v>
      </c>
      <c r="BE34" s="2">
        <v>52.6</v>
      </c>
      <c r="BF34" s="2">
        <v>55.5</v>
      </c>
      <c r="BG34" s="2">
        <v>58.4</v>
      </c>
      <c r="BH34" s="2">
        <v>73.099999999999994</v>
      </c>
      <c r="BI34" s="2"/>
      <c r="BJ34" s="2"/>
      <c r="BK34" s="2"/>
      <c r="BL34" s="2"/>
      <c r="BM34" s="2"/>
      <c r="BN34" s="2">
        <v>83</v>
      </c>
      <c r="BO34" s="2">
        <v>26</v>
      </c>
      <c r="BP34" s="2">
        <v>29</v>
      </c>
      <c r="BQ34" s="2">
        <v>31</v>
      </c>
      <c r="BR34" s="2">
        <v>34</v>
      </c>
      <c r="BS34" s="2">
        <v>38</v>
      </c>
      <c r="BT34" s="2">
        <v>82</v>
      </c>
      <c r="BU34" s="2">
        <v>214</v>
      </c>
      <c r="BV34" s="2">
        <v>273</v>
      </c>
      <c r="BW34" s="2">
        <v>331</v>
      </c>
      <c r="BX34" s="2">
        <v>477</v>
      </c>
      <c r="BY34" s="2">
        <v>75</v>
      </c>
      <c r="BZ34" s="2">
        <v>2.9</v>
      </c>
      <c r="CA34" s="2">
        <v>0.9</v>
      </c>
      <c r="CB34" s="2">
        <v>3.1808718931852603E-8</v>
      </c>
      <c r="CC34" s="2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  <c r="AW35" s="2">
        <v>65.900000000000006</v>
      </c>
      <c r="AX35" s="2" t="s">
        <v>302</v>
      </c>
      <c r="AY35" s="130">
        <v>27.7</v>
      </c>
      <c r="AZ35" s="2">
        <v>19.3</v>
      </c>
      <c r="BA35" s="2"/>
      <c r="BB35" s="2">
        <v>15</v>
      </c>
      <c r="BC35" s="2"/>
      <c r="BD35" s="2">
        <v>20.6</v>
      </c>
      <c r="BE35" s="2">
        <v>35.1</v>
      </c>
      <c r="BF35" s="2">
        <v>38</v>
      </c>
      <c r="BG35" s="2">
        <v>41</v>
      </c>
      <c r="BH35" s="2">
        <v>55.7</v>
      </c>
      <c r="BI35" s="2"/>
      <c r="BJ35" s="2"/>
      <c r="BK35" s="2"/>
      <c r="BL35" s="2"/>
      <c r="BM35" s="2"/>
      <c r="BN35" s="2">
        <v>83</v>
      </c>
      <c r="BO35" s="2">
        <v>26</v>
      </c>
      <c r="BP35" s="2">
        <v>29</v>
      </c>
      <c r="BQ35" s="2">
        <v>31</v>
      </c>
      <c r="BR35" s="2">
        <v>34</v>
      </c>
      <c r="BS35" s="2">
        <v>38</v>
      </c>
      <c r="BT35" s="2">
        <v>65</v>
      </c>
      <c r="BU35" s="2">
        <v>198</v>
      </c>
      <c r="BV35" s="2">
        <v>256</v>
      </c>
      <c r="BW35" s="2">
        <v>314</v>
      </c>
      <c r="BX35" s="2">
        <v>460</v>
      </c>
      <c r="BY35" s="2">
        <v>75</v>
      </c>
      <c r="BZ35" s="2">
        <v>2.9</v>
      </c>
      <c r="CA35" s="2">
        <v>0.9</v>
      </c>
      <c r="CB35" s="2">
        <v>3.1808718931852603E-8</v>
      </c>
      <c r="CC35" s="2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  <c r="AW36" s="2">
        <v>65.900000000000006</v>
      </c>
      <c r="AX36" s="2" t="s">
        <v>273</v>
      </c>
      <c r="AY36" s="130">
        <v>32</v>
      </c>
      <c r="AZ36" s="2">
        <v>18.899999999999999</v>
      </c>
      <c r="BA36" s="2">
        <v>47</v>
      </c>
      <c r="BB36" s="2">
        <v>85</v>
      </c>
      <c r="BC36" s="2">
        <v>3</v>
      </c>
      <c r="BD36" s="2">
        <v>19.600000000000001</v>
      </c>
      <c r="BE36" s="2">
        <v>26.4</v>
      </c>
      <c r="BF36" s="2">
        <v>27.6</v>
      </c>
      <c r="BG36" s="2">
        <v>28.9</v>
      </c>
      <c r="BH36" s="2">
        <v>37</v>
      </c>
      <c r="BI36" s="2">
        <v>899</v>
      </c>
      <c r="BJ36" s="2">
        <v>1245</v>
      </c>
      <c r="BK36" s="2">
        <v>1314</v>
      </c>
      <c r="BL36" s="2">
        <v>1393</v>
      </c>
      <c r="BM36" s="2">
        <v>1800</v>
      </c>
      <c r="BN36" s="2"/>
      <c r="BO36" s="2"/>
      <c r="BP36" s="2"/>
      <c r="BQ36" s="2"/>
      <c r="BR36" s="2"/>
      <c r="BS36" s="2"/>
      <c r="BT36" s="2">
        <v>434</v>
      </c>
      <c r="BU36" s="2">
        <v>1346</v>
      </c>
      <c r="BV36" s="2">
        <v>1453</v>
      </c>
      <c r="BW36" s="2">
        <v>1578</v>
      </c>
      <c r="BX36" s="2">
        <v>2875</v>
      </c>
      <c r="BY36" s="2">
        <v>76.900000000000006</v>
      </c>
      <c r="BZ36" s="2">
        <v>9</v>
      </c>
      <c r="CA36" s="2">
        <v>3</v>
      </c>
      <c r="CB36" s="2">
        <v>4.8679854484033103E-10</v>
      </c>
      <c r="CC36" s="2">
        <v>1.8</v>
      </c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  <c r="AW37" s="2">
        <v>70</v>
      </c>
      <c r="AX37" s="2" t="s">
        <v>273</v>
      </c>
      <c r="AY37" s="130">
        <v>32</v>
      </c>
      <c r="AZ37" s="2">
        <v>18.899999999999999</v>
      </c>
      <c r="BA37" s="2">
        <v>47</v>
      </c>
      <c r="BB37" s="2">
        <v>85</v>
      </c>
      <c r="BC37" s="2">
        <v>3</v>
      </c>
      <c r="BD37" s="2">
        <v>5.2</v>
      </c>
      <c r="BE37" s="2">
        <v>12</v>
      </c>
      <c r="BF37" s="2">
        <v>13.1</v>
      </c>
      <c r="BG37" s="2">
        <v>14.5</v>
      </c>
      <c r="BH37" s="2">
        <v>22.5</v>
      </c>
      <c r="BI37" s="2">
        <v>174</v>
      </c>
      <c r="BJ37" s="2">
        <v>519</v>
      </c>
      <c r="BK37" s="2">
        <v>589</v>
      </c>
      <c r="BL37" s="2">
        <v>667</v>
      </c>
      <c r="BM37" s="2">
        <v>1075</v>
      </c>
      <c r="BN37" s="2"/>
      <c r="BO37" s="2"/>
      <c r="BP37" s="2"/>
      <c r="BQ37" s="2"/>
      <c r="BR37" s="2"/>
      <c r="BS37" s="2"/>
      <c r="BT37" s="2">
        <v>434</v>
      </c>
      <c r="BU37" s="2">
        <v>1346</v>
      </c>
      <c r="BV37" s="2">
        <v>1453</v>
      </c>
      <c r="BW37" s="2">
        <v>1578</v>
      </c>
      <c r="BX37" s="2">
        <v>2875</v>
      </c>
      <c r="BY37" s="2">
        <v>76.900000000000006</v>
      </c>
      <c r="BZ37" s="2">
        <v>9</v>
      </c>
      <c r="CA37" s="2">
        <v>3</v>
      </c>
      <c r="CB37" s="2">
        <v>4.8679854484033103E-10</v>
      </c>
      <c r="CC37" s="2">
        <v>1.8</v>
      </c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  <c r="AW38" s="2">
        <v>70</v>
      </c>
      <c r="AX38" s="2" t="s">
        <v>273</v>
      </c>
      <c r="AY38" s="130">
        <v>32</v>
      </c>
      <c r="AZ38" s="2">
        <v>18.899999999999999</v>
      </c>
      <c r="BA38" s="2">
        <v>47</v>
      </c>
      <c r="BB38" s="2">
        <v>85</v>
      </c>
      <c r="BC38" s="2">
        <v>3</v>
      </c>
      <c r="BD38" s="2">
        <v>10.3</v>
      </c>
      <c r="BE38" s="2">
        <v>13</v>
      </c>
      <c r="BF38" s="2">
        <v>13.3</v>
      </c>
      <c r="BG38" s="2">
        <v>13.8</v>
      </c>
      <c r="BH38" s="2">
        <v>18.600000000000001</v>
      </c>
      <c r="BI38" s="2">
        <v>401</v>
      </c>
      <c r="BJ38" s="2">
        <v>551</v>
      </c>
      <c r="BK38" s="2">
        <v>596</v>
      </c>
      <c r="BL38" s="2">
        <v>647</v>
      </c>
      <c r="BM38" s="2">
        <v>889</v>
      </c>
      <c r="BN38" s="2"/>
      <c r="BO38" s="2"/>
      <c r="BP38" s="2"/>
      <c r="BQ38" s="2"/>
      <c r="BR38" s="2"/>
      <c r="BS38" s="2"/>
      <c r="BT38" s="2">
        <v>527</v>
      </c>
      <c r="BU38" s="2">
        <v>788</v>
      </c>
      <c r="BV38" s="2">
        <v>879</v>
      </c>
      <c r="BW38" s="2">
        <v>975</v>
      </c>
      <c r="BX38" s="2">
        <v>1393</v>
      </c>
      <c r="BY38" s="2">
        <v>47.1</v>
      </c>
      <c r="BZ38" s="2">
        <v>4.8</v>
      </c>
      <c r="CA38" s="2">
        <v>2.9</v>
      </c>
      <c r="CB38" s="2">
        <v>1.1361802293208701E-10</v>
      </c>
      <c r="CC38" s="2">
        <v>1.8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  <c r="AW39" s="2">
        <v>80</v>
      </c>
      <c r="AX39" s="2" t="s">
        <v>273</v>
      </c>
      <c r="AY39" s="130">
        <v>32</v>
      </c>
      <c r="AZ39" s="2">
        <v>18.899999999999999</v>
      </c>
      <c r="BA39" s="2">
        <v>47</v>
      </c>
      <c r="BB39" s="2">
        <v>85</v>
      </c>
      <c r="BC39" s="2">
        <v>3</v>
      </c>
      <c r="BD39" s="2">
        <v>9.4</v>
      </c>
      <c r="BE39" s="2">
        <v>12.1</v>
      </c>
      <c r="BF39" s="2">
        <v>12.4</v>
      </c>
      <c r="BG39" s="2">
        <v>12.9</v>
      </c>
      <c r="BH39" s="2">
        <v>17.600000000000001</v>
      </c>
      <c r="BI39" s="2">
        <v>347</v>
      </c>
      <c r="BJ39" s="2">
        <v>496</v>
      </c>
      <c r="BK39" s="2">
        <v>542</v>
      </c>
      <c r="BL39" s="2">
        <v>592</v>
      </c>
      <c r="BM39" s="2">
        <v>834</v>
      </c>
      <c r="BN39" s="2"/>
      <c r="BO39" s="2"/>
      <c r="BP39" s="2"/>
      <c r="BQ39" s="2"/>
      <c r="BR39" s="2"/>
      <c r="BS39" s="2"/>
      <c r="BT39" s="2">
        <v>447</v>
      </c>
      <c r="BU39" s="2">
        <v>708</v>
      </c>
      <c r="BV39" s="2">
        <v>798</v>
      </c>
      <c r="BW39" s="2">
        <v>895</v>
      </c>
      <c r="BX39" s="2">
        <v>1312</v>
      </c>
      <c r="BY39" s="2">
        <v>47.1</v>
      </c>
      <c r="BZ39" s="2">
        <v>4.8</v>
      </c>
      <c r="CA39" s="2">
        <v>2.9</v>
      </c>
      <c r="CB39" s="2">
        <v>1.1361802293208701E-10</v>
      </c>
      <c r="CC39" s="2">
        <v>1.8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2011" priority="12">
      <formula>$L32="API sand"</formula>
    </cfRule>
  </conditionalFormatting>
  <conditionalFormatting sqref="R32:S36 AB32:AB35 AJ32:AL36 Z32:Z36 N32:N36">
    <cfRule type="expression" dxfId="2010" priority="11">
      <formula>$M32="API sand"</formula>
    </cfRule>
  </conditionalFormatting>
  <conditionalFormatting sqref="R32:T36 Z32:AB35 AK32:AL36 N32:N36">
    <cfRule type="expression" dxfId="2009" priority="10">
      <formula>$M32="API clay"</formula>
    </cfRule>
  </conditionalFormatting>
  <conditionalFormatting sqref="U32:W36 AM32:AP36 N32:P36">
    <cfRule type="expression" dxfId="2008" priority="7">
      <formula>$L32="Stiff clay w/o free water"</formula>
    </cfRule>
    <cfRule type="expression" dxfId="2007" priority="9">
      <formula>$L32="API clay"</formula>
    </cfRule>
  </conditionalFormatting>
  <conditionalFormatting sqref="U32:Y36 AM32:AP36 N32:P36">
    <cfRule type="expression" dxfId="2006" priority="8">
      <formula>$L32="Kirsch soft clay"</formula>
    </cfRule>
  </conditionalFormatting>
  <conditionalFormatting sqref="U32:Y36 AM32:AP36 N32:P36">
    <cfRule type="expression" dxfId="2005" priority="6">
      <formula>$L32="Kirsch stiff clay"</formula>
    </cfRule>
  </conditionalFormatting>
  <conditionalFormatting sqref="AM32:AP36 Q32:Q36 X32:Y36 N32:N36">
    <cfRule type="expression" dxfId="2004" priority="5">
      <formula>$L32="Kirsch sand"</formula>
    </cfRule>
  </conditionalFormatting>
  <conditionalFormatting sqref="AC32:AD36 AI32:AI36 AM32:AP36 N32:N36">
    <cfRule type="expression" dxfId="2003" priority="4">
      <formula>$L32="Modified Weak rock"</formula>
    </cfRule>
  </conditionalFormatting>
  <conditionalFormatting sqref="AM32:AP36 N32:P36 U32:V36">
    <cfRule type="expression" dxfId="2002" priority="3">
      <formula>$L32="Reese stiff clay"</formula>
    </cfRule>
  </conditionalFormatting>
  <conditionalFormatting sqref="AB36">
    <cfRule type="expression" dxfId="2001" priority="2">
      <formula>$M36="API sand"</formula>
    </cfRule>
  </conditionalFormatting>
  <conditionalFormatting sqref="Z36:AB36">
    <cfRule type="expression" dxfId="2000" priority="1">
      <formula>$M36="API clay"</formula>
    </cfRule>
  </conditionalFormatting>
  <conditionalFormatting sqref="AE37:AH37">
    <cfRule type="expression" dxfId="1999" priority="13">
      <formula>#REF!="Modified Weak rock"</formula>
    </cfRule>
  </conditionalFormatting>
  <dataValidations count="4">
    <dataValidation type="textLength" showInputMessage="1" showErrorMessage="1" sqref="M27:M31" xr:uid="{DE69DECD-3373-4B03-97E4-7560CFD4D8B3}">
      <formula1>0</formula1>
      <formula2>100</formula2>
    </dataValidation>
    <dataValidation showInputMessage="1" showErrorMessage="1" sqref="L6:M26" xr:uid="{61B04F3D-A888-4CE0-9CD8-C9834F39CED4}"/>
    <dataValidation type="list" showInputMessage="1" showErrorMessage="1" sqref="L32:L255" xr:uid="{CC8C86F6-4738-4C5A-B4BF-8EA30FADB441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5736BB52-3BBE-4E1B-864B-E3D76C70CD78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13C7F-ED5E-41B0-9EA6-D5B1E48BAB65}">
  <sheetPr>
    <tabColor rgb="FFFFFF00"/>
  </sheetPr>
  <dimension ref="A1:CC255"/>
  <sheetViews>
    <sheetView zoomScale="85" zoomScaleNormal="85" workbookViewId="0">
      <selection activeCell="I5" sqref="I5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MODEL_EW1_Pisa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28"/>
      <c r="R3" s="155"/>
      <c r="S3" s="155"/>
      <c r="T3" s="128"/>
      <c r="U3" s="155"/>
      <c r="V3" s="155"/>
      <c r="W3" s="128"/>
      <c r="X3" s="69"/>
      <c r="Y3" s="128"/>
      <c r="Z3" s="128"/>
      <c r="AA3" s="128"/>
      <c r="AB3" s="128"/>
      <c r="AC3" s="69"/>
      <c r="AD3" s="39"/>
      <c r="AE3" s="39"/>
      <c r="AF3" s="39"/>
      <c r="AG3" s="39"/>
      <c r="AH3" s="39"/>
      <c r="AI3" s="39"/>
      <c r="AJ3" s="128"/>
      <c r="AK3" s="128"/>
      <c r="AL3" s="128"/>
      <c r="AM3" s="128"/>
      <c r="AN3" s="128"/>
      <c r="AO3" s="128"/>
      <c r="AP3" s="128"/>
      <c r="AW3" s="35" t="s">
        <v>316</v>
      </c>
    </row>
    <row r="4" spans="1:81" x14ac:dyDescent="0.25">
      <c r="A4" s="40" t="s">
        <v>60</v>
      </c>
      <c r="B4" s="33">
        <f ca="1"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29" t="s">
        <v>38</v>
      </c>
      <c r="K5" s="129" t="s">
        <v>30</v>
      </c>
      <c r="L5" s="129" t="s">
        <v>31</v>
      </c>
      <c r="M5" s="129" t="s">
        <v>31</v>
      </c>
      <c r="N5" s="129" t="s">
        <v>32</v>
      </c>
      <c r="O5" s="129" t="s">
        <v>33</v>
      </c>
      <c r="P5" s="129" t="s">
        <v>35</v>
      </c>
      <c r="Q5" s="129" t="s">
        <v>36</v>
      </c>
      <c r="R5" s="129" t="s">
        <v>36</v>
      </c>
      <c r="S5" s="129" t="s">
        <v>34</v>
      </c>
      <c r="T5" s="129" t="s">
        <v>33</v>
      </c>
      <c r="U5" s="129" t="s">
        <v>34</v>
      </c>
      <c r="V5" s="129" t="s">
        <v>62</v>
      </c>
      <c r="W5" s="129" t="s">
        <v>34</v>
      </c>
      <c r="X5" s="129" t="s">
        <v>33</v>
      </c>
      <c r="Y5" s="129" t="s">
        <v>35</v>
      </c>
      <c r="Z5" s="129" t="s">
        <v>33</v>
      </c>
      <c r="AA5" s="129" t="s">
        <v>34</v>
      </c>
      <c r="AB5" s="129" t="s">
        <v>33</v>
      </c>
      <c r="AC5" s="129" t="s">
        <v>33</v>
      </c>
      <c r="AD5" s="129" t="s">
        <v>35</v>
      </c>
      <c r="AE5" s="129" t="s">
        <v>34</v>
      </c>
      <c r="AF5" s="129" t="s">
        <v>33</v>
      </c>
      <c r="AG5" s="129" t="s">
        <v>35</v>
      </c>
      <c r="AH5" s="129" t="s">
        <v>34</v>
      </c>
      <c r="AI5" s="129" t="s">
        <v>34</v>
      </c>
      <c r="AJ5" s="129" t="s">
        <v>34</v>
      </c>
      <c r="AK5" s="129" t="s">
        <v>34</v>
      </c>
      <c r="AL5" s="129" t="s">
        <v>34</v>
      </c>
      <c r="AM5" s="129" t="s">
        <v>34</v>
      </c>
      <c r="AN5" s="129" t="s">
        <v>34</v>
      </c>
      <c r="AO5" s="129" t="s">
        <v>34</v>
      </c>
      <c r="AP5" s="129" t="s">
        <v>34</v>
      </c>
      <c r="AQ5" s="129" t="s">
        <v>103</v>
      </c>
      <c r="AR5" s="129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IF(I6="","",IF(AND(OFFSET($BJ$6,(ROW()-6)*2,0)&lt;&gt;"",OFFSET($BJ$6,(ROW()-6)*2,0)&lt;250),"Cowden Clay",IF(AND(OFFSET($BJ$6,(ROW()-6)*2,0)&lt;&gt;"",OFFSET($BJ$6,(ROW()-6)*2,0)&gt;=250),"Cowden Clay","EW_sand_Ruled"&amp;"_"&amp;AR6)))</f>
        <v>EW_sand_Ruled_69</v>
      </c>
      <c r="M6" s="105" t="str">
        <f t="shared" ref="M6:M26" ca="1" si="2">IF(I6="","",IF(EXACT(L6,"Cowden Clay"),"API clay","API sand"))</f>
        <v>API sand</v>
      </c>
      <c r="N6" s="47">
        <f t="shared" ref="N6:N26" ca="1" si="3">IF(OFFSET($AZ$6,(ROW()-6)*2,0)=0,"",OFFSET($AZ$6,(ROW()-6)*2,0)-10)</f>
        <v>9.6999999999999993</v>
      </c>
      <c r="O6" s="63">
        <f ca="1">IF(I6="","",IF(OFFSET($BJ$6,(ROW()-6)*2,0)="",0,OFFSET($BJ$6,(ROW()-6)*2,0)))</f>
        <v>0</v>
      </c>
      <c r="P6" s="63">
        <f ca="1">IF(I6="","",IF(OFFSET($BJ$6,(ROW()-6)*2,0)="",0,(OFFSET($BJ$6,(ROW()-6)*2+1,0)-OFFSET($BJ$6,(ROW()-6)*2,0))/(OFFSET($AW$6,(ROW()-6)*2+1,0)-OFFSET($AW$6,(ROW()-6)*2,0))))</f>
        <v>0</v>
      </c>
      <c r="Q6" s="47">
        <f t="shared" ref="Q6:Q27" ca="1" si="4">IF(I6="","",IF(OFFSET($BP$6,(ROW()-6)*2,0)=0,0,OFFSET($BP$6,(ROW()-6)*2,0)))</f>
        <v>32</v>
      </c>
      <c r="R6" s="47">
        <f t="shared" ref="R6:R26" ca="1" si="5">IF(I6="","",IF(Q6&lt;&gt;0,Q6-5,NA()))</f>
        <v>27</v>
      </c>
      <c r="S6" s="47">
        <f t="shared" ref="S6:S26" ca="1" si="6">IF(I6="","",IF(OFFSET($CA$6,(ROW()-6)*2,0)=0,0,OFFSET($CA$6,(ROW()-6)*2,0)))</f>
        <v>0.5</v>
      </c>
      <c r="T6" s="47">
        <f t="shared" ref="T6:T26" ca="1" si="7">IF(I6="","",0)</f>
        <v>0</v>
      </c>
      <c r="U6" s="75">
        <f t="shared" ref="U6:U26" ca="1" si="8">IF(I6="","",IF(EXACT(L6,"Cowden Clay"),0.018,0))</f>
        <v>0</v>
      </c>
      <c r="V6" s="75">
        <f t="shared" ref="V6:V26" ca="1" si="9">IF(I6="","",0)</f>
        <v>0</v>
      </c>
      <c r="W6" s="47">
        <f ca="1">IF(I6="","",IF(AND(O6&lt;&gt;0,O6&lt;250),0.5,IF(AND(O6&lt;&gt;0,O6&gt;=250),0.25,0)))</f>
        <v>0</v>
      </c>
      <c r="X6" s="47">
        <f t="shared" ref="X6:X25" ca="1" si="10">IF(I6="","",IF(OFFSET($BY$6,(ROW()-6)*2,0)=0,0,OFFSET($BY$6,(ROW()-6)*2,0)*1000))</f>
        <v>2500</v>
      </c>
      <c r="Y6" s="47">
        <f t="shared" ref="Y6:Y26" ca="1" si="11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2">IF(I6="","",VLOOKUP(R6,$AE$39:$AF$59,2))</f>
        <v>86.999999999999972</v>
      </c>
      <c r="AA6" s="47">
        <f t="shared" ref="AA6:AA26" ca="1" si="13">IF(I6="","",1)</f>
        <v>1</v>
      </c>
      <c r="AB6" s="47">
        <f t="shared" ref="AB6:AB26" ca="1" si="14">IF(I6="","",VLOOKUP(R6,$AE$39:$AG$59,3))</f>
        <v>6720</v>
      </c>
      <c r="AC6" s="63">
        <f t="shared" ref="AC6:AC26" ca="1" si="15">IF(I6="","",IF(OFFSET($BV$6,(ROW()-6)*2,0)=0,0,OFFSET($BV$6,(ROW()-6)*2,0)*1000))</f>
        <v>5000</v>
      </c>
      <c r="AD6" s="63">
        <f t="shared" ref="AD6:AD26" ca="1" si="16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17">IF(I6="","",0.3)</f>
        <v>0.3</v>
      </c>
      <c r="AF6" s="63">
        <f t="shared" ref="AF6:AF26" ca="1" si="18">IF(I6="","",0)</f>
        <v>0</v>
      </c>
      <c r="AG6" s="63">
        <f t="shared" ref="AG6:AG26" ca="1" si="19">IF(I6="","",0)</f>
        <v>0</v>
      </c>
      <c r="AH6" s="63">
        <f t="shared" ref="AH6:AH26" ca="1" si="20">IF(I6="","",0)</f>
        <v>0</v>
      </c>
      <c r="AI6" s="63">
        <f t="shared" ref="AI6:AI26" ca="1" si="21">IF(I6="","",0)</f>
        <v>0</v>
      </c>
      <c r="AJ6" s="47">
        <f t="shared" ref="AJ6:AJ27" ca="1" si="22">IF(I6="","",VLOOKUP(R6,$AE$39:$AH$59,4))</f>
        <v>28.000000000000007</v>
      </c>
      <c r="AK6" s="47">
        <f t="shared" ref="AK6:AK27" ca="1" si="23">IF(I6="","",1)</f>
        <v>1</v>
      </c>
      <c r="AL6" s="47">
        <f t="shared" ref="AL6:AL25" ca="1" si="24">IF(I6="","",1)</f>
        <v>1</v>
      </c>
      <c r="AM6" s="47">
        <f t="shared" ref="AM6:AM26" ca="1" si="25">IF(I6="","",1)</f>
        <v>1</v>
      </c>
      <c r="AN6" s="47">
        <f t="shared" ref="AN6:AN27" ca="1" si="26">IF(I6="","",1)</f>
        <v>1</v>
      </c>
      <c r="AO6" s="47">
        <f t="shared" ref="AO6:AO27" ca="1" si="27">IF(I6="","",1)</f>
        <v>1</v>
      </c>
      <c r="AP6" s="47">
        <f t="shared" ref="AP6:AP26" ca="1" si="28">IF(I6="","",1)</f>
        <v>1</v>
      </c>
      <c r="AQ6" s="47">
        <f t="shared" ref="AQ6:AQ28" ca="1" si="29">IF(I6="","",0)</f>
        <v>0</v>
      </c>
      <c r="AR6" s="47">
        <f t="shared" ref="AR6:AR27" ca="1" si="30">IF(I6="","",IF(OFFSET($BN$6,(ROW()-6)*2,0)=0,0,OFFSET($BN$6,(ROW()-6)*2,0)))</f>
        <v>69</v>
      </c>
      <c r="AS6" s="33">
        <f t="shared" ref="AS6:AS26" ca="1" si="31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0.2</v>
      </c>
      <c r="BF6" s="2">
        <v>0.3</v>
      </c>
      <c r="BG6" s="2">
        <v>0.4</v>
      </c>
      <c r="BH6" s="2">
        <v>0.7</v>
      </c>
      <c r="BI6" s="2"/>
      <c r="BJ6" s="2"/>
      <c r="BK6" s="2"/>
      <c r="BL6" s="2"/>
      <c r="BM6" s="2"/>
      <c r="BN6" s="2">
        <v>69</v>
      </c>
      <c r="BO6" s="2">
        <v>22</v>
      </c>
      <c r="BP6" s="2">
        <v>32</v>
      </c>
      <c r="BQ6" s="2">
        <v>35</v>
      </c>
      <c r="BR6" s="2">
        <v>38</v>
      </c>
      <c r="BS6" s="2">
        <v>46</v>
      </c>
      <c r="BT6" s="2">
        <v>0</v>
      </c>
      <c r="BU6" s="2">
        <v>2</v>
      </c>
      <c r="BV6" s="2">
        <v>5</v>
      </c>
      <c r="BW6" s="2">
        <v>8</v>
      </c>
      <c r="BX6" s="2">
        <v>14</v>
      </c>
      <c r="BY6" s="2">
        <v>2.5</v>
      </c>
      <c r="BZ6" s="2">
        <v>1</v>
      </c>
      <c r="CA6" s="2">
        <v>0.5</v>
      </c>
      <c r="CB6" s="2">
        <v>7.1621749230272402E-6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2">IF(I7&lt;&gt;"",J6+1,"")</f>
        <v>2</v>
      </c>
      <c r="K7" s="19">
        <f t="shared" ref="K7:K21" ca="1" si="33">IF(OFFSET($AW$6,(ROW()-6)*2,0)=0,"",-OFFSET($AW$6,(ROW()-6)*2,0))</f>
        <v>-0.5</v>
      </c>
      <c r="L7" s="116" t="str">
        <f t="shared" ca="1" si="1"/>
        <v>EW_sand_Ruled_60</v>
      </c>
      <c r="M7" s="105" t="str">
        <f t="shared" ca="1" si="2"/>
        <v>API sand</v>
      </c>
      <c r="N7" s="47">
        <f t="shared" ca="1" si="3"/>
        <v>9.6999999999999993</v>
      </c>
      <c r="O7" s="63">
        <f t="shared" ref="O7:O26" ca="1" si="34">IF(I7="","",IF(OFFSET($BJ$6,(ROW()-6)*2,0)=0,0,OFFSET($BJ$6,(ROW()-6)*2,0)))</f>
        <v>0</v>
      </c>
      <c r="P7" s="63">
        <f t="shared" ref="P7:P26" ca="1" si="35">IF(I7="","",IF(OFFSET($BJ$6,(ROW()-6)*2,0)=0,0,(OFFSET($BJ$6,(ROW()-6)*2+1,0)-OFFSET($BJ$6,(ROW()-6)*2,0))/(OFFSET($AW$6,(ROW()-6)*2+1,0)-OFFSET($AW$6,(ROW()-6)*2,0))))</f>
        <v>0</v>
      </c>
      <c r="Q7" s="47">
        <f t="shared" ca="1" si="4"/>
        <v>37</v>
      </c>
      <c r="R7" s="47">
        <f t="shared" ca="1" si="5"/>
        <v>32</v>
      </c>
      <c r="S7" s="47">
        <f t="shared" ca="1" si="6"/>
        <v>0.5</v>
      </c>
      <c r="T7" s="47">
        <f t="shared" ca="1" si="7"/>
        <v>0</v>
      </c>
      <c r="U7" s="75">
        <f t="shared" ca="1" si="8"/>
        <v>0</v>
      </c>
      <c r="V7" s="75">
        <f t="shared" ca="1" si="9"/>
        <v>0</v>
      </c>
      <c r="W7" s="47">
        <f t="shared" ref="W7:W26" ca="1" si="36">IF(I7="","",IF(AND(O7&lt;&gt;0,O7&lt;250),0.5,IF(AND(O7&lt;&gt;0,O7&gt;=250),0.25,0)))</f>
        <v>0</v>
      </c>
      <c r="X7" s="47">
        <f t="shared" ca="1" si="10"/>
        <v>12400</v>
      </c>
      <c r="Y7" s="47">
        <f t="shared" ca="1" si="11"/>
        <v>0</v>
      </c>
      <c r="Z7" s="47">
        <f t="shared" ca="1" si="12"/>
        <v>103.59999999999997</v>
      </c>
      <c r="AA7" s="47">
        <f t="shared" ca="1" si="13"/>
        <v>1</v>
      </c>
      <c r="AB7" s="47">
        <f t="shared" ca="1" si="14"/>
        <v>10560</v>
      </c>
      <c r="AC7" s="63">
        <f t="shared" ca="1" si="15"/>
        <v>19000</v>
      </c>
      <c r="AD7" s="63">
        <f t="shared" ca="1" si="16"/>
        <v>21250</v>
      </c>
      <c r="AE7" s="63">
        <f t="shared" ca="1" si="17"/>
        <v>0.3</v>
      </c>
      <c r="AF7" s="63">
        <f t="shared" ca="1" si="18"/>
        <v>0</v>
      </c>
      <c r="AG7" s="63">
        <f t="shared" ca="1" si="19"/>
        <v>0</v>
      </c>
      <c r="AH7" s="63">
        <f t="shared" ca="1" si="20"/>
        <v>0</v>
      </c>
      <c r="AI7" s="63">
        <f t="shared" ca="1" si="21"/>
        <v>0</v>
      </c>
      <c r="AJ7" s="47">
        <f t="shared" ca="1" si="22"/>
        <v>44.000000000000007</v>
      </c>
      <c r="AK7" s="47">
        <f t="shared" ca="1" si="23"/>
        <v>1</v>
      </c>
      <c r="AL7" s="47">
        <f t="shared" ca="1" si="24"/>
        <v>1</v>
      </c>
      <c r="AM7" s="47">
        <f t="shared" ca="1" si="25"/>
        <v>1</v>
      </c>
      <c r="AN7" s="47">
        <f t="shared" ca="1" si="26"/>
        <v>1</v>
      </c>
      <c r="AO7" s="47">
        <f t="shared" ca="1" si="27"/>
        <v>1</v>
      </c>
      <c r="AP7" s="47">
        <f t="shared" ca="1" si="28"/>
        <v>1</v>
      </c>
      <c r="AQ7" s="47">
        <f t="shared" ca="1" si="29"/>
        <v>0</v>
      </c>
      <c r="AR7" s="47">
        <f t="shared" ca="1" si="30"/>
        <v>60</v>
      </c>
      <c r="AS7" s="33">
        <f t="shared" ca="1" si="31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0.6</v>
      </c>
      <c r="BE7" s="2">
        <v>0.8</v>
      </c>
      <c r="BF7" s="2">
        <v>0.9</v>
      </c>
      <c r="BG7" s="2">
        <v>1.1000000000000001</v>
      </c>
      <c r="BH7" s="2">
        <v>1.3</v>
      </c>
      <c r="BI7" s="2"/>
      <c r="BJ7" s="2"/>
      <c r="BK7" s="2"/>
      <c r="BL7" s="2"/>
      <c r="BM7" s="2"/>
      <c r="BN7" s="2">
        <v>69</v>
      </c>
      <c r="BO7" s="2">
        <v>22</v>
      </c>
      <c r="BP7" s="2">
        <v>32</v>
      </c>
      <c r="BQ7" s="2">
        <v>35</v>
      </c>
      <c r="BR7" s="2">
        <v>38</v>
      </c>
      <c r="BS7" s="2">
        <v>46</v>
      </c>
      <c r="BT7" s="2">
        <v>7</v>
      </c>
      <c r="BU7" s="2">
        <v>13</v>
      </c>
      <c r="BV7" s="2">
        <v>16</v>
      </c>
      <c r="BW7" s="2">
        <v>19</v>
      </c>
      <c r="BX7" s="2">
        <v>25</v>
      </c>
      <c r="BY7" s="2">
        <v>2.5</v>
      </c>
      <c r="BZ7" s="2">
        <v>1</v>
      </c>
      <c r="CA7" s="2">
        <v>0.5</v>
      </c>
      <c r="CB7" s="2">
        <v>7.1621749230272402E-6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10a</v>
      </c>
      <c r="J8" s="47">
        <f t="shared" ca="1" si="32"/>
        <v>3</v>
      </c>
      <c r="K8" s="19">
        <f t="shared" ca="1" si="33"/>
        <v>-1.3</v>
      </c>
      <c r="L8" s="116" t="str">
        <f t="shared" ca="1" si="1"/>
        <v>EW_sand_Ruled_53</v>
      </c>
      <c r="M8" s="105" t="str">
        <f t="shared" ca="1" si="2"/>
        <v>API sand</v>
      </c>
      <c r="N8" s="47">
        <f t="shared" ca="1" si="3"/>
        <v>10</v>
      </c>
      <c r="O8" s="63">
        <f t="shared" ca="1" si="34"/>
        <v>0</v>
      </c>
      <c r="P8" s="63">
        <f t="shared" ca="1" si="35"/>
        <v>0</v>
      </c>
      <c r="Q8" s="47">
        <f t="shared" ca="1" si="4"/>
        <v>37</v>
      </c>
      <c r="R8" s="47">
        <f t="shared" ca="1" si="5"/>
        <v>32</v>
      </c>
      <c r="S8" s="47">
        <f t="shared" ca="1" si="6"/>
        <v>1.9</v>
      </c>
      <c r="T8" s="47">
        <f t="shared" ca="1" si="7"/>
        <v>0</v>
      </c>
      <c r="U8" s="75">
        <f t="shared" ca="1" si="8"/>
        <v>0</v>
      </c>
      <c r="V8" s="75">
        <f t="shared" ca="1" si="9"/>
        <v>0</v>
      </c>
      <c r="W8" s="47">
        <f t="shared" ca="1" si="36"/>
        <v>0</v>
      </c>
      <c r="X8" s="47">
        <f t="shared" ca="1" si="10"/>
        <v>18600</v>
      </c>
      <c r="Y8" s="47">
        <f t="shared" ca="1" si="11"/>
        <v>0</v>
      </c>
      <c r="Z8" s="47">
        <f t="shared" ca="1" si="12"/>
        <v>103.59999999999997</v>
      </c>
      <c r="AA8" s="47">
        <f t="shared" ca="1" si="13"/>
        <v>1</v>
      </c>
      <c r="AB8" s="47">
        <f t="shared" ca="1" si="14"/>
        <v>10560</v>
      </c>
      <c r="AC8" s="63">
        <f t="shared" ca="1" si="15"/>
        <v>30000</v>
      </c>
      <c r="AD8" s="63">
        <f t="shared" ca="1" si="16"/>
        <v>22857.142857142859</v>
      </c>
      <c r="AE8" s="63">
        <f t="shared" ca="1" si="17"/>
        <v>0.3</v>
      </c>
      <c r="AF8" s="63">
        <f t="shared" ca="1" si="18"/>
        <v>0</v>
      </c>
      <c r="AG8" s="63">
        <f t="shared" ca="1" si="19"/>
        <v>0</v>
      </c>
      <c r="AH8" s="63">
        <f t="shared" ca="1" si="20"/>
        <v>0</v>
      </c>
      <c r="AI8" s="63">
        <f t="shared" ca="1" si="21"/>
        <v>0</v>
      </c>
      <c r="AJ8" s="47">
        <f t="shared" ca="1" si="22"/>
        <v>44.000000000000007</v>
      </c>
      <c r="AK8" s="47">
        <f t="shared" ca="1" si="23"/>
        <v>1</v>
      </c>
      <c r="AL8" s="47">
        <f t="shared" ca="1" si="24"/>
        <v>1</v>
      </c>
      <c r="AM8" s="47">
        <f t="shared" ca="1" si="25"/>
        <v>1</v>
      </c>
      <c r="AN8" s="47">
        <f t="shared" ca="1" si="26"/>
        <v>1</v>
      </c>
      <c r="AO8" s="47">
        <f t="shared" ca="1" si="27"/>
        <v>1</v>
      </c>
      <c r="AP8" s="47">
        <f t="shared" ca="1" si="28"/>
        <v>1</v>
      </c>
      <c r="AQ8" s="47">
        <f t="shared" ca="1" si="29"/>
        <v>0</v>
      </c>
      <c r="AR8" s="47">
        <f t="shared" ca="1" si="30"/>
        <v>53</v>
      </c>
      <c r="AS8" s="33">
        <f t="shared" ca="1" si="31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0.6</v>
      </c>
      <c r="BE8" s="2">
        <v>1.6</v>
      </c>
      <c r="BF8" s="2">
        <v>1.9</v>
      </c>
      <c r="BG8" s="2">
        <v>2.2999999999999998</v>
      </c>
      <c r="BH8" s="2">
        <v>3.3</v>
      </c>
      <c r="BI8" s="2"/>
      <c r="BJ8" s="2"/>
      <c r="BK8" s="2"/>
      <c r="BL8" s="2"/>
      <c r="BM8" s="2"/>
      <c r="BN8" s="2">
        <v>60</v>
      </c>
      <c r="BO8" s="2">
        <v>31</v>
      </c>
      <c r="BP8" s="2">
        <v>37</v>
      </c>
      <c r="BQ8" s="2">
        <v>40</v>
      </c>
      <c r="BR8" s="2">
        <v>43</v>
      </c>
      <c r="BS8" s="2">
        <v>48</v>
      </c>
      <c r="BT8" s="2">
        <v>0</v>
      </c>
      <c r="BU8" s="2">
        <v>12</v>
      </c>
      <c r="BV8" s="2">
        <v>19</v>
      </c>
      <c r="BW8" s="2">
        <v>26</v>
      </c>
      <c r="BX8" s="2">
        <v>43</v>
      </c>
      <c r="BY8" s="2">
        <v>12.4</v>
      </c>
      <c r="BZ8" s="2">
        <v>1</v>
      </c>
      <c r="CA8" s="2">
        <v>0.5</v>
      </c>
      <c r="CB8" s="2">
        <v>7.1621749230272402E-6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10b</v>
      </c>
      <c r="J9" s="47">
        <f t="shared" ca="1" si="32"/>
        <v>4</v>
      </c>
      <c r="K9" s="19">
        <f t="shared" ca="1" si="33"/>
        <v>-2</v>
      </c>
      <c r="L9" s="116" t="str">
        <f t="shared" ca="1" si="1"/>
        <v>EW_sand_Ruled_59</v>
      </c>
      <c r="M9" s="105" t="str">
        <f t="shared" ca="1" si="2"/>
        <v>API sand</v>
      </c>
      <c r="N9" s="47">
        <f t="shared" ca="1" si="3"/>
        <v>9.8999999999999986</v>
      </c>
      <c r="O9" s="63">
        <f t="shared" ca="1" si="34"/>
        <v>0</v>
      </c>
      <c r="P9" s="63">
        <f t="shared" ca="1" si="35"/>
        <v>0</v>
      </c>
      <c r="Q9" s="47">
        <f t="shared" ca="1" si="4"/>
        <v>38</v>
      </c>
      <c r="R9" s="47">
        <f t="shared" ca="1" si="5"/>
        <v>33</v>
      </c>
      <c r="S9" s="47">
        <f t="shared" ca="1" si="6"/>
        <v>1.6</v>
      </c>
      <c r="T9" s="47">
        <f t="shared" ca="1" si="7"/>
        <v>0</v>
      </c>
      <c r="U9" s="75">
        <f t="shared" ca="1" si="8"/>
        <v>0</v>
      </c>
      <c r="V9" s="75">
        <f t="shared" ca="1" si="9"/>
        <v>0</v>
      </c>
      <c r="W9" s="47">
        <f t="shared" ca="1" si="36"/>
        <v>0</v>
      </c>
      <c r="X9" s="47">
        <f t="shared" ca="1" si="10"/>
        <v>33000</v>
      </c>
      <c r="Y9" s="47">
        <f t="shared" ca="1" si="11"/>
        <v>0</v>
      </c>
      <c r="Z9" s="47">
        <f t="shared" ca="1" si="12"/>
        <v>107.39999999999996</v>
      </c>
      <c r="AA9" s="47">
        <f t="shared" ca="1" si="13"/>
        <v>1</v>
      </c>
      <c r="AB9" s="47">
        <f t="shared" ca="1" si="14"/>
        <v>11040</v>
      </c>
      <c r="AC9" s="63">
        <f t="shared" ca="1" si="15"/>
        <v>53000</v>
      </c>
      <c r="AD9" s="63">
        <f t="shared" ca="1" si="16"/>
        <v>3600</v>
      </c>
      <c r="AE9" s="63">
        <f t="shared" ca="1" si="17"/>
        <v>0.3</v>
      </c>
      <c r="AF9" s="63">
        <f t="shared" ca="1" si="18"/>
        <v>0</v>
      </c>
      <c r="AG9" s="63">
        <f t="shared" ca="1" si="19"/>
        <v>0</v>
      </c>
      <c r="AH9" s="63">
        <f t="shared" ca="1" si="20"/>
        <v>0</v>
      </c>
      <c r="AI9" s="63">
        <f t="shared" ca="1" si="21"/>
        <v>0</v>
      </c>
      <c r="AJ9" s="47">
        <f t="shared" ca="1" si="22"/>
        <v>46.000000000000007</v>
      </c>
      <c r="AK9" s="47">
        <f t="shared" ca="1" si="23"/>
        <v>1</v>
      </c>
      <c r="AL9" s="47">
        <f t="shared" ca="1" si="24"/>
        <v>1</v>
      </c>
      <c r="AM9" s="47">
        <f t="shared" ca="1" si="25"/>
        <v>1</v>
      </c>
      <c r="AN9" s="47">
        <f t="shared" ca="1" si="26"/>
        <v>1</v>
      </c>
      <c r="AO9" s="47">
        <f t="shared" ca="1" si="27"/>
        <v>1</v>
      </c>
      <c r="AP9" s="47">
        <f t="shared" ca="1" si="28"/>
        <v>1</v>
      </c>
      <c r="AQ9" s="47">
        <f t="shared" ca="1" si="29"/>
        <v>0</v>
      </c>
      <c r="AR9" s="47">
        <f t="shared" ca="1" si="30"/>
        <v>59</v>
      </c>
      <c r="AS9" s="33">
        <f t="shared" ca="1" si="31"/>
        <v>0.4</v>
      </c>
      <c r="AW9" s="2">
        <v>1.3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2.4</v>
      </c>
      <c r="BE9" s="2">
        <v>3.3</v>
      </c>
      <c r="BF9" s="2">
        <v>3.7</v>
      </c>
      <c r="BG9" s="2">
        <v>4.0999999999999996</v>
      </c>
      <c r="BH9" s="2">
        <v>5.0999999999999996</v>
      </c>
      <c r="BI9" s="2"/>
      <c r="BJ9" s="2"/>
      <c r="BK9" s="2"/>
      <c r="BL9" s="2"/>
      <c r="BM9" s="2"/>
      <c r="BN9" s="2">
        <v>60</v>
      </c>
      <c r="BO9" s="2">
        <v>31</v>
      </c>
      <c r="BP9" s="2">
        <v>37</v>
      </c>
      <c r="BQ9" s="2">
        <v>40</v>
      </c>
      <c r="BR9" s="2">
        <v>43</v>
      </c>
      <c r="BS9" s="2">
        <v>48</v>
      </c>
      <c r="BT9" s="2">
        <v>11</v>
      </c>
      <c r="BU9" s="2">
        <v>29</v>
      </c>
      <c r="BV9" s="2">
        <v>36</v>
      </c>
      <c r="BW9" s="2">
        <v>43</v>
      </c>
      <c r="BX9" s="2">
        <v>60</v>
      </c>
      <c r="BY9" s="2">
        <v>12.4</v>
      </c>
      <c r="BZ9" s="2">
        <v>1</v>
      </c>
      <c r="CA9" s="2">
        <v>0.5</v>
      </c>
      <c r="CB9" s="2">
        <v>7.1621749230272402E-6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10b</v>
      </c>
      <c r="J10" s="47">
        <f t="shared" ca="1" si="32"/>
        <v>5</v>
      </c>
      <c r="K10" s="19">
        <f t="shared" ca="1" si="33"/>
        <v>-4.5</v>
      </c>
      <c r="L10" s="116" t="str">
        <f t="shared" ca="1" si="1"/>
        <v>EW_sand_Ruled_71</v>
      </c>
      <c r="M10" s="105" t="str">
        <f t="shared" ca="1" si="2"/>
        <v>API sand</v>
      </c>
      <c r="N10" s="47">
        <f t="shared" ca="1" si="3"/>
        <v>9.8999999999999986</v>
      </c>
      <c r="O10" s="63">
        <f t="shared" ca="1" si="34"/>
        <v>0</v>
      </c>
      <c r="P10" s="63">
        <f t="shared" ca="1" si="35"/>
        <v>0</v>
      </c>
      <c r="Q10" s="47">
        <f t="shared" ca="1" si="4"/>
        <v>40</v>
      </c>
      <c r="R10" s="47">
        <f t="shared" ca="1" si="5"/>
        <v>35</v>
      </c>
      <c r="S10" s="47">
        <f t="shared" ca="1" si="6"/>
        <v>1.4</v>
      </c>
      <c r="T10" s="47">
        <f t="shared" ca="1" si="7"/>
        <v>0</v>
      </c>
      <c r="U10" s="75">
        <f t="shared" ca="1" si="8"/>
        <v>0</v>
      </c>
      <c r="V10" s="75">
        <f t="shared" ca="1" si="9"/>
        <v>0</v>
      </c>
      <c r="W10" s="47">
        <f t="shared" ca="1" si="36"/>
        <v>0</v>
      </c>
      <c r="X10" s="47">
        <f t="shared" ca="1" si="10"/>
        <v>60200</v>
      </c>
      <c r="Y10" s="47">
        <f t="shared" ca="1" si="11"/>
        <v>0</v>
      </c>
      <c r="Z10" s="47">
        <f t="shared" ca="1" si="12"/>
        <v>114.99999999999996</v>
      </c>
      <c r="AA10" s="47">
        <f t="shared" ca="1" si="13"/>
        <v>1</v>
      </c>
      <c r="AB10" s="47">
        <f t="shared" ca="1" si="14"/>
        <v>12000</v>
      </c>
      <c r="AC10" s="63">
        <f t="shared" ca="1" si="15"/>
        <v>81000</v>
      </c>
      <c r="AD10" s="63">
        <f t="shared" ca="1" si="16"/>
        <v>2857.1428571428573</v>
      </c>
      <c r="AE10" s="63">
        <f t="shared" ca="1" si="17"/>
        <v>0.3</v>
      </c>
      <c r="AF10" s="63">
        <f t="shared" ca="1" si="18"/>
        <v>0</v>
      </c>
      <c r="AG10" s="63">
        <f t="shared" ca="1" si="19"/>
        <v>0</v>
      </c>
      <c r="AH10" s="63">
        <f t="shared" ca="1" si="20"/>
        <v>0</v>
      </c>
      <c r="AI10" s="63">
        <f t="shared" ca="1" si="21"/>
        <v>0</v>
      </c>
      <c r="AJ10" s="47">
        <f t="shared" ca="1" si="22"/>
        <v>50.000000000000007</v>
      </c>
      <c r="AK10" s="47">
        <f t="shared" ca="1" si="23"/>
        <v>1</v>
      </c>
      <c r="AL10" s="47">
        <f t="shared" ca="1" si="24"/>
        <v>1</v>
      </c>
      <c r="AM10" s="47">
        <f t="shared" ca="1" si="25"/>
        <v>1</v>
      </c>
      <c r="AN10" s="47">
        <f t="shared" ca="1" si="26"/>
        <v>1</v>
      </c>
      <c r="AO10" s="47">
        <f t="shared" ca="1" si="27"/>
        <v>1</v>
      </c>
      <c r="AP10" s="47">
        <f t="shared" ca="1" si="28"/>
        <v>1</v>
      </c>
      <c r="AQ10" s="47">
        <f t="shared" ca="1" si="29"/>
        <v>0</v>
      </c>
      <c r="AR10" s="47">
        <f t="shared" ca="1" si="30"/>
        <v>71</v>
      </c>
      <c r="AS10" s="33">
        <f t="shared" ca="1" si="31"/>
        <v>0.4</v>
      </c>
      <c r="AW10" s="2">
        <v>1.3</v>
      </c>
      <c r="AX10" s="2" t="s">
        <v>259</v>
      </c>
      <c r="AY10" s="130">
        <v>25.5</v>
      </c>
      <c r="AZ10" s="2">
        <v>20</v>
      </c>
      <c r="BA10" s="2"/>
      <c r="BB10" s="2">
        <v>14</v>
      </c>
      <c r="BC10" s="2"/>
      <c r="BD10" s="2">
        <v>0.5</v>
      </c>
      <c r="BE10" s="2">
        <v>1.5</v>
      </c>
      <c r="BF10" s="2">
        <v>1.9</v>
      </c>
      <c r="BG10" s="2">
        <v>2.5</v>
      </c>
      <c r="BH10" s="2">
        <f>5+4.1</f>
        <v>9.1</v>
      </c>
      <c r="BI10" s="2"/>
      <c r="BJ10" s="2"/>
      <c r="BK10" s="2"/>
      <c r="BL10" s="2"/>
      <c r="BM10" s="2"/>
      <c r="BN10" s="2">
        <v>53</v>
      </c>
      <c r="BO10" s="2">
        <v>31</v>
      </c>
      <c r="BP10" s="2">
        <v>37</v>
      </c>
      <c r="BQ10" s="2">
        <v>40</v>
      </c>
      <c r="BR10" s="2">
        <v>43</v>
      </c>
      <c r="BS10" s="2">
        <v>50</v>
      </c>
      <c r="BT10" s="2">
        <v>1</v>
      </c>
      <c r="BU10" s="2">
        <v>21</v>
      </c>
      <c r="BV10" s="2">
        <v>30</v>
      </c>
      <c r="BW10" s="2">
        <v>39</v>
      </c>
      <c r="BX10" s="2">
        <v>62</v>
      </c>
      <c r="BY10" s="2">
        <v>18.600000000000001</v>
      </c>
      <c r="BZ10" s="2">
        <v>9</v>
      </c>
      <c r="CA10" s="2">
        <v>1.9</v>
      </c>
      <c r="CB10" s="2">
        <v>8.0927925619663293E-6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14a</v>
      </c>
      <c r="J11" s="47">
        <f t="shared" ca="1" si="32"/>
        <v>6</v>
      </c>
      <c r="K11" s="19">
        <f t="shared" ca="1" si="33"/>
        <v>-8</v>
      </c>
      <c r="L11" s="116" t="str">
        <f t="shared" ca="1" si="1"/>
        <v>EW_sand_Ruled_72</v>
      </c>
      <c r="M11" s="105" t="str">
        <f t="shared" ca="1" si="2"/>
        <v>API sand</v>
      </c>
      <c r="N11" s="47">
        <f t="shared" ca="1" si="3"/>
        <v>8.5</v>
      </c>
      <c r="O11" s="63">
        <f t="shared" ca="1" si="34"/>
        <v>0</v>
      </c>
      <c r="P11" s="63">
        <f t="shared" ca="1" si="35"/>
        <v>0</v>
      </c>
      <c r="Q11" s="47">
        <f t="shared" ca="1" si="4"/>
        <v>28</v>
      </c>
      <c r="R11" s="47">
        <f t="shared" ca="1" si="5"/>
        <v>23</v>
      </c>
      <c r="S11" s="47">
        <f t="shared" ca="1" si="6"/>
        <v>1.6</v>
      </c>
      <c r="T11" s="47">
        <f t="shared" ca="1" si="7"/>
        <v>0</v>
      </c>
      <c r="U11" s="75">
        <f t="shared" ca="1" si="8"/>
        <v>0</v>
      </c>
      <c r="V11" s="75">
        <f t="shared" ca="1" si="9"/>
        <v>0</v>
      </c>
      <c r="W11" s="47">
        <f t="shared" ca="1" si="36"/>
        <v>0</v>
      </c>
      <c r="X11" s="47">
        <f t="shared" ca="1" si="10"/>
        <v>18700</v>
      </c>
      <c r="Y11" s="47">
        <f t="shared" ca="1" si="11"/>
        <v>0</v>
      </c>
      <c r="Z11" s="47">
        <f t="shared" ca="1" si="12"/>
        <v>75.399999999999977</v>
      </c>
      <c r="AA11" s="47">
        <f t="shared" ca="1" si="13"/>
        <v>1</v>
      </c>
      <c r="AB11" s="47">
        <f t="shared" ca="1" si="14"/>
        <v>4040</v>
      </c>
      <c r="AC11" s="63">
        <f t="shared" ca="1" si="15"/>
        <v>91000</v>
      </c>
      <c r="AD11" s="63">
        <f t="shared" ca="1" si="16"/>
        <v>1034.4827586206895</v>
      </c>
      <c r="AE11" s="63">
        <f t="shared" ca="1" si="17"/>
        <v>0.3</v>
      </c>
      <c r="AF11" s="63">
        <f t="shared" ca="1" si="18"/>
        <v>0</v>
      </c>
      <c r="AG11" s="63">
        <f t="shared" ca="1" si="19"/>
        <v>0</v>
      </c>
      <c r="AH11" s="63">
        <f t="shared" ca="1" si="20"/>
        <v>0</v>
      </c>
      <c r="AI11" s="63">
        <f t="shared" ca="1" si="21"/>
        <v>0</v>
      </c>
      <c r="AJ11" s="47">
        <f t="shared" ca="1" si="22"/>
        <v>16.800000000000004</v>
      </c>
      <c r="AK11" s="47">
        <f t="shared" ca="1" si="23"/>
        <v>1</v>
      </c>
      <c r="AL11" s="47">
        <f t="shared" ca="1" si="24"/>
        <v>1</v>
      </c>
      <c r="AM11" s="47">
        <f t="shared" ca="1" si="25"/>
        <v>1</v>
      </c>
      <c r="AN11" s="47">
        <f t="shared" ca="1" si="26"/>
        <v>1</v>
      </c>
      <c r="AO11" s="47">
        <f t="shared" ca="1" si="27"/>
        <v>1</v>
      </c>
      <c r="AP11" s="47">
        <f t="shared" ca="1" si="28"/>
        <v>1</v>
      </c>
      <c r="AQ11" s="47">
        <f t="shared" ca="1" si="29"/>
        <v>0</v>
      </c>
      <c r="AR11" s="47">
        <f t="shared" ca="1" si="30"/>
        <v>72</v>
      </c>
      <c r="AS11" s="33">
        <f t="shared" ca="1" si="31"/>
        <v>0.2</v>
      </c>
      <c r="AW11" s="2">
        <v>2</v>
      </c>
      <c r="AX11" s="2" t="s">
        <v>259</v>
      </c>
      <c r="AY11" s="130">
        <v>25.5</v>
      </c>
      <c r="AZ11" s="2">
        <v>20</v>
      </c>
      <c r="BA11" s="2"/>
      <c r="BB11" s="2">
        <v>14</v>
      </c>
      <c r="BC11" s="2"/>
      <c r="BD11" s="2">
        <v>6.2</v>
      </c>
      <c r="BE11" s="2">
        <v>7.3</v>
      </c>
      <c r="BF11" s="2">
        <v>7.7</v>
      </c>
      <c r="BG11" s="2">
        <v>8.3000000000000007</v>
      </c>
      <c r="BH11" s="2">
        <f>5+9.8</f>
        <v>14.8</v>
      </c>
      <c r="BI11" s="2"/>
      <c r="BJ11" s="2"/>
      <c r="BK11" s="2"/>
      <c r="BL11" s="2"/>
      <c r="BM11" s="2"/>
      <c r="BN11" s="2">
        <v>53</v>
      </c>
      <c r="BO11" s="2">
        <v>31</v>
      </c>
      <c r="BP11" s="2">
        <v>37</v>
      </c>
      <c r="BQ11" s="2">
        <v>40</v>
      </c>
      <c r="BR11" s="2">
        <v>43</v>
      </c>
      <c r="BS11" s="2">
        <v>50</v>
      </c>
      <c r="BT11" s="2">
        <v>17</v>
      </c>
      <c r="BU11" s="2">
        <v>37</v>
      </c>
      <c r="BV11" s="2">
        <v>46</v>
      </c>
      <c r="BW11" s="2">
        <v>56</v>
      </c>
      <c r="BX11" s="2">
        <v>78</v>
      </c>
      <c r="BY11" s="2">
        <v>18.600000000000001</v>
      </c>
      <c r="BZ11" s="2">
        <v>9</v>
      </c>
      <c r="CA11" s="2">
        <v>1.9</v>
      </c>
      <c r="CB11" s="2">
        <v>8.0927925619663293E-6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14b</v>
      </c>
      <c r="J12" s="47">
        <f t="shared" ca="1" si="32"/>
        <v>7</v>
      </c>
      <c r="K12" s="19">
        <f t="shared" ca="1" si="33"/>
        <v>-10.9</v>
      </c>
      <c r="L12" s="116" t="str">
        <f t="shared" ca="1" si="1"/>
        <v>Cowden Clay</v>
      </c>
      <c r="M12" s="105" t="str">
        <f t="shared" ca="1" si="2"/>
        <v>API clay</v>
      </c>
      <c r="N12" s="47">
        <f t="shared" ca="1" si="3"/>
        <v>8.5</v>
      </c>
      <c r="O12" s="63">
        <f t="shared" ca="1" si="34"/>
        <v>306</v>
      </c>
      <c r="P12" s="63">
        <f t="shared" ca="1" si="35"/>
        <v>1.3545816733067728</v>
      </c>
      <c r="Q12" s="47">
        <f t="shared" ca="1" si="4"/>
        <v>0</v>
      </c>
      <c r="R12" s="47" t="e">
        <f t="shared" ca="1" si="5"/>
        <v>#N/A</v>
      </c>
      <c r="S12" s="47">
        <f t="shared" ca="1" si="6"/>
        <v>3</v>
      </c>
      <c r="T12" s="47">
        <f t="shared" ca="1" si="7"/>
        <v>0</v>
      </c>
      <c r="U12" s="75">
        <f t="shared" ca="1" si="8"/>
        <v>1.7999999999999999E-2</v>
      </c>
      <c r="V12" s="75">
        <f t="shared" ca="1" si="9"/>
        <v>0</v>
      </c>
      <c r="W12" s="47">
        <f t="shared" ca="1" si="36"/>
        <v>0.25</v>
      </c>
      <c r="X12" s="47">
        <f t="shared" ca="1" si="10"/>
        <v>27500</v>
      </c>
      <c r="Y12" s="47">
        <f t="shared" ca="1" si="11"/>
        <v>0</v>
      </c>
      <c r="Z12" s="47" t="e">
        <f t="shared" ca="1" si="12"/>
        <v>#N/A</v>
      </c>
      <c r="AA12" s="47">
        <f t="shared" ca="1" si="13"/>
        <v>1</v>
      </c>
      <c r="AB12" s="47" t="e">
        <f t="shared" ca="1" si="14"/>
        <v>#N/A</v>
      </c>
      <c r="AC12" s="63">
        <f t="shared" ca="1" si="15"/>
        <v>363000</v>
      </c>
      <c r="AD12" s="63">
        <f t="shared" ca="1" si="16"/>
        <v>2828.685258964143</v>
      </c>
      <c r="AE12" s="63">
        <f t="shared" ca="1" si="17"/>
        <v>0.3</v>
      </c>
      <c r="AF12" s="63">
        <f t="shared" ca="1" si="18"/>
        <v>0</v>
      </c>
      <c r="AG12" s="63">
        <f t="shared" ca="1" si="19"/>
        <v>0</v>
      </c>
      <c r="AH12" s="63">
        <f t="shared" ca="1" si="20"/>
        <v>0</v>
      </c>
      <c r="AI12" s="63">
        <f t="shared" ca="1" si="21"/>
        <v>0</v>
      </c>
      <c r="AJ12" s="47" t="e">
        <f t="shared" ca="1" si="22"/>
        <v>#N/A</v>
      </c>
      <c r="AK12" s="47">
        <f t="shared" ca="1" si="23"/>
        <v>1</v>
      </c>
      <c r="AL12" s="47">
        <f t="shared" ca="1" si="24"/>
        <v>1</v>
      </c>
      <c r="AM12" s="47">
        <f t="shared" ca="1" si="25"/>
        <v>1</v>
      </c>
      <c r="AN12" s="47">
        <f t="shared" ca="1" si="26"/>
        <v>1</v>
      </c>
      <c r="AO12" s="47">
        <f t="shared" ca="1" si="27"/>
        <v>1</v>
      </c>
      <c r="AP12" s="47">
        <f t="shared" ca="1" si="28"/>
        <v>1</v>
      </c>
      <c r="AQ12" s="47">
        <f t="shared" ca="1" si="29"/>
        <v>0</v>
      </c>
      <c r="AR12" s="47">
        <f t="shared" ca="1" si="30"/>
        <v>0</v>
      </c>
      <c r="AS12" s="33">
        <f t="shared" ca="1" si="31"/>
        <v>0.4</v>
      </c>
      <c r="AW12" s="2">
        <v>2</v>
      </c>
      <c r="AX12" s="2" t="s">
        <v>261</v>
      </c>
      <c r="AY12" s="130">
        <v>24</v>
      </c>
      <c r="AZ12" s="2">
        <v>19.899999999999999</v>
      </c>
      <c r="BA12" s="2"/>
      <c r="BB12" s="2">
        <v>6</v>
      </c>
      <c r="BC12" s="2"/>
      <c r="BD12" s="2">
        <v>8.1</v>
      </c>
      <c r="BE12" s="2">
        <v>9.6</v>
      </c>
      <c r="BF12" s="2">
        <v>9.9</v>
      </c>
      <c r="BG12" s="2">
        <v>10.3</v>
      </c>
      <c r="BH12" s="2">
        <v>12.1</v>
      </c>
      <c r="BI12" s="2"/>
      <c r="BJ12" s="2"/>
      <c r="BK12" s="2"/>
      <c r="BL12" s="2"/>
      <c r="BM12" s="2"/>
      <c r="BN12" s="2">
        <v>59</v>
      </c>
      <c r="BO12" s="2">
        <v>33</v>
      </c>
      <c r="BP12" s="2">
        <v>38</v>
      </c>
      <c r="BQ12" s="2">
        <v>41</v>
      </c>
      <c r="BR12" s="2">
        <v>44</v>
      </c>
      <c r="BS12" s="2">
        <v>51</v>
      </c>
      <c r="BT12" s="2">
        <v>6</v>
      </c>
      <c r="BU12" s="2">
        <v>40</v>
      </c>
      <c r="BV12" s="2">
        <v>53</v>
      </c>
      <c r="BW12" s="2">
        <v>67</v>
      </c>
      <c r="BX12" s="2">
        <v>100</v>
      </c>
      <c r="BY12" s="2">
        <v>33</v>
      </c>
      <c r="BZ12" s="2">
        <v>7.1</v>
      </c>
      <c r="CA12" s="2">
        <v>1.6</v>
      </c>
      <c r="CB12" s="2">
        <v>6.7088426307171403E-6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14b</v>
      </c>
      <c r="J13" s="47">
        <f t="shared" ca="1" si="32"/>
        <v>8</v>
      </c>
      <c r="K13" s="19">
        <f t="shared" ca="1" si="33"/>
        <v>-36</v>
      </c>
      <c r="L13" s="116" t="str">
        <f t="shared" ca="1" si="1"/>
        <v>Cowden Clay</v>
      </c>
      <c r="M13" s="105" t="str">
        <f t="shared" ca="1" si="2"/>
        <v>API clay</v>
      </c>
      <c r="N13" s="47">
        <f t="shared" ca="1" si="3"/>
        <v>8.5</v>
      </c>
      <c r="O13" s="63">
        <f t="shared" ca="1" si="34"/>
        <v>245</v>
      </c>
      <c r="P13" s="63">
        <f t="shared" ca="1" si="35"/>
        <v>-14.8</v>
      </c>
      <c r="Q13" s="47">
        <f t="shared" ca="1" si="4"/>
        <v>0</v>
      </c>
      <c r="R13" s="47" t="e">
        <f t="shared" ca="1" si="5"/>
        <v>#N/A</v>
      </c>
      <c r="S13" s="47">
        <f t="shared" ca="1" si="6"/>
        <v>2.1</v>
      </c>
      <c r="T13" s="47">
        <f t="shared" ca="1" si="7"/>
        <v>0</v>
      </c>
      <c r="U13" s="75">
        <f t="shared" ca="1" si="8"/>
        <v>1.7999999999999999E-2</v>
      </c>
      <c r="V13" s="75">
        <f t="shared" ca="1" si="9"/>
        <v>0</v>
      </c>
      <c r="W13" s="47">
        <f t="shared" ca="1" si="36"/>
        <v>0.5</v>
      </c>
      <c r="X13" s="47">
        <f t="shared" ca="1" si="10"/>
        <v>19300</v>
      </c>
      <c r="Y13" s="47">
        <f t="shared" ca="1" si="11"/>
        <v>0</v>
      </c>
      <c r="Z13" s="47" t="e">
        <f t="shared" ca="1" si="12"/>
        <v>#N/A</v>
      </c>
      <c r="AA13" s="47">
        <f t="shared" ca="1" si="13"/>
        <v>1</v>
      </c>
      <c r="AB13" s="47" t="e">
        <f t="shared" ca="1" si="14"/>
        <v>#N/A</v>
      </c>
      <c r="AC13" s="63">
        <f t="shared" ca="1" si="15"/>
        <v>321000</v>
      </c>
      <c r="AD13" s="63">
        <f t="shared" ca="1" si="16"/>
        <v>-16400</v>
      </c>
      <c r="AE13" s="63">
        <f t="shared" ca="1" si="17"/>
        <v>0.3</v>
      </c>
      <c r="AF13" s="63">
        <f t="shared" ca="1" si="18"/>
        <v>0</v>
      </c>
      <c r="AG13" s="63">
        <f t="shared" ca="1" si="19"/>
        <v>0</v>
      </c>
      <c r="AH13" s="63">
        <f t="shared" ca="1" si="20"/>
        <v>0</v>
      </c>
      <c r="AI13" s="63">
        <f t="shared" ca="1" si="21"/>
        <v>0</v>
      </c>
      <c r="AJ13" s="47" t="e">
        <f t="shared" ca="1" si="22"/>
        <v>#N/A</v>
      </c>
      <c r="AK13" s="47">
        <f t="shared" ca="1" si="23"/>
        <v>1</v>
      </c>
      <c r="AL13" s="47">
        <f t="shared" ca="1" si="24"/>
        <v>1</v>
      </c>
      <c r="AM13" s="47">
        <f t="shared" ca="1" si="25"/>
        <v>1</v>
      </c>
      <c r="AN13" s="47">
        <f t="shared" ca="1" si="26"/>
        <v>1</v>
      </c>
      <c r="AO13" s="47">
        <f t="shared" ca="1" si="27"/>
        <v>1</v>
      </c>
      <c r="AP13" s="47">
        <f t="shared" ca="1" si="28"/>
        <v>1</v>
      </c>
      <c r="AQ13" s="47">
        <f t="shared" ca="1" si="29"/>
        <v>0</v>
      </c>
      <c r="AR13" s="47">
        <f t="shared" ca="1" si="30"/>
        <v>0</v>
      </c>
      <c r="AS13" s="33">
        <f t="shared" ca="1" si="31"/>
        <v>0.4</v>
      </c>
      <c r="AW13" s="2">
        <v>4.5</v>
      </c>
      <c r="AX13" s="2" t="s">
        <v>261</v>
      </c>
      <c r="AY13" s="130">
        <v>24</v>
      </c>
      <c r="AZ13" s="2">
        <v>19.899999999999999</v>
      </c>
      <c r="BA13" s="2"/>
      <c r="BB13" s="2">
        <v>6</v>
      </c>
      <c r="BC13" s="2"/>
      <c r="BD13" s="2">
        <v>5.7</v>
      </c>
      <c r="BE13" s="2">
        <v>7.1</v>
      </c>
      <c r="BF13" s="2">
        <v>7.5</v>
      </c>
      <c r="BG13" s="2">
        <v>7.9</v>
      </c>
      <c r="BH13" s="2">
        <v>9.6</v>
      </c>
      <c r="BI13" s="2"/>
      <c r="BJ13" s="2"/>
      <c r="BK13" s="2"/>
      <c r="BL13" s="2"/>
      <c r="BM13" s="2"/>
      <c r="BN13" s="2">
        <v>59</v>
      </c>
      <c r="BO13" s="2">
        <v>33</v>
      </c>
      <c r="BP13" s="2">
        <v>38</v>
      </c>
      <c r="BQ13" s="2">
        <v>41</v>
      </c>
      <c r="BR13" s="2">
        <v>44</v>
      </c>
      <c r="BS13" s="2">
        <v>51</v>
      </c>
      <c r="BT13" s="2">
        <v>14</v>
      </c>
      <c r="BU13" s="2">
        <v>48</v>
      </c>
      <c r="BV13" s="2">
        <v>62</v>
      </c>
      <c r="BW13" s="2">
        <v>75</v>
      </c>
      <c r="BX13" s="2">
        <v>109</v>
      </c>
      <c r="BY13" s="2">
        <v>33</v>
      </c>
      <c r="BZ13" s="2">
        <v>7.1</v>
      </c>
      <c r="CA13" s="2">
        <v>1.6</v>
      </c>
      <c r="CB13" s="2">
        <v>6.7088426307171403E-6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15a</v>
      </c>
      <c r="J14" s="47">
        <f t="shared" ca="1" si="32"/>
        <v>9</v>
      </c>
      <c r="K14" s="19">
        <f t="shared" ca="1" si="33"/>
        <v>-41</v>
      </c>
      <c r="L14" s="116" t="str">
        <f t="shared" ca="1" si="1"/>
        <v>Cowden Clay</v>
      </c>
      <c r="M14" s="105" t="str">
        <f t="shared" ca="1" si="2"/>
        <v>API clay</v>
      </c>
      <c r="N14" s="47">
        <f t="shared" ca="1" si="3"/>
        <v>9.3000000000000007</v>
      </c>
      <c r="O14" s="63">
        <f t="shared" ca="1" si="34"/>
        <v>1129</v>
      </c>
      <c r="P14" s="63">
        <f t="shared" ca="1" si="35"/>
        <v>19.444444444444443</v>
      </c>
      <c r="Q14" s="47">
        <f t="shared" ca="1" si="4"/>
        <v>0</v>
      </c>
      <c r="R14" s="47" t="e">
        <f t="shared" ca="1" si="5"/>
        <v>#N/A</v>
      </c>
      <c r="S14" s="47">
        <f t="shared" ca="1" si="6"/>
        <v>3</v>
      </c>
      <c r="T14" s="47">
        <f t="shared" ca="1" si="7"/>
        <v>0</v>
      </c>
      <c r="U14" s="75">
        <f t="shared" ca="1" si="8"/>
        <v>1.7999999999999999E-2</v>
      </c>
      <c r="V14" s="75">
        <f t="shared" ca="1" si="9"/>
        <v>0</v>
      </c>
      <c r="W14" s="47">
        <f t="shared" ca="1" si="36"/>
        <v>0.25</v>
      </c>
      <c r="X14" s="47">
        <f t="shared" ca="1" si="10"/>
        <v>103500</v>
      </c>
      <c r="Y14" s="47">
        <f t="shared" ca="1" si="11"/>
        <v>0</v>
      </c>
      <c r="Z14" s="47" t="e">
        <f t="shared" ca="1" si="12"/>
        <v>#N/A</v>
      </c>
      <c r="AA14" s="47">
        <f t="shared" ca="1" si="13"/>
        <v>1</v>
      </c>
      <c r="AB14" s="47" t="e">
        <f t="shared" ca="1" si="14"/>
        <v>#N/A</v>
      </c>
      <c r="AC14" s="63">
        <f t="shared" ca="1" si="15"/>
        <v>2141000</v>
      </c>
      <c r="AD14" s="63">
        <f t="shared" ca="1" si="16"/>
        <v>0</v>
      </c>
      <c r="AE14" s="63">
        <f t="shared" ca="1" si="17"/>
        <v>0.3</v>
      </c>
      <c r="AF14" s="63">
        <f t="shared" ca="1" si="18"/>
        <v>0</v>
      </c>
      <c r="AG14" s="63">
        <f t="shared" ca="1" si="19"/>
        <v>0</v>
      </c>
      <c r="AH14" s="63">
        <f t="shared" ca="1" si="20"/>
        <v>0</v>
      </c>
      <c r="AI14" s="63">
        <f t="shared" ca="1" si="21"/>
        <v>0</v>
      </c>
      <c r="AJ14" s="47" t="e">
        <f t="shared" ca="1" si="22"/>
        <v>#N/A</v>
      </c>
      <c r="AK14" s="47">
        <f t="shared" ca="1" si="23"/>
        <v>1</v>
      </c>
      <c r="AL14" s="47">
        <f t="shared" ca="1" si="24"/>
        <v>1</v>
      </c>
      <c r="AM14" s="47">
        <f t="shared" ca="1" si="25"/>
        <v>1</v>
      </c>
      <c r="AN14" s="47">
        <f t="shared" ca="1" si="26"/>
        <v>1</v>
      </c>
      <c r="AO14" s="47">
        <f t="shared" ca="1" si="27"/>
        <v>1</v>
      </c>
      <c r="AP14" s="47">
        <f t="shared" ca="1" si="28"/>
        <v>1</v>
      </c>
      <c r="AQ14" s="47">
        <f t="shared" ca="1" si="29"/>
        <v>0</v>
      </c>
      <c r="AR14" s="47">
        <f t="shared" ca="1" si="30"/>
        <v>0</v>
      </c>
      <c r="AS14" s="33">
        <f t="shared" ca="1" si="31"/>
        <v>0.4</v>
      </c>
      <c r="AW14" s="2">
        <v>4.5</v>
      </c>
      <c r="AX14" s="2" t="s">
        <v>261</v>
      </c>
      <c r="AY14" s="130">
        <v>24</v>
      </c>
      <c r="AZ14" s="2">
        <v>19.899999999999999</v>
      </c>
      <c r="BA14" s="2"/>
      <c r="BB14" s="2">
        <v>6</v>
      </c>
      <c r="BC14" s="2"/>
      <c r="BD14" s="2">
        <v>12.8</v>
      </c>
      <c r="BE14" s="2">
        <v>17</v>
      </c>
      <c r="BF14" s="2">
        <v>17.7</v>
      </c>
      <c r="BG14" s="2">
        <v>18.2</v>
      </c>
      <c r="BH14" s="2">
        <v>21.4</v>
      </c>
      <c r="BI14" s="2"/>
      <c r="BJ14" s="2"/>
      <c r="BK14" s="2"/>
      <c r="BL14" s="2"/>
      <c r="BM14" s="2"/>
      <c r="BN14" s="2">
        <v>71</v>
      </c>
      <c r="BO14" s="2">
        <v>34</v>
      </c>
      <c r="BP14" s="2">
        <v>40</v>
      </c>
      <c r="BQ14" s="2">
        <v>43</v>
      </c>
      <c r="BR14" s="2">
        <v>46</v>
      </c>
      <c r="BS14" s="2">
        <v>52</v>
      </c>
      <c r="BT14" s="2">
        <v>10</v>
      </c>
      <c r="BU14" s="2">
        <v>61</v>
      </c>
      <c r="BV14" s="2">
        <v>81</v>
      </c>
      <c r="BW14" s="2">
        <v>101</v>
      </c>
      <c r="BX14" s="2">
        <v>151</v>
      </c>
      <c r="BY14" s="2">
        <v>60.2</v>
      </c>
      <c r="BZ14" s="2">
        <v>5.8</v>
      </c>
      <c r="CA14" s="2">
        <v>1.4</v>
      </c>
      <c r="CB14" s="2">
        <v>1.4538917590465901E-5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21a</v>
      </c>
      <c r="J15" s="47">
        <f t="shared" ca="1" si="32"/>
        <v>10</v>
      </c>
      <c r="K15" s="19">
        <f t="shared" ca="1" si="33"/>
        <v>-66.2</v>
      </c>
      <c r="L15" s="116" t="str">
        <f t="shared" ca="1" si="1"/>
        <v>EW_sand_Ruled_79</v>
      </c>
      <c r="M15" s="105" t="str">
        <f t="shared" ca="1" si="2"/>
        <v>API sand</v>
      </c>
      <c r="N15" s="47">
        <f t="shared" ca="1" si="3"/>
        <v>9.8000000000000007</v>
      </c>
      <c r="O15" s="63">
        <f t="shared" ca="1" si="34"/>
        <v>0</v>
      </c>
      <c r="P15" s="63">
        <f t="shared" ca="1" si="35"/>
        <v>0</v>
      </c>
      <c r="Q15" s="47">
        <f t="shared" ca="1" si="4"/>
        <v>29</v>
      </c>
      <c r="R15" s="47">
        <f t="shared" ca="1" si="5"/>
        <v>24</v>
      </c>
      <c r="S15" s="47">
        <f t="shared" ca="1" si="6"/>
        <v>0.9</v>
      </c>
      <c r="T15" s="47">
        <f t="shared" ca="1" si="7"/>
        <v>0</v>
      </c>
      <c r="U15" s="75">
        <f t="shared" ca="1" si="8"/>
        <v>0</v>
      </c>
      <c r="V15" s="75">
        <f t="shared" ca="1" si="9"/>
        <v>0</v>
      </c>
      <c r="W15" s="47">
        <f t="shared" ca="1" si="36"/>
        <v>0</v>
      </c>
      <c r="X15" s="47">
        <f t="shared" ca="1" si="10"/>
        <v>64200</v>
      </c>
      <c r="Y15" s="47">
        <f t="shared" ca="1" si="11"/>
        <v>0</v>
      </c>
      <c r="Z15" s="47">
        <f t="shared" ca="1" si="12"/>
        <v>78.199999999999974</v>
      </c>
      <c r="AA15" s="47">
        <f t="shared" ca="1" si="13"/>
        <v>1</v>
      </c>
      <c r="AB15" s="47">
        <f t="shared" ca="1" si="14"/>
        <v>4420</v>
      </c>
      <c r="AC15" s="63">
        <f t="shared" ca="1" si="15"/>
        <v>263000</v>
      </c>
      <c r="AD15" s="63">
        <f t="shared" ca="1" si="16"/>
        <v>1692.3076923076924</v>
      </c>
      <c r="AE15" s="63">
        <f t="shared" ca="1" si="17"/>
        <v>0.3</v>
      </c>
      <c r="AF15" s="63">
        <f t="shared" ca="1" si="18"/>
        <v>0</v>
      </c>
      <c r="AG15" s="63">
        <f t="shared" ca="1" si="19"/>
        <v>0</v>
      </c>
      <c r="AH15" s="63">
        <f t="shared" ca="1" si="20"/>
        <v>0</v>
      </c>
      <c r="AI15" s="63">
        <f t="shared" ca="1" si="21"/>
        <v>0</v>
      </c>
      <c r="AJ15" s="47">
        <f t="shared" ca="1" si="22"/>
        <v>18.400000000000006</v>
      </c>
      <c r="AK15" s="47">
        <f t="shared" ca="1" si="23"/>
        <v>1</v>
      </c>
      <c r="AL15" s="47">
        <f t="shared" ca="1" si="24"/>
        <v>1</v>
      </c>
      <c r="AM15" s="47">
        <f t="shared" ca="1" si="25"/>
        <v>1</v>
      </c>
      <c r="AN15" s="47">
        <f t="shared" ca="1" si="26"/>
        <v>1</v>
      </c>
      <c r="AO15" s="47">
        <f t="shared" ca="1" si="27"/>
        <v>1</v>
      </c>
      <c r="AP15" s="47">
        <f t="shared" ca="1" si="28"/>
        <v>1</v>
      </c>
      <c r="AQ15" s="47">
        <f t="shared" ca="1" si="29"/>
        <v>0</v>
      </c>
      <c r="AR15" s="47">
        <f t="shared" ca="1" si="30"/>
        <v>79</v>
      </c>
      <c r="AS15" s="33">
        <f t="shared" ca="1" si="31"/>
        <v>0.2</v>
      </c>
      <c r="AW15" s="2">
        <v>8</v>
      </c>
      <c r="AX15" s="2" t="s">
        <v>261</v>
      </c>
      <c r="AY15" s="130">
        <v>24</v>
      </c>
      <c r="AZ15" s="2">
        <v>19.899999999999999</v>
      </c>
      <c r="BA15" s="2"/>
      <c r="BB15" s="2">
        <v>6</v>
      </c>
      <c r="BC15" s="2"/>
      <c r="BD15" s="2">
        <v>9.3000000000000007</v>
      </c>
      <c r="BE15" s="2">
        <v>13.5</v>
      </c>
      <c r="BF15" s="2">
        <v>14.2</v>
      </c>
      <c r="BG15" s="2">
        <v>14.8</v>
      </c>
      <c r="BH15" s="2">
        <v>18</v>
      </c>
      <c r="BI15" s="2"/>
      <c r="BJ15" s="2"/>
      <c r="BK15" s="2"/>
      <c r="BL15" s="2"/>
      <c r="BM15" s="2"/>
      <c r="BN15" s="2">
        <v>71</v>
      </c>
      <c r="BO15" s="2">
        <v>34</v>
      </c>
      <c r="BP15" s="2">
        <v>40</v>
      </c>
      <c r="BQ15" s="2">
        <v>43</v>
      </c>
      <c r="BR15" s="2">
        <v>46</v>
      </c>
      <c r="BS15" s="2">
        <v>52</v>
      </c>
      <c r="BT15" s="2">
        <v>20</v>
      </c>
      <c r="BU15" s="2">
        <v>71</v>
      </c>
      <c r="BV15" s="2">
        <v>91</v>
      </c>
      <c r="BW15" s="2">
        <v>111</v>
      </c>
      <c r="BX15" s="2">
        <v>161</v>
      </c>
      <c r="BY15" s="2">
        <v>60.2</v>
      </c>
      <c r="BZ15" s="2">
        <v>5.8</v>
      </c>
      <c r="CA15" s="2">
        <v>1.4</v>
      </c>
      <c r="CB15" s="2">
        <v>1.4538917590465901E-5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23d</v>
      </c>
      <c r="J16" s="47">
        <f t="shared" ca="1" si="32"/>
        <v>11</v>
      </c>
      <c r="K16" s="19">
        <f t="shared" ca="1" si="33"/>
        <v>-72.7</v>
      </c>
      <c r="L16" s="116" t="str">
        <f t="shared" ca="1" si="1"/>
        <v>Cowden Clay</v>
      </c>
      <c r="M16" s="105" t="str">
        <f t="shared" ca="1" si="2"/>
        <v>API clay</v>
      </c>
      <c r="N16" s="47">
        <f t="shared" ca="1" si="3"/>
        <v>8.8999999999999986</v>
      </c>
      <c r="O16" s="63">
        <f t="shared" ca="1" si="34"/>
        <v>531</v>
      </c>
      <c r="P16" s="63">
        <f t="shared" ca="1" si="35"/>
        <v>5.0684931506849331</v>
      </c>
      <c r="Q16" s="47">
        <f t="shared" ca="1" si="4"/>
        <v>0</v>
      </c>
      <c r="R16" s="47" t="e">
        <f t="shared" ca="1" si="5"/>
        <v>#N/A</v>
      </c>
      <c r="S16" s="47">
        <f t="shared" ca="1" si="6"/>
        <v>2.1</v>
      </c>
      <c r="T16" s="47">
        <f t="shared" ca="1" si="7"/>
        <v>0</v>
      </c>
      <c r="U16" s="75">
        <f t="shared" ca="1" si="8"/>
        <v>1.7999999999999999E-2</v>
      </c>
      <c r="V16" s="75">
        <f t="shared" ca="1" si="9"/>
        <v>0</v>
      </c>
      <c r="W16" s="47">
        <f t="shared" ca="1" si="36"/>
        <v>0.25</v>
      </c>
      <c r="X16" s="47">
        <f t="shared" ca="1" si="10"/>
        <v>48300</v>
      </c>
      <c r="Y16" s="47">
        <f t="shared" ca="1" si="11"/>
        <v>0</v>
      </c>
      <c r="Z16" s="47" t="e">
        <f t="shared" ca="1" si="12"/>
        <v>#N/A</v>
      </c>
      <c r="AA16" s="47">
        <f t="shared" ca="1" si="13"/>
        <v>1</v>
      </c>
      <c r="AB16" s="47" t="e">
        <f t="shared" ca="1" si="14"/>
        <v>#N/A</v>
      </c>
      <c r="AC16" s="63">
        <f t="shared" ca="1" si="15"/>
        <v>842000</v>
      </c>
      <c r="AD16" s="63">
        <f t="shared" ca="1" si="16"/>
        <v>9589.0410958904158</v>
      </c>
      <c r="AE16" s="63">
        <f t="shared" ca="1" si="17"/>
        <v>0.3</v>
      </c>
      <c r="AF16" s="63">
        <f t="shared" ca="1" si="18"/>
        <v>0</v>
      </c>
      <c r="AG16" s="63">
        <f t="shared" ca="1" si="19"/>
        <v>0</v>
      </c>
      <c r="AH16" s="63">
        <f t="shared" ca="1" si="20"/>
        <v>0</v>
      </c>
      <c r="AI16" s="63">
        <f t="shared" ca="1" si="21"/>
        <v>0</v>
      </c>
      <c r="AJ16" s="47" t="e">
        <f t="shared" ca="1" si="22"/>
        <v>#N/A</v>
      </c>
      <c r="AK16" s="47">
        <f t="shared" ca="1" si="23"/>
        <v>1</v>
      </c>
      <c r="AL16" s="47">
        <f t="shared" ca="1" si="24"/>
        <v>1</v>
      </c>
      <c r="AM16" s="47">
        <f t="shared" ca="1" si="25"/>
        <v>1</v>
      </c>
      <c r="AN16" s="47">
        <f t="shared" ca="1" si="26"/>
        <v>1</v>
      </c>
      <c r="AO16" s="47">
        <f t="shared" ca="1" si="27"/>
        <v>1</v>
      </c>
      <c r="AP16" s="47">
        <f t="shared" ca="1" si="28"/>
        <v>1</v>
      </c>
      <c r="AQ16" s="47">
        <f t="shared" ca="1" si="29"/>
        <v>0</v>
      </c>
      <c r="AR16" s="47">
        <f t="shared" ca="1" si="30"/>
        <v>0</v>
      </c>
      <c r="AS16" s="33">
        <f t="shared" ca="1" si="31"/>
        <v>0.4</v>
      </c>
      <c r="AW16" s="2">
        <v>8</v>
      </c>
      <c r="AX16" s="2" t="s">
        <v>264</v>
      </c>
      <c r="AY16" s="130">
        <v>31.6</v>
      </c>
      <c r="AZ16" s="2">
        <v>18.5</v>
      </c>
      <c r="BA16" s="2"/>
      <c r="BB16" s="2">
        <v>38</v>
      </c>
      <c r="BC16" s="2"/>
      <c r="BD16" s="2">
        <v>10.5</v>
      </c>
      <c r="BE16" s="2">
        <v>12.6</v>
      </c>
      <c r="BF16" s="2">
        <v>13.1</v>
      </c>
      <c r="BG16" s="2">
        <v>13.5</v>
      </c>
      <c r="BH16" s="2">
        <v>15.9</v>
      </c>
      <c r="BI16" s="2"/>
      <c r="BJ16" s="2"/>
      <c r="BK16" s="2"/>
      <c r="BL16" s="2"/>
      <c r="BM16" s="2"/>
      <c r="BN16" s="2">
        <v>72</v>
      </c>
      <c r="BO16" s="2">
        <v>26</v>
      </c>
      <c r="BP16" s="2">
        <v>28</v>
      </c>
      <c r="BQ16" s="2">
        <v>30</v>
      </c>
      <c r="BR16" s="2">
        <v>33</v>
      </c>
      <c r="BS16" s="2">
        <v>37</v>
      </c>
      <c r="BT16" s="2">
        <v>15</v>
      </c>
      <c r="BU16" s="2">
        <v>69</v>
      </c>
      <c r="BV16" s="2">
        <v>91</v>
      </c>
      <c r="BW16" s="2">
        <v>113</v>
      </c>
      <c r="BX16" s="2">
        <v>167</v>
      </c>
      <c r="BY16" s="2">
        <v>18.7</v>
      </c>
      <c r="BZ16" s="2">
        <v>6.8</v>
      </c>
      <c r="CA16" s="2">
        <v>1.6</v>
      </c>
      <c r="CB16" s="2">
        <v>9.1605917801058595E-7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29"/>
      <c r="E17" s="129"/>
      <c r="I17" s="33" t="str">
        <f t="shared" ca="1" si="0"/>
        <v/>
      </c>
      <c r="J17" s="47" t="str">
        <f t="shared" ca="1" si="32"/>
        <v/>
      </c>
      <c r="K17" s="19" t="str">
        <f t="shared" ca="1" si="33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34"/>
        <v/>
      </c>
      <c r="P17" s="63" t="str">
        <f t="shared" ca="1" si="35"/>
        <v/>
      </c>
      <c r="Q17" s="47" t="str">
        <f t="shared" ca="1" si="4"/>
        <v/>
      </c>
      <c r="R17" s="47" t="str">
        <f t="shared" ca="1" si="5"/>
        <v/>
      </c>
      <c r="S17" s="47" t="str">
        <f t="shared" ca="1" si="6"/>
        <v/>
      </c>
      <c r="T17" s="47" t="str">
        <f t="shared" ca="1" si="7"/>
        <v/>
      </c>
      <c r="U17" s="75" t="str">
        <f t="shared" ca="1" si="8"/>
        <v/>
      </c>
      <c r="V17" s="75" t="str">
        <f t="shared" ca="1" si="9"/>
        <v/>
      </c>
      <c r="W17" s="47" t="str">
        <f t="shared" ca="1" si="36"/>
        <v/>
      </c>
      <c r="X17" s="47" t="str">
        <f t="shared" ca="1" si="10"/>
        <v/>
      </c>
      <c r="Y17" s="47" t="str">
        <f t="shared" ca="1" si="11"/>
        <v/>
      </c>
      <c r="Z17" s="47" t="str">
        <f t="shared" ca="1" si="12"/>
        <v/>
      </c>
      <c r="AA17" s="47" t="str">
        <f t="shared" ca="1" si="13"/>
        <v/>
      </c>
      <c r="AB17" s="47" t="str">
        <f t="shared" ca="1" si="14"/>
        <v/>
      </c>
      <c r="AC17" s="63" t="str">
        <f t="shared" ca="1" si="15"/>
        <v/>
      </c>
      <c r="AD17" s="63" t="str">
        <f t="shared" ca="1" si="16"/>
        <v/>
      </c>
      <c r="AE17" s="63" t="str">
        <f t="shared" ca="1" si="17"/>
        <v/>
      </c>
      <c r="AF17" s="63" t="str">
        <f t="shared" ca="1" si="18"/>
        <v/>
      </c>
      <c r="AG17" s="63" t="str">
        <f t="shared" ca="1" si="19"/>
        <v/>
      </c>
      <c r="AH17" s="63" t="str">
        <f t="shared" ca="1" si="20"/>
        <v/>
      </c>
      <c r="AI17" s="63" t="str">
        <f t="shared" ca="1" si="21"/>
        <v/>
      </c>
      <c r="AJ17" s="47" t="str">
        <f t="shared" ca="1" si="22"/>
        <v/>
      </c>
      <c r="AK17" s="47" t="str">
        <f t="shared" ca="1" si="23"/>
        <v/>
      </c>
      <c r="AL17" s="47" t="str">
        <f t="shared" ca="1" si="24"/>
        <v/>
      </c>
      <c r="AM17" s="47" t="str">
        <f t="shared" ca="1" si="25"/>
        <v/>
      </c>
      <c r="AN17" s="47" t="str">
        <f t="shared" ca="1" si="26"/>
        <v/>
      </c>
      <c r="AO17" s="47" t="str">
        <f t="shared" ca="1" si="27"/>
        <v/>
      </c>
      <c r="AP17" s="47" t="str">
        <f t="shared" ca="1" si="28"/>
        <v/>
      </c>
      <c r="AQ17" s="47" t="str">
        <f t="shared" ca="1" si="29"/>
        <v/>
      </c>
      <c r="AR17" s="47" t="str">
        <f t="shared" ca="1" si="30"/>
        <v/>
      </c>
      <c r="AS17" s="33" t="str">
        <f t="shared" ca="1" si="31"/>
        <v/>
      </c>
      <c r="AW17" s="2">
        <v>10.9</v>
      </c>
      <c r="AX17" s="2" t="s">
        <v>264</v>
      </c>
      <c r="AY17" s="130">
        <v>31.6</v>
      </c>
      <c r="AZ17" s="2">
        <v>18.5</v>
      </c>
      <c r="BA17" s="2"/>
      <c r="BB17" s="2">
        <v>38</v>
      </c>
      <c r="BC17" s="2"/>
      <c r="BD17" s="2">
        <v>8.3000000000000007</v>
      </c>
      <c r="BE17" s="2">
        <v>10.4</v>
      </c>
      <c r="BF17" s="2">
        <v>10.8</v>
      </c>
      <c r="BG17" s="2">
        <v>11.3</v>
      </c>
      <c r="BH17" s="2">
        <v>13.6</v>
      </c>
      <c r="BI17" s="2"/>
      <c r="BJ17" s="2"/>
      <c r="BK17" s="2"/>
      <c r="BL17" s="2"/>
      <c r="BM17" s="2"/>
      <c r="BN17" s="2">
        <v>72</v>
      </c>
      <c r="BO17" s="2">
        <v>26</v>
      </c>
      <c r="BP17" s="2">
        <v>28</v>
      </c>
      <c r="BQ17" s="2">
        <v>30</v>
      </c>
      <c r="BR17" s="2">
        <v>33</v>
      </c>
      <c r="BS17" s="2">
        <v>37</v>
      </c>
      <c r="BT17" s="2">
        <v>19</v>
      </c>
      <c r="BU17" s="2">
        <v>72</v>
      </c>
      <c r="BV17" s="2">
        <v>94</v>
      </c>
      <c r="BW17" s="2">
        <v>116</v>
      </c>
      <c r="BX17" s="2">
        <v>170</v>
      </c>
      <c r="BY17" s="2">
        <v>18.7</v>
      </c>
      <c r="BZ17" s="2">
        <v>6.8</v>
      </c>
      <c r="CA17" s="2">
        <v>1.6</v>
      </c>
      <c r="CB17" s="2">
        <v>9.1605917801058595E-7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2"/>
        <v/>
      </c>
      <c r="K18" s="19" t="str">
        <f t="shared" ca="1" si="33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34"/>
        <v/>
      </c>
      <c r="P18" s="63" t="str">
        <f t="shared" ca="1" si="35"/>
        <v/>
      </c>
      <c r="Q18" s="47" t="str">
        <f t="shared" ca="1" si="4"/>
        <v/>
      </c>
      <c r="R18" s="47" t="str">
        <f t="shared" ca="1" si="5"/>
        <v/>
      </c>
      <c r="S18" s="47" t="str">
        <f t="shared" ca="1" si="6"/>
        <v/>
      </c>
      <c r="T18" s="47" t="str">
        <f t="shared" ca="1" si="7"/>
        <v/>
      </c>
      <c r="U18" s="75" t="str">
        <f t="shared" ca="1" si="8"/>
        <v/>
      </c>
      <c r="V18" s="75" t="str">
        <f t="shared" ca="1" si="9"/>
        <v/>
      </c>
      <c r="W18" s="47" t="str">
        <f t="shared" ca="1" si="36"/>
        <v/>
      </c>
      <c r="X18" s="47" t="str">
        <f t="shared" ca="1" si="10"/>
        <v/>
      </c>
      <c r="Y18" s="47" t="str">
        <f t="shared" ca="1" si="11"/>
        <v/>
      </c>
      <c r="Z18" s="47" t="str">
        <f t="shared" ca="1" si="12"/>
        <v/>
      </c>
      <c r="AA18" s="47" t="str">
        <f t="shared" ca="1" si="13"/>
        <v/>
      </c>
      <c r="AB18" s="47" t="str">
        <f t="shared" ca="1" si="14"/>
        <v/>
      </c>
      <c r="AC18" s="63" t="str">
        <f t="shared" ca="1" si="15"/>
        <v/>
      </c>
      <c r="AD18" s="63" t="str">
        <f t="shared" ca="1" si="16"/>
        <v/>
      </c>
      <c r="AE18" s="63" t="str">
        <f t="shared" ca="1" si="17"/>
        <v/>
      </c>
      <c r="AF18" s="63" t="str">
        <f t="shared" ca="1" si="18"/>
        <v/>
      </c>
      <c r="AG18" s="63" t="str">
        <f t="shared" ca="1" si="19"/>
        <v/>
      </c>
      <c r="AH18" s="63" t="str">
        <f t="shared" ca="1" si="20"/>
        <v/>
      </c>
      <c r="AI18" s="63" t="str">
        <f t="shared" ca="1" si="21"/>
        <v/>
      </c>
      <c r="AJ18" s="47" t="str">
        <f t="shared" ca="1" si="22"/>
        <v/>
      </c>
      <c r="AK18" s="47" t="str">
        <f t="shared" ca="1" si="23"/>
        <v/>
      </c>
      <c r="AL18" s="47" t="str">
        <f t="shared" ca="1" si="24"/>
        <v/>
      </c>
      <c r="AM18" s="47" t="str">
        <f t="shared" ca="1" si="25"/>
        <v/>
      </c>
      <c r="AN18" s="47" t="str">
        <f t="shared" ca="1" si="26"/>
        <v/>
      </c>
      <c r="AO18" s="47" t="str">
        <f t="shared" ca="1" si="27"/>
        <v/>
      </c>
      <c r="AP18" s="47" t="str">
        <f t="shared" ca="1" si="28"/>
        <v/>
      </c>
      <c r="AQ18" s="47" t="str">
        <f t="shared" ca="1" si="29"/>
        <v/>
      </c>
      <c r="AR18" s="47" t="str">
        <f t="shared" ca="1" si="30"/>
        <v/>
      </c>
      <c r="AS18" s="33" t="str">
        <f t="shared" ca="1" si="31"/>
        <v/>
      </c>
      <c r="AW18" s="2">
        <v>10.9</v>
      </c>
      <c r="AX18" s="2" t="s">
        <v>266</v>
      </c>
      <c r="AY18" s="130">
        <v>34.4</v>
      </c>
      <c r="AZ18" s="2">
        <v>18.5</v>
      </c>
      <c r="BA18" s="2">
        <v>23</v>
      </c>
      <c r="BB18" s="2">
        <v>76</v>
      </c>
      <c r="BC18" s="2">
        <v>4</v>
      </c>
      <c r="BD18" s="2">
        <v>3.7</v>
      </c>
      <c r="BE18" s="2">
        <v>6.5</v>
      </c>
      <c r="BF18" s="2">
        <v>6.7</v>
      </c>
      <c r="BG18" s="2">
        <v>6.9</v>
      </c>
      <c r="BH18" s="2">
        <v>9.9</v>
      </c>
      <c r="BI18" s="2">
        <v>127</v>
      </c>
      <c r="BJ18" s="2">
        <v>306</v>
      </c>
      <c r="BK18" s="2">
        <v>360</v>
      </c>
      <c r="BL18" s="2">
        <v>414</v>
      </c>
      <c r="BM18" s="2">
        <v>601</v>
      </c>
      <c r="BN18" s="2"/>
      <c r="BO18" s="2"/>
      <c r="BP18" s="2"/>
      <c r="BQ18" s="2"/>
      <c r="BR18" s="2"/>
      <c r="BS18" s="2"/>
      <c r="BT18" s="2">
        <v>31</v>
      </c>
      <c r="BU18" s="2">
        <v>273</v>
      </c>
      <c r="BV18" s="2">
        <v>363</v>
      </c>
      <c r="BW18" s="2">
        <v>453</v>
      </c>
      <c r="BX18" s="2">
        <v>708</v>
      </c>
      <c r="BY18" s="2">
        <v>27.5</v>
      </c>
      <c r="BZ18" s="2">
        <v>9.9</v>
      </c>
      <c r="CA18" s="2">
        <v>3</v>
      </c>
      <c r="CB18" s="2">
        <v>1.0699301385517499E-9</v>
      </c>
      <c r="CC18" s="2">
        <v>1.8</v>
      </c>
    </row>
    <row r="19" spans="1:81" x14ac:dyDescent="0.25">
      <c r="A19" s="129" t="s">
        <v>38</v>
      </c>
      <c r="B19" s="129" t="s">
        <v>30</v>
      </c>
      <c r="C19" s="129" t="s">
        <v>59</v>
      </c>
      <c r="D19" s="43"/>
      <c r="E19" s="35"/>
      <c r="I19" s="33" t="str">
        <f t="shared" ca="1" si="0"/>
        <v/>
      </c>
      <c r="J19" s="47" t="str">
        <f t="shared" ca="1" si="32"/>
        <v/>
      </c>
      <c r="K19" s="19" t="str">
        <f t="shared" ca="1" si="33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34"/>
        <v/>
      </c>
      <c r="P19" s="63" t="str">
        <f t="shared" ca="1" si="35"/>
        <v/>
      </c>
      <c r="Q19" s="47" t="str">
        <f t="shared" ca="1" si="4"/>
        <v/>
      </c>
      <c r="R19" s="47" t="str">
        <f t="shared" ca="1" si="5"/>
        <v/>
      </c>
      <c r="S19" s="47" t="str">
        <f t="shared" ca="1" si="6"/>
        <v/>
      </c>
      <c r="T19" s="47" t="str">
        <f t="shared" ca="1" si="7"/>
        <v/>
      </c>
      <c r="U19" s="75" t="str">
        <f t="shared" ca="1" si="8"/>
        <v/>
      </c>
      <c r="V19" s="75" t="str">
        <f t="shared" ca="1" si="9"/>
        <v/>
      </c>
      <c r="W19" s="47" t="str">
        <f t="shared" ca="1" si="36"/>
        <v/>
      </c>
      <c r="X19" s="47" t="str">
        <f t="shared" ca="1" si="10"/>
        <v/>
      </c>
      <c r="Y19" s="47" t="str">
        <f t="shared" ca="1" si="11"/>
        <v/>
      </c>
      <c r="Z19" s="47" t="str">
        <f t="shared" ca="1" si="12"/>
        <v/>
      </c>
      <c r="AA19" s="47" t="str">
        <f t="shared" ca="1" si="13"/>
        <v/>
      </c>
      <c r="AB19" s="47" t="str">
        <f t="shared" ca="1" si="14"/>
        <v/>
      </c>
      <c r="AC19" s="63" t="str">
        <f t="shared" ca="1" si="15"/>
        <v/>
      </c>
      <c r="AD19" s="63" t="str">
        <f t="shared" ca="1" si="16"/>
        <v/>
      </c>
      <c r="AE19" s="63" t="str">
        <f t="shared" ca="1" si="17"/>
        <v/>
      </c>
      <c r="AF19" s="63" t="str">
        <f t="shared" ca="1" si="18"/>
        <v/>
      </c>
      <c r="AG19" s="63" t="str">
        <f t="shared" ca="1" si="19"/>
        <v/>
      </c>
      <c r="AH19" s="63" t="str">
        <f t="shared" ca="1" si="20"/>
        <v/>
      </c>
      <c r="AI19" s="63" t="str">
        <f t="shared" ca="1" si="21"/>
        <v/>
      </c>
      <c r="AJ19" s="47" t="str">
        <f t="shared" ca="1" si="22"/>
        <v/>
      </c>
      <c r="AK19" s="47" t="str">
        <f t="shared" ca="1" si="23"/>
        <v/>
      </c>
      <c r="AL19" s="47" t="str">
        <f t="shared" ca="1" si="24"/>
        <v/>
      </c>
      <c r="AM19" s="47" t="str">
        <f t="shared" ca="1" si="25"/>
        <v/>
      </c>
      <c r="AN19" s="47" t="str">
        <f t="shared" ca="1" si="26"/>
        <v/>
      </c>
      <c r="AO19" s="47" t="str">
        <f t="shared" ca="1" si="27"/>
        <v/>
      </c>
      <c r="AP19" s="47" t="str">
        <f t="shared" ca="1" si="28"/>
        <v/>
      </c>
      <c r="AQ19" s="47" t="str">
        <f t="shared" ca="1" si="29"/>
        <v/>
      </c>
      <c r="AR19" s="47" t="str">
        <f t="shared" ca="1" si="30"/>
        <v/>
      </c>
      <c r="AS19" s="33" t="str">
        <f t="shared" ca="1" si="31"/>
        <v/>
      </c>
      <c r="AW19" s="2">
        <v>36</v>
      </c>
      <c r="AX19" s="2" t="s">
        <v>266</v>
      </c>
      <c r="AY19" s="130">
        <v>34.4</v>
      </c>
      <c r="AZ19" s="2">
        <v>18.5</v>
      </c>
      <c r="BA19" s="2">
        <v>23</v>
      </c>
      <c r="BB19" s="2">
        <v>76</v>
      </c>
      <c r="BC19" s="2">
        <v>4</v>
      </c>
      <c r="BD19" s="2">
        <v>4.8</v>
      </c>
      <c r="BE19" s="2">
        <v>7.6</v>
      </c>
      <c r="BF19" s="2">
        <v>7.8</v>
      </c>
      <c r="BG19" s="2">
        <v>8</v>
      </c>
      <c r="BH19" s="2">
        <v>10.9</v>
      </c>
      <c r="BI19" s="2">
        <v>160</v>
      </c>
      <c r="BJ19" s="2">
        <v>340</v>
      </c>
      <c r="BK19" s="2">
        <v>393</v>
      </c>
      <c r="BL19" s="2">
        <v>447</v>
      </c>
      <c r="BM19" s="2">
        <v>634</v>
      </c>
      <c r="BN19" s="2"/>
      <c r="BO19" s="2"/>
      <c r="BP19" s="2"/>
      <c r="BQ19" s="2"/>
      <c r="BR19" s="2"/>
      <c r="BS19" s="2"/>
      <c r="BT19" s="2">
        <v>103</v>
      </c>
      <c r="BU19" s="2">
        <v>345</v>
      </c>
      <c r="BV19" s="2">
        <v>434</v>
      </c>
      <c r="BW19" s="2">
        <v>524</v>
      </c>
      <c r="BX19" s="2">
        <v>780</v>
      </c>
      <c r="BY19" s="2">
        <v>27.5</v>
      </c>
      <c r="BZ19" s="2">
        <v>9.9</v>
      </c>
      <c r="CA19" s="2">
        <v>3</v>
      </c>
      <c r="CB19" s="2">
        <v>1.0699301385517499E-9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2"/>
        <v/>
      </c>
      <c r="K20" s="19" t="str">
        <f t="shared" ca="1" si="33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34"/>
        <v/>
      </c>
      <c r="P20" s="63" t="str">
        <f t="shared" ca="1" si="35"/>
        <v/>
      </c>
      <c r="Q20" s="47" t="str">
        <f t="shared" ca="1" si="4"/>
        <v/>
      </c>
      <c r="R20" s="47" t="str">
        <f t="shared" ca="1" si="5"/>
        <v/>
      </c>
      <c r="S20" s="47" t="str">
        <f t="shared" ca="1" si="6"/>
        <v/>
      </c>
      <c r="T20" s="47" t="str">
        <f t="shared" ca="1" si="7"/>
        <v/>
      </c>
      <c r="U20" s="75" t="str">
        <f t="shared" ca="1" si="8"/>
        <v/>
      </c>
      <c r="V20" s="75" t="str">
        <f t="shared" ca="1" si="9"/>
        <v/>
      </c>
      <c r="W20" s="47" t="str">
        <f t="shared" ca="1" si="36"/>
        <v/>
      </c>
      <c r="X20" s="47" t="str">
        <f t="shared" ca="1" si="10"/>
        <v/>
      </c>
      <c r="Y20" s="47" t="str">
        <f t="shared" ca="1" si="11"/>
        <v/>
      </c>
      <c r="Z20" s="47" t="str">
        <f t="shared" ca="1" si="12"/>
        <v/>
      </c>
      <c r="AA20" s="47" t="str">
        <f t="shared" ca="1" si="13"/>
        <v/>
      </c>
      <c r="AB20" s="47" t="str">
        <f t="shared" ca="1" si="14"/>
        <v/>
      </c>
      <c r="AC20" s="63" t="str">
        <f t="shared" ca="1" si="15"/>
        <v/>
      </c>
      <c r="AD20" s="63" t="str">
        <f t="shared" ca="1" si="16"/>
        <v/>
      </c>
      <c r="AE20" s="63" t="str">
        <f t="shared" ca="1" si="17"/>
        <v/>
      </c>
      <c r="AF20" s="63" t="str">
        <f t="shared" ca="1" si="18"/>
        <v/>
      </c>
      <c r="AG20" s="63" t="str">
        <f t="shared" ca="1" si="19"/>
        <v/>
      </c>
      <c r="AH20" s="63" t="str">
        <f t="shared" ca="1" si="20"/>
        <v/>
      </c>
      <c r="AI20" s="63" t="str">
        <f t="shared" ca="1" si="21"/>
        <v/>
      </c>
      <c r="AJ20" s="47" t="str">
        <f t="shared" ca="1" si="22"/>
        <v/>
      </c>
      <c r="AK20" s="47" t="str">
        <f t="shared" ca="1" si="23"/>
        <v/>
      </c>
      <c r="AL20" s="47" t="str">
        <f t="shared" ca="1" si="24"/>
        <v/>
      </c>
      <c r="AM20" s="47" t="str">
        <f t="shared" ca="1" si="25"/>
        <v/>
      </c>
      <c r="AN20" s="47" t="str">
        <f t="shared" ca="1" si="26"/>
        <v/>
      </c>
      <c r="AO20" s="47" t="str">
        <f t="shared" ca="1" si="27"/>
        <v/>
      </c>
      <c r="AP20" s="47" t="str">
        <f t="shared" ca="1" si="28"/>
        <v/>
      </c>
      <c r="AQ20" s="47" t="str">
        <f t="shared" ca="1" si="29"/>
        <v/>
      </c>
      <c r="AR20" s="47" t="str">
        <f t="shared" ca="1" si="30"/>
        <v/>
      </c>
      <c r="AS20" s="33" t="str">
        <f t="shared" ca="1" si="31"/>
        <v/>
      </c>
      <c r="AW20" s="2">
        <v>36</v>
      </c>
      <c r="AX20" s="2" t="s">
        <v>266</v>
      </c>
      <c r="AY20" s="130">
        <v>34.4</v>
      </c>
      <c r="AZ20" s="2">
        <v>18.5</v>
      </c>
      <c r="BA20" s="2">
        <v>23</v>
      </c>
      <c r="BB20" s="2">
        <v>76</v>
      </c>
      <c r="BC20" s="2">
        <v>4</v>
      </c>
      <c r="BD20" s="2">
        <v>5.2</v>
      </c>
      <c r="BE20" s="2">
        <v>5.9</v>
      </c>
      <c r="BF20" s="2">
        <v>6.1</v>
      </c>
      <c r="BG20" s="2">
        <v>6.2</v>
      </c>
      <c r="BH20" s="2">
        <v>7.2</v>
      </c>
      <c r="BI20" s="2">
        <v>131</v>
      </c>
      <c r="BJ20" s="2">
        <v>245</v>
      </c>
      <c r="BK20" s="2">
        <v>299</v>
      </c>
      <c r="BL20" s="2">
        <v>353</v>
      </c>
      <c r="BM20" s="2">
        <v>478</v>
      </c>
      <c r="BN20" s="2"/>
      <c r="BO20" s="2"/>
      <c r="BP20" s="2"/>
      <c r="BQ20" s="2"/>
      <c r="BR20" s="2"/>
      <c r="BS20" s="2"/>
      <c r="BT20" s="2">
        <v>123</v>
      </c>
      <c r="BU20" s="2">
        <v>231</v>
      </c>
      <c r="BV20" s="2">
        <v>321</v>
      </c>
      <c r="BW20" s="2">
        <v>411</v>
      </c>
      <c r="BX20" s="2">
        <v>597</v>
      </c>
      <c r="BY20" s="2">
        <v>19.3</v>
      </c>
      <c r="BZ20" s="2">
        <v>4.0999999999999996</v>
      </c>
      <c r="CA20" s="2">
        <v>2.1</v>
      </c>
      <c r="CB20" s="2">
        <v>4.1158066185131097E-11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2"/>
        <v/>
      </c>
      <c r="K21" s="19" t="str">
        <f t="shared" ca="1" si="33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34"/>
        <v/>
      </c>
      <c r="P21" s="63" t="str">
        <f t="shared" ca="1" si="35"/>
        <v/>
      </c>
      <c r="Q21" s="47" t="str">
        <f t="shared" ca="1" si="4"/>
        <v/>
      </c>
      <c r="R21" s="47" t="str">
        <f t="shared" ca="1" si="5"/>
        <v/>
      </c>
      <c r="S21" s="47" t="str">
        <f t="shared" ca="1" si="6"/>
        <v/>
      </c>
      <c r="T21" s="47" t="str">
        <f t="shared" ca="1" si="7"/>
        <v/>
      </c>
      <c r="U21" s="75" t="str">
        <f t="shared" ca="1" si="8"/>
        <v/>
      </c>
      <c r="V21" s="75" t="str">
        <f t="shared" ca="1" si="9"/>
        <v/>
      </c>
      <c r="W21" s="47" t="str">
        <f t="shared" ca="1" si="36"/>
        <v/>
      </c>
      <c r="X21" s="47" t="str">
        <f t="shared" ca="1" si="10"/>
        <v/>
      </c>
      <c r="Y21" s="47" t="str">
        <f t="shared" ca="1" si="11"/>
        <v/>
      </c>
      <c r="Z21" s="47" t="str">
        <f t="shared" ca="1" si="12"/>
        <v/>
      </c>
      <c r="AA21" s="47" t="str">
        <f t="shared" ca="1" si="13"/>
        <v/>
      </c>
      <c r="AB21" s="47" t="str">
        <f t="shared" ca="1" si="14"/>
        <v/>
      </c>
      <c r="AC21" s="63" t="str">
        <f t="shared" ca="1" si="15"/>
        <v/>
      </c>
      <c r="AD21" s="63" t="str">
        <f t="shared" ca="1" si="16"/>
        <v/>
      </c>
      <c r="AE21" s="63" t="str">
        <f t="shared" ca="1" si="17"/>
        <v/>
      </c>
      <c r="AF21" s="63" t="str">
        <f t="shared" ca="1" si="18"/>
        <v/>
      </c>
      <c r="AG21" s="63" t="str">
        <f t="shared" ca="1" si="19"/>
        <v/>
      </c>
      <c r="AH21" s="63" t="str">
        <f t="shared" ca="1" si="20"/>
        <v/>
      </c>
      <c r="AI21" s="63" t="str">
        <f t="shared" ca="1" si="21"/>
        <v/>
      </c>
      <c r="AJ21" s="47" t="str">
        <f t="shared" ca="1" si="22"/>
        <v/>
      </c>
      <c r="AK21" s="47" t="str">
        <f t="shared" ca="1" si="23"/>
        <v/>
      </c>
      <c r="AL21" s="47" t="str">
        <f t="shared" ca="1" si="24"/>
        <v/>
      </c>
      <c r="AM21" s="47" t="str">
        <f t="shared" ca="1" si="25"/>
        <v/>
      </c>
      <c r="AN21" s="47" t="str">
        <f t="shared" ca="1" si="26"/>
        <v/>
      </c>
      <c r="AO21" s="47" t="str">
        <f t="shared" ca="1" si="27"/>
        <v/>
      </c>
      <c r="AP21" s="47" t="str">
        <f t="shared" ca="1" si="28"/>
        <v/>
      </c>
      <c r="AQ21" s="47" t="str">
        <f t="shared" ca="1" si="29"/>
        <v/>
      </c>
      <c r="AR21" s="47" t="str">
        <f t="shared" ca="1" si="30"/>
        <v/>
      </c>
      <c r="AS21" s="33" t="str">
        <f t="shared" ca="1" si="31"/>
        <v/>
      </c>
      <c r="AW21" s="2">
        <v>41</v>
      </c>
      <c r="AX21" s="2" t="s">
        <v>266</v>
      </c>
      <c r="AY21" s="130">
        <v>34.4</v>
      </c>
      <c r="AZ21" s="2">
        <v>18.5</v>
      </c>
      <c r="BA21" s="2">
        <v>23</v>
      </c>
      <c r="BB21" s="2">
        <v>76</v>
      </c>
      <c r="BC21" s="2">
        <v>4</v>
      </c>
      <c r="BD21" s="2">
        <v>3.9</v>
      </c>
      <c r="BE21" s="2">
        <v>4.7</v>
      </c>
      <c r="BF21" s="2">
        <v>4.8</v>
      </c>
      <c r="BG21" s="2">
        <v>5</v>
      </c>
      <c r="BH21" s="2">
        <v>5.9</v>
      </c>
      <c r="BI21" s="2">
        <v>57</v>
      </c>
      <c r="BJ21" s="2">
        <v>171</v>
      </c>
      <c r="BK21" s="2">
        <v>225</v>
      </c>
      <c r="BL21" s="2">
        <v>279</v>
      </c>
      <c r="BM21" s="2">
        <v>403</v>
      </c>
      <c r="BN21" s="2"/>
      <c r="BO21" s="2"/>
      <c r="BP21" s="2"/>
      <c r="BQ21" s="2"/>
      <c r="BR21" s="2"/>
      <c r="BS21" s="2"/>
      <c r="BT21" s="2">
        <v>40</v>
      </c>
      <c r="BU21" s="2">
        <v>149</v>
      </c>
      <c r="BV21" s="2">
        <v>239</v>
      </c>
      <c r="BW21" s="2">
        <v>329</v>
      </c>
      <c r="BX21" s="2">
        <v>515</v>
      </c>
      <c r="BY21" s="2">
        <v>19.3</v>
      </c>
      <c r="BZ21" s="2">
        <v>4.0999999999999996</v>
      </c>
      <c r="CA21" s="2">
        <v>2.1</v>
      </c>
      <c r="CB21" s="2">
        <v>4.1158066185131097E-11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2"/>
        <v/>
      </c>
      <c r="K22" s="19" t="str">
        <f ca="1">IF(OFFSET($AW$6,(ROW()-5)*2,0)=0,"",-OFFSET($AW$6,(ROW()-5)*2,0))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34"/>
        <v/>
      </c>
      <c r="P22" s="63" t="str">
        <f t="shared" ca="1" si="35"/>
        <v/>
      </c>
      <c r="Q22" s="47" t="str">
        <f t="shared" ca="1" si="4"/>
        <v/>
      </c>
      <c r="R22" s="47" t="str">
        <f t="shared" ca="1" si="5"/>
        <v/>
      </c>
      <c r="S22" s="47" t="str">
        <f t="shared" ca="1" si="6"/>
        <v/>
      </c>
      <c r="T22" s="47" t="str">
        <f t="shared" ca="1" si="7"/>
        <v/>
      </c>
      <c r="U22" s="75" t="str">
        <f t="shared" ca="1" si="8"/>
        <v/>
      </c>
      <c r="V22" s="75" t="str">
        <f t="shared" ca="1" si="9"/>
        <v/>
      </c>
      <c r="W22" s="47" t="str">
        <f t="shared" ca="1" si="36"/>
        <v/>
      </c>
      <c r="X22" s="47" t="str">
        <f t="shared" ca="1" si="10"/>
        <v/>
      </c>
      <c r="Y22" s="47" t="str">
        <f t="shared" ca="1" si="11"/>
        <v/>
      </c>
      <c r="Z22" s="47" t="str">
        <f t="shared" ca="1" si="12"/>
        <v/>
      </c>
      <c r="AA22" s="47" t="str">
        <f t="shared" ca="1" si="13"/>
        <v/>
      </c>
      <c r="AB22" s="47" t="str">
        <f t="shared" ca="1" si="14"/>
        <v/>
      </c>
      <c r="AC22" s="63" t="str">
        <f t="shared" ca="1" si="15"/>
        <v/>
      </c>
      <c r="AD22" s="63" t="str">
        <f t="shared" ca="1" si="16"/>
        <v/>
      </c>
      <c r="AE22" s="63" t="str">
        <f t="shared" ca="1" si="17"/>
        <v/>
      </c>
      <c r="AF22" s="63" t="str">
        <f t="shared" ca="1" si="18"/>
        <v/>
      </c>
      <c r="AG22" s="63" t="str">
        <f t="shared" ca="1" si="19"/>
        <v/>
      </c>
      <c r="AH22" s="63" t="str">
        <f t="shared" ca="1" si="20"/>
        <v/>
      </c>
      <c r="AI22" s="63" t="str">
        <f t="shared" ca="1" si="21"/>
        <v/>
      </c>
      <c r="AJ22" s="47" t="str">
        <f t="shared" ca="1" si="22"/>
        <v/>
      </c>
      <c r="AK22" s="47" t="str">
        <f t="shared" ca="1" si="23"/>
        <v/>
      </c>
      <c r="AL22" s="47" t="str">
        <f t="shared" ca="1" si="24"/>
        <v/>
      </c>
      <c r="AM22" s="47" t="str">
        <f t="shared" ca="1" si="25"/>
        <v/>
      </c>
      <c r="AN22" s="47" t="str">
        <f t="shared" ca="1" si="26"/>
        <v/>
      </c>
      <c r="AO22" s="47" t="str">
        <f t="shared" ca="1" si="27"/>
        <v/>
      </c>
      <c r="AP22" s="47" t="str">
        <f t="shared" ca="1" si="28"/>
        <v/>
      </c>
      <c r="AQ22" s="47" t="str">
        <f t="shared" ca="1" si="29"/>
        <v/>
      </c>
      <c r="AR22" s="47" t="str">
        <f t="shared" ca="1" si="30"/>
        <v/>
      </c>
      <c r="AS22" s="33" t="str">
        <f t="shared" ca="1" si="31"/>
        <v/>
      </c>
      <c r="AW22" s="2">
        <v>41</v>
      </c>
      <c r="AX22" s="2" t="s">
        <v>305</v>
      </c>
      <c r="AY22" s="130">
        <v>28.5</v>
      </c>
      <c r="AZ22" s="2">
        <v>19.3</v>
      </c>
      <c r="BA22" s="2">
        <v>16</v>
      </c>
      <c r="BB22" s="2">
        <v>49</v>
      </c>
      <c r="BC22" s="2">
        <v>5</v>
      </c>
      <c r="BD22" s="2">
        <v>1.5</v>
      </c>
      <c r="BE22" s="2">
        <v>17.899999999999999</v>
      </c>
      <c r="BF22" s="2">
        <v>22</v>
      </c>
      <c r="BG22" s="2">
        <v>54.2</v>
      </c>
      <c r="BH22" s="2">
        <v>153.9</v>
      </c>
      <c r="BI22" s="2">
        <v>1017</v>
      </c>
      <c r="BJ22" s="2">
        <v>1129</v>
      </c>
      <c r="BK22" s="2">
        <v>1181</v>
      </c>
      <c r="BL22" s="2">
        <v>1233</v>
      </c>
      <c r="BM22" s="2">
        <v>1345</v>
      </c>
      <c r="BN22" s="2"/>
      <c r="BO22" s="2"/>
      <c r="BP22" s="2"/>
      <c r="BQ22" s="2"/>
      <c r="BR22" s="2"/>
      <c r="BS22" s="2"/>
      <c r="BT22" s="2">
        <v>1440</v>
      </c>
      <c r="BU22" s="2">
        <v>2011</v>
      </c>
      <c r="BV22" s="2">
        <v>2141</v>
      </c>
      <c r="BW22" s="2">
        <v>2273</v>
      </c>
      <c r="BX22" s="2">
        <v>2862</v>
      </c>
      <c r="BY22" s="2">
        <v>103.5</v>
      </c>
      <c r="BZ22" s="2">
        <v>16.100000000000001</v>
      </c>
      <c r="CA22" s="2">
        <v>3</v>
      </c>
      <c r="CB22" s="2">
        <v>1.09315173239135E-10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2"/>
        <v/>
      </c>
      <c r="K23" s="19" t="str">
        <f ca="1">IF(OFFSET($AW$6,(ROW()-5)*2,0)=0,"",-OFFSET($AW$6,(ROW()-5)*2,0))</f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34"/>
        <v/>
      </c>
      <c r="P23" s="63" t="str">
        <f t="shared" ca="1" si="35"/>
        <v/>
      </c>
      <c r="Q23" s="47" t="str">
        <f t="shared" ca="1" si="4"/>
        <v/>
      </c>
      <c r="R23" s="47" t="str">
        <f t="shared" ca="1" si="5"/>
        <v/>
      </c>
      <c r="S23" s="47" t="str">
        <f t="shared" ca="1" si="6"/>
        <v/>
      </c>
      <c r="T23" s="47" t="str">
        <f t="shared" ca="1" si="7"/>
        <v/>
      </c>
      <c r="U23" s="75" t="str">
        <f t="shared" ca="1" si="8"/>
        <v/>
      </c>
      <c r="V23" s="75" t="str">
        <f t="shared" ca="1" si="9"/>
        <v/>
      </c>
      <c r="W23" s="47" t="str">
        <f t="shared" ca="1" si="36"/>
        <v/>
      </c>
      <c r="X23" s="47" t="str">
        <f t="shared" ca="1" si="10"/>
        <v/>
      </c>
      <c r="Y23" s="47" t="str">
        <f t="shared" ca="1" si="11"/>
        <v/>
      </c>
      <c r="Z23" s="47" t="str">
        <f t="shared" ca="1" si="12"/>
        <v/>
      </c>
      <c r="AA23" s="47" t="str">
        <f t="shared" ca="1" si="13"/>
        <v/>
      </c>
      <c r="AB23" s="47" t="str">
        <f t="shared" ca="1" si="14"/>
        <v/>
      </c>
      <c r="AC23" s="63" t="str">
        <f t="shared" ca="1" si="15"/>
        <v/>
      </c>
      <c r="AD23" s="63" t="str">
        <f t="shared" ca="1" si="16"/>
        <v/>
      </c>
      <c r="AE23" s="63" t="str">
        <f t="shared" ca="1" si="17"/>
        <v/>
      </c>
      <c r="AF23" s="63" t="str">
        <f t="shared" ca="1" si="18"/>
        <v/>
      </c>
      <c r="AG23" s="63" t="str">
        <f t="shared" ca="1" si="19"/>
        <v/>
      </c>
      <c r="AH23" s="63" t="str">
        <f t="shared" ca="1" si="20"/>
        <v/>
      </c>
      <c r="AI23" s="63" t="str">
        <f t="shared" ca="1" si="21"/>
        <v/>
      </c>
      <c r="AJ23" s="47" t="str">
        <f t="shared" ca="1" si="22"/>
        <v/>
      </c>
      <c r="AK23" s="47" t="str">
        <f t="shared" ca="1" si="23"/>
        <v/>
      </c>
      <c r="AL23" s="47" t="str">
        <f t="shared" ca="1" si="24"/>
        <v/>
      </c>
      <c r="AM23" s="47" t="str">
        <f t="shared" ca="1" si="25"/>
        <v/>
      </c>
      <c r="AN23" s="47" t="str">
        <f t="shared" ca="1" si="26"/>
        <v/>
      </c>
      <c r="AO23" s="47" t="str">
        <f t="shared" ca="1" si="27"/>
        <v/>
      </c>
      <c r="AP23" s="47" t="str">
        <f t="shared" ca="1" si="28"/>
        <v/>
      </c>
      <c r="AQ23" s="47" t="str">
        <f t="shared" ca="1" si="29"/>
        <v/>
      </c>
      <c r="AR23" s="47" t="str">
        <f t="shared" ca="1" si="30"/>
        <v/>
      </c>
      <c r="AS23" s="33" t="str">
        <f t="shared" ca="1" si="31"/>
        <v/>
      </c>
      <c r="AW23" s="2">
        <v>66.2</v>
      </c>
      <c r="AX23" s="2" t="s">
        <v>305</v>
      </c>
      <c r="AY23" s="130">
        <v>28.5</v>
      </c>
      <c r="AZ23" s="2">
        <v>19.3</v>
      </c>
      <c r="BA23" s="2">
        <v>16</v>
      </c>
      <c r="BB23" s="2">
        <v>49</v>
      </c>
      <c r="BC23" s="2">
        <v>5</v>
      </c>
      <c r="BD23" s="2">
        <v>10.8</v>
      </c>
      <c r="BE23" s="2">
        <v>27.2</v>
      </c>
      <c r="BF23" s="2">
        <v>31.3</v>
      </c>
      <c r="BG23" s="2">
        <v>63.5</v>
      </c>
      <c r="BH23" s="2">
        <v>163.19999999999999</v>
      </c>
      <c r="BI23" s="2">
        <v>1508</v>
      </c>
      <c r="BJ23" s="2">
        <v>1619</v>
      </c>
      <c r="BK23" s="2">
        <v>1671</v>
      </c>
      <c r="BL23" s="2">
        <v>1724</v>
      </c>
      <c r="BM23" s="2">
        <v>1835</v>
      </c>
      <c r="BN23" s="2"/>
      <c r="BO23" s="2"/>
      <c r="BP23" s="2"/>
      <c r="BQ23" s="2"/>
      <c r="BR23" s="2"/>
      <c r="BS23" s="2"/>
      <c r="BT23" s="2">
        <v>1440</v>
      </c>
      <c r="BU23" s="2">
        <v>2011</v>
      </c>
      <c r="BV23" s="2">
        <v>2141</v>
      </c>
      <c r="BW23" s="2">
        <v>2273</v>
      </c>
      <c r="BX23" s="2">
        <v>2862</v>
      </c>
      <c r="BY23" s="2">
        <v>103.5</v>
      </c>
      <c r="BZ23" s="2">
        <v>16.100000000000001</v>
      </c>
      <c r="CA23" s="2">
        <v>3</v>
      </c>
      <c r="CB23" s="2">
        <v>1.09315173239135E-10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2"/>
        <v/>
      </c>
      <c r="K24" s="19" t="str">
        <f ca="1">IF(OFFSET($AW$6,(ROW()-5)*2,0)=0,"",-OFFSET($AW$6,(ROW()-5)*2,0))</f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34"/>
        <v/>
      </c>
      <c r="P24" s="63" t="str">
        <f t="shared" ca="1" si="35"/>
        <v/>
      </c>
      <c r="Q24" s="47" t="str">
        <f t="shared" ca="1" si="4"/>
        <v/>
      </c>
      <c r="R24" s="47" t="str">
        <f t="shared" ca="1" si="5"/>
        <v/>
      </c>
      <c r="S24" s="47" t="str">
        <f t="shared" ca="1" si="6"/>
        <v/>
      </c>
      <c r="T24" s="47" t="str">
        <f t="shared" ca="1" si="7"/>
        <v/>
      </c>
      <c r="U24" s="75" t="str">
        <f t="shared" ca="1" si="8"/>
        <v/>
      </c>
      <c r="V24" s="75" t="str">
        <f t="shared" ca="1" si="9"/>
        <v/>
      </c>
      <c r="W24" s="47" t="str">
        <f t="shared" ca="1" si="36"/>
        <v/>
      </c>
      <c r="X24" s="47" t="str">
        <f t="shared" ca="1" si="10"/>
        <v/>
      </c>
      <c r="Y24" s="47" t="str">
        <f t="shared" ca="1" si="11"/>
        <v/>
      </c>
      <c r="Z24" s="47" t="str">
        <f t="shared" ca="1" si="12"/>
        <v/>
      </c>
      <c r="AA24" s="47" t="str">
        <f t="shared" ca="1" si="13"/>
        <v/>
      </c>
      <c r="AB24" s="47" t="str">
        <f t="shared" ca="1" si="14"/>
        <v/>
      </c>
      <c r="AC24" s="63" t="str">
        <f t="shared" ca="1" si="15"/>
        <v/>
      </c>
      <c r="AD24" s="63" t="str">
        <f t="shared" ca="1" si="16"/>
        <v/>
      </c>
      <c r="AE24" s="63" t="str">
        <f t="shared" ca="1" si="17"/>
        <v/>
      </c>
      <c r="AF24" s="63" t="str">
        <f t="shared" ca="1" si="18"/>
        <v/>
      </c>
      <c r="AG24" s="63" t="str">
        <f t="shared" ca="1" si="19"/>
        <v/>
      </c>
      <c r="AH24" s="63" t="str">
        <f t="shared" ca="1" si="20"/>
        <v/>
      </c>
      <c r="AI24" s="63" t="str">
        <f t="shared" ca="1" si="21"/>
        <v/>
      </c>
      <c r="AJ24" s="47" t="str">
        <f t="shared" ca="1" si="22"/>
        <v/>
      </c>
      <c r="AK24" s="47" t="str">
        <f t="shared" ca="1" si="23"/>
        <v/>
      </c>
      <c r="AL24" s="47" t="str">
        <f t="shared" ca="1" si="24"/>
        <v/>
      </c>
      <c r="AM24" s="47" t="str">
        <f t="shared" ca="1" si="25"/>
        <v/>
      </c>
      <c r="AN24" s="47" t="str">
        <f t="shared" ca="1" si="26"/>
        <v/>
      </c>
      <c r="AO24" s="47" t="str">
        <f t="shared" ca="1" si="27"/>
        <v/>
      </c>
      <c r="AP24" s="47" t="str">
        <f t="shared" ca="1" si="28"/>
        <v/>
      </c>
      <c r="AQ24" s="47" t="str">
        <f t="shared" ca="1" si="29"/>
        <v/>
      </c>
      <c r="AR24" s="47" t="str">
        <f t="shared" ca="1" si="30"/>
        <v/>
      </c>
      <c r="AS24" s="33" t="str">
        <f t="shared" ca="1" si="31"/>
        <v/>
      </c>
      <c r="AW24" s="2">
        <v>66.2</v>
      </c>
      <c r="AX24" s="2" t="s">
        <v>271</v>
      </c>
      <c r="AY24" s="130">
        <v>24.7</v>
      </c>
      <c r="AZ24" s="2">
        <v>19.8</v>
      </c>
      <c r="BA24" s="2"/>
      <c r="BB24" s="2">
        <v>11</v>
      </c>
      <c r="BC24" s="2"/>
      <c r="BD24" s="2">
        <v>2.4</v>
      </c>
      <c r="BE24" s="2">
        <v>25.6</v>
      </c>
      <c r="BF24" s="2">
        <v>41.7</v>
      </c>
      <c r="BG24" s="2">
        <v>89.4</v>
      </c>
      <c r="BH24" s="2">
        <v>237.2</v>
      </c>
      <c r="BI24" s="2"/>
      <c r="BJ24" s="2"/>
      <c r="BK24" s="2"/>
      <c r="BL24" s="2"/>
      <c r="BM24" s="2"/>
      <c r="BN24" s="2">
        <v>79</v>
      </c>
      <c r="BO24" s="2">
        <v>26</v>
      </c>
      <c r="BP24" s="2">
        <v>29</v>
      </c>
      <c r="BQ24" s="2">
        <v>31</v>
      </c>
      <c r="BR24" s="2">
        <v>33</v>
      </c>
      <c r="BS24" s="2">
        <v>38</v>
      </c>
      <c r="BT24" s="2">
        <v>66</v>
      </c>
      <c r="BU24" s="2">
        <v>204</v>
      </c>
      <c r="BV24" s="2">
        <v>263</v>
      </c>
      <c r="BW24" s="2">
        <v>321</v>
      </c>
      <c r="BX24" s="2">
        <v>466</v>
      </c>
      <c r="BY24" s="2">
        <v>64.2</v>
      </c>
      <c r="BZ24" s="2">
        <v>2.5</v>
      </c>
      <c r="CA24" s="2">
        <v>0.9</v>
      </c>
      <c r="CB24" s="2">
        <v>2.6852179827588101E-12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2"/>
        <v/>
      </c>
      <c r="K25" s="19" t="str">
        <f ca="1">IF(OFFSET($AW$6,(ROW()-5)*2,0)=0,"",-OFFSET($AW$6,(ROW()-5)*2,0))</f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34"/>
        <v/>
      </c>
      <c r="P25" s="63" t="str">
        <f t="shared" ca="1" si="35"/>
        <v/>
      </c>
      <c r="Q25" s="47" t="str">
        <f t="shared" ca="1" si="4"/>
        <v/>
      </c>
      <c r="R25" s="47" t="str">
        <f t="shared" ca="1" si="5"/>
        <v/>
      </c>
      <c r="S25" s="47" t="str">
        <f t="shared" ca="1" si="6"/>
        <v/>
      </c>
      <c r="T25" s="47" t="str">
        <f t="shared" ca="1" si="7"/>
        <v/>
      </c>
      <c r="U25" s="75" t="str">
        <f t="shared" ca="1" si="8"/>
        <v/>
      </c>
      <c r="V25" s="75" t="str">
        <f t="shared" ca="1" si="9"/>
        <v/>
      </c>
      <c r="W25" s="47" t="str">
        <f t="shared" ca="1" si="36"/>
        <v/>
      </c>
      <c r="X25" s="47" t="str">
        <f t="shared" ca="1" si="10"/>
        <v/>
      </c>
      <c r="Y25" s="47" t="str">
        <f t="shared" ca="1" si="11"/>
        <v/>
      </c>
      <c r="Z25" s="47" t="str">
        <f t="shared" ca="1" si="12"/>
        <v/>
      </c>
      <c r="AA25" s="47" t="str">
        <f t="shared" ca="1" si="13"/>
        <v/>
      </c>
      <c r="AB25" s="47" t="str">
        <f t="shared" ca="1" si="14"/>
        <v/>
      </c>
      <c r="AC25" s="63" t="str">
        <f t="shared" ca="1" si="15"/>
        <v/>
      </c>
      <c r="AD25" s="63" t="str">
        <f t="shared" ca="1" si="16"/>
        <v/>
      </c>
      <c r="AE25" s="63" t="str">
        <f t="shared" ca="1" si="17"/>
        <v/>
      </c>
      <c r="AF25" s="63" t="str">
        <f t="shared" ca="1" si="18"/>
        <v/>
      </c>
      <c r="AG25" s="63" t="str">
        <f t="shared" ca="1" si="19"/>
        <v/>
      </c>
      <c r="AH25" s="63" t="str">
        <f t="shared" ca="1" si="20"/>
        <v/>
      </c>
      <c r="AI25" s="63" t="str">
        <f t="shared" ca="1" si="21"/>
        <v/>
      </c>
      <c r="AJ25" s="47" t="str">
        <f t="shared" ca="1" si="22"/>
        <v/>
      </c>
      <c r="AK25" s="47" t="str">
        <f t="shared" ca="1" si="23"/>
        <v/>
      </c>
      <c r="AL25" s="47" t="str">
        <f t="shared" ca="1" si="24"/>
        <v/>
      </c>
      <c r="AM25" s="47" t="str">
        <f t="shared" ca="1" si="25"/>
        <v/>
      </c>
      <c r="AN25" s="47" t="str">
        <f t="shared" ca="1" si="26"/>
        <v/>
      </c>
      <c r="AO25" s="47" t="str">
        <f t="shared" ca="1" si="27"/>
        <v/>
      </c>
      <c r="AP25" s="47" t="str">
        <f t="shared" ca="1" si="28"/>
        <v/>
      </c>
      <c r="AQ25" s="47" t="str">
        <f t="shared" ca="1" si="29"/>
        <v/>
      </c>
      <c r="AR25" s="47" t="str">
        <f t="shared" ca="1" si="30"/>
        <v/>
      </c>
      <c r="AS25" s="33" t="str">
        <f t="shared" ca="1" si="31"/>
        <v/>
      </c>
      <c r="AW25" s="2">
        <v>72.7</v>
      </c>
      <c r="AX25" s="2" t="s">
        <v>271</v>
      </c>
      <c r="AY25" s="130">
        <v>24.7</v>
      </c>
      <c r="AZ25" s="2">
        <v>19.8</v>
      </c>
      <c r="BA25" s="2"/>
      <c r="BB25" s="2">
        <v>11</v>
      </c>
      <c r="BC25" s="2"/>
      <c r="BD25" s="2">
        <v>4.5999999999999996</v>
      </c>
      <c r="BE25" s="2">
        <v>27.8</v>
      </c>
      <c r="BF25" s="2">
        <v>43.9</v>
      </c>
      <c r="BG25" s="2">
        <v>91.5</v>
      </c>
      <c r="BH25" s="2">
        <v>239.4</v>
      </c>
      <c r="BI25" s="2"/>
      <c r="BJ25" s="2"/>
      <c r="BK25" s="2"/>
      <c r="BL25" s="2"/>
      <c r="BM25" s="2"/>
      <c r="BN25" s="2">
        <v>79</v>
      </c>
      <c r="BO25" s="2">
        <v>26</v>
      </c>
      <c r="BP25" s="2">
        <v>29</v>
      </c>
      <c r="BQ25" s="2">
        <v>31</v>
      </c>
      <c r="BR25" s="2">
        <v>33</v>
      </c>
      <c r="BS25" s="2">
        <v>38</v>
      </c>
      <c r="BT25" s="2">
        <v>77</v>
      </c>
      <c r="BU25" s="2">
        <v>215</v>
      </c>
      <c r="BV25" s="2">
        <v>274</v>
      </c>
      <c r="BW25" s="2">
        <v>332</v>
      </c>
      <c r="BX25" s="2">
        <v>476</v>
      </c>
      <c r="BY25" s="2">
        <v>64.2</v>
      </c>
      <c r="BZ25" s="2">
        <v>2.5</v>
      </c>
      <c r="CA25" s="2">
        <v>0.9</v>
      </c>
      <c r="CB25" s="2">
        <v>2.6852179827588101E-12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2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34"/>
        <v/>
      </c>
      <c r="P26" s="63" t="str">
        <f t="shared" ca="1" si="35"/>
        <v/>
      </c>
      <c r="Q26" s="47" t="str">
        <f t="shared" ca="1" si="4"/>
        <v/>
      </c>
      <c r="R26" s="47" t="str">
        <f t="shared" ca="1" si="5"/>
        <v/>
      </c>
      <c r="S26" s="47" t="str">
        <f t="shared" ca="1" si="6"/>
        <v/>
      </c>
      <c r="T26" s="47" t="str">
        <f t="shared" ca="1" si="7"/>
        <v/>
      </c>
      <c r="U26" s="75" t="str">
        <f t="shared" ca="1" si="8"/>
        <v/>
      </c>
      <c r="V26" s="75" t="str">
        <f t="shared" ca="1" si="9"/>
        <v/>
      </c>
      <c r="W26" s="47" t="str">
        <f t="shared" ca="1" si="36"/>
        <v/>
      </c>
      <c r="Y26" s="47" t="str">
        <f t="shared" ca="1" si="11"/>
        <v/>
      </c>
      <c r="Z26" s="47" t="str">
        <f t="shared" ca="1" si="12"/>
        <v/>
      </c>
      <c r="AA26" s="47" t="str">
        <f t="shared" ca="1" si="13"/>
        <v/>
      </c>
      <c r="AB26" s="47" t="str">
        <f t="shared" ca="1" si="14"/>
        <v/>
      </c>
      <c r="AC26" s="63" t="str">
        <f t="shared" ca="1" si="15"/>
        <v/>
      </c>
      <c r="AD26" s="63" t="str">
        <f t="shared" ca="1" si="16"/>
        <v/>
      </c>
      <c r="AE26" s="63" t="str">
        <f t="shared" ca="1" si="17"/>
        <v/>
      </c>
      <c r="AF26" s="63" t="str">
        <f t="shared" ca="1" si="18"/>
        <v/>
      </c>
      <c r="AG26" s="63" t="str">
        <f t="shared" ca="1" si="19"/>
        <v/>
      </c>
      <c r="AH26" s="63" t="str">
        <f t="shared" ca="1" si="20"/>
        <v/>
      </c>
      <c r="AI26" s="63" t="str">
        <f t="shared" ca="1" si="21"/>
        <v/>
      </c>
      <c r="AJ26" s="47" t="str">
        <f t="shared" ca="1" si="22"/>
        <v/>
      </c>
      <c r="AK26" s="47" t="str">
        <f t="shared" ca="1" si="23"/>
        <v/>
      </c>
      <c r="AM26" s="47" t="str">
        <f t="shared" ca="1" si="25"/>
        <v/>
      </c>
      <c r="AN26" s="47" t="str">
        <f t="shared" ca="1" si="26"/>
        <v/>
      </c>
      <c r="AO26" s="47" t="str">
        <f t="shared" ca="1" si="27"/>
        <v/>
      </c>
      <c r="AP26" s="47" t="str">
        <f t="shared" ca="1" si="28"/>
        <v/>
      </c>
      <c r="AQ26" s="47" t="str">
        <f t="shared" ca="1" si="29"/>
        <v/>
      </c>
      <c r="AR26" s="47" t="str">
        <f t="shared" ca="1" si="30"/>
        <v/>
      </c>
      <c r="AS26" s="33" t="str">
        <f t="shared" ca="1" si="31"/>
        <v/>
      </c>
      <c r="AW26" s="2">
        <v>72.7</v>
      </c>
      <c r="AX26" s="2" t="s">
        <v>273</v>
      </c>
      <c r="AY26" s="130">
        <v>32</v>
      </c>
      <c r="AZ26" s="2">
        <v>18.899999999999999</v>
      </c>
      <c r="BA26" s="2">
        <v>47</v>
      </c>
      <c r="BB26" s="2">
        <v>85</v>
      </c>
      <c r="BC26" s="2">
        <v>3</v>
      </c>
      <c r="BD26" s="2">
        <v>2.7</v>
      </c>
      <c r="BE26" s="2">
        <v>10.9</v>
      </c>
      <c r="BF26" s="2">
        <v>12.9</v>
      </c>
      <c r="BG26" s="2">
        <v>27.7</v>
      </c>
      <c r="BH26" s="2">
        <v>73.5</v>
      </c>
      <c r="BI26" s="2">
        <v>445</v>
      </c>
      <c r="BJ26" s="2">
        <v>531</v>
      </c>
      <c r="BK26" s="2">
        <v>574</v>
      </c>
      <c r="BL26" s="2">
        <v>618</v>
      </c>
      <c r="BM26" s="2">
        <v>704</v>
      </c>
      <c r="BN26" s="2"/>
      <c r="BO26" s="2"/>
      <c r="BP26" s="2"/>
      <c r="BQ26" s="2"/>
      <c r="BR26" s="2"/>
      <c r="BS26" s="2"/>
      <c r="BT26" s="2">
        <v>583</v>
      </c>
      <c r="BU26" s="2">
        <v>755</v>
      </c>
      <c r="BV26" s="2">
        <v>842</v>
      </c>
      <c r="BW26" s="2">
        <v>928</v>
      </c>
      <c r="BX26" s="2">
        <v>1100</v>
      </c>
      <c r="BY26" s="2">
        <v>48.3</v>
      </c>
      <c r="BZ26" s="2">
        <v>5.0999999999999996</v>
      </c>
      <c r="CA26" s="2">
        <v>2.1</v>
      </c>
      <c r="CB26" s="2">
        <v>3.7827334445626502E-12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4"/>
        <v/>
      </c>
      <c r="AJ27" s="47" t="str">
        <f t="shared" si="22"/>
        <v/>
      </c>
      <c r="AK27" s="47" t="str">
        <f t="shared" si="23"/>
        <v/>
      </c>
      <c r="AN27" s="47" t="str">
        <f t="shared" si="26"/>
        <v/>
      </c>
      <c r="AO27" s="47" t="str">
        <f t="shared" si="27"/>
        <v/>
      </c>
      <c r="AQ27" s="47" t="str">
        <f t="shared" si="29"/>
        <v/>
      </c>
      <c r="AR27" s="47" t="str">
        <f t="shared" ca="1" si="30"/>
        <v/>
      </c>
      <c r="AW27" s="2">
        <v>80</v>
      </c>
      <c r="AX27" s="2" t="s">
        <v>273</v>
      </c>
      <c r="AY27" s="130">
        <v>32</v>
      </c>
      <c r="AZ27" s="2">
        <v>18.899999999999999</v>
      </c>
      <c r="BA27" s="2">
        <v>47</v>
      </c>
      <c r="BB27" s="2">
        <v>85</v>
      </c>
      <c r="BC27" s="2">
        <v>3</v>
      </c>
      <c r="BD27" s="2">
        <v>3.5</v>
      </c>
      <c r="BE27" s="2">
        <v>11.8</v>
      </c>
      <c r="BF27" s="2">
        <v>13.7</v>
      </c>
      <c r="BG27" s="2">
        <v>28.5</v>
      </c>
      <c r="BH27" s="2">
        <v>74.400000000000006</v>
      </c>
      <c r="BI27" s="2">
        <v>482</v>
      </c>
      <c r="BJ27" s="2">
        <v>568</v>
      </c>
      <c r="BK27" s="2">
        <v>611</v>
      </c>
      <c r="BL27" s="2">
        <v>655</v>
      </c>
      <c r="BM27" s="2">
        <v>741</v>
      </c>
      <c r="BN27" s="2"/>
      <c r="BO27" s="2"/>
      <c r="BP27" s="2"/>
      <c r="BQ27" s="2"/>
      <c r="BR27" s="2"/>
      <c r="BS27" s="2"/>
      <c r="BT27" s="2">
        <v>654</v>
      </c>
      <c r="BU27" s="2">
        <v>826</v>
      </c>
      <c r="BV27" s="2">
        <v>912</v>
      </c>
      <c r="BW27" s="2">
        <v>999</v>
      </c>
      <c r="BX27" s="2">
        <v>1171</v>
      </c>
      <c r="BY27" s="2">
        <v>48.3</v>
      </c>
      <c r="BZ27" s="2">
        <v>5.0999999999999996</v>
      </c>
      <c r="CA27" s="2">
        <v>2.1</v>
      </c>
      <c r="CB27" s="2">
        <v>3.7827334445626502E-12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29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1998" priority="12">
      <formula>$L32="API sand"</formula>
    </cfRule>
  </conditionalFormatting>
  <conditionalFormatting sqref="R32:S36 AB32:AB35 AJ32:AL36 Z32:Z36 N32:N36">
    <cfRule type="expression" dxfId="1997" priority="11">
      <formula>$M32="API sand"</formula>
    </cfRule>
  </conditionalFormatting>
  <conditionalFormatting sqref="R32:T36 Z32:AB35 AK32:AL36 N32:N36">
    <cfRule type="expression" dxfId="1996" priority="10">
      <formula>$M32="API clay"</formula>
    </cfRule>
  </conditionalFormatting>
  <conditionalFormatting sqref="U32:W36 AM32:AP36 N32:P36">
    <cfRule type="expression" dxfId="1995" priority="7">
      <formula>$L32="Stiff clay w/o free water"</formula>
    </cfRule>
    <cfRule type="expression" dxfId="1994" priority="9">
      <formula>$L32="API clay"</formula>
    </cfRule>
  </conditionalFormatting>
  <conditionalFormatting sqref="U32:Y36 AM32:AP36 N32:P36">
    <cfRule type="expression" dxfId="1993" priority="8">
      <formula>$L32="Kirsch soft clay"</formula>
    </cfRule>
  </conditionalFormatting>
  <conditionalFormatting sqref="U32:Y36 AM32:AP36 N32:P36">
    <cfRule type="expression" dxfId="1992" priority="6">
      <formula>$L32="Kirsch stiff clay"</formula>
    </cfRule>
  </conditionalFormatting>
  <conditionalFormatting sqref="AM32:AP36 Q32:Q36 X32:Y36 N32:N36">
    <cfRule type="expression" dxfId="1991" priority="5">
      <formula>$L32="Kirsch sand"</formula>
    </cfRule>
  </conditionalFormatting>
  <conditionalFormatting sqref="AC32:AD36 AI32:AI36 AM32:AP36 N32:N36">
    <cfRule type="expression" dxfId="1990" priority="4">
      <formula>$L32="Modified Weak rock"</formula>
    </cfRule>
  </conditionalFormatting>
  <conditionalFormatting sqref="AM32:AP36 N32:P36 U32:V36">
    <cfRule type="expression" dxfId="1989" priority="3">
      <formula>$L32="Reese stiff clay"</formula>
    </cfRule>
  </conditionalFormatting>
  <conditionalFormatting sqref="AB36">
    <cfRule type="expression" dxfId="1988" priority="2">
      <formula>$M36="API sand"</formula>
    </cfRule>
  </conditionalFormatting>
  <conditionalFormatting sqref="Z36:AB36">
    <cfRule type="expression" dxfId="1987" priority="1">
      <formula>$M36="API clay"</formula>
    </cfRule>
  </conditionalFormatting>
  <conditionalFormatting sqref="AE37:AH37">
    <cfRule type="expression" dxfId="1986" priority="13">
      <formula>#REF!="Modified Weak rock"</formula>
    </cfRule>
  </conditionalFormatting>
  <dataValidations count="4">
    <dataValidation type="list" showInputMessage="1" showErrorMessage="1" sqref="M32:M36" xr:uid="{49C3020F-02FD-4804-A24D-F7C314AC8DE6}">
      <formula1>"',API sand,API clay"</formula1>
    </dataValidation>
    <dataValidation type="list" showInputMessage="1" showErrorMessage="1" sqref="L32:L255" xr:uid="{FAE666C3-A2FD-41B1-9FBB-EB602486CDA4}">
      <formula1>"Zero soil,API sand,Kirsch sand,Kallehave sand,PISA sand, PISA clay, API clay,Stiff clay w/o free water,Reese stiff clay,Kirsch soft clay,Kirsch stiff clay,Modified Weak rock"</formula1>
    </dataValidation>
    <dataValidation showInputMessage="1" showErrorMessage="1" sqref="L6:M26" xr:uid="{20ED3C79-0C87-41BB-A359-DAABE4AD1636}"/>
    <dataValidation type="textLength" showInputMessage="1" showErrorMessage="1" sqref="M27:M31" xr:uid="{899F9BC4-9941-4C68-BD9C-5097BDC28BC5}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020C7-62E0-4132-B36B-46FFE29A0FC2}">
  <sheetPr>
    <tabColor rgb="FFFFFF00"/>
  </sheetPr>
  <dimension ref="A1:CC255"/>
  <sheetViews>
    <sheetView zoomScale="85" zoomScaleNormal="85" workbookViewId="0">
      <selection activeCell="I5" sqref="I5"/>
    </sheetView>
  </sheetViews>
  <sheetFormatPr defaultColWidth="9.28515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28515625" style="33" customWidth="1"/>
    <col min="11" max="11" width="11.5703125" style="33" bestFit="1" customWidth="1"/>
    <col min="12" max="12" width="18.28515625" style="33" customWidth="1"/>
    <col min="13" max="13" width="11.71093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28515625" style="33" customWidth="1"/>
    <col min="22" max="22" width="19.42578125" style="33" customWidth="1"/>
    <col min="23" max="23" width="6.5703125" style="33" customWidth="1"/>
    <col min="24" max="24" width="11.71093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7109375" style="33" customWidth="1"/>
    <col min="30" max="30" width="11.7109375" style="33" customWidth="1"/>
    <col min="31" max="31" width="10.28515625" style="33" customWidth="1"/>
    <col min="32" max="32" width="8.28515625" style="33" customWidth="1"/>
    <col min="33" max="33" width="13.7109375" style="33" customWidth="1"/>
    <col min="34" max="34" width="8.42578125" style="33" customWidth="1"/>
    <col min="35" max="35" width="7.71093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28515625" style="33"/>
  </cols>
  <sheetData>
    <row r="1" spans="1:81" x14ac:dyDescent="0.25">
      <c r="A1" s="34" t="str">
        <f ca="1">TRIM(MID(CELL("filename",A1),FIND("]",CELL("filename",A1),1)+1,255))</f>
        <v>MODEL_EW1_Kirsch</v>
      </c>
      <c r="D1" s="34"/>
    </row>
    <row r="3" spans="1:81" s="35" customFormat="1" ht="45" customHeight="1" x14ac:dyDescent="0.25">
      <c r="F3" s="36" t="s">
        <v>39</v>
      </c>
      <c r="J3" s="37" t="s">
        <v>22</v>
      </c>
      <c r="Q3" s="128"/>
      <c r="R3" s="155"/>
      <c r="S3" s="155"/>
      <c r="T3" s="128"/>
      <c r="U3" s="155"/>
      <c r="V3" s="155"/>
      <c r="W3" s="128"/>
      <c r="X3" s="69"/>
      <c r="Y3" s="128"/>
      <c r="Z3" s="128"/>
      <c r="AA3" s="128"/>
      <c r="AB3" s="128"/>
      <c r="AC3" s="69"/>
      <c r="AD3" s="39"/>
      <c r="AE3" s="39"/>
      <c r="AF3" s="39"/>
      <c r="AG3" s="39"/>
      <c r="AH3" s="39"/>
      <c r="AI3" s="39"/>
      <c r="AJ3" s="128"/>
      <c r="AK3" s="128"/>
      <c r="AL3" s="128"/>
      <c r="AM3" s="128"/>
      <c r="AN3" s="128"/>
      <c r="AO3" s="128"/>
      <c r="AP3" s="128"/>
      <c r="AW3" s="35" t="s">
        <v>316</v>
      </c>
    </row>
    <row r="4" spans="1:81" x14ac:dyDescent="0.25">
      <c r="A4" s="40" t="s">
        <v>60</v>
      </c>
      <c r="B4" s="33">
        <f ca="1"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81" ht="93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29" t="s">
        <v>38</v>
      </c>
      <c r="K5" s="129" t="s">
        <v>30</v>
      </c>
      <c r="L5" s="129" t="s">
        <v>31</v>
      </c>
      <c r="M5" s="129" t="s">
        <v>31</v>
      </c>
      <c r="N5" s="129" t="s">
        <v>32</v>
      </c>
      <c r="O5" s="129" t="s">
        <v>33</v>
      </c>
      <c r="P5" s="129" t="s">
        <v>35</v>
      </c>
      <c r="Q5" s="129" t="s">
        <v>36</v>
      </c>
      <c r="R5" s="129" t="s">
        <v>36</v>
      </c>
      <c r="S5" s="129" t="s">
        <v>34</v>
      </c>
      <c r="T5" s="129" t="s">
        <v>33</v>
      </c>
      <c r="U5" s="129" t="s">
        <v>34</v>
      </c>
      <c r="V5" s="129" t="s">
        <v>62</v>
      </c>
      <c r="W5" s="129" t="s">
        <v>34</v>
      </c>
      <c r="X5" s="129" t="s">
        <v>33</v>
      </c>
      <c r="Y5" s="129" t="s">
        <v>35</v>
      </c>
      <c r="Z5" s="129" t="s">
        <v>33</v>
      </c>
      <c r="AA5" s="129" t="s">
        <v>34</v>
      </c>
      <c r="AB5" s="129" t="s">
        <v>33</v>
      </c>
      <c r="AC5" s="129" t="s">
        <v>33</v>
      </c>
      <c r="AD5" s="129" t="s">
        <v>35</v>
      </c>
      <c r="AE5" s="129" t="s">
        <v>34</v>
      </c>
      <c r="AF5" s="129" t="s">
        <v>33</v>
      </c>
      <c r="AG5" s="129" t="s">
        <v>35</v>
      </c>
      <c r="AH5" s="129" t="s">
        <v>34</v>
      </c>
      <c r="AI5" s="129" t="s">
        <v>34</v>
      </c>
      <c r="AJ5" s="129" t="s">
        <v>34</v>
      </c>
      <c r="AK5" s="129" t="s">
        <v>34</v>
      </c>
      <c r="AL5" s="129" t="s">
        <v>34</v>
      </c>
      <c r="AM5" s="129" t="s">
        <v>34</v>
      </c>
      <c r="AN5" s="129" t="s">
        <v>34</v>
      </c>
      <c r="AO5" s="129" t="s">
        <v>34</v>
      </c>
      <c r="AP5" s="129" t="s">
        <v>34</v>
      </c>
      <c r="AQ5" s="129" t="s">
        <v>103</v>
      </c>
      <c r="AR5" s="129" t="s">
        <v>178</v>
      </c>
      <c r="AW5" s="131" t="s">
        <v>222</v>
      </c>
      <c r="AX5" s="131" t="s">
        <v>223</v>
      </c>
      <c r="AY5" s="131" t="s">
        <v>224</v>
      </c>
      <c r="AZ5" s="131" t="s">
        <v>225</v>
      </c>
      <c r="BA5" s="131" t="s">
        <v>226</v>
      </c>
      <c r="BB5" s="131" t="s">
        <v>227</v>
      </c>
      <c r="BC5" s="131" t="s">
        <v>315</v>
      </c>
      <c r="BD5" s="131" t="s">
        <v>229</v>
      </c>
      <c r="BE5" s="131" t="s">
        <v>230</v>
      </c>
      <c r="BF5" s="131" t="s">
        <v>231</v>
      </c>
      <c r="BG5" s="131" t="s">
        <v>232</v>
      </c>
      <c r="BH5" s="131" t="s">
        <v>233</v>
      </c>
      <c r="BI5" s="131" t="s">
        <v>234</v>
      </c>
      <c r="BJ5" s="131" t="s">
        <v>235</v>
      </c>
      <c r="BK5" s="131" t="s">
        <v>236</v>
      </c>
      <c r="BL5" s="131" t="s">
        <v>237</v>
      </c>
      <c r="BM5" s="131" t="s">
        <v>238</v>
      </c>
      <c r="BN5" s="131" t="s">
        <v>239</v>
      </c>
      <c r="BO5" s="131" t="s">
        <v>240</v>
      </c>
      <c r="BP5" s="131" t="s">
        <v>241</v>
      </c>
      <c r="BQ5" s="131" t="s">
        <v>242</v>
      </c>
      <c r="BR5" s="131" t="s">
        <v>243</v>
      </c>
      <c r="BS5" s="131" t="s">
        <v>244</v>
      </c>
      <c r="BT5" s="131" t="s">
        <v>245</v>
      </c>
      <c r="BU5" s="131" t="s">
        <v>246</v>
      </c>
      <c r="BV5" s="131" t="s">
        <v>247</v>
      </c>
      <c r="BW5" s="131" t="s">
        <v>248</v>
      </c>
      <c r="BX5" s="131" t="s">
        <v>249</v>
      </c>
      <c r="BY5" s="131" t="s">
        <v>250</v>
      </c>
      <c r="BZ5" s="131" t="s">
        <v>314</v>
      </c>
      <c r="CA5" s="131" t="s">
        <v>313</v>
      </c>
      <c r="CB5" s="131" t="s">
        <v>312</v>
      </c>
      <c r="CC5" s="131" t="s">
        <v>254</v>
      </c>
    </row>
    <row r="6" spans="1:81" x14ac:dyDescent="0.25">
      <c r="C6" s="45"/>
      <c r="F6" s="33" t="s">
        <v>67</v>
      </c>
      <c r="G6" s="57">
        <v>23</v>
      </c>
      <c r="H6" s="45" t="s">
        <v>28</v>
      </c>
      <c r="I6" s="33" t="str">
        <f t="shared" ref="I6:I26" ca="1" si="0">IF(OFFSET($AX$6,(ROW()-6)*2,0)=0,"",OFFSET($AX$6,(ROW()-6)*2,0))</f>
        <v>01a</v>
      </c>
      <c r="J6" s="47">
        <f>1</f>
        <v>1</v>
      </c>
      <c r="K6" s="19">
        <v>0</v>
      </c>
      <c r="L6" s="116" t="str">
        <f t="shared" ref="L6:L26" ca="1" si="1">IF(I6="","",IF(AND(OFFSET($BJ$6,(ROW()-6)*2,0)&lt;&gt;"",OFFSET($BJ$6,(ROW()-6)*2,0)&lt;250),"Kirsch soft clay",IF(AND(OFFSET($BJ$6,(ROW()-6)*2,0)&lt;&gt;"",OFFSET($BJ$6,(ROW()-6)*2,0)&gt;=250),"Kirsch stiff clay","Kirsch sand")))</f>
        <v>Kirsch sand</v>
      </c>
      <c r="M6" s="105" t="str">
        <f t="shared" ref="M6:M26" ca="1" si="2">IF(I6="","",IF(EXACT(L6,"Kirsch sand"),"API sand","API clay"))</f>
        <v>API sand</v>
      </c>
      <c r="N6" s="47">
        <f t="shared" ref="N6:N26" ca="1" si="3">IF(OFFSET($AZ$6,(ROW()-6)*2,0)=0,"",OFFSET($AZ$6,(ROW()-6)*2,0)-10)</f>
        <v>9.6999999999999993</v>
      </c>
      <c r="O6" s="63">
        <f ca="1">IF(I6="","",IF(OFFSET($BJ$6,(ROW()-6)*2,0)="",0,OFFSET($BJ$6,(ROW()-6)*2,0)))</f>
        <v>0</v>
      </c>
      <c r="P6" s="63">
        <f ca="1">IF(I6="","",IF(OFFSET($BJ$6,(ROW()-6)*2,0)="",0,(OFFSET($BJ$6,(ROW()-6)*2+1,0)-OFFSET($BJ$6,(ROW()-6)*2,0))/(OFFSET($AW$6,(ROW()-6)*2+1,0)-OFFSET($AW$6,(ROW()-6)*2,0))))</f>
        <v>0</v>
      </c>
      <c r="Q6" s="47">
        <f t="shared" ref="Q6:Q27" ca="1" si="4">IF(I6="","",IF(OFFSET($BP$6,(ROW()-6)*2,0)=0,0,OFFSET($BP$6,(ROW()-6)*2,0)))</f>
        <v>32</v>
      </c>
      <c r="R6" s="47">
        <f t="shared" ref="R6:R26" ca="1" si="5">IF(I6="","",IF(Q6&lt;&gt;0,Q6-5,NA()))</f>
        <v>27</v>
      </c>
      <c r="S6" s="47">
        <f t="shared" ref="S6:S26" ca="1" si="6">IF(I6="","",IF(OFFSET($CA$6,(ROW()-6)*2,0)=0,0,OFFSET($CA$6,(ROW()-6)*2,0)))</f>
        <v>0.5</v>
      </c>
      <c r="T6" s="47">
        <f t="shared" ref="T6:T26" ca="1" si="7">IF(I6="","",0)</f>
        <v>0</v>
      </c>
      <c r="U6" s="75">
        <f t="shared" ref="U6:U26" ca="1" si="8">IF(I6="","",IF(EXACT(L6,"Kirsch sand"),0,0.018))</f>
        <v>0</v>
      </c>
      <c r="V6" s="75">
        <f t="shared" ref="V6:V26" ca="1" si="9">IF(I6="","",0)</f>
        <v>0</v>
      </c>
      <c r="W6" s="47">
        <f t="shared" ref="W6:W26" ca="1" si="10">IF(I6="","",IF(EXACT(L6,"Kirsch soft clay"),0.5,IF(EXACT(L6,"Kirsch stiff clay"),0.25,0)))</f>
        <v>0</v>
      </c>
      <c r="X6" s="47">
        <f t="shared" ref="X6:X25" ca="1" si="11">IF(I6="","",IF(OFFSET($BY$6,(ROW()-6)*2,0)=0,0,OFFSET($BY$6,(ROW()-6)*2,0)*1000))</f>
        <v>2500</v>
      </c>
      <c r="Y6" s="47">
        <f t="shared" ref="Y6:Y26" ca="1" si="12">IF(I6="","",IF(OFFSET($BY$6,(ROW()-6)*2,0)=0,0,((OFFSET($BY$6,(ROW()-6)*2+1,0)-OFFSET($BY$6,(ROW()-6)*2,0))/(OFFSET($AW$6,(ROW()-6)*2+1,0)-OFFSET($AW$6,(ROW()-6)*2,0)))*1000))</f>
        <v>0</v>
      </c>
      <c r="Z6" s="47">
        <f t="shared" ref="Z6:Z26" ca="1" si="13">IF(I6="","",VLOOKUP(R6,$AE$39:$AF$59,2))</f>
        <v>86.999999999999972</v>
      </c>
      <c r="AA6" s="47">
        <f t="shared" ref="AA6:AA26" ca="1" si="14">IF(I6="","",1)</f>
        <v>1</v>
      </c>
      <c r="AB6" s="47">
        <f t="shared" ref="AB6:AB26" ca="1" si="15">IF(I6="","",VLOOKUP(R6,$AE$39:$AG$59,3))</f>
        <v>6720</v>
      </c>
      <c r="AC6" s="63">
        <f t="shared" ref="AC6:AC26" ca="1" si="16">IF(I6="","",IF(OFFSET($BV$6,(ROW()-6)*2,0)=0,0,OFFSET($BV$6,(ROW()-6)*2,0)*1000))</f>
        <v>5000</v>
      </c>
      <c r="AD6" s="63">
        <f t="shared" ref="AD6:AD26" ca="1" si="17">IF(I6="","",IF(OFFSET($BV$6,(ROW()-6)*2,0)=0,0,((OFFSET($BV$6,(ROW()-6)*2+1,0)-OFFSET($BV$6,(ROW()-6)*2,0))/(OFFSET($AW$6,(ROW()-6)*2+1,0)-OFFSET($AW$6,(ROW()-6)*2,0)))*1000))</f>
        <v>22000</v>
      </c>
      <c r="AE6" s="63">
        <f t="shared" ref="AE6:AE26" ca="1" si="18">IF(I6="","",0.3)</f>
        <v>0.3</v>
      </c>
      <c r="AF6" s="63">
        <f t="shared" ref="AF6:AF26" ca="1" si="19">IF(I6="","",0)</f>
        <v>0</v>
      </c>
      <c r="AG6" s="63">
        <f t="shared" ref="AG6:AG26" ca="1" si="20">IF(I6="","",0)</f>
        <v>0</v>
      </c>
      <c r="AH6" s="63">
        <f t="shared" ref="AH6:AH26" ca="1" si="21">IF(I6="","",0)</f>
        <v>0</v>
      </c>
      <c r="AI6" s="63">
        <f t="shared" ref="AI6:AI26" ca="1" si="22">IF(I6="","",0)</f>
        <v>0</v>
      </c>
      <c r="AJ6" s="47">
        <f t="shared" ref="AJ6:AJ27" ca="1" si="23">IF(I6="","",VLOOKUP(R6,$AE$39:$AH$59,4))</f>
        <v>28.000000000000007</v>
      </c>
      <c r="AK6" s="47">
        <f t="shared" ref="AK6:AK27" ca="1" si="24">IF(I6="","",1)</f>
        <v>1</v>
      </c>
      <c r="AL6" s="47">
        <f t="shared" ref="AL6:AL25" ca="1" si="25">IF(I6="","",1)</f>
        <v>1</v>
      </c>
      <c r="AM6" s="47">
        <f t="shared" ref="AM6:AM26" ca="1" si="26">IF(I6="","",1)</f>
        <v>1</v>
      </c>
      <c r="AN6" s="47">
        <f t="shared" ref="AN6:AN27" ca="1" si="27">IF(I6="","",1)</f>
        <v>1</v>
      </c>
      <c r="AO6" s="47">
        <f t="shared" ref="AO6:AO27" ca="1" si="28">IF(I6="","",1)</f>
        <v>1</v>
      </c>
      <c r="AP6" s="47">
        <f t="shared" ref="AP6:AP26" ca="1" si="29">IF(I6="","",1)</f>
        <v>1</v>
      </c>
      <c r="AQ6" s="47">
        <f t="shared" ref="AQ6:AQ28" ca="1" si="30">IF(I6="","",0)</f>
        <v>0</v>
      </c>
      <c r="AR6" s="47">
        <f t="shared" ref="AR6:AR27" ca="1" si="31">IF(I6="","",IF(OFFSET($BN$6,(ROW()-6)*2,0)=0,0,OFFSET($BN$6,(ROW()-6)*2,0)))</f>
        <v>69</v>
      </c>
      <c r="AS6" s="33">
        <f t="shared" ref="AS6:AS26" ca="1" si="32">IF(I6="","",IF(OR(EXACT(I6,"14a"),EXACT(I6,"15b"),EXACT(I6,"17a"),EXACT(I6,"19b"),EXACT(I6,"20a"),EXACT(I6,"21a")),0.2,0.4))</f>
        <v>0.4</v>
      </c>
      <c r="AW6" s="2">
        <v>0</v>
      </c>
      <c r="AX6" s="2" t="s">
        <v>279</v>
      </c>
      <c r="AY6" s="130">
        <v>25.3</v>
      </c>
      <c r="AZ6" s="2">
        <v>19.7</v>
      </c>
      <c r="BA6" s="2"/>
      <c r="BB6" s="2">
        <v>5</v>
      </c>
      <c r="BC6" s="2"/>
      <c r="BD6" s="2">
        <v>0</v>
      </c>
      <c r="BE6" s="2">
        <v>0.2</v>
      </c>
      <c r="BF6" s="2">
        <v>0.3</v>
      </c>
      <c r="BG6" s="2">
        <v>0.4</v>
      </c>
      <c r="BH6" s="2">
        <v>0.7</v>
      </c>
      <c r="BI6" s="2"/>
      <c r="BJ6" s="2"/>
      <c r="BK6" s="2"/>
      <c r="BL6" s="2"/>
      <c r="BM6" s="2"/>
      <c r="BN6" s="2">
        <v>69</v>
      </c>
      <c r="BO6" s="2">
        <v>22</v>
      </c>
      <c r="BP6" s="2">
        <v>32</v>
      </c>
      <c r="BQ6" s="2">
        <v>35</v>
      </c>
      <c r="BR6" s="2">
        <v>38</v>
      </c>
      <c r="BS6" s="2">
        <v>46</v>
      </c>
      <c r="BT6" s="2">
        <v>0</v>
      </c>
      <c r="BU6" s="2">
        <v>2</v>
      </c>
      <c r="BV6" s="2">
        <v>5</v>
      </c>
      <c r="BW6" s="2">
        <v>8</v>
      </c>
      <c r="BX6" s="2">
        <v>14</v>
      </c>
      <c r="BY6" s="2">
        <v>2.5</v>
      </c>
      <c r="BZ6" s="2">
        <v>1</v>
      </c>
      <c r="CA6" s="2">
        <v>0.5</v>
      </c>
      <c r="CB6" s="2">
        <v>7.1621749230272402E-6</v>
      </c>
      <c r="CC6" s="2"/>
    </row>
    <row r="7" spans="1:81" x14ac:dyDescent="0.25">
      <c r="A7" s="54" t="s">
        <v>23</v>
      </c>
      <c r="C7" s="45"/>
      <c r="F7" s="55" t="s">
        <v>48</v>
      </c>
      <c r="G7" s="56"/>
      <c r="H7" s="39"/>
      <c r="I7" s="33" t="str">
        <f t="shared" ca="1" si="0"/>
        <v>01a</v>
      </c>
      <c r="J7" s="47">
        <f t="shared" ref="J7:J26" ca="1" si="33">IF(I7&lt;&gt;"",J6+1,"")</f>
        <v>2</v>
      </c>
      <c r="K7" s="19">
        <f t="shared" ref="K7:K21" ca="1" si="34">IF(OFFSET($AW$6,(ROW()-6)*2,0)=0,"",-OFFSET($AW$6,(ROW()-6)*2,0))</f>
        <v>-0.5</v>
      </c>
      <c r="L7" s="116" t="str">
        <f t="shared" ca="1" si="1"/>
        <v>Kirsch sand</v>
      </c>
      <c r="M7" s="105" t="str">
        <f t="shared" ca="1" si="2"/>
        <v>API sand</v>
      </c>
      <c r="N7" s="47">
        <f t="shared" ca="1" si="3"/>
        <v>9.6999999999999993</v>
      </c>
      <c r="O7" s="63">
        <f t="shared" ref="O7:O26" ca="1" si="35">IF(I7="","",IF(OFFSET($BJ$6,(ROW()-6)*2,0)=0,0,OFFSET($BJ$6,(ROW()-6)*2,0)))</f>
        <v>0</v>
      </c>
      <c r="P7" s="63">
        <f t="shared" ref="P7:P26" ca="1" si="36">IF(I7="","",IF(OFFSET($BJ$6,(ROW()-6)*2,0)=0,0,(OFFSET($BJ$6,(ROW()-6)*2+1,0)-OFFSET($BJ$6,(ROW()-6)*2,0))/(OFFSET($AW$6,(ROW()-6)*2+1,0)-OFFSET($AW$6,(ROW()-6)*2,0))))</f>
        <v>0</v>
      </c>
      <c r="Q7" s="47">
        <f t="shared" ca="1" si="4"/>
        <v>37</v>
      </c>
      <c r="R7" s="47">
        <f t="shared" ca="1" si="5"/>
        <v>32</v>
      </c>
      <c r="S7" s="47">
        <f t="shared" ca="1" si="6"/>
        <v>0.5</v>
      </c>
      <c r="T7" s="47">
        <f t="shared" ca="1" si="7"/>
        <v>0</v>
      </c>
      <c r="U7" s="75">
        <f t="shared" ca="1" si="8"/>
        <v>0</v>
      </c>
      <c r="V7" s="75">
        <f t="shared" ca="1" si="9"/>
        <v>0</v>
      </c>
      <c r="W7" s="47">
        <f t="shared" ca="1" si="10"/>
        <v>0</v>
      </c>
      <c r="X7" s="47">
        <f t="shared" ca="1" si="11"/>
        <v>12400</v>
      </c>
      <c r="Y7" s="47">
        <f t="shared" ca="1" si="12"/>
        <v>0</v>
      </c>
      <c r="Z7" s="47">
        <f t="shared" ca="1" si="13"/>
        <v>103.59999999999997</v>
      </c>
      <c r="AA7" s="47">
        <f t="shared" ca="1" si="14"/>
        <v>1</v>
      </c>
      <c r="AB7" s="47">
        <f t="shared" ca="1" si="15"/>
        <v>10560</v>
      </c>
      <c r="AC7" s="63">
        <f t="shared" ca="1" si="16"/>
        <v>19000</v>
      </c>
      <c r="AD7" s="63">
        <f t="shared" ca="1" si="17"/>
        <v>21250</v>
      </c>
      <c r="AE7" s="63">
        <f t="shared" ca="1" si="18"/>
        <v>0.3</v>
      </c>
      <c r="AF7" s="63">
        <f t="shared" ca="1" si="19"/>
        <v>0</v>
      </c>
      <c r="AG7" s="63">
        <f t="shared" ca="1" si="20"/>
        <v>0</v>
      </c>
      <c r="AH7" s="63">
        <f t="shared" ca="1" si="21"/>
        <v>0</v>
      </c>
      <c r="AI7" s="63">
        <f t="shared" ca="1" si="22"/>
        <v>0</v>
      </c>
      <c r="AJ7" s="47">
        <f t="shared" ca="1" si="23"/>
        <v>44.000000000000007</v>
      </c>
      <c r="AK7" s="47">
        <f t="shared" ca="1" si="24"/>
        <v>1</v>
      </c>
      <c r="AL7" s="47">
        <f t="shared" ca="1" si="25"/>
        <v>1</v>
      </c>
      <c r="AM7" s="47">
        <f t="shared" ca="1" si="26"/>
        <v>1</v>
      </c>
      <c r="AN7" s="47">
        <f t="shared" ca="1" si="27"/>
        <v>1</v>
      </c>
      <c r="AO7" s="47">
        <f t="shared" ca="1" si="28"/>
        <v>1</v>
      </c>
      <c r="AP7" s="47">
        <f t="shared" ca="1" si="29"/>
        <v>1</v>
      </c>
      <c r="AQ7" s="47">
        <f t="shared" ca="1" si="30"/>
        <v>0</v>
      </c>
      <c r="AR7" s="47">
        <f t="shared" ca="1" si="31"/>
        <v>60</v>
      </c>
      <c r="AS7" s="33">
        <f t="shared" ca="1" si="32"/>
        <v>0.4</v>
      </c>
      <c r="AW7" s="2">
        <v>0.5</v>
      </c>
      <c r="AX7" s="2" t="s">
        <v>279</v>
      </c>
      <c r="AY7" s="130">
        <v>25.3</v>
      </c>
      <c r="AZ7" s="2">
        <v>19.7</v>
      </c>
      <c r="BA7" s="2"/>
      <c r="BB7" s="2">
        <v>5</v>
      </c>
      <c r="BC7" s="2"/>
      <c r="BD7" s="2">
        <v>0.6</v>
      </c>
      <c r="BE7" s="2">
        <v>0.8</v>
      </c>
      <c r="BF7" s="2">
        <v>0.9</v>
      </c>
      <c r="BG7" s="2">
        <v>1.1000000000000001</v>
      </c>
      <c r="BH7" s="2">
        <v>1.3</v>
      </c>
      <c r="BI7" s="2"/>
      <c r="BJ7" s="2"/>
      <c r="BK7" s="2"/>
      <c r="BL7" s="2"/>
      <c r="BM7" s="2"/>
      <c r="BN7" s="2">
        <v>69</v>
      </c>
      <c r="BO7" s="2">
        <v>22</v>
      </c>
      <c r="BP7" s="2">
        <v>32</v>
      </c>
      <c r="BQ7" s="2">
        <v>35</v>
      </c>
      <c r="BR7" s="2">
        <v>38</v>
      </c>
      <c r="BS7" s="2">
        <v>46</v>
      </c>
      <c r="BT7" s="2">
        <v>7</v>
      </c>
      <c r="BU7" s="2">
        <v>13</v>
      </c>
      <c r="BV7" s="2">
        <v>16</v>
      </c>
      <c r="BW7" s="2">
        <v>19</v>
      </c>
      <c r="BX7" s="2">
        <v>25</v>
      </c>
      <c r="BY7" s="2">
        <v>2.5</v>
      </c>
      <c r="BZ7" s="2">
        <v>1</v>
      </c>
      <c r="CA7" s="2">
        <v>0.5</v>
      </c>
      <c r="CB7" s="2">
        <v>7.1621749230272402E-6</v>
      </c>
      <c r="CC7" s="2"/>
    </row>
    <row r="8" spans="1:8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33" t="str">
        <f t="shared" ca="1" si="0"/>
        <v>10a</v>
      </c>
      <c r="J8" s="47">
        <f t="shared" ca="1" si="33"/>
        <v>3</v>
      </c>
      <c r="K8" s="19">
        <f t="shared" ca="1" si="34"/>
        <v>-1.3</v>
      </c>
      <c r="L8" s="116" t="str">
        <f t="shared" ca="1" si="1"/>
        <v>Kirsch sand</v>
      </c>
      <c r="M8" s="105" t="str">
        <f t="shared" ca="1" si="2"/>
        <v>API sand</v>
      </c>
      <c r="N8" s="47">
        <f t="shared" ca="1" si="3"/>
        <v>10</v>
      </c>
      <c r="O8" s="63">
        <f t="shared" ca="1" si="35"/>
        <v>0</v>
      </c>
      <c r="P8" s="63">
        <f t="shared" ca="1" si="36"/>
        <v>0</v>
      </c>
      <c r="Q8" s="47">
        <f t="shared" ca="1" si="4"/>
        <v>37</v>
      </c>
      <c r="R8" s="47">
        <f t="shared" ca="1" si="5"/>
        <v>32</v>
      </c>
      <c r="S8" s="47">
        <f t="shared" ca="1" si="6"/>
        <v>1.9</v>
      </c>
      <c r="T8" s="47">
        <f t="shared" ca="1" si="7"/>
        <v>0</v>
      </c>
      <c r="U8" s="75">
        <f t="shared" ca="1" si="8"/>
        <v>0</v>
      </c>
      <c r="V8" s="75">
        <f t="shared" ca="1" si="9"/>
        <v>0</v>
      </c>
      <c r="W8" s="47">
        <f t="shared" ca="1" si="10"/>
        <v>0</v>
      </c>
      <c r="X8" s="47">
        <f t="shared" ca="1" si="11"/>
        <v>18600</v>
      </c>
      <c r="Y8" s="47">
        <f t="shared" ca="1" si="12"/>
        <v>0</v>
      </c>
      <c r="Z8" s="47">
        <f t="shared" ca="1" si="13"/>
        <v>103.59999999999997</v>
      </c>
      <c r="AA8" s="47">
        <f t="shared" ca="1" si="14"/>
        <v>1</v>
      </c>
      <c r="AB8" s="47">
        <f t="shared" ca="1" si="15"/>
        <v>10560</v>
      </c>
      <c r="AC8" s="63">
        <f t="shared" ca="1" si="16"/>
        <v>30000</v>
      </c>
      <c r="AD8" s="63">
        <f t="shared" ca="1" si="17"/>
        <v>22857.142857142859</v>
      </c>
      <c r="AE8" s="63">
        <f t="shared" ca="1" si="18"/>
        <v>0.3</v>
      </c>
      <c r="AF8" s="63">
        <f t="shared" ca="1" si="19"/>
        <v>0</v>
      </c>
      <c r="AG8" s="63">
        <f t="shared" ca="1" si="20"/>
        <v>0</v>
      </c>
      <c r="AH8" s="63">
        <f t="shared" ca="1" si="21"/>
        <v>0</v>
      </c>
      <c r="AI8" s="63">
        <f t="shared" ca="1" si="22"/>
        <v>0</v>
      </c>
      <c r="AJ8" s="47">
        <f t="shared" ca="1" si="23"/>
        <v>44.000000000000007</v>
      </c>
      <c r="AK8" s="47">
        <f t="shared" ca="1" si="24"/>
        <v>1</v>
      </c>
      <c r="AL8" s="47">
        <f t="shared" ca="1" si="25"/>
        <v>1</v>
      </c>
      <c r="AM8" s="47">
        <f t="shared" ca="1" si="26"/>
        <v>1</v>
      </c>
      <c r="AN8" s="47">
        <f t="shared" ca="1" si="27"/>
        <v>1</v>
      </c>
      <c r="AO8" s="47">
        <f t="shared" ca="1" si="28"/>
        <v>1</v>
      </c>
      <c r="AP8" s="47">
        <f t="shared" ca="1" si="29"/>
        <v>1</v>
      </c>
      <c r="AQ8" s="47">
        <f t="shared" ca="1" si="30"/>
        <v>0</v>
      </c>
      <c r="AR8" s="47">
        <f t="shared" ca="1" si="31"/>
        <v>53</v>
      </c>
      <c r="AS8" s="33">
        <f t="shared" ca="1" si="32"/>
        <v>0.4</v>
      </c>
      <c r="AW8" s="2">
        <v>0.5</v>
      </c>
      <c r="AX8" s="2" t="s">
        <v>279</v>
      </c>
      <c r="AY8" s="130">
        <v>25.3</v>
      </c>
      <c r="AZ8" s="2">
        <v>19.7</v>
      </c>
      <c r="BA8" s="2"/>
      <c r="BB8" s="2">
        <v>5</v>
      </c>
      <c r="BC8" s="2"/>
      <c r="BD8" s="2">
        <v>0.6</v>
      </c>
      <c r="BE8" s="2">
        <v>1.6</v>
      </c>
      <c r="BF8" s="2">
        <v>1.9</v>
      </c>
      <c r="BG8" s="2">
        <v>2.2999999999999998</v>
      </c>
      <c r="BH8" s="2">
        <v>3.3</v>
      </c>
      <c r="BI8" s="2"/>
      <c r="BJ8" s="2"/>
      <c r="BK8" s="2"/>
      <c r="BL8" s="2"/>
      <c r="BM8" s="2"/>
      <c r="BN8" s="2">
        <v>60</v>
      </c>
      <c r="BO8" s="2">
        <v>31</v>
      </c>
      <c r="BP8" s="2">
        <v>37</v>
      </c>
      <c r="BQ8" s="2">
        <v>40</v>
      </c>
      <c r="BR8" s="2">
        <v>43</v>
      </c>
      <c r="BS8" s="2">
        <v>48</v>
      </c>
      <c r="BT8" s="2">
        <v>0</v>
      </c>
      <c r="BU8" s="2">
        <v>12</v>
      </c>
      <c r="BV8" s="2">
        <v>19</v>
      </c>
      <c r="BW8" s="2">
        <v>26</v>
      </c>
      <c r="BX8" s="2">
        <v>43</v>
      </c>
      <c r="BY8" s="2">
        <v>12.4</v>
      </c>
      <c r="BZ8" s="2">
        <v>1</v>
      </c>
      <c r="CA8" s="2">
        <v>0.5</v>
      </c>
      <c r="CB8" s="2">
        <v>7.1621749230272402E-6</v>
      </c>
      <c r="CC8" s="2"/>
    </row>
    <row r="9" spans="1:81" x14ac:dyDescent="0.25">
      <c r="A9" s="33" t="s">
        <v>68</v>
      </c>
      <c r="B9" s="57">
        <v>45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tr">
        <f t="shared" ca="1" si="0"/>
        <v>10b</v>
      </c>
      <c r="J9" s="47">
        <f t="shared" ca="1" si="33"/>
        <v>4</v>
      </c>
      <c r="K9" s="19">
        <f t="shared" ca="1" si="34"/>
        <v>-2</v>
      </c>
      <c r="L9" s="116" t="str">
        <f t="shared" ca="1" si="1"/>
        <v>Kirsch sand</v>
      </c>
      <c r="M9" s="105" t="str">
        <f t="shared" ca="1" si="2"/>
        <v>API sand</v>
      </c>
      <c r="N9" s="47">
        <f t="shared" ca="1" si="3"/>
        <v>9.8999999999999986</v>
      </c>
      <c r="O9" s="63">
        <f t="shared" ca="1" si="35"/>
        <v>0</v>
      </c>
      <c r="P9" s="63">
        <f t="shared" ca="1" si="36"/>
        <v>0</v>
      </c>
      <c r="Q9" s="47">
        <f t="shared" ca="1" si="4"/>
        <v>38</v>
      </c>
      <c r="R9" s="47">
        <f t="shared" ca="1" si="5"/>
        <v>33</v>
      </c>
      <c r="S9" s="47">
        <f t="shared" ca="1" si="6"/>
        <v>1.6</v>
      </c>
      <c r="T9" s="47">
        <f t="shared" ca="1" si="7"/>
        <v>0</v>
      </c>
      <c r="U9" s="75">
        <f t="shared" ca="1" si="8"/>
        <v>0</v>
      </c>
      <c r="V9" s="75">
        <f t="shared" ca="1" si="9"/>
        <v>0</v>
      </c>
      <c r="W9" s="47">
        <f t="shared" ca="1" si="10"/>
        <v>0</v>
      </c>
      <c r="X9" s="47">
        <f t="shared" ca="1" si="11"/>
        <v>33000</v>
      </c>
      <c r="Y9" s="47">
        <f t="shared" ca="1" si="12"/>
        <v>0</v>
      </c>
      <c r="Z9" s="47">
        <f t="shared" ca="1" si="13"/>
        <v>107.39999999999996</v>
      </c>
      <c r="AA9" s="47">
        <f t="shared" ca="1" si="14"/>
        <v>1</v>
      </c>
      <c r="AB9" s="47">
        <f t="shared" ca="1" si="15"/>
        <v>11040</v>
      </c>
      <c r="AC9" s="63">
        <f t="shared" ca="1" si="16"/>
        <v>53000</v>
      </c>
      <c r="AD9" s="63">
        <f t="shared" ca="1" si="17"/>
        <v>3600</v>
      </c>
      <c r="AE9" s="63">
        <f t="shared" ca="1" si="18"/>
        <v>0.3</v>
      </c>
      <c r="AF9" s="63">
        <f t="shared" ca="1" si="19"/>
        <v>0</v>
      </c>
      <c r="AG9" s="63">
        <f t="shared" ca="1" si="20"/>
        <v>0</v>
      </c>
      <c r="AH9" s="63">
        <f t="shared" ca="1" si="21"/>
        <v>0</v>
      </c>
      <c r="AI9" s="63">
        <f t="shared" ca="1" si="22"/>
        <v>0</v>
      </c>
      <c r="AJ9" s="47">
        <f t="shared" ca="1" si="23"/>
        <v>46.000000000000007</v>
      </c>
      <c r="AK9" s="47">
        <f t="shared" ca="1" si="24"/>
        <v>1</v>
      </c>
      <c r="AL9" s="47">
        <f t="shared" ca="1" si="25"/>
        <v>1</v>
      </c>
      <c r="AM9" s="47">
        <f t="shared" ca="1" si="26"/>
        <v>1</v>
      </c>
      <c r="AN9" s="47">
        <f t="shared" ca="1" si="27"/>
        <v>1</v>
      </c>
      <c r="AO9" s="47">
        <f t="shared" ca="1" si="28"/>
        <v>1</v>
      </c>
      <c r="AP9" s="47">
        <f t="shared" ca="1" si="29"/>
        <v>1</v>
      </c>
      <c r="AQ9" s="47">
        <f t="shared" ca="1" si="30"/>
        <v>0</v>
      </c>
      <c r="AR9" s="47">
        <f t="shared" ca="1" si="31"/>
        <v>59</v>
      </c>
      <c r="AS9" s="33">
        <f t="shared" ca="1" si="32"/>
        <v>0.4</v>
      </c>
      <c r="AW9" s="2">
        <v>1.3</v>
      </c>
      <c r="AX9" s="2" t="s">
        <v>279</v>
      </c>
      <c r="AY9" s="130">
        <v>25.3</v>
      </c>
      <c r="AZ9" s="2">
        <v>19.7</v>
      </c>
      <c r="BA9" s="2"/>
      <c r="BB9" s="2">
        <v>5</v>
      </c>
      <c r="BC9" s="2"/>
      <c r="BD9" s="2">
        <v>2.4</v>
      </c>
      <c r="BE9" s="2">
        <v>3.3</v>
      </c>
      <c r="BF9" s="2">
        <v>3.7</v>
      </c>
      <c r="BG9" s="2">
        <v>4.0999999999999996</v>
      </c>
      <c r="BH9" s="2">
        <v>5.0999999999999996</v>
      </c>
      <c r="BI9" s="2"/>
      <c r="BJ9" s="2"/>
      <c r="BK9" s="2"/>
      <c r="BL9" s="2"/>
      <c r="BM9" s="2"/>
      <c r="BN9" s="2">
        <v>60</v>
      </c>
      <c r="BO9" s="2">
        <v>31</v>
      </c>
      <c r="BP9" s="2">
        <v>37</v>
      </c>
      <c r="BQ9" s="2">
        <v>40</v>
      </c>
      <c r="BR9" s="2">
        <v>43</v>
      </c>
      <c r="BS9" s="2">
        <v>48</v>
      </c>
      <c r="BT9" s="2">
        <v>11</v>
      </c>
      <c r="BU9" s="2">
        <v>29</v>
      </c>
      <c r="BV9" s="2">
        <v>36</v>
      </c>
      <c r="BW9" s="2">
        <v>43</v>
      </c>
      <c r="BX9" s="2">
        <v>60</v>
      </c>
      <c r="BY9" s="2">
        <v>12.4</v>
      </c>
      <c r="BZ9" s="2">
        <v>1</v>
      </c>
      <c r="CA9" s="2">
        <v>0.5</v>
      </c>
      <c r="CB9" s="2">
        <v>7.1621749230272402E-6</v>
      </c>
      <c r="CC9" s="2"/>
    </row>
    <row r="10" spans="1:81" s="56" customFormat="1" x14ac:dyDescent="0.25">
      <c r="A10" s="56" t="s">
        <v>69</v>
      </c>
      <c r="B10" s="58">
        <v>45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tr">
        <f t="shared" ca="1" si="0"/>
        <v>10b</v>
      </c>
      <c r="J10" s="47">
        <f t="shared" ca="1" si="33"/>
        <v>5</v>
      </c>
      <c r="K10" s="19">
        <f t="shared" ca="1" si="34"/>
        <v>-4.5</v>
      </c>
      <c r="L10" s="116" t="str">
        <f t="shared" ca="1" si="1"/>
        <v>Kirsch sand</v>
      </c>
      <c r="M10" s="105" t="str">
        <f t="shared" ca="1" si="2"/>
        <v>API sand</v>
      </c>
      <c r="N10" s="47">
        <f t="shared" ca="1" si="3"/>
        <v>9.8999999999999986</v>
      </c>
      <c r="O10" s="63">
        <f t="shared" ca="1" si="35"/>
        <v>0</v>
      </c>
      <c r="P10" s="63">
        <f t="shared" ca="1" si="36"/>
        <v>0</v>
      </c>
      <c r="Q10" s="47">
        <f t="shared" ca="1" si="4"/>
        <v>40</v>
      </c>
      <c r="R10" s="47">
        <f t="shared" ca="1" si="5"/>
        <v>35</v>
      </c>
      <c r="S10" s="47">
        <f t="shared" ca="1" si="6"/>
        <v>1.4</v>
      </c>
      <c r="T10" s="47">
        <f t="shared" ca="1" si="7"/>
        <v>0</v>
      </c>
      <c r="U10" s="75">
        <f t="shared" ca="1" si="8"/>
        <v>0</v>
      </c>
      <c r="V10" s="75">
        <f t="shared" ca="1" si="9"/>
        <v>0</v>
      </c>
      <c r="W10" s="47">
        <f t="shared" ca="1" si="10"/>
        <v>0</v>
      </c>
      <c r="X10" s="47">
        <f t="shared" ca="1" si="11"/>
        <v>60200</v>
      </c>
      <c r="Y10" s="47">
        <f t="shared" ca="1" si="12"/>
        <v>0</v>
      </c>
      <c r="Z10" s="47">
        <f t="shared" ca="1" si="13"/>
        <v>114.99999999999996</v>
      </c>
      <c r="AA10" s="47">
        <f t="shared" ca="1" si="14"/>
        <v>1</v>
      </c>
      <c r="AB10" s="47">
        <f t="shared" ca="1" si="15"/>
        <v>12000</v>
      </c>
      <c r="AC10" s="63">
        <f t="shared" ca="1" si="16"/>
        <v>81000</v>
      </c>
      <c r="AD10" s="63">
        <f t="shared" ca="1" si="17"/>
        <v>2857.1428571428573</v>
      </c>
      <c r="AE10" s="63">
        <f t="shared" ca="1" si="18"/>
        <v>0.3</v>
      </c>
      <c r="AF10" s="63">
        <f t="shared" ca="1" si="19"/>
        <v>0</v>
      </c>
      <c r="AG10" s="63">
        <f t="shared" ca="1" si="20"/>
        <v>0</v>
      </c>
      <c r="AH10" s="63">
        <f t="shared" ca="1" si="21"/>
        <v>0</v>
      </c>
      <c r="AI10" s="63">
        <f t="shared" ca="1" si="22"/>
        <v>0</v>
      </c>
      <c r="AJ10" s="47">
        <f t="shared" ca="1" si="23"/>
        <v>50.000000000000007</v>
      </c>
      <c r="AK10" s="47">
        <f t="shared" ca="1" si="24"/>
        <v>1</v>
      </c>
      <c r="AL10" s="47">
        <f t="shared" ca="1" si="25"/>
        <v>1</v>
      </c>
      <c r="AM10" s="47">
        <f t="shared" ca="1" si="26"/>
        <v>1</v>
      </c>
      <c r="AN10" s="47">
        <f t="shared" ca="1" si="27"/>
        <v>1</v>
      </c>
      <c r="AO10" s="47">
        <f t="shared" ca="1" si="28"/>
        <v>1</v>
      </c>
      <c r="AP10" s="47">
        <f t="shared" ca="1" si="29"/>
        <v>1</v>
      </c>
      <c r="AQ10" s="47">
        <f t="shared" ca="1" si="30"/>
        <v>0</v>
      </c>
      <c r="AR10" s="47">
        <f t="shared" ca="1" si="31"/>
        <v>71</v>
      </c>
      <c r="AS10" s="33">
        <f t="shared" ca="1" si="32"/>
        <v>0.4</v>
      </c>
      <c r="AW10" s="2">
        <v>1.3</v>
      </c>
      <c r="AX10" s="2" t="s">
        <v>259</v>
      </c>
      <c r="AY10" s="130">
        <v>25.5</v>
      </c>
      <c r="AZ10" s="2">
        <v>20</v>
      </c>
      <c r="BA10" s="2"/>
      <c r="BB10" s="2">
        <v>14</v>
      </c>
      <c r="BC10" s="2"/>
      <c r="BD10" s="2">
        <v>0.5</v>
      </c>
      <c r="BE10" s="2">
        <v>1.5</v>
      </c>
      <c r="BF10" s="2">
        <v>1.9</v>
      </c>
      <c r="BG10" s="2">
        <v>2.5</v>
      </c>
      <c r="BH10" s="2">
        <f>5+4.1</f>
        <v>9.1</v>
      </c>
      <c r="BI10" s="2"/>
      <c r="BJ10" s="2"/>
      <c r="BK10" s="2"/>
      <c r="BL10" s="2"/>
      <c r="BM10" s="2"/>
      <c r="BN10" s="2">
        <v>53</v>
      </c>
      <c r="BO10" s="2">
        <v>31</v>
      </c>
      <c r="BP10" s="2">
        <v>37</v>
      </c>
      <c r="BQ10" s="2">
        <v>40</v>
      </c>
      <c r="BR10" s="2">
        <v>43</v>
      </c>
      <c r="BS10" s="2">
        <v>50</v>
      </c>
      <c r="BT10" s="2">
        <v>1</v>
      </c>
      <c r="BU10" s="2">
        <v>21</v>
      </c>
      <c r="BV10" s="2">
        <v>30</v>
      </c>
      <c r="BW10" s="2">
        <v>39</v>
      </c>
      <c r="BX10" s="2">
        <v>62</v>
      </c>
      <c r="BY10" s="2">
        <v>18.600000000000001</v>
      </c>
      <c r="BZ10" s="2">
        <v>9</v>
      </c>
      <c r="CA10" s="2">
        <v>1.9</v>
      </c>
      <c r="CB10" s="2">
        <v>8.0927925619663293E-6</v>
      </c>
      <c r="CC10" s="2"/>
    </row>
    <row r="11" spans="1:81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tr">
        <f t="shared" ca="1" si="0"/>
        <v>14a</v>
      </c>
      <c r="J11" s="47">
        <f t="shared" ca="1" si="33"/>
        <v>6</v>
      </c>
      <c r="K11" s="19">
        <f t="shared" ca="1" si="34"/>
        <v>-8</v>
      </c>
      <c r="L11" s="116" t="str">
        <f t="shared" ca="1" si="1"/>
        <v>Kirsch sand</v>
      </c>
      <c r="M11" s="105" t="str">
        <f t="shared" ca="1" si="2"/>
        <v>API sand</v>
      </c>
      <c r="N11" s="47">
        <f t="shared" ca="1" si="3"/>
        <v>8.5</v>
      </c>
      <c r="O11" s="63">
        <f t="shared" ca="1" si="35"/>
        <v>0</v>
      </c>
      <c r="P11" s="63">
        <f t="shared" ca="1" si="36"/>
        <v>0</v>
      </c>
      <c r="Q11" s="47">
        <f t="shared" ca="1" si="4"/>
        <v>28</v>
      </c>
      <c r="R11" s="47">
        <f t="shared" ca="1" si="5"/>
        <v>23</v>
      </c>
      <c r="S11" s="47">
        <f t="shared" ca="1" si="6"/>
        <v>1.6</v>
      </c>
      <c r="T11" s="47">
        <f t="shared" ca="1" si="7"/>
        <v>0</v>
      </c>
      <c r="U11" s="75">
        <f t="shared" ca="1" si="8"/>
        <v>0</v>
      </c>
      <c r="V11" s="75">
        <f t="shared" ca="1" si="9"/>
        <v>0</v>
      </c>
      <c r="W11" s="47">
        <f t="shared" ca="1" si="10"/>
        <v>0</v>
      </c>
      <c r="X11" s="47">
        <f t="shared" ca="1" si="11"/>
        <v>18700</v>
      </c>
      <c r="Y11" s="47">
        <f t="shared" ca="1" si="12"/>
        <v>0</v>
      </c>
      <c r="Z11" s="47">
        <f t="shared" ca="1" si="13"/>
        <v>75.399999999999977</v>
      </c>
      <c r="AA11" s="47">
        <f t="shared" ca="1" si="14"/>
        <v>1</v>
      </c>
      <c r="AB11" s="47">
        <f t="shared" ca="1" si="15"/>
        <v>4040</v>
      </c>
      <c r="AC11" s="63">
        <f t="shared" ca="1" si="16"/>
        <v>91000</v>
      </c>
      <c r="AD11" s="63">
        <f t="shared" ca="1" si="17"/>
        <v>1034.4827586206895</v>
      </c>
      <c r="AE11" s="63">
        <f t="shared" ca="1" si="18"/>
        <v>0.3</v>
      </c>
      <c r="AF11" s="63">
        <f t="shared" ca="1" si="19"/>
        <v>0</v>
      </c>
      <c r="AG11" s="63">
        <f t="shared" ca="1" si="20"/>
        <v>0</v>
      </c>
      <c r="AH11" s="63">
        <f t="shared" ca="1" si="21"/>
        <v>0</v>
      </c>
      <c r="AI11" s="63">
        <f t="shared" ca="1" si="22"/>
        <v>0</v>
      </c>
      <c r="AJ11" s="47">
        <f t="shared" ca="1" si="23"/>
        <v>16.800000000000004</v>
      </c>
      <c r="AK11" s="47">
        <f t="shared" ca="1" si="24"/>
        <v>1</v>
      </c>
      <c r="AL11" s="47">
        <f t="shared" ca="1" si="25"/>
        <v>1</v>
      </c>
      <c r="AM11" s="47">
        <f t="shared" ca="1" si="26"/>
        <v>1</v>
      </c>
      <c r="AN11" s="47">
        <f t="shared" ca="1" si="27"/>
        <v>1</v>
      </c>
      <c r="AO11" s="47">
        <f t="shared" ca="1" si="28"/>
        <v>1</v>
      </c>
      <c r="AP11" s="47">
        <f t="shared" ca="1" si="29"/>
        <v>1</v>
      </c>
      <c r="AQ11" s="47">
        <f t="shared" ca="1" si="30"/>
        <v>0</v>
      </c>
      <c r="AR11" s="47">
        <f t="shared" ca="1" si="31"/>
        <v>72</v>
      </c>
      <c r="AS11" s="33">
        <f ca="1">IF(I11="","",IF(OR(EXACT(I11,"14a"),EXACT(I11,"15b"),EXACT(I11,"17a"),EXACT(I11,"19b"),EXACT(I11,"20a"),EXACT(I11,"21a")),0.2,0.4))</f>
        <v>0.2</v>
      </c>
      <c r="AW11" s="2">
        <v>2</v>
      </c>
      <c r="AX11" s="2" t="s">
        <v>259</v>
      </c>
      <c r="AY11" s="130">
        <v>25.5</v>
      </c>
      <c r="AZ11" s="2">
        <v>20</v>
      </c>
      <c r="BA11" s="2"/>
      <c r="BB11" s="2">
        <v>14</v>
      </c>
      <c r="BC11" s="2"/>
      <c r="BD11" s="2">
        <v>6.2</v>
      </c>
      <c r="BE11" s="2">
        <v>7.3</v>
      </c>
      <c r="BF11" s="2">
        <v>7.7</v>
      </c>
      <c r="BG11" s="2">
        <v>8.3000000000000007</v>
      </c>
      <c r="BH11" s="2">
        <f>5+9.8</f>
        <v>14.8</v>
      </c>
      <c r="BI11" s="2"/>
      <c r="BJ11" s="2"/>
      <c r="BK11" s="2"/>
      <c r="BL11" s="2"/>
      <c r="BM11" s="2"/>
      <c r="BN11" s="2">
        <v>53</v>
      </c>
      <c r="BO11" s="2">
        <v>31</v>
      </c>
      <c r="BP11" s="2">
        <v>37</v>
      </c>
      <c r="BQ11" s="2">
        <v>40</v>
      </c>
      <c r="BR11" s="2">
        <v>43</v>
      </c>
      <c r="BS11" s="2">
        <v>50</v>
      </c>
      <c r="BT11" s="2">
        <v>17</v>
      </c>
      <c r="BU11" s="2">
        <v>37</v>
      </c>
      <c r="BV11" s="2">
        <v>46</v>
      </c>
      <c r="BW11" s="2">
        <v>56</v>
      </c>
      <c r="BX11" s="2">
        <v>78</v>
      </c>
      <c r="BY11" s="2">
        <v>18.600000000000001</v>
      </c>
      <c r="BZ11" s="2">
        <v>9</v>
      </c>
      <c r="CA11" s="2">
        <v>1.9</v>
      </c>
      <c r="CB11" s="2">
        <v>8.0927925619663293E-6</v>
      </c>
      <c r="CC11" s="2"/>
    </row>
    <row r="12" spans="1:81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33" t="str">
        <f t="shared" ca="1" si="0"/>
        <v>14b</v>
      </c>
      <c r="J12" s="47">
        <f t="shared" ca="1" si="33"/>
        <v>7</v>
      </c>
      <c r="K12" s="19">
        <f t="shared" ca="1" si="34"/>
        <v>-10.9</v>
      </c>
      <c r="L12" s="116" t="str">
        <f t="shared" ca="1" si="1"/>
        <v>Kirsch stiff clay</v>
      </c>
      <c r="M12" s="105" t="str">
        <f t="shared" ca="1" si="2"/>
        <v>API clay</v>
      </c>
      <c r="N12" s="47">
        <f t="shared" ca="1" si="3"/>
        <v>8.5</v>
      </c>
      <c r="O12" s="63">
        <f t="shared" ca="1" si="35"/>
        <v>306</v>
      </c>
      <c r="P12" s="63">
        <f t="shared" ca="1" si="36"/>
        <v>1.3545816733067728</v>
      </c>
      <c r="Q12" s="47">
        <f t="shared" ca="1" si="4"/>
        <v>0</v>
      </c>
      <c r="R12" s="47" t="e">
        <f t="shared" ca="1" si="5"/>
        <v>#N/A</v>
      </c>
      <c r="S12" s="47">
        <f t="shared" ca="1" si="6"/>
        <v>3</v>
      </c>
      <c r="T12" s="47">
        <f t="shared" ca="1" si="7"/>
        <v>0</v>
      </c>
      <c r="U12" s="75">
        <f t="shared" ca="1" si="8"/>
        <v>1.7999999999999999E-2</v>
      </c>
      <c r="V12" s="75">
        <f t="shared" ca="1" si="9"/>
        <v>0</v>
      </c>
      <c r="W12" s="47">
        <f t="shared" ca="1" si="10"/>
        <v>0.25</v>
      </c>
      <c r="X12" s="47">
        <f t="shared" ca="1" si="11"/>
        <v>27500</v>
      </c>
      <c r="Y12" s="47">
        <f t="shared" ca="1" si="12"/>
        <v>0</v>
      </c>
      <c r="Z12" s="47" t="e">
        <f t="shared" ca="1" si="13"/>
        <v>#N/A</v>
      </c>
      <c r="AA12" s="47">
        <f t="shared" ca="1" si="14"/>
        <v>1</v>
      </c>
      <c r="AB12" s="47" t="e">
        <f t="shared" ca="1" si="15"/>
        <v>#N/A</v>
      </c>
      <c r="AC12" s="63">
        <f t="shared" ca="1" si="16"/>
        <v>363000</v>
      </c>
      <c r="AD12" s="63">
        <f t="shared" ca="1" si="17"/>
        <v>2828.685258964143</v>
      </c>
      <c r="AE12" s="63">
        <f t="shared" ca="1" si="18"/>
        <v>0.3</v>
      </c>
      <c r="AF12" s="63">
        <f t="shared" ca="1" si="19"/>
        <v>0</v>
      </c>
      <c r="AG12" s="63">
        <f t="shared" ca="1" si="20"/>
        <v>0</v>
      </c>
      <c r="AH12" s="63">
        <f t="shared" ca="1" si="21"/>
        <v>0</v>
      </c>
      <c r="AI12" s="63">
        <f t="shared" ca="1" si="22"/>
        <v>0</v>
      </c>
      <c r="AJ12" s="47" t="e">
        <f t="shared" ca="1" si="23"/>
        <v>#N/A</v>
      </c>
      <c r="AK12" s="47">
        <f t="shared" ca="1" si="24"/>
        <v>1</v>
      </c>
      <c r="AL12" s="47">
        <f t="shared" ca="1" si="25"/>
        <v>1</v>
      </c>
      <c r="AM12" s="47">
        <f t="shared" ca="1" si="26"/>
        <v>1</v>
      </c>
      <c r="AN12" s="47">
        <f t="shared" ca="1" si="27"/>
        <v>1</v>
      </c>
      <c r="AO12" s="47">
        <f t="shared" ca="1" si="28"/>
        <v>1</v>
      </c>
      <c r="AP12" s="47">
        <f t="shared" ca="1" si="29"/>
        <v>1</v>
      </c>
      <c r="AQ12" s="47">
        <f t="shared" ca="1" si="30"/>
        <v>0</v>
      </c>
      <c r="AR12" s="47">
        <f t="shared" ca="1" si="31"/>
        <v>0</v>
      </c>
      <c r="AS12" s="33">
        <f t="shared" ca="1" si="32"/>
        <v>0.4</v>
      </c>
      <c r="AW12" s="2">
        <v>2</v>
      </c>
      <c r="AX12" s="2" t="s">
        <v>261</v>
      </c>
      <c r="AY12" s="130">
        <v>24</v>
      </c>
      <c r="AZ12" s="2">
        <v>19.899999999999999</v>
      </c>
      <c r="BA12" s="2"/>
      <c r="BB12" s="2">
        <v>6</v>
      </c>
      <c r="BC12" s="2"/>
      <c r="BD12" s="2">
        <v>8.1</v>
      </c>
      <c r="BE12" s="2">
        <v>9.6</v>
      </c>
      <c r="BF12" s="2">
        <v>9.9</v>
      </c>
      <c r="BG12" s="2">
        <v>10.3</v>
      </c>
      <c r="BH12" s="2">
        <v>12.1</v>
      </c>
      <c r="BI12" s="2"/>
      <c r="BJ12" s="2"/>
      <c r="BK12" s="2"/>
      <c r="BL12" s="2"/>
      <c r="BM12" s="2"/>
      <c r="BN12" s="2">
        <v>59</v>
      </c>
      <c r="BO12" s="2">
        <v>33</v>
      </c>
      <c r="BP12" s="2">
        <v>38</v>
      </c>
      <c r="BQ12" s="2">
        <v>41</v>
      </c>
      <c r="BR12" s="2">
        <v>44</v>
      </c>
      <c r="BS12" s="2">
        <v>51</v>
      </c>
      <c r="BT12" s="2">
        <v>6</v>
      </c>
      <c r="BU12" s="2">
        <v>40</v>
      </c>
      <c r="BV12" s="2">
        <v>53</v>
      </c>
      <c r="BW12" s="2">
        <v>67</v>
      </c>
      <c r="BX12" s="2">
        <v>100</v>
      </c>
      <c r="BY12" s="2">
        <v>33</v>
      </c>
      <c r="BZ12" s="2">
        <v>7.1</v>
      </c>
      <c r="CA12" s="2">
        <v>1.6</v>
      </c>
      <c r="CB12" s="2">
        <v>6.7088426307171403E-6</v>
      </c>
      <c r="CC12" s="2"/>
    </row>
    <row r="13" spans="1:8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tr">
        <f t="shared" ca="1" si="0"/>
        <v>14b</v>
      </c>
      <c r="J13" s="47">
        <f t="shared" ca="1" si="33"/>
        <v>8</v>
      </c>
      <c r="K13" s="19">
        <f t="shared" ca="1" si="34"/>
        <v>-36</v>
      </c>
      <c r="L13" s="116" t="str">
        <f t="shared" ca="1" si="1"/>
        <v>Kirsch soft clay</v>
      </c>
      <c r="M13" s="105" t="str">
        <f t="shared" ca="1" si="2"/>
        <v>API clay</v>
      </c>
      <c r="N13" s="47">
        <f t="shared" ca="1" si="3"/>
        <v>8.5</v>
      </c>
      <c r="O13" s="63">
        <f t="shared" ca="1" si="35"/>
        <v>245</v>
      </c>
      <c r="P13" s="63">
        <f t="shared" ca="1" si="36"/>
        <v>-14.8</v>
      </c>
      <c r="Q13" s="47">
        <f t="shared" ca="1" si="4"/>
        <v>0</v>
      </c>
      <c r="R13" s="47" t="e">
        <f t="shared" ca="1" si="5"/>
        <v>#N/A</v>
      </c>
      <c r="S13" s="47">
        <f t="shared" ca="1" si="6"/>
        <v>2.1</v>
      </c>
      <c r="T13" s="47">
        <f t="shared" ca="1" si="7"/>
        <v>0</v>
      </c>
      <c r="U13" s="75">
        <f t="shared" ca="1" si="8"/>
        <v>1.7999999999999999E-2</v>
      </c>
      <c r="V13" s="75">
        <f t="shared" ca="1" si="9"/>
        <v>0</v>
      </c>
      <c r="W13" s="47">
        <f t="shared" ca="1" si="10"/>
        <v>0.5</v>
      </c>
      <c r="X13" s="47">
        <f t="shared" ca="1" si="11"/>
        <v>19300</v>
      </c>
      <c r="Y13" s="47">
        <f t="shared" ca="1" si="12"/>
        <v>0</v>
      </c>
      <c r="Z13" s="47" t="e">
        <f t="shared" ca="1" si="13"/>
        <v>#N/A</v>
      </c>
      <c r="AA13" s="47">
        <f t="shared" ca="1" si="14"/>
        <v>1</v>
      </c>
      <c r="AB13" s="47" t="e">
        <f t="shared" ca="1" si="15"/>
        <v>#N/A</v>
      </c>
      <c r="AC13" s="63">
        <f t="shared" ca="1" si="16"/>
        <v>321000</v>
      </c>
      <c r="AD13" s="63">
        <f t="shared" ca="1" si="17"/>
        <v>-16400</v>
      </c>
      <c r="AE13" s="63">
        <f t="shared" ca="1" si="18"/>
        <v>0.3</v>
      </c>
      <c r="AF13" s="63">
        <f t="shared" ca="1" si="19"/>
        <v>0</v>
      </c>
      <c r="AG13" s="63">
        <f t="shared" ca="1" si="20"/>
        <v>0</v>
      </c>
      <c r="AH13" s="63">
        <f t="shared" ca="1" si="21"/>
        <v>0</v>
      </c>
      <c r="AI13" s="63">
        <f t="shared" ca="1" si="22"/>
        <v>0</v>
      </c>
      <c r="AJ13" s="47" t="e">
        <f t="shared" ca="1" si="23"/>
        <v>#N/A</v>
      </c>
      <c r="AK13" s="47">
        <f t="shared" ca="1" si="24"/>
        <v>1</v>
      </c>
      <c r="AL13" s="47">
        <f t="shared" ca="1" si="25"/>
        <v>1</v>
      </c>
      <c r="AM13" s="47">
        <f t="shared" ca="1" si="26"/>
        <v>1</v>
      </c>
      <c r="AN13" s="47">
        <f t="shared" ca="1" si="27"/>
        <v>1</v>
      </c>
      <c r="AO13" s="47">
        <f t="shared" ca="1" si="28"/>
        <v>1</v>
      </c>
      <c r="AP13" s="47">
        <f t="shared" ca="1" si="29"/>
        <v>1</v>
      </c>
      <c r="AQ13" s="47">
        <f t="shared" ca="1" si="30"/>
        <v>0</v>
      </c>
      <c r="AR13" s="47">
        <f t="shared" ca="1" si="31"/>
        <v>0</v>
      </c>
      <c r="AS13" s="33">
        <f t="shared" ca="1" si="32"/>
        <v>0.4</v>
      </c>
      <c r="AW13" s="2">
        <v>4.5</v>
      </c>
      <c r="AX13" s="2" t="s">
        <v>261</v>
      </c>
      <c r="AY13" s="130">
        <v>24</v>
      </c>
      <c r="AZ13" s="2">
        <v>19.899999999999999</v>
      </c>
      <c r="BA13" s="2"/>
      <c r="BB13" s="2">
        <v>6</v>
      </c>
      <c r="BC13" s="2"/>
      <c r="BD13" s="2">
        <v>5.7</v>
      </c>
      <c r="BE13" s="2">
        <v>7.1</v>
      </c>
      <c r="BF13" s="2">
        <v>7.5</v>
      </c>
      <c r="BG13" s="2">
        <v>7.9</v>
      </c>
      <c r="BH13" s="2">
        <v>9.6</v>
      </c>
      <c r="BI13" s="2"/>
      <c r="BJ13" s="2"/>
      <c r="BK13" s="2"/>
      <c r="BL13" s="2"/>
      <c r="BM13" s="2"/>
      <c r="BN13" s="2">
        <v>59</v>
      </c>
      <c r="BO13" s="2">
        <v>33</v>
      </c>
      <c r="BP13" s="2">
        <v>38</v>
      </c>
      <c r="BQ13" s="2">
        <v>41</v>
      </c>
      <c r="BR13" s="2">
        <v>44</v>
      </c>
      <c r="BS13" s="2">
        <v>51</v>
      </c>
      <c r="BT13" s="2">
        <v>14</v>
      </c>
      <c r="BU13" s="2">
        <v>48</v>
      </c>
      <c r="BV13" s="2">
        <v>62</v>
      </c>
      <c r="BW13" s="2">
        <v>75</v>
      </c>
      <c r="BX13" s="2">
        <v>109</v>
      </c>
      <c r="BY13" s="2">
        <v>33</v>
      </c>
      <c r="BZ13" s="2">
        <v>7.1</v>
      </c>
      <c r="CA13" s="2">
        <v>1.6</v>
      </c>
      <c r="CB13" s="2">
        <v>6.7088426307171403E-6</v>
      </c>
      <c r="CC13" s="2"/>
    </row>
    <row r="14" spans="1:8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tr">
        <f t="shared" ca="1" si="0"/>
        <v>15a</v>
      </c>
      <c r="J14" s="47">
        <f t="shared" ca="1" si="33"/>
        <v>9</v>
      </c>
      <c r="K14" s="19">
        <f t="shared" ca="1" si="34"/>
        <v>-41</v>
      </c>
      <c r="L14" s="116" t="str">
        <f t="shared" ca="1" si="1"/>
        <v>Kirsch stiff clay</v>
      </c>
      <c r="M14" s="105" t="str">
        <f t="shared" ca="1" si="2"/>
        <v>API clay</v>
      </c>
      <c r="N14" s="47">
        <f t="shared" ca="1" si="3"/>
        <v>9.3000000000000007</v>
      </c>
      <c r="O14" s="63">
        <f t="shared" ca="1" si="35"/>
        <v>1129</v>
      </c>
      <c r="P14" s="63">
        <f t="shared" ca="1" si="36"/>
        <v>19.444444444444443</v>
      </c>
      <c r="Q14" s="47">
        <f t="shared" ca="1" si="4"/>
        <v>0</v>
      </c>
      <c r="R14" s="47" t="e">
        <f t="shared" ca="1" si="5"/>
        <v>#N/A</v>
      </c>
      <c r="S14" s="47">
        <f t="shared" ca="1" si="6"/>
        <v>3</v>
      </c>
      <c r="T14" s="47">
        <f t="shared" ca="1" si="7"/>
        <v>0</v>
      </c>
      <c r="U14" s="75">
        <f t="shared" ca="1" si="8"/>
        <v>1.7999999999999999E-2</v>
      </c>
      <c r="V14" s="75">
        <f t="shared" ca="1" si="9"/>
        <v>0</v>
      </c>
      <c r="W14" s="47">
        <f t="shared" ca="1" si="10"/>
        <v>0.25</v>
      </c>
      <c r="X14" s="47">
        <f t="shared" ca="1" si="11"/>
        <v>103500</v>
      </c>
      <c r="Y14" s="47">
        <f t="shared" ca="1" si="12"/>
        <v>0</v>
      </c>
      <c r="Z14" s="47" t="e">
        <f t="shared" ca="1" si="13"/>
        <v>#N/A</v>
      </c>
      <c r="AA14" s="47">
        <f t="shared" ca="1" si="14"/>
        <v>1</v>
      </c>
      <c r="AB14" s="47" t="e">
        <f t="shared" ca="1" si="15"/>
        <v>#N/A</v>
      </c>
      <c r="AC14" s="63">
        <f t="shared" ca="1" si="16"/>
        <v>2141000</v>
      </c>
      <c r="AD14" s="63">
        <f t="shared" ca="1" si="17"/>
        <v>0</v>
      </c>
      <c r="AE14" s="63">
        <f t="shared" ca="1" si="18"/>
        <v>0.3</v>
      </c>
      <c r="AF14" s="63">
        <f t="shared" ca="1" si="19"/>
        <v>0</v>
      </c>
      <c r="AG14" s="63">
        <f t="shared" ca="1" si="20"/>
        <v>0</v>
      </c>
      <c r="AH14" s="63">
        <f t="shared" ca="1" si="21"/>
        <v>0</v>
      </c>
      <c r="AI14" s="63">
        <f t="shared" ca="1" si="22"/>
        <v>0</v>
      </c>
      <c r="AJ14" s="47" t="e">
        <f t="shared" ca="1" si="23"/>
        <v>#N/A</v>
      </c>
      <c r="AK14" s="47">
        <f t="shared" ca="1" si="24"/>
        <v>1</v>
      </c>
      <c r="AL14" s="47">
        <f t="shared" ca="1" si="25"/>
        <v>1</v>
      </c>
      <c r="AM14" s="47">
        <f t="shared" ca="1" si="26"/>
        <v>1</v>
      </c>
      <c r="AN14" s="47">
        <f t="shared" ca="1" si="27"/>
        <v>1</v>
      </c>
      <c r="AO14" s="47">
        <f t="shared" ca="1" si="28"/>
        <v>1</v>
      </c>
      <c r="AP14" s="47">
        <f t="shared" ca="1" si="29"/>
        <v>1</v>
      </c>
      <c r="AQ14" s="47">
        <f t="shared" ca="1" si="30"/>
        <v>0</v>
      </c>
      <c r="AR14" s="47">
        <f t="shared" ca="1" si="31"/>
        <v>0</v>
      </c>
      <c r="AS14" s="33">
        <f t="shared" ca="1" si="32"/>
        <v>0.4</v>
      </c>
      <c r="AW14" s="2">
        <v>4.5</v>
      </c>
      <c r="AX14" s="2" t="s">
        <v>261</v>
      </c>
      <c r="AY14" s="130">
        <v>24</v>
      </c>
      <c r="AZ14" s="2">
        <v>19.899999999999999</v>
      </c>
      <c r="BA14" s="2"/>
      <c r="BB14" s="2">
        <v>6</v>
      </c>
      <c r="BC14" s="2"/>
      <c r="BD14" s="2">
        <v>12.8</v>
      </c>
      <c r="BE14" s="2">
        <v>17</v>
      </c>
      <c r="BF14" s="2">
        <v>17.7</v>
      </c>
      <c r="BG14" s="2">
        <v>18.2</v>
      </c>
      <c r="BH14" s="2">
        <v>21.4</v>
      </c>
      <c r="BI14" s="2"/>
      <c r="BJ14" s="2"/>
      <c r="BK14" s="2"/>
      <c r="BL14" s="2"/>
      <c r="BM14" s="2"/>
      <c r="BN14" s="2">
        <v>71</v>
      </c>
      <c r="BO14" s="2">
        <v>34</v>
      </c>
      <c r="BP14" s="2">
        <v>40</v>
      </c>
      <c r="BQ14" s="2">
        <v>43</v>
      </c>
      <c r="BR14" s="2">
        <v>46</v>
      </c>
      <c r="BS14" s="2">
        <v>52</v>
      </c>
      <c r="BT14" s="2">
        <v>10</v>
      </c>
      <c r="BU14" s="2">
        <v>61</v>
      </c>
      <c r="BV14" s="2">
        <v>81</v>
      </c>
      <c r="BW14" s="2">
        <v>101</v>
      </c>
      <c r="BX14" s="2">
        <v>151</v>
      </c>
      <c r="BY14" s="2">
        <v>60.2</v>
      </c>
      <c r="BZ14" s="2">
        <v>5.8</v>
      </c>
      <c r="CA14" s="2">
        <v>1.4</v>
      </c>
      <c r="CB14" s="2">
        <v>1.4538917590465901E-5</v>
      </c>
      <c r="CC14" s="2"/>
    </row>
    <row r="15" spans="1:81" x14ac:dyDescent="0.25">
      <c r="A15" s="33" t="s">
        <v>44</v>
      </c>
      <c r="B15" s="61">
        <v>207000000</v>
      </c>
      <c r="C15" s="45" t="s">
        <v>47</v>
      </c>
      <c r="I15" s="33" t="str">
        <f t="shared" ca="1" si="0"/>
        <v>21a</v>
      </c>
      <c r="J15" s="47">
        <f t="shared" ca="1" si="33"/>
        <v>10</v>
      </c>
      <c r="K15" s="19">
        <f t="shared" ca="1" si="34"/>
        <v>-66.2</v>
      </c>
      <c r="L15" s="116" t="str">
        <f t="shared" ca="1" si="1"/>
        <v>Kirsch sand</v>
      </c>
      <c r="M15" s="105" t="str">
        <f t="shared" ca="1" si="2"/>
        <v>API sand</v>
      </c>
      <c r="N15" s="47">
        <f t="shared" ca="1" si="3"/>
        <v>9.8000000000000007</v>
      </c>
      <c r="O15" s="63">
        <f t="shared" ca="1" si="35"/>
        <v>0</v>
      </c>
      <c r="P15" s="63">
        <f t="shared" ca="1" si="36"/>
        <v>0</v>
      </c>
      <c r="Q15" s="47">
        <f t="shared" ca="1" si="4"/>
        <v>29</v>
      </c>
      <c r="R15" s="47">
        <f t="shared" ca="1" si="5"/>
        <v>24</v>
      </c>
      <c r="S15" s="47">
        <f t="shared" ca="1" si="6"/>
        <v>0.9</v>
      </c>
      <c r="T15" s="47">
        <f t="shared" ca="1" si="7"/>
        <v>0</v>
      </c>
      <c r="U15" s="75">
        <f t="shared" ca="1" si="8"/>
        <v>0</v>
      </c>
      <c r="V15" s="75">
        <f t="shared" ca="1" si="9"/>
        <v>0</v>
      </c>
      <c r="W15" s="47">
        <f t="shared" ca="1" si="10"/>
        <v>0</v>
      </c>
      <c r="X15" s="47">
        <f t="shared" ca="1" si="11"/>
        <v>64200</v>
      </c>
      <c r="Y15" s="47">
        <f t="shared" ca="1" si="12"/>
        <v>0</v>
      </c>
      <c r="Z15" s="47">
        <f t="shared" ca="1" si="13"/>
        <v>78.199999999999974</v>
      </c>
      <c r="AA15" s="47">
        <f t="shared" ca="1" si="14"/>
        <v>1</v>
      </c>
      <c r="AB15" s="47">
        <f t="shared" ca="1" si="15"/>
        <v>4420</v>
      </c>
      <c r="AC15" s="63">
        <f t="shared" ca="1" si="16"/>
        <v>263000</v>
      </c>
      <c r="AD15" s="63">
        <f t="shared" ca="1" si="17"/>
        <v>1692.3076923076924</v>
      </c>
      <c r="AE15" s="63">
        <f t="shared" ca="1" si="18"/>
        <v>0.3</v>
      </c>
      <c r="AF15" s="63">
        <f t="shared" ca="1" si="19"/>
        <v>0</v>
      </c>
      <c r="AG15" s="63">
        <f t="shared" ca="1" si="20"/>
        <v>0</v>
      </c>
      <c r="AH15" s="63">
        <f t="shared" ca="1" si="21"/>
        <v>0</v>
      </c>
      <c r="AI15" s="63">
        <f t="shared" ca="1" si="22"/>
        <v>0</v>
      </c>
      <c r="AJ15" s="47">
        <f t="shared" ca="1" si="23"/>
        <v>18.400000000000006</v>
      </c>
      <c r="AK15" s="47">
        <f t="shared" ca="1" si="24"/>
        <v>1</v>
      </c>
      <c r="AL15" s="47">
        <f t="shared" ca="1" si="25"/>
        <v>1</v>
      </c>
      <c r="AM15" s="47">
        <f t="shared" ca="1" si="26"/>
        <v>1</v>
      </c>
      <c r="AN15" s="47">
        <f t="shared" ca="1" si="27"/>
        <v>1</v>
      </c>
      <c r="AO15" s="47">
        <f t="shared" ca="1" si="28"/>
        <v>1</v>
      </c>
      <c r="AP15" s="47">
        <f t="shared" ca="1" si="29"/>
        <v>1</v>
      </c>
      <c r="AQ15" s="47">
        <f t="shared" ca="1" si="30"/>
        <v>0</v>
      </c>
      <c r="AR15" s="47">
        <f t="shared" ca="1" si="31"/>
        <v>79</v>
      </c>
      <c r="AS15" s="33">
        <f t="shared" ca="1" si="32"/>
        <v>0.2</v>
      </c>
      <c r="AW15" s="2">
        <v>8</v>
      </c>
      <c r="AX15" s="2" t="s">
        <v>261</v>
      </c>
      <c r="AY15" s="130">
        <v>24</v>
      </c>
      <c r="AZ15" s="2">
        <v>19.899999999999999</v>
      </c>
      <c r="BA15" s="2"/>
      <c r="BB15" s="2">
        <v>6</v>
      </c>
      <c r="BC15" s="2"/>
      <c r="BD15" s="2">
        <v>9.3000000000000007</v>
      </c>
      <c r="BE15" s="2">
        <v>13.5</v>
      </c>
      <c r="BF15" s="2">
        <v>14.2</v>
      </c>
      <c r="BG15" s="2">
        <v>14.8</v>
      </c>
      <c r="BH15" s="2">
        <v>18</v>
      </c>
      <c r="BI15" s="2"/>
      <c r="BJ15" s="2"/>
      <c r="BK15" s="2"/>
      <c r="BL15" s="2"/>
      <c r="BM15" s="2"/>
      <c r="BN15" s="2">
        <v>71</v>
      </c>
      <c r="BO15" s="2">
        <v>34</v>
      </c>
      <c r="BP15" s="2">
        <v>40</v>
      </c>
      <c r="BQ15" s="2">
        <v>43</v>
      </c>
      <c r="BR15" s="2">
        <v>46</v>
      </c>
      <c r="BS15" s="2">
        <v>52</v>
      </c>
      <c r="BT15" s="2">
        <v>20</v>
      </c>
      <c r="BU15" s="2">
        <v>71</v>
      </c>
      <c r="BV15" s="2">
        <v>91</v>
      </c>
      <c r="BW15" s="2">
        <v>111</v>
      </c>
      <c r="BX15" s="2">
        <v>161</v>
      </c>
      <c r="BY15" s="2">
        <v>60.2</v>
      </c>
      <c r="BZ15" s="2">
        <v>5.8</v>
      </c>
      <c r="CA15" s="2">
        <v>1.4</v>
      </c>
      <c r="CB15" s="2">
        <v>1.4538917590465901E-5</v>
      </c>
      <c r="CC15" s="2"/>
    </row>
    <row r="16" spans="1:8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33" t="str">
        <f t="shared" ca="1" si="0"/>
        <v>23d</v>
      </c>
      <c r="J16" s="47">
        <f t="shared" ca="1" si="33"/>
        <v>11</v>
      </c>
      <c r="K16" s="19">
        <f t="shared" ca="1" si="34"/>
        <v>-72.7</v>
      </c>
      <c r="L16" s="116" t="str">
        <f t="shared" ca="1" si="1"/>
        <v>Kirsch stiff clay</v>
      </c>
      <c r="M16" s="105" t="str">
        <f t="shared" ca="1" si="2"/>
        <v>API clay</v>
      </c>
      <c r="N16" s="47">
        <f t="shared" ca="1" si="3"/>
        <v>8.8999999999999986</v>
      </c>
      <c r="O16" s="63">
        <f t="shared" ca="1" si="35"/>
        <v>531</v>
      </c>
      <c r="P16" s="63">
        <f t="shared" ca="1" si="36"/>
        <v>5.0684931506849331</v>
      </c>
      <c r="Q16" s="47">
        <f t="shared" ca="1" si="4"/>
        <v>0</v>
      </c>
      <c r="R16" s="47" t="e">
        <f t="shared" ca="1" si="5"/>
        <v>#N/A</v>
      </c>
      <c r="S16" s="47">
        <f t="shared" ca="1" si="6"/>
        <v>2.1</v>
      </c>
      <c r="T16" s="47">
        <f t="shared" ca="1" si="7"/>
        <v>0</v>
      </c>
      <c r="U16" s="75">
        <f t="shared" ca="1" si="8"/>
        <v>1.7999999999999999E-2</v>
      </c>
      <c r="V16" s="75">
        <f t="shared" ca="1" si="9"/>
        <v>0</v>
      </c>
      <c r="W16" s="47">
        <f t="shared" ca="1" si="10"/>
        <v>0.25</v>
      </c>
      <c r="X16" s="47">
        <f t="shared" ca="1" si="11"/>
        <v>48300</v>
      </c>
      <c r="Y16" s="47">
        <f t="shared" ca="1" si="12"/>
        <v>0</v>
      </c>
      <c r="Z16" s="47" t="e">
        <f t="shared" ca="1" si="13"/>
        <v>#N/A</v>
      </c>
      <c r="AA16" s="47">
        <f t="shared" ca="1" si="14"/>
        <v>1</v>
      </c>
      <c r="AB16" s="47" t="e">
        <f t="shared" ca="1" si="15"/>
        <v>#N/A</v>
      </c>
      <c r="AC16" s="63">
        <f t="shared" ca="1" si="16"/>
        <v>842000</v>
      </c>
      <c r="AD16" s="63">
        <f t="shared" ca="1" si="17"/>
        <v>9589.0410958904158</v>
      </c>
      <c r="AE16" s="63">
        <f t="shared" ca="1" si="18"/>
        <v>0.3</v>
      </c>
      <c r="AF16" s="63">
        <f t="shared" ca="1" si="19"/>
        <v>0</v>
      </c>
      <c r="AG16" s="63">
        <f t="shared" ca="1" si="20"/>
        <v>0</v>
      </c>
      <c r="AH16" s="63">
        <f t="shared" ca="1" si="21"/>
        <v>0</v>
      </c>
      <c r="AI16" s="63">
        <f t="shared" ca="1" si="22"/>
        <v>0</v>
      </c>
      <c r="AJ16" s="47" t="e">
        <f t="shared" ca="1" si="23"/>
        <v>#N/A</v>
      </c>
      <c r="AK16" s="47">
        <f t="shared" ca="1" si="24"/>
        <v>1</v>
      </c>
      <c r="AL16" s="47">
        <f t="shared" ca="1" si="25"/>
        <v>1</v>
      </c>
      <c r="AM16" s="47">
        <f t="shared" ca="1" si="26"/>
        <v>1</v>
      </c>
      <c r="AN16" s="47">
        <f t="shared" ca="1" si="27"/>
        <v>1</v>
      </c>
      <c r="AO16" s="47">
        <f t="shared" ca="1" si="28"/>
        <v>1</v>
      </c>
      <c r="AP16" s="47">
        <f t="shared" ca="1" si="29"/>
        <v>1</v>
      </c>
      <c r="AQ16" s="47">
        <f t="shared" ca="1" si="30"/>
        <v>0</v>
      </c>
      <c r="AR16" s="47">
        <f t="shared" ca="1" si="31"/>
        <v>0</v>
      </c>
      <c r="AS16" s="33">
        <f t="shared" ca="1" si="32"/>
        <v>0.4</v>
      </c>
      <c r="AW16" s="2">
        <v>8</v>
      </c>
      <c r="AX16" s="2" t="s">
        <v>264</v>
      </c>
      <c r="AY16" s="130">
        <v>31.6</v>
      </c>
      <c r="AZ16" s="2">
        <v>18.5</v>
      </c>
      <c r="BA16" s="2"/>
      <c r="BB16" s="2">
        <v>38</v>
      </c>
      <c r="BC16" s="2"/>
      <c r="BD16" s="2">
        <v>10.5</v>
      </c>
      <c r="BE16" s="2">
        <v>12.6</v>
      </c>
      <c r="BF16" s="2">
        <v>13.1</v>
      </c>
      <c r="BG16" s="2">
        <v>13.5</v>
      </c>
      <c r="BH16" s="2">
        <v>15.9</v>
      </c>
      <c r="BI16" s="2"/>
      <c r="BJ16" s="2"/>
      <c r="BK16" s="2"/>
      <c r="BL16" s="2"/>
      <c r="BM16" s="2"/>
      <c r="BN16" s="2">
        <v>72</v>
      </c>
      <c r="BO16" s="2">
        <v>26</v>
      </c>
      <c r="BP16" s="2">
        <v>28</v>
      </c>
      <c r="BQ16" s="2">
        <v>30</v>
      </c>
      <c r="BR16" s="2">
        <v>33</v>
      </c>
      <c r="BS16" s="2">
        <v>37</v>
      </c>
      <c r="BT16" s="2">
        <v>15</v>
      </c>
      <c r="BU16" s="2">
        <v>69</v>
      </c>
      <c r="BV16" s="2">
        <v>91</v>
      </c>
      <c r="BW16" s="2">
        <v>113</v>
      </c>
      <c r="BX16" s="2">
        <v>167</v>
      </c>
      <c r="BY16" s="2">
        <v>18.7</v>
      </c>
      <c r="BZ16" s="2">
        <v>6.8</v>
      </c>
      <c r="CA16" s="2">
        <v>1.6</v>
      </c>
      <c r="CB16" s="2">
        <v>9.1605917801058595E-7</v>
      </c>
      <c r="CC16" s="2"/>
    </row>
    <row r="17" spans="1:81" s="56" customFormat="1" x14ac:dyDescent="0.25">
      <c r="A17" s="33" t="s">
        <v>98</v>
      </c>
      <c r="B17" s="57">
        <v>0.53</v>
      </c>
      <c r="C17" s="45"/>
      <c r="D17" s="129"/>
      <c r="E17" s="129"/>
      <c r="I17" s="33" t="str">
        <f t="shared" ca="1" si="0"/>
        <v/>
      </c>
      <c r="J17" s="47" t="str">
        <f t="shared" ca="1" si="33"/>
        <v/>
      </c>
      <c r="K17" s="19" t="str">
        <f t="shared" ca="1" si="34"/>
        <v/>
      </c>
      <c r="L17" s="116" t="str">
        <f t="shared" ca="1" si="1"/>
        <v/>
      </c>
      <c r="M17" s="105" t="str">
        <f t="shared" ca="1" si="2"/>
        <v/>
      </c>
      <c r="N17" s="47" t="str">
        <f t="shared" ca="1" si="3"/>
        <v/>
      </c>
      <c r="O17" s="63" t="str">
        <f t="shared" ca="1" si="35"/>
        <v/>
      </c>
      <c r="P17" s="63" t="str">
        <f t="shared" ca="1" si="36"/>
        <v/>
      </c>
      <c r="Q17" s="47" t="str">
        <f t="shared" ca="1" si="4"/>
        <v/>
      </c>
      <c r="R17" s="47" t="str">
        <f t="shared" ca="1" si="5"/>
        <v/>
      </c>
      <c r="S17" s="47" t="str">
        <f t="shared" ca="1" si="6"/>
        <v/>
      </c>
      <c r="T17" s="47" t="str">
        <f t="shared" ca="1" si="7"/>
        <v/>
      </c>
      <c r="U17" s="75" t="str">
        <f t="shared" ca="1" si="8"/>
        <v/>
      </c>
      <c r="V17" s="75" t="str">
        <f t="shared" ca="1" si="9"/>
        <v/>
      </c>
      <c r="W17" s="47" t="str">
        <f t="shared" ca="1" si="10"/>
        <v/>
      </c>
      <c r="X17" s="47" t="str">
        <f t="shared" ca="1" si="11"/>
        <v/>
      </c>
      <c r="Y17" s="47" t="str">
        <f t="shared" ca="1" si="12"/>
        <v/>
      </c>
      <c r="Z17" s="47" t="str">
        <f t="shared" ca="1" si="13"/>
        <v/>
      </c>
      <c r="AA17" s="47" t="str">
        <f t="shared" ca="1" si="14"/>
        <v/>
      </c>
      <c r="AB17" s="47" t="str">
        <f t="shared" ca="1" si="15"/>
        <v/>
      </c>
      <c r="AC17" s="63" t="str">
        <f t="shared" ca="1" si="16"/>
        <v/>
      </c>
      <c r="AD17" s="63" t="str">
        <f t="shared" ca="1" si="17"/>
        <v/>
      </c>
      <c r="AE17" s="63" t="str">
        <f t="shared" ca="1" si="18"/>
        <v/>
      </c>
      <c r="AF17" s="63" t="str">
        <f t="shared" ca="1" si="19"/>
        <v/>
      </c>
      <c r="AG17" s="63" t="str">
        <f t="shared" ca="1" si="20"/>
        <v/>
      </c>
      <c r="AH17" s="63" t="str">
        <f t="shared" ca="1" si="21"/>
        <v/>
      </c>
      <c r="AI17" s="63" t="str">
        <f t="shared" ca="1" si="22"/>
        <v/>
      </c>
      <c r="AJ17" s="47" t="str">
        <f t="shared" ca="1" si="23"/>
        <v/>
      </c>
      <c r="AK17" s="47" t="str">
        <f t="shared" ca="1" si="24"/>
        <v/>
      </c>
      <c r="AL17" s="47" t="str">
        <f t="shared" ca="1" si="25"/>
        <v/>
      </c>
      <c r="AM17" s="47" t="str">
        <f t="shared" ca="1" si="26"/>
        <v/>
      </c>
      <c r="AN17" s="47" t="str">
        <f t="shared" ca="1" si="27"/>
        <v/>
      </c>
      <c r="AO17" s="47" t="str">
        <f t="shared" ca="1" si="28"/>
        <v/>
      </c>
      <c r="AP17" s="47" t="str">
        <f t="shared" ca="1" si="29"/>
        <v/>
      </c>
      <c r="AQ17" s="47" t="str">
        <f t="shared" ca="1" si="30"/>
        <v/>
      </c>
      <c r="AR17" s="47" t="str">
        <f t="shared" ca="1" si="31"/>
        <v/>
      </c>
      <c r="AS17" s="33" t="str">
        <f t="shared" ca="1" si="32"/>
        <v/>
      </c>
      <c r="AW17" s="2">
        <v>10.9</v>
      </c>
      <c r="AX17" s="2" t="s">
        <v>264</v>
      </c>
      <c r="AY17" s="130">
        <v>31.6</v>
      </c>
      <c r="AZ17" s="2">
        <v>18.5</v>
      </c>
      <c r="BA17" s="2"/>
      <c r="BB17" s="2">
        <v>38</v>
      </c>
      <c r="BC17" s="2"/>
      <c r="BD17" s="2">
        <v>8.3000000000000007</v>
      </c>
      <c r="BE17" s="2">
        <v>10.4</v>
      </c>
      <c r="BF17" s="2">
        <v>10.8</v>
      </c>
      <c r="BG17" s="2">
        <v>11.3</v>
      </c>
      <c r="BH17" s="2">
        <v>13.6</v>
      </c>
      <c r="BI17" s="2"/>
      <c r="BJ17" s="2"/>
      <c r="BK17" s="2"/>
      <c r="BL17" s="2"/>
      <c r="BM17" s="2"/>
      <c r="BN17" s="2">
        <v>72</v>
      </c>
      <c r="BO17" s="2">
        <v>26</v>
      </c>
      <c r="BP17" s="2">
        <v>28</v>
      </c>
      <c r="BQ17" s="2">
        <v>30</v>
      </c>
      <c r="BR17" s="2">
        <v>33</v>
      </c>
      <c r="BS17" s="2">
        <v>37</v>
      </c>
      <c r="BT17" s="2">
        <v>19</v>
      </c>
      <c r="BU17" s="2">
        <v>72</v>
      </c>
      <c r="BV17" s="2">
        <v>94</v>
      </c>
      <c r="BW17" s="2">
        <v>116</v>
      </c>
      <c r="BX17" s="2">
        <v>170</v>
      </c>
      <c r="BY17" s="2">
        <v>18.7</v>
      </c>
      <c r="BZ17" s="2">
        <v>6.8</v>
      </c>
      <c r="CA17" s="2">
        <v>1.6</v>
      </c>
      <c r="CB17" s="2">
        <v>9.1605917801058595E-7</v>
      </c>
      <c r="CC17" s="2"/>
    </row>
    <row r="18" spans="1:81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tr">
        <f t="shared" ca="1" si="0"/>
        <v/>
      </c>
      <c r="J18" s="47" t="str">
        <f t="shared" ca="1" si="33"/>
        <v/>
      </c>
      <c r="K18" s="19" t="str">
        <f t="shared" ca="1" si="34"/>
        <v/>
      </c>
      <c r="L18" s="116" t="str">
        <f t="shared" ca="1" si="1"/>
        <v/>
      </c>
      <c r="M18" s="105" t="str">
        <f t="shared" ca="1" si="2"/>
        <v/>
      </c>
      <c r="N18" s="47" t="str">
        <f t="shared" ca="1" si="3"/>
        <v/>
      </c>
      <c r="O18" s="63" t="str">
        <f t="shared" ca="1" si="35"/>
        <v/>
      </c>
      <c r="P18" s="63" t="str">
        <f t="shared" ca="1" si="36"/>
        <v/>
      </c>
      <c r="Q18" s="47" t="str">
        <f t="shared" ca="1" si="4"/>
        <v/>
      </c>
      <c r="R18" s="47" t="str">
        <f t="shared" ca="1" si="5"/>
        <v/>
      </c>
      <c r="S18" s="47" t="str">
        <f t="shared" ca="1" si="6"/>
        <v/>
      </c>
      <c r="T18" s="47" t="str">
        <f t="shared" ca="1" si="7"/>
        <v/>
      </c>
      <c r="U18" s="75" t="str">
        <f t="shared" ca="1" si="8"/>
        <v/>
      </c>
      <c r="V18" s="75" t="str">
        <f t="shared" ca="1" si="9"/>
        <v/>
      </c>
      <c r="W18" s="47" t="str">
        <f t="shared" ca="1" si="10"/>
        <v/>
      </c>
      <c r="X18" s="47" t="str">
        <f t="shared" ca="1" si="11"/>
        <v/>
      </c>
      <c r="Y18" s="47" t="str">
        <f t="shared" ca="1" si="12"/>
        <v/>
      </c>
      <c r="Z18" s="47" t="str">
        <f t="shared" ca="1" si="13"/>
        <v/>
      </c>
      <c r="AA18" s="47" t="str">
        <f t="shared" ca="1" si="14"/>
        <v/>
      </c>
      <c r="AB18" s="47" t="str">
        <f t="shared" ca="1" si="15"/>
        <v/>
      </c>
      <c r="AC18" s="63" t="str">
        <f t="shared" ca="1" si="16"/>
        <v/>
      </c>
      <c r="AD18" s="63" t="str">
        <f t="shared" ca="1" si="17"/>
        <v/>
      </c>
      <c r="AE18" s="63" t="str">
        <f t="shared" ca="1" si="18"/>
        <v/>
      </c>
      <c r="AF18" s="63" t="str">
        <f t="shared" ca="1" si="19"/>
        <v/>
      </c>
      <c r="AG18" s="63" t="str">
        <f t="shared" ca="1" si="20"/>
        <v/>
      </c>
      <c r="AH18" s="63" t="str">
        <f t="shared" ca="1" si="21"/>
        <v/>
      </c>
      <c r="AI18" s="63" t="str">
        <f t="shared" ca="1" si="22"/>
        <v/>
      </c>
      <c r="AJ18" s="47" t="str">
        <f t="shared" ca="1" si="23"/>
        <v/>
      </c>
      <c r="AK18" s="47" t="str">
        <f t="shared" ca="1" si="24"/>
        <v/>
      </c>
      <c r="AL18" s="47" t="str">
        <f t="shared" ca="1" si="25"/>
        <v/>
      </c>
      <c r="AM18" s="47" t="str">
        <f t="shared" ca="1" si="26"/>
        <v/>
      </c>
      <c r="AN18" s="47" t="str">
        <f t="shared" ca="1" si="27"/>
        <v/>
      </c>
      <c r="AO18" s="47" t="str">
        <f t="shared" ca="1" si="28"/>
        <v/>
      </c>
      <c r="AP18" s="47" t="str">
        <f t="shared" ca="1" si="29"/>
        <v/>
      </c>
      <c r="AQ18" s="47" t="str">
        <f t="shared" ca="1" si="30"/>
        <v/>
      </c>
      <c r="AR18" s="47" t="str">
        <f t="shared" ca="1" si="31"/>
        <v/>
      </c>
      <c r="AS18" s="33" t="str">
        <f t="shared" ca="1" si="32"/>
        <v/>
      </c>
      <c r="AW18" s="2">
        <v>10.9</v>
      </c>
      <c r="AX18" s="2" t="s">
        <v>266</v>
      </c>
      <c r="AY18" s="130">
        <v>34.4</v>
      </c>
      <c r="AZ18" s="2">
        <v>18.5</v>
      </c>
      <c r="BA18" s="2">
        <v>23</v>
      </c>
      <c r="BB18" s="2">
        <v>76</v>
      </c>
      <c r="BC18" s="2">
        <v>4</v>
      </c>
      <c r="BD18" s="2">
        <v>3.7</v>
      </c>
      <c r="BE18" s="2">
        <v>6.5</v>
      </c>
      <c r="BF18" s="2">
        <v>6.7</v>
      </c>
      <c r="BG18" s="2">
        <v>6.9</v>
      </c>
      <c r="BH18" s="2">
        <v>9.9</v>
      </c>
      <c r="BI18" s="2">
        <v>127</v>
      </c>
      <c r="BJ18" s="2">
        <v>306</v>
      </c>
      <c r="BK18" s="2">
        <v>360</v>
      </c>
      <c r="BL18" s="2">
        <v>414</v>
      </c>
      <c r="BM18" s="2">
        <v>601</v>
      </c>
      <c r="BN18" s="2"/>
      <c r="BO18" s="2"/>
      <c r="BP18" s="2"/>
      <c r="BQ18" s="2"/>
      <c r="BR18" s="2"/>
      <c r="BS18" s="2"/>
      <c r="BT18" s="2">
        <v>31</v>
      </c>
      <c r="BU18" s="2">
        <v>273</v>
      </c>
      <c r="BV18" s="2">
        <v>363</v>
      </c>
      <c r="BW18" s="2">
        <v>453</v>
      </c>
      <c r="BX18" s="2">
        <v>708</v>
      </c>
      <c r="BY18" s="2">
        <v>27.5</v>
      </c>
      <c r="BZ18" s="2">
        <v>9.9</v>
      </c>
      <c r="CA18" s="2">
        <v>3</v>
      </c>
      <c r="CB18" s="2">
        <v>1.0699301385517499E-9</v>
      </c>
      <c r="CC18" s="2">
        <v>1.8</v>
      </c>
    </row>
    <row r="19" spans="1:81" x14ac:dyDescent="0.25">
      <c r="A19" s="129" t="s">
        <v>38</v>
      </c>
      <c r="B19" s="129" t="s">
        <v>30</v>
      </c>
      <c r="C19" s="129" t="s">
        <v>59</v>
      </c>
      <c r="D19" s="43"/>
      <c r="E19" s="35"/>
      <c r="I19" s="33" t="str">
        <f t="shared" ca="1" si="0"/>
        <v/>
      </c>
      <c r="J19" s="47" t="str">
        <f t="shared" ca="1" si="33"/>
        <v/>
      </c>
      <c r="K19" s="19" t="str">
        <f t="shared" ca="1" si="34"/>
        <v/>
      </c>
      <c r="L19" s="116" t="str">
        <f t="shared" ca="1" si="1"/>
        <v/>
      </c>
      <c r="M19" s="105" t="str">
        <f t="shared" ca="1" si="2"/>
        <v/>
      </c>
      <c r="N19" s="47" t="str">
        <f t="shared" ca="1" si="3"/>
        <v/>
      </c>
      <c r="O19" s="63" t="str">
        <f t="shared" ca="1" si="35"/>
        <v/>
      </c>
      <c r="P19" s="63" t="str">
        <f t="shared" ca="1" si="36"/>
        <v/>
      </c>
      <c r="Q19" s="47" t="str">
        <f t="shared" ca="1" si="4"/>
        <v/>
      </c>
      <c r="R19" s="47" t="str">
        <f t="shared" ca="1" si="5"/>
        <v/>
      </c>
      <c r="S19" s="47" t="str">
        <f t="shared" ca="1" si="6"/>
        <v/>
      </c>
      <c r="T19" s="47" t="str">
        <f t="shared" ca="1" si="7"/>
        <v/>
      </c>
      <c r="U19" s="75" t="str">
        <f t="shared" ca="1" si="8"/>
        <v/>
      </c>
      <c r="V19" s="75" t="str">
        <f t="shared" ca="1" si="9"/>
        <v/>
      </c>
      <c r="W19" s="47" t="str">
        <f t="shared" ca="1" si="10"/>
        <v/>
      </c>
      <c r="X19" s="47" t="str">
        <f t="shared" ca="1" si="11"/>
        <v/>
      </c>
      <c r="Y19" s="47" t="str">
        <f t="shared" ca="1" si="12"/>
        <v/>
      </c>
      <c r="Z19" s="47" t="str">
        <f t="shared" ca="1" si="13"/>
        <v/>
      </c>
      <c r="AA19" s="47" t="str">
        <f t="shared" ca="1" si="14"/>
        <v/>
      </c>
      <c r="AB19" s="47" t="str">
        <f t="shared" ca="1" si="15"/>
        <v/>
      </c>
      <c r="AC19" s="63" t="str">
        <f t="shared" ca="1" si="16"/>
        <v/>
      </c>
      <c r="AD19" s="63" t="str">
        <f t="shared" ca="1" si="17"/>
        <v/>
      </c>
      <c r="AE19" s="63" t="str">
        <f t="shared" ca="1" si="18"/>
        <v/>
      </c>
      <c r="AF19" s="63" t="str">
        <f t="shared" ca="1" si="19"/>
        <v/>
      </c>
      <c r="AG19" s="63" t="str">
        <f t="shared" ca="1" si="20"/>
        <v/>
      </c>
      <c r="AH19" s="63" t="str">
        <f t="shared" ca="1" si="21"/>
        <v/>
      </c>
      <c r="AI19" s="63" t="str">
        <f t="shared" ca="1" si="22"/>
        <v/>
      </c>
      <c r="AJ19" s="47" t="str">
        <f t="shared" ca="1" si="23"/>
        <v/>
      </c>
      <c r="AK19" s="47" t="str">
        <f t="shared" ca="1" si="24"/>
        <v/>
      </c>
      <c r="AL19" s="47" t="str">
        <f t="shared" ca="1" si="25"/>
        <v/>
      </c>
      <c r="AM19" s="47" t="str">
        <f t="shared" ca="1" si="26"/>
        <v/>
      </c>
      <c r="AN19" s="47" t="str">
        <f t="shared" ca="1" si="27"/>
        <v/>
      </c>
      <c r="AO19" s="47" t="str">
        <f t="shared" ca="1" si="28"/>
        <v/>
      </c>
      <c r="AP19" s="47" t="str">
        <f t="shared" ca="1" si="29"/>
        <v/>
      </c>
      <c r="AQ19" s="47" t="str">
        <f t="shared" ca="1" si="30"/>
        <v/>
      </c>
      <c r="AR19" s="47" t="str">
        <f t="shared" ca="1" si="31"/>
        <v/>
      </c>
      <c r="AS19" s="33" t="str">
        <f t="shared" ca="1" si="32"/>
        <v/>
      </c>
      <c r="AW19" s="2">
        <v>36</v>
      </c>
      <c r="AX19" s="2" t="s">
        <v>266</v>
      </c>
      <c r="AY19" s="130">
        <v>34.4</v>
      </c>
      <c r="AZ19" s="2">
        <v>18.5</v>
      </c>
      <c r="BA19" s="2">
        <v>23</v>
      </c>
      <c r="BB19" s="2">
        <v>76</v>
      </c>
      <c r="BC19" s="2">
        <v>4</v>
      </c>
      <c r="BD19" s="2">
        <v>4.8</v>
      </c>
      <c r="BE19" s="2">
        <v>7.6</v>
      </c>
      <c r="BF19" s="2">
        <v>7.8</v>
      </c>
      <c r="BG19" s="2">
        <v>8</v>
      </c>
      <c r="BH19" s="2">
        <v>10.9</v>
      </c>
      <c r="BI19" s="2">
        <v>160</v>
      </c>
      <c r="BJ19" s="2">
        <v>340</v>
      </c>
      <c r="BK19" s="2">
        <v>393</v>
      </c>
      <c r="BL19" s="2">
        <v>447</v>
      </c>
      <c r="BM19" s="2">
        <v>634</v>
      </c>
      <c r="BN19" s="2"/>
      <c r="BO19" s="2"/>
      <c r="BP19" s="2"/>
      <c r="BQ19" s="2"/>
      <c r="BR19" s="2"/>
      <c r="BS19" s="2"/>
      <c r="BT19" s="2">
        <v>103</v>
      </c>
      <c r="BU19" s="2">
        <v>345</v>
      </c>
      <c r="BV19" s="2">
        <v>434</v>
      </c>
      <c r="BW19" s="2">
        <v>524</v>
      </c>
      <c r="BX19" s="2">
        <v>780</v>
      </c>
      <c r="BY19" s="2">
        <v>27.5</v>
      </c>
      <c r="BZ19" s="2">
        <v>9.9</v>
      </c>
      <c r="CA19" s="2">
        <v>3</v>
      </c>
      <c r="CB19" s="2">
        <v>1.0699301385517499E-9</v>
      </c>
      <c r="CC19" s="2">
        <v>1.8</v>
      </c>
    </row>
    <row r="20" spans="1:81" x14ac:dyDescent="0.25">
      <c r="A20" s="66">
        <v>1</v>
      </c>
      <c r="B20" s="66">
        <v>0</v>
      </c>
      <c r="C20" s="67">
        <v>0.09</v>
      </c>
      <c r="D20" s="43"/>
      <c r="I20" s="33" t="str">
        <f t="shared" ca="1" si="0"/>
        <v/>
      </c>
      <c r="J20" s="47" t="str">
        <f t="shared" ca="1" si="33"/>
        <v/>
      </c>
      <c r="K20" s="19" t="str">
        <f t="shared" ca="1" si="34"/>
        <v/>
      </c>
      <c r="L20" s="116" t="str">
        <f t="shared" ca="1" si="1"/>
        <v/>
      </c>
      <c r="M20" s="105" t="str">
        <f t="shared" ca="1" si="2"/>
        <v/>
      </c>
      <c r="N20" s="47" t="str">
        <f t="shared" ca="1" si="3"/>
        <v/>
      </c>
      <c r="O20" s="63" t="str">
        <f t="shared" ca="1" si="35"/>
        <v/>
      </c>
      <c r="P20" s="63" t="str">
        <f t="shared" ca="1" si="36"/>
        <v/>
      </c>
      <c r="Q20" s="47" t="str">
        <f t="shared" ca="1" si="4"/>
        <v/>
      </c>
      <c r="R20" s="47" t="str">
        <f t="shared" ca="1" si="5"/>
        <v/>
      </c>
      <c r="S20" s="47" t="str">
        <f t="shared" ca="1" si="6"/>
        <v/>
      </c>
      <c r="T20" s="47" t="str">
        <f t="shared" ca="1" si="7"/>
        <v/>
      </c>
      <c r="U20" s="75" t="str">
        <f t="shared" ca="1" si="8"/>
        <v/>
      </c>
      <c r="V20" s="75" t="str">
        <f t="shared" ca="1" si="9"/>
        <v/>
      </c>
      <c r="W20" s="47" t="str">
        <f t="shared" ca="1" si="10"/>
        <v/>
      </c>
      <c r="X20" s="47" t="str">
        <f t="shared" ca="1" si="11"/>
        <v/>
      </c>
      <c r="Y20" s="47" t="str">
        <f t="shared" ca="1" si="12"/>
        <v/>
      </c>
      <c r="Z20" s="47" t="str">
        <f t="shared" ca="1" si="13"/>
        <v/>
      </c>
      <c r="AA20" s="47" t="str">
        <f t="shared" ca="1" si="14"/>
        <v/>
      </c>
      <c r="AB20" s="47" t="str">
        <f t="shared" ca="1" si="15"/>
        <v/>
      </c>
      <c r="AC20" s="63" t="str">
        <f t="shared" ca="1" si="16"/>
        <v/>
      </c>
      <c r="AD20" s="63" t="str">
        <f t="shared" ca="1" si="17"/>
        <v/>
      </c>
      <c r="AE20" s="63" t="str">
        <f t="shared" ca="1" si="18"/>
        <v/>
      </c>
      <c r="AF20" s="63" t="str">
        <f t="shared" ca="1" si="19"/>
        <v/>
      </c>
      <c r="AG20" s="63" t="str">
        <f t="shared" ca="1" si="20"/>
        <v/>
      </c>
      <c r="AH20" s="63" t="str">
        <f t="shared" ca="1" si="21"/>
        <v/>
      </c>
      <c r="AI20" s="63" t="str">
        <f t="shared" ca="1" si="22"/>
        <v/>
      </c>
      <c r="AJ20" s="47" t="str">
        <f t="shared" ca="1" si="23"/>
        <v/>
      </c>
      <c r="AK20" s="47" t="str">
        <f t="shared" ca="1" si="24"/>
        <v/>
      </c>
      <c r="AL20" s="47" t="str">
        <f t="shared" ca="1" si="25"/>
        <v/>
      </c>
      <c r="AM20" s="47" t="str">
        <f t="shared" ca="1" si="26"/>
        <v/>
      </c>
      <c r="AN20" s="47" t="str">
        <f t="shared" ca="1" si="27"/>
        <v/>
      </c>
      <c r="AO20" s="47" t="str">
        <f t="shared" ca="1" si="28"/>
        <v/>
      </c>
      <c r="AP20" s="47" t="str">
        <f t="shared" ca="1" si="29"/>
        <v/>
      </c>
      <c r="AQ20" s="47" t="str">
        <f t="shared" ca="1" si="30"/>
        <v/>
      </c>
      <c r="AR20" s="47" t="str">
        <f t="shared" ca="1" si="31"/>
        <v/>
      </c>
      <c r="AS20" s="33" t="str">
        <f t="shared" ca="1" si="32"/>
        <v/>
      </c>
      <c r="AW20" s="2">
        <v>36</v>
      </c>
      <c r="AX20" s="2" t="s">
        <v>266</v>
      </c>
      <c r="AY20" s="130">
        <v>34.4</v>
      </c>
      <c r="AZ20" s="2">
        <v>18.5</v>
      </c>
      <c r="BA20" s="2">
        <v>23</v>
      </c>
      <c r="BB20" s="2">
        <v>76</v>
      </c>
      <c r="BC20" s="2">
        <v>4</v>
      </c>
      <c r="BD20" s="2">
        <v>5.2</v>
      </c>
      <c r="BE20" s="2">
        <v>5.9</v>
      </c>
      <c r="BF20" s="2">
        <v>6.1</v>
      </c>
      <c r="BG20" s="2">
        <v>6.2</v>
      </c>
      <c r="BH20" s="2">
        <v>7.2</v>
      </c>
      <c r="BI20" s="2">
        <v>131</v>
      </c>
      <c r="BJ20" s="2">
        <v>245</v>
      </c>
      <c r="BK20" s="2">
        <v>299</v>
      </c>
      <c r="BL20" s="2">
        <v>353</v>
      </c>
      <c r="BM20" s="2">
        <v>478</v>
      </c>
      <c r="BN20" s="2"/>
      <c r="BO20" s="2"/>
      <c r="BP20" s="2"/>
      <c r="BQ20" s="2"/>
      <c r="BR20" s="2"/>
      <c r="BS20" s="2"/>
      <c r="BT20" s="2">
        <v>123</v>
      </c>
      <c r="BU20" s="2">
        <v>231</v>
      </c>
      <c r="BV20" s="2">
        <v>321</v>
      </c>
      <c r="BW20" s="2">
        <v>411</v>
      </c>
      <c r="BX20" s="2">
        <v>597</v>
      </c>
      <c r="BY20" s="2">
        <v>19.3</v>
      </c>
      <c r="BZ20" s="2">
        <v>4.0999999999999996</v>
      </c>
      <c r="CA20" s="2">
        <v>2.1</v>
      </c>
      <c r="CB20" s="2">
        <v>4.1158066185131097E-11</v>
      </c>
      <c r="CC20" s="2">
        <v>1.8</v>
      </c>
    </row>
    <row r="21" spans="1:81" x14ac:dyDescent="0.25">
      <c r="A21" s="66"/>
      <c r="B21" s="66"/>
      <c r="C21" s="67"/>
      <c r="D21" s="43"/>
      <c r="I21" s="33" t="str">
        <f t="shared" ca="1" si="0"/>
        <v/>
      </c>
      <c r="J21" s="47" t="str">
        <f t="shared" ca="1" si="33"/>
        <v/>
      </c>
      <c r="K21" s="19" t="str">
        <f t="shared" ca="1" si="34"/>
        <v/>
      </c>
      <c r="L21" s="116" t="str">
        <f t="shared" ca="1" si="1"/>
        <v/>
      </c>
      <c r="M21" s="105" t="str">
        <f t="shared" ca="1" si="2"/>
        <v/>
      </c>
      <c r="N21" s="47" t="str">
        <f t="shared" ca="1" si="3"/>
        <v/>
      </c>
      <c r="O21" s="63" t="str">
        <f t="shared" ca="1" si="35"/>
        <v/>
      </c>
      <c r="P21" s="63" t="str">
        <f t="shared" ca="1" si="36"/>
        <v/>
      </c>
      <c r="Q21" s="47" t="str">
        <f t="shared" ca="1" si="4"/>
        <v/>
      </c>
      <c r="R21" s="47" t="str">
        <f t="shared" ca="1" si="5"/>
        <v/>
      </c>
      <c r="S21" s="47" t="str">
        <f t="shared" ca="1" si="6"/>
        <v/>
      </c>
      <c r="T21" s="47" t="str">
        <f t="shared" ca="1" si="7"/>
        <v/>
      </c>
      <c r="U21" s="75" t="str">
        <f t="shared" ca="1" si="8"/>
        <v/>
      </c>
      <c r="V21" s="75" t="str">
        <f t="shared" ca="1" si="9"/>
        <v/>
      </c>
      <c r="W21" s="47" t="str">
        <f t="shared" ca="1" si="10"/>
        <v/>
      </c>
      <c r="X21" s="47" t="str">
        <f t="shared" ca="1" si="11"/>
        <v/>
      </c>
      <c r="Y21" s="47" t="str">
        <f t="shared" ca="1" si="12"/>
        <v/>
      </c>
      <c r="Z21" s="47" t="str">
        <f t="shared" ca="1" si="13"/>
        <v/>
      </c>
      <c r="AA21" s="47" t="str">
        <f t="shared" ca="1" si="14"/>
        <v/>
      </c>
      <c r="AB21" s="47" t="str">
        <f t="shared" ca="1" si="15"/>
        <v/>
      </c>
      <c r="AC21" s="63" t="str">
        <f t="shared" ca="1" si="16"/>
        <v/>
      </c>
      <c r="AD21" s="63" t="str">
        <f t="shared" ca="1" si="17"/>
        <v/>
      </c>
      <c r="AE21" s="63" t="str">
        <f t="shared" ca="1" si="18"/>
        <v/>
      </c>
      <c r="AF21" s="63" t="str">
        <f t="shared" ca="1" si="19"/>
        <v/>
      </c>
      <c r="AG21" s="63" t="str">
        <f t="shared" ca="1" si="20"/>
        <v/>
      </c>
      <c r="AH21" s="63" t="str">
        <f t="shared" ca="1" si="21"/>
        <v/>
      </c>
      <c r="AI21" s="63" t="str">
        <f t="shared" ca="1" si="22"/>
        <v/>
      </c>
      <c r="AJ21" s="47" t="str">
        <f t="shared" ca="1" si="23"/>
        <v/>
      </c>
      <c r="AK21" s="47" t="str">
        <f t="shared" ca="1" si="24"/>
        <v/>
      </c>
      <c r="AL21" s="47" t="str">
        <f t="shared" ca="1" si="25"/>
        <v/>
      </c>
      <c r="AM21" s="47" t="str">
        <f t="shared" ca="1" si="26"/>
        <v/>
      </c>
      <c r="AN21" s="47" t="str">
        <f t="shared" ca="1" si="27"/>
        <v/>
      </c>
      <c r="AO21" s="47" t="str">
        <f t="shared" ca="1" si="28"/>
        <v/>
      </c>
      <c r="AP21" s="47" t="str">
        <f t="shared" ca="1" si="29"/>
        <v/>
      </c>
      <c r="AQ21" s="47" t="str">
        <f t="shared" ca="1" si="30"/>
        <v/>
      </c>
      <c r="AR21" s="47" t="str">
        <f t="shared" ca="1" si="31"/>
        <v/>
      </c>
      <c r="AS21" s="33" t="str">
        <f t="shared" ca="1" si="32"/>
        <v/>
      </c>
      <c r="AW21" s="2">
        <v>41</v>
      </c>
      <c r="AX21" s="2" t="s">
        <v>266</v>
      </c>
      <c r="AY21" s="130">
        <v>34.4</v>
      </c>
      <c r="AZ21" s="2">
        <v>18.5</v>
      </c>
      <c r="BA21" s="2">
        <v>23</v>
      </c>
      <c r="BB21" s="2">
        <v>76</v>
      </c>
      <c r="BC21" s="2">
        <v>4</v>
      </c>
      <c r="BD21" s="2">
        <v>3.9</v>
      </c>
      <c r="BE21" s="2">
        <v>4.7</v>
      </c>
      <c r="BF21" s="2">
        <v>4.8</v>
      </c>
      <c r="BG21" s="2">
        <v>5</v>
      </c>
      <c r="BH21" s="2">
        <v>5.9</v>
      </c>
      <c r="BI21" s="2">
        <v>57</v>
      </c>
      <c r="BJ21" s="2">
        <v>171</v>
      </c>
      <c r="BK21" s="2">
        <v>225</v>
      </c>
      <c r="BL21" s="2">
        <v>279</v>
      </c>
      <c r="BM21" s="2">
        <v>403</v>
      </c>
      <c r="BN21" s="2"/>
      <c r="BO21" s="2"/>
      <c r="BP21" s="2"/>
      <c r="BQ21" s="2"/>
      <c r="BR21" s="2"/>
      <c r="BS21" s="2"/>
      <c r="BT21" s="2">
        <v>40</v>
      </c>
      <c r="BU21" s="2">
        <v>149</v>
      </c>
      <c r="BV21" s="2">
        <v>239</v>
      </c>
      <c r="BW21" s="2">
        <v>329</v>
      </c>
      <c r="BX21" s="2">
        <v>515</v>
      </c>
      <c r="BY21" s="2">
        <v>19.3</v>
      </c>
      <c r="BZ21" s="2">
        <v>4.0999999999999996</v>
      </c>
      <c r="CA21" s="2">
        <v>2.1</v>
      </c>
      <c r="CB21" s="2">
        <v>4.1158066185131097E-11</v>
      </c>
      <c r="CC21" s="2">
        <v>1.8</v>
      </c>
    </row>
    <row r="22" spans="1:81" x14ac:dyDescent="0.25">
      <c r="A22" s="66"/>
      <c r="B22" s="66"/>
      <c r="C22" s="67"/>
      <c r="D22" s="35"/>
      <c r="I22" s="33" t="str">
        <f t="shared" ca="1" si="0"/>
        <v/>
      </c>
      <c r="J22" s="47" t="str">
        <f t="shared" ca="1" si="33"/>
        <v/>
      </c>
      <c r="K22" s="19" t="str">
        <f ca="1">IF(OFFSET($AW$6,(ROW()-5)*2,0)=0,"",-OFFSET($AW$6,(ROW()-5)*2,0))</f>
        <v/>
      </c>
      <c r="L22" s="116" t="str">
        <f t="shared" ca="1" si="1"/>
        <v/>
      </c>
      <c r="M22" s="105" t="str">
        <f t="shared" ca="1" si="2"/>
        <v/>
      </c>
      <c r="N22" s="47" t="str">
        <f t="shared" ca="1" si="3"/>
        <v/>
      </c>
      <c r="O22" s="63" t="str">
        <f t="shared" ca="1" si="35"/>
        <v/>
      </c>
      <c r="P22" s="63" t="str">
        <f t="shared" ca="1" si="36"/>
        <v/>
      </c>
      <c r="Q22" s="47" t="str">
        <f t="shared" ca="1" si="4"/>
        <v/>
      </c>
      <c r="R22" s="47" t="str">
        <f t="shared" ca="1" si="5"/>
        <v/>
      </c>
      <c r="S22" s="47" t="str">
        <f t="shared" ca="1" si="6"/>
        <v/>
      </c>
      <c r="T22" s="47" t="str">
        <f t="shared" ca="1" si="7"/>
        <v/>
      </c>
      <c r="U22" s="75" t="str">
        <f t="shared" ca="1" si="8"/>
        <v/>
      </c>
      <c r="V22" s="75" t="str">
        <f t="shared" ca="1" si="9"/>
        <v/>
      </c>
      <c r="W22" s="47" t="str">
        <f t="shared" ca="1" si="10"/>
        <v/>
      </c>
      <c r="X22" s="47" t="str">
        <f t="shared" ca="1" si="11"/>
        <v/>
      </c>
      <c r="Y22" s="47" t="str">
        <f t="shared" ca="1" si="12"/>
        <v/>
      </c>
      <c r="Z22" s="47" t="str">
        <f t="shared" ca="1" si="13"/>
        <v/>
      </c>
      <c r="AA22" s="47" t="str">
        <f t="shared" ca="1" si="14"/>
        <v/>
      </c>
      <c r="AB22" s="47" t="str">
        <f t="shared" ca="1" si="15"/>
        <v/>
      </c>
      <c r="AC22" s="63" t="str">
        <f t="shared" ca="1" si="16"/>
        <v/>
      </c>
      <c r="AD22" s="63" t="str">
        <f t="shared" ca="1" si="17"/>
        <v/>
      </c>
      <c r="AE22" s="63" t="str">
        <f t="shared" ca="1" si="18"/>
        <v/>
      </c>
      <c r="AF22" s="63" t="str">
        <f t="shared" ca="1" si="19"/>
        <v/>
      </c>
      <c r="AG22" s="63" t="str">
        <f t="shared" ca="1" si="20"/>
        <v/>
      </c>
      <c r="AH22" s="63" t="str">
        <f t="shared" ca="1" si="21"/>
        <v/>
      </c>
      <c r="AI22" s="63" t="str">
        <f t="shared" ca="1" si="22"/>
        <v/>
      </c>
      <c r="AJ22" s="47" t="str">
        <f t="shared" ca="1" si="23"/>
        <v/>
      </c>
      <c r="AK22" s="47" t="str">
        <f t="shared" ca="1" si="24"/>
        <v/>
      </c>
      <c r="AL22" s="47" t="str">
        <f t="shared" ca="1" si="25"/>
        <v/>
      </c>
      <c r="AM22" s="47" t="str">
        <f t="shared" ca="1" si="26"/>
        <v/>
      </c>
      <c r="AN22" s="47" t="str">
        <f t="shared" ca="1" si="27"/>
        <v/>
      </c>
      <c r="AO22" s="47" t="str">
        <f t="shared" ca="1" si="28"/>
        <v/>
      </c>
      <c r="AP22" s="47" t="str">
        <f t="shared" ca="1" si="29"/>
        <v/>
      </c>
      <c r="AQ22" s="47" t="str">
        <f t="shared" ca="1" si="30"/>
        <v/>
      </c>
      <c r="AR22" s="47" t="str">
        <f t="shared" ca="1" si="31"/>
        <v/>
      </c>
      <c r="AS22" s="33" t="str">
        <f t="shared" ca="1" si="32"/>
        <v/>
      </c>
      <c r="AW22" s="2">
        <v>41</v>
      </c>
      <c r="AX22" s="2" t="s">
        <v>305</v>
      </c>
      <c r="AY22" s="130">
        <v>28.5</v>
      </c>
      <c r="AZ22" s="2">
        <v>19.3</v>
      </c>
      <c r="BA22" s="2">
        <v>16</v>
      </c>
      <c r="BB22" s="2">
        <v>49</v>
      </c>
      <c r="BC22" s="2">
        <v>5</v>
      </c>
      <c r="BD22" s="2">
        <v>1.5</v>
      </c>
      <c r="BE22" s="2">
        <v>17.899999999999999</v>
      </c>
      <c r="BF22" s="2">
        <v>22</v>
      </c>
      <c r="BG22" s="2">
        <v>54.2</v>
      </c>
      <c r="BH22" s="2">
        <v>153.9</v>
      </c>
      <c r="BI22" s="2">
        <v>1017</v>
      </c>
      <c r="BJ22" s="2">
        <v>1129</v>
      </c>
      <c r="BK22" s="2">
        <v>1181</v>
      </c>
      <c r="BL22" s="2">
        <v>1233</v>
      </c>
      <c r="BM22" s="2">
        <v>1345</v>
      </c>
      <c r="BN22" s="2"/>
      <c r="BO22" s="2"/>
      <c r="BP22" s="2"/>
      <c r="BQ22" s="2"/>
      <c r="BR22" s="2"/>
      <c r="BS22" s="2"/>
      <c r="BT22" s="2">
        <v>1440</v>
      </c>
      <c r="BU22" s="2">
        <v>2011</v>
      </c>
      <c r="BV22" s="2">
        <v>2141</v>
      </c>
      <c r="BW22" s="2">
        <v>2273</v>
      </c>
      <c r="BX22" s="2">
        <v>2862</v>
      </c>
      <c r="BY22" s="2">
        <v>103.5</v>
      </c>
      <c r="BZ22" s="2">
        <v>16.100000000000001</v>
      </c>
      <c r="CA22" s="2">
        <v>3</v>
      </c>
      <c r="CB22" s="2">
        <v>1.09315173239135E-10</v>
      </c>
      <c r="CC22" s="2">
        <v>1.8</v>
      </c>
    </row>
    <row r="23" spans="1:81" x14ac:dyDescent="0.25">
      <c r="A23" s="66"/>
      <c r="B23" s="66"/>
      <c r="C23" s="67"/>
      <c r="D23" s="35"/>
      <c r="I23" s="33" t="str">
        <f t="shared" ca="1" si="0"/>
        <v/>
      </c>
      <c r="J23" s="47" t="str">
        <f t="shared" ca="1" si="33"/>
        <v/>
      </c>
      <c r="K23" s="19" t="str">
        <f ca="1">IF(OFFSET($AW$6,(ROW()-5)*2,0)=0,"",-OFFSET($AW$6,(ROW()-5)*2,0))</f>
        <v/>
      </c>
      <c r="L23" s="116" t="str">
        <f t="shared" ca="1" si="1"/>
        <v/>
      </c>
      <c r="M23" s="105" t="str">
        <f t="shared" ca="1" si="2"/>
        <v/>
      </c>
      <c r="N23" s="47" t="str">
        <f t="shared" ca="1" si="3"/>
        <v/>
      </c>
      <c r="O23" s="63" t="str">
        <f t="shared" ca="1" si="35"/>
        <v/>
      </c>
      <c r="P23" s="63" t="str">
        <f t="shared" ca="1" si="36"/>
        <v/>
      </c>
      <c r="Q23" s="47" t="str">
        <f t="shared" ca="1" si="4"/>
        <v/>
      </c>
      <c r="R23" s="47" t="str">
        <f t="shared" ca="1" si="5"/>
        <v/>
      </c>
      <c r="S23" s="47" t="str">
        <f t="shared" ca="1" si="6"/>
        <v/>
      </c>
      <c r="T23" s="47" t="str">
        <f t="shared" ca="1" si="7"/>
        <v/>
      </c>
      <c r="U23" s="75" t="str">
        <f t="shared" ca="1" si="8"/>
        <v/>
      </c>
      <c r="V23" s="75" t="str">
        <f t="shared" ca="1" si="9"/>
        <v/>
      </c>
      <c r="W23" s="47" t="str">
        <f t="shared" ca="1" si="10"/>
        <v/>
      </c>
      <c r="X23" s="47" t="str">
        <f t="shared" ca="1" si="11"/>
        <v/>
      </c>
      <c r="Y23" s="47" t="str">
        <f t="shared" ca="1" si="12"/>
        <v/>
      </c>
      <c r="Z23" s="47" t="str">
        <f t="shared" ca="1" si="13"/>
        <v/>
      </c>
      <c r="AA23" s="47" t="str">
        <f t="shared" ca="1" si="14"/>
        <v/>
      </c>
      <c r="AB23" s="47" t="str">
        <f t="shared" ca="1" si="15"/>
        <v/>
      </c>
      <c r="AC23" s="63" t="str">
        <f t="shared" ca="1" si="16"/>
        <v/>
      </c>
      <c r="AD23" s="63" t="str">
        <f t="shared" ca="1" si="17"/>
        <v/>
      </c>
      <c r="AE23" s="63" t="str">
        <f t="shared" ca="1" si="18"/>
        <v/>
      </c>
      <c r="AF23" s="63" t="str">
        <f t="shared" ca="1" si="19"/>
        <v/>
      </c>
      <c r="AG23" s="63" t="str">
        <f t="shared" ca="1" si="20"/>
        <v/>
      </c>
      <c r="AH23" s="63" t="str">
        <f t="shared" ca="1" si="21"/>
        <v/>
      </c>
      <c r="AI23" s="63" t="str">
        <f t="shared" ca="1" si="22"/>
        <v/>
      </c>
      <c r="AJ23" s="47" t="str">
        <f t="shared" ca="1" si="23"/>
        <v/>
      </c>
      <c r="AK23" s="47" t="str">
        <f t="shared" ca="1" si="24"/>
        <v/>
      </c>
      <c r="AL23" s="47" t="str">
        <f t="shared" ca="1" si="25"/>
        <v/>
      </c>
      <c r="AM23" s="47" t="str">
        <f t="shared" ca="1" si="26"/>
        <v/>
      </c>
      <c r="AN23" s="47" t="str">
        <f t="shared" ca="1" si="27"/>
        <v/>
      </c>
      <c r="AO23" s="47" t="str">
        <f t="shared" ca="1" si="28"/>
        <v/>
      </c>
      <c r="AP23" s="47" t="str">
        <f t="shared" ca="1" si="29"/>
        <v/>
      </c>
      <c r="AQ23" s="47" t="str">
        <f t="shared" ca="1" si="30"/>
        <v/>
      </c>
      <c r="AR23" s="47" t="str">
        <f t="shared" ca="1" si="31"/>
        <v/>
      </c>
      <c r="AS23" s="33" t="str">
        <f t="shared" ca="1" si="32"/>
        <v/>
      </c>
      <c r="AW23" s="2">
        <v>66.2</v>
      </c>
      <c r="AX23" s="2" t="s">
        <v>305</v>
      </c>
      <c r="AY23" s="130">
        <v>28.5</v>
      </c>
      <c r="AZ23" s="2">
        <v>19.3</v>
      </c>
      <c r="BA23" s="2">
        <v>16</v>
      </c>
      <c r="BB23" s="2">
        <v>49</v>
      </c>
      <c r="BC23" s="2">
        <v>5</v>
      </c>
      <c r="BD23" s="2">
        <v>10.8</v>
      </c>
      <c r="BE23" s="2">
        <v>27.2</v>
      </c>
      <c r="BF23" s="2">
        <v>31.3</v>
      </c>
      <c r="BG23" s="2">
        <v>63.5</v>
      </c>
      <c r="BH23" s="2">
        <v>163.19999999999999</v>
      </c>
      <c r="BI23" s="2">
        <v>1508</v>
      </c>
      <c r="BJ23" s="2">
        <v>1619</v>
      </c>
      <c r="BK23" s="2">
        <v>1671</v>
      </c>
      <c r="BL23" s="2">
        <v>1724</v>
      </c>
      <c r="BM23" s="2">
        <v>1835</v>
      </c>
      <c r="BN23" s="2"/>
      <c r="BO23" s="2"/>
      <c r="BP23" s="2"/>
      <c r="BQ23" s="2"/>
      <c r="BR23" s="2"/>
      <c r="BS23" s="2"/>
      <c r="BT23" s="2">
        <v>1440</v>
      </c>
      <c r="BU23" s="2">
        <v>2011</v>
      </c>
      <c r="BV23" s="2">
        <v>2141</v>
      </c>
      <c r="BW23" s="2">
        <v>2273</v>
      </c>
      <c r="BX23" s="2">
        <v>2862</v>
      </c>
      <c r="BY23" s="2">
        <v>103.5</v>
      </c>
      <c r="BZ23" s="2">
        <v>16.100000000000001</v>
      </c>
      <c r="CA23" s="2">
        <v>3</v>
      </c>
      <c r="CB23" s="2">
        <v>1.09315173239135E-10</v>
      </c>
      <c r="CC23" s="2">
        <v>1.8</v>
      </c>
    </row>
    <row r="24" spans="1:81" x14ac:dyDescent="0.25">
      <c r="A24" s="66"/>
      <c r="B24" s="66"/>
      <c r="C24" s="67"/>
      <c r="D24" s="35"/>
      <c r="I24" s="33" t="str">
        <f t="shared" ca="1" si="0"/>
        <v/>
      </c>
      <c r="J24" s="47" t="str">
        <f t="shared" ca="1" si="33"/>
        <v/>
      </c>
      <c r="K24" s="19" t="str">
        <f ca="1">IF(OFFSET($AW$6,(ROW()-5)*2,0)=0,"",-OFFSET($AW$6,(ROW()-5)*2,0))</f>
        <v/>
      </c>
      <c r="L24" s="116" t="str">
        <f t="shared" ca="1" si="1"/>
        <v/>
      </c>
      <c r="M24" s="105" t="str">
        <f t="shared" ca="1" si="2"/>
        <v/>
      </c>
      <c r="N24" s="47" t="str">
        <f t="shared" ca="1" si="3"/>
        <v/>
      </c>
      <c r="O24" s="63" t="str">
        <f t="shared" ca="1" si="35"/>
        <v/>
      </c>
      <c r="P24" s="63" t="str">
        <f t="shared" ca="1" si="36"/>
        <v/>
      </c>
      <c r="Q24" s="47" t="str">
        <f t="shared" ca="1" si="4"/>
        <v/>
      </c>
      <c r="R24" s="47" t="str">
        <f t="shared" ca="1" si="5"/>
        <v/>
      </c>
      <c r="S24" s="47" t="str">
        <f t="shared" ca="1" si="6"/>
        <v/>
      </c>
      <c r="T24" s="47" t="str">
        <f t="shared" ca="1" si="7"/>
        <v/>
      </c>
      <c r="U24" s="75" t="str">
        <f t="shared" ca="1" si="8"/>
        <v/>
      </c>
      <c r="V24" s="75" t="str">
        <f t="shared" ca="1" si="9"/>
        <v/>
      </c>
      <c r="W24" s="47" t="str">
        <f t="shared" ca="1" si="10"/>
        <v/>
      </c>
      <c r="X24" s="47" t="str">
        <f t="shared" ca="1" si="11"/>
        <v/>
      </c>
      <c r="Y24" s="47" t="str">
        <f t="shared" ca="1" si="12"/>
        <v/>
      </c>
      <c r="Z24" s="47" t="str">
        <f t="shared" ca="1" si="13"/>
        <v/>
      </c>
      <c r="AA24" s="47" t="str">
        <f t="shared" ca="1" si="14"/>
        <v/>
      </c>
      <c r="AB24" s="47" t="str">
        <f t="shared" ca="1" si="15"/>
        <v/>
      </c>
      <c r="AC24" s="63" t="str">
        <f t="shared" ca="1" si="16"/>
        <v/>
      </c>
      <c r="AD24" s="63" t="str">
        <f t="shared" ca="1" si="17"/>
        <v/>
      </c>
      <c r="AE24" s="63" t="str">
        <f t="shared" ca="1" si="18"/>
        <v/>
      </c>
      <c r="AF24" s="63" t="str">
        <f t="shared" ca="1" si="19"/>
        <v/>
      </c>
      <c r="AG24" s="63" t="str">
        <f t="shared" ca="1" si="20"/>
        <v/>
      </c>
      <c r="AH24" s="63" t="str">
        <f t="shared" ca="1" si="21"/>
        <v/>
      </c>
      <c r="AI24" s="63" t="str">
        <f t="shared" ca="1" si="22"/>
        <v/>
      </c>
      <c r="AJ24" s="47" t="str">
        <f t="shared" ca="1" si="23"/>
        <v/>
      </c>
      <c r="AK24" s="47" t="str">
        <f t="shared" ca="1" si="24"/>
        <v/>
      </c>
      <c r="AL24" s="47" t="str">
        <f t="shared" ca="1" si="25"/>
        <v/>
      </c>
      <c r="AM24" s="47" t="str">
        <f t="shared" ca="1" si="26"/>
        <v/>
      </c>
      <c r="AN24" s="47" t="str">
        <f t="shared" ca="1" si="27"/>
        <v/>
      </c>
      <c r="AO24" s="47" t="str">
        <f t="shared" ca="1" si="28"/>
        <v/>
      </c>
      <c r="AP24" s="47" t="str">
        <f t="shared" ca="1" si="29"/>
        <v/>
      </c>
      <c r="AQ24" s="47" t="str">
        <f t="shared" ca="1" si="30"/>
        <v/>
      </c>
      <c r="AR24" s="47" t="str">
        <f t="shared" ca="1" si="31"/>
        <v/>
      </c>
      <c r="AS24" s="33" t="str">
        <f t="shared" ca="1" si="32"/>
        <v/>
      </c>
      <c r="AW24" s="2">
        <v>66.2</v>
      </c>
      <c r="AX24" s="2" t="s">
        <v>271</v>
      </c>
      <c r="AY24" s="130">
        <v>24.7</v>
      </c>
      <c r="AZ24" s="2">
        <v>19.8</v>
      </c>
      <c r="BA24" s="2"/>
      <c r="BB24" s="2">
        <v>11</v>
      </c>
      <c r="BC24" s="2"/>
      <c r="BD24" s="2">
        <v>2.4</v>
      </c>
      <c r="BE24" s="2">
        <v>25.6</v>
      </c>
      <c r="BF24" s="2">
        <v>41.7</v>
      </c>
      <c r="BG24" s="2">
        <v>89.4</v>
      </c>
      <c r="BH24" s="2">
        <v>237.2</v>
      </c>
      <c r="BI24" s="2"/>
      <c r="BJ24" s="2"/>
      <c r="BK24" s="2"/>
      <c r="BL24" s="2"/>
      <c r="BM24" s="2"/>
      <c r="BN24" s="2">
        <v>79</v>
      </c>
      <c r="BO24" s="2">
        <v>26</v>
      </c>
      <c r="BP24" s="2">
        <v>29</v>
      </c>
      <c r="BQ24" s="2">
        <v>31</v>
      </c>
      <c r="BR24" s="2">
        <v>33</v>
      </c>
      <c r="BS24" s="2">
        <v>38</v>
      </c>
      <c r="BT24" s="2">
        <v>66</v>
      </c>
      <c r="BU24" s="2">
        <v>204</v>
      </c>
      <c r="BV24" s="2">
        <v>263</v>
      </c>
      <c r="BW24" s="2">
        <v>321</v>
      </c>
      <c r="BX24" s="2">
        <v>466</v>
      </c>
      <c r="BY24" s="2">
        <v>64.2</v>
      </c>
      <c r="BZ24" s="2">
        <v>2.5</v>
      </c>
      <c r="CA24" s="2">
        <v>0.9</v>
      </c>
      <c r="CB24" s="2">
        <v>2.6852179827588101E-12</v>
      </c>
      <c r="CC24" s="2"/>
    </row>
    <row r="25" spans="1:81" x14ac:dyDescent="0.25">
      <c r="A25" s="66"/>
      <c r="B25" s="66"/>
      <c r="C25" s="67"/>
      <c r="D25" s="35"/>
      <c r="I25" s="33" t="str">
        <f t="shared" ca="1" si="0"/>
        <v/>
      </c>
      <c r="J25" s="47" t="str">
        <f t="shared" ca="1" si="33"/>
        <v/>
      </c>
      <c r="K25" s="19" t="str">
        <f ca="1">IF(OFFSET($AW$6,(ROW()-5)*2,0)=0,"",-OFFSET($AW$6,(ROW()-5)*2,0))</f>
        <v/>
      </c>
      <c r="L25" s="116" t="str">
        <f t="shared" ca="1" si="1"/>
        <v/>
      </c>
      <c r="M25" s="105" t="str">
        <f t="shared" ca="1" si="2"/>
        <v/>
      </c>
      <c r="N25" s="47" t="str">
        <f t="shared" ca="1" si="3"/>
        <v/>
      </c>
      <c r="O25" s="63" t="str">
        <f t="shared" ca="1" si="35"/>
        <v/>
      </c>
      <c r="P25" s="63" t="str">
        <f t="shared" ca="1" si="36"/>
        <v/>
      </c>
      <c r="Q25" s="47" t="str">
        <f t="shared" ca="1" si="4"/>
        <v/>
      </c>
      <c r="R25" s="47" t="str">
        <f t="shared" ca="1" si="5"/>
        <v/>
      </c>
      <c r="S25" s="47" t="str">
        <f t="shared" ca="1" si="6"/>
        <v/>
      </c>
      <c r="T25" s="47" t="str">
        <f t="shared" ca="1" si="7"/>
        <v/>
      </c>
      <c r="U25" s="75" t="str">
        <f t="shared" ca="1" si="8"/>
        <v/>
      </c>
      <c r="V25" s="75" t="str">
        <f t="shared" ca="1" si="9"/>
        <v/>
      </c>
      <c r="W25" s="47" t="str">
        <f t="shared" ca="1" si="10"/>
        <v/>
      </c>
      <c r="X25" s="47" t="str">
        <f t="shared" ca="1" si="11"/>
        <v/>
      </c>
      <c r="Y25" s="47" t="str">
        <f t="shared" ca="1" si="12"/>
        <v/>
      </c>
      <c r="Z25" s="47" t="str">
        <f t="shared" ca="1" si="13"/>
        <v/>
      </c>
      <c r="AA25" s="47" t="str">
        <f t="shared" ca="1" si="14"/>
        <v/>
      </c>
      <c r="AB25" s="47" t="str">
        <f t="shared" ca="1" si="15"/>
        <v/>
      </c>
      <c r="AC25" s="63" t="str">
        <f t="shared" ca="1" si="16"/>
        <v/>
      </c>
      <c r="AD25" s="63" t="str">
        <f t="shared" ca="1" si="17"/>
        <v/>
      </c>
      <c r="AE25" s="63" t="str">
        <f t="shared" ca="1" si="18"/>
        <v/>
      </c>
      <c r="AF25" s="63" t="str">
        <f t="shared" ca="1" si="19"/>
        <v/>
      </c>
      <c r="AG25" s="63" t="str">
        <f t="shared" ca="1" si="20"/>
        <v/>
      </c>
      <c r="AH25" s="63" t="str">
        <f t="shared" ca="1" si="21"/>
        <v/>
      </c>
      <c r="AI25" s="63" t="str">
        <f t="shared" ca="1" si="22"/>
        <v/>
      </c>
      <c r="AJ25" s="47" t="str">
        <f t="shared" ca="1" si="23"/>
        <v/>
      </c>
      <c r="AK25" s="47" t="str">
        <f t="shared" ca="1" si="24"/>
        <v/>
      </c>
      <c r="AL25" s="47" t="str">
        <f t="shared" ca="1" si="25"/>
        <v/>
      </c>
      <c r="AM25" s="47" t="str">
        <f t="shared" ca="1" si="26"/>
        <v/>
      </c>
      <c r="AN25" s="47" t="str">
        <f t="shared" ca="1" si="27"/>
        <v/>
      </c>
      <c r="AO25" s="47" t="str">
        <f t="shared" ca="1" si="28"/>
        <v/>
      </c>
      <c r="AP25" s="47" t="str">
        <f t="shared" ca="1" si="29"/>
        <v/>
      </c>
      <c r="AQ25" s="47" t="str">
        <f t="shared" ca="1" si="30"/>
        <v/>
      </c>
      <c r="AR25" s="47" t="str">
        <f t="shared" ca="1" si="31"/>
        <v/>
      </c>
      <c r="AS25" s="33" t="str">
        <f t="shared" ca="1" si="32"/>
        <v/>
      </c>
      <c r="AW25" s="2">
        <v>72.7</v>
      </c>
      <c r="AX25" s="2" t="s">
        <v>271</v>
      </c>
      <c r="AY25" s="130">
        <v>24.7</v>
      </c>
      <c r="AZ25" s="2">
        <v>19.8</v>
      </c>
      <c r="BA25" s="2"/>
      <c r="BB25" s="2">
        <v>11</v>
      </c>
      <c r="BC25" s="2"/>
      <c r="BD25" s="2">
        <v>4.5999999999999996</v>
      </c>
      <c r="BE25" s="2">
        <v>27.8</v>
      </c>
      <c r="BF25" s="2">
        <v>43.9</v>
      </c>
      <c r="BG25" s="2">
        <v>91.5</v>
      </c>
      <c r="BH25" s="2">
        <v>239.4</v>
      </c>
      <c r="BI25" s="2"/>
      <c r="BJ25" s="2"/>
      <c r="BK25" s="2"/>
      <c r="BL25" s="2"/>
      <c r="BM25" s="2"/>
      <c r="BN25" s="2">
        <v>79</v>
      </c>
      <c r="BO25" s="2">
        <v>26</v>
      </c>
      <c r="BP25" s="2">
        <v>29</v>
      </c>
      <c r="BQ25" s="2">
        <v>31</v>
      </c>
      <c r="BR25" s="2">
        <v>33</v>
      </c>
      <c r="BS25" s="2">
        <v>38</v>
      </c>
      <c r="BT25" s="2">
        <v>77</v>
      </c>
      <c r="BU25" s="2">
        <v>215</v>
      </c>
      <c r="BV25" s="2">
        <v>274</v>
      </c>
      <c r="BW25" s="2">
        <v>332</v>
      </c>
      <c r="BX25" s="2">
        <v>476</v>
      </c>
      <c r="BY25" s="2">
        <v>64.2</v>
      </c>
      <c r="BZ25" s="2">
        <v>2.5</v>
      </c>
      <c r="CA25" s="2">
        <v>0.9</v>
      </c>
      <c r="CB25" s="2">
        <v>2.6852179827588101E-12</v>
      </c>
      <c r="CC25" s="2"/>
    </row>
    <row r="26" spans="1:81" x14ac:dyDescent="0.25">
      <c r="A26" s="66"/>
      <c r="B26" s="66"/>
      <c r="C26" s="67"/>
      <c r="D26" s="35"/>
      <c r="I26" s="33" t="str">
        <f t="shared" ca="1" si="0"/>
        <v/>
      </c>
      <c r="J26" s="47" t="str">
        <f t="shared" ca="1" si="33"/>
        <v/>
      </c>
      <c r="L26" s="116" t="str">
        <f t="shared" ca="1" si="1"/>
        <v/>
      </c>
      <c r="M26" s="105" t="str">
        <f t="shared" ca="1" si="2"/>
        <v/>
      </c>
      <c r="N26" s="47" t="str">
        <f t="shared" ca="1" si="3"/>
        <v/>
      </c>
      <c r="O26" s="63" t="str">
        <f t="shared" ca="1" si="35"/>
        <v/>
      </c>
      <c r="P26" s="63" t="str">
        <f t="shared" ca="1" si="36"/>
        <v/>
      </c>
      <c r="Q26" s="47" t="str">
        <f t="shared" ca="1" si="4"/>
        <v/>
      </c>
      <c r="R26" s="47" t="str">
        <f t="shared" ca="1" si="5"/>
        <v/>
      </c>
      <c r="S26" s="47" t="str">
        <f t="shared" ca="1" si="6"/>
        <v/>
      </c>
      <c r="T26" s="47" t="str">
        <f t="shared" ca="1" si="7"/>
        <v/>
      </c>
      <c r="U26" s="75" t="str">
        <f t="shared" ca="1" si="8"/>
        <v/>
      </c>
      <c r="V26" s="75" t="str">
        <f t="shared" ca="1" si="9"/>
        <v/>
      </c>
      <c r="W26" s="47" t="str">
        <f t="shared" ca="1" si="10"/>
        <v/>
      </c>
      <c r="Y26" s="47" t="str">
        <f t="shared" ca="1" si="12"/>
        <v/>
      </c>
      <c r="Z26" s="47" t="str">
        <f t="shared" ca="1" si="13"/>
        <v/>
      </c>
      <c r="AA26" s="47" t="str">
        <f t="shared" ca="1" si="14"/>
        <v/>
      </c>
      <c r="AB26" s="47" t="str">
        <f t="shared" ca="1" si="15"/>
        <v/>
      </c>
      <c r="AC26" s="63" t="str">
        <f t="shared" ca="1" si="16"/>
        <v/>
      </c>
      <c r="AD26" s="63" t="str">
        <f t="shared" ca="1" si="17"/>
        <v/>
      </c>
      <c r="AE26" s="63" t="str">
        <f t="shared" ca="1" si="18"/>
        <v/>
      </c>
      <c r="AF26" s="63" t="str">
        <f t="shared" ca="1" si="19"/>
        <v/>
      </c>
      <c r="AG26" s="63" t="str">
        <f t="shared" ca="1" si="20"/>
        <v/>
      </c>
      <c r="AH26" s="63" t="str">
        <f t="shared" ca="1" si="21"/>
        <v/>
      </c>
      <c r="AI26" s="63" t="str">
        <f t="shared" ca="1" si="22"/>
        <v/>
      </c>
      <c r="AJ26" s="47" t="str">
        <f t="shared" ca="1" si="23"/>
        <v/>
      </c>
      <c r="AK26" s="47" t="str">
        <f t="shared" ca="1" si="24"/>
        <v/>
      </c>
      <c r="AM26" s="47" t="str">
        <f t="shared" ca="1" si="26"/>
        <v/>
      </c>
      <c r="AN26" s="47" t="str">
        <f t="shared" ca="1" si="27"/>
        <v/>
      </c>
      <c r="AO26" s="47" t="str">
        <f t="shared" ca="1" si="28"/>
        <v/>
      </c>
      <c r="AP26" s="47" t="str">
        <f t="shared" ca="1" si="29"/>
        <v/>
      </c>
      <c r="AQ26" s="47" t="str">
        <f t="shared" ca="1" si="30"/>
        <v/>
      </c>
      <c r="AR26" s="47" t="str">
        <f t="shared" ca="1" si="31"/>
        <v/>
      </c>
      <c r="AS26" s="33" t="str">
        <f t="shared" ca="1" si="32"/>
        <v/>
      </c>
      <c r="AW26" s="2">
        <v>72.7</v>
      </c>
      <c r="AX26" s="2" t="s">
        <v>273</v>
      </c>
      <c r="AY26" s="130">
        <v>32</v>
      </c>
      <c r="AZ26" s="2">
        <v>18.899999999999999</v>
      </c>
      <c r="BA26" s="2">
        <v>47</v>
      </c>
      <c r="BB26" s="2">
        <v>85</v>
      </c>
      <c r="BC26" s="2">
        <v>3</v>
      </c>
      <c r="BD26" s="2">
        <v>2.7</v>
      </c>
      <c r="BE26" s="2">
        <v>10.9</v>
      </c>
      <c r="BF26" s="2">
        <v>12.9</v>
      </c>
      <c r="BG26" s="2">
        <v>27.7</v>
      </c>
      <c r="BH26" s="2">
        <v>73.5</v>
      </c>
      <c r="BI26" s="2">
        <v>445</v>
      </c>
      <c r="BJ26" s="2">
        <v>531</v>
      </c>
      <c r="BK26" s="2">
        <v>574</v>
      </c>
      <c r="BL26" s="2">
        <v>618</v>
      </c>
      <c r="BM26" s="2">
        <v>704</v>
      </c>
      <c r="BN26" s="2"/>
      <c r="BO26" s="2"/>
      <c r="BP26" s="2"/>
      <c r="BQ26" s="2"/>
      <c r="BR26" s="2"/>
      <c r="BS26" s="2"/>
      <c r="BT26" s="2">
        <v>583</v>
      </c>
      <c r="BU26" s="2">
        <v>755</v>
      </c>
      <c r="BV26" s="2">
        <v>842</v>
      </c>
      <c r="BW26" s="2">
        <v>928</v>
      </c>
      <c r="BX26" s="2">
        <v>1100</v>
      </c>
      <c r="BY26" s="2">
        <v>48.3</v>
      </c>
      <c r="BZ26" s="2">
        <v>5.0999999999999996</v>
      </c>
      <c r="CA26" s="2">
        <v>2.1</v>
      </c>
      <c r="CB26" s="2">
        <v>3.7827334445626502E-12</v>
      </c>
      <c r="CC26" s="2">
        <v>1.8</v>
      </c>
    </row>
    <row r="27" spans="1:81" x14ac:dyDescent="0.25">
      <c r="A27" s="66"/>
      <c r="B27" s="66"/>
      <c r="C27" s="67"/>
      <c r="D27" s="35"/>
      <c r="Q27" s="47" t="str">
        <f t="shared" ca="1" si="4"/>
        <v/>
      </c>
      <c r="AJ27" s="47" t="str">
        <f t="shared" si="23"/>
        <v/>
      </c>
      <c r="AK27" s="47" t="str">
        <f t="shared" si="24"/>
        <v/>
      </c>
      <c r="AN27" s="47" t="str">
        <f t="shared" si="27"/>
        <v/>
      </c>
      <c r="AO27" s="47" t="str">
        <f t="shared" si="28"/>
        <v/>
      </c>
      <c r="AQ27" s="47" t="str">
        <f t="shared" si="30"/>
        <v/>
      </c>
      <c r="AR27" s="47" t="str">
        <f t="shared" ca="1" si="31"/>
        <v/>
      </c>
      <c r="AW27" s="2">
        <v>80</v>
      </c>
      <c r="AX27" s="2" t="s">
        <v>273</v>
      </c>
      <c r="AY27" s="130">
        <v>32</v>
      </c>
      <c r="AZ27" s="2">
        <v>18.899999999999999</v>
      </c>
      <c r="BA27" s="2">
        <v>47</v>
      </c>
      <c r="BB27" s="2">
        <v>85</v>
      </c>
      <c r="BC27" s="2">
        <v>3</v>
      </c>
      <c r="BD27" s="2">
        <v>3.5</v>
      </c>
      <c r="BE27" s="2">
        <v>11.8</v>
      </c>
      <c r="BF27" s="2">
        <v>13.7</v>
      </c>
      <c r="BG27" s="2">
        <v>28.5</v>
      </c>
      <c r="BH27" s="2">
        <v>74.400000000000006</v>
      </c>
      <c r="BI27" s="2">
        <v>482</v>
      </c>
      <c r="BJ27" s="2">
        <v>568</v>
      </c>
      <c r="BK27" s="2">
        <v>611</v>
      </c>
      <c r="BL27" s="2">
        <v>655</v>
      </c>
      <c r="BM27" s="2">
        <v>741</v>
      </c>
      <c r="BN27" s="2"/>
      <c r="BO27" s="2"/>
      <c r="BP27" s="2"/>
      <c r="BQ27" s="2"/>
      <c r="BR27" s="2"/>
      <c r="BS27" s="2"/>
      <c r="BT27" s="2">
        <v>654</v>
      </c>
      <c r="BU27" s="2">
        <v>826</v>
      </c>
      <c r="BV27" s="2">
        <v>912</v>
      </c>
      <c r="BW27" s="2">
        <v>999</v>
      </c>
      <c r="BX27" s="2">
        <v>1171</v>
      </c>
      <c r="BY27" s="2">
        <v>48.3</v>
      </c>
      <c r="BZ27" s="2">
        <v>5.0999999999999996</v>
      </c>
      <c r="CA27" s="2">
        <v>2.1</v>
      </c>
      <c r="CB27" s="2">
        <v>3.7827334445626502E-12</v>
      </c>
      <c r="CC27" s="2">
        <v>1.8</v>
      </c>
    </row>
    <row r="28" spans="1:81" x14ac:dyDescent="0.25">
      <c r="A28" s="66"/>
      <c r="B28" s="66"/>
      <c r="C28" s="67"/>
      <c r="D28" s="35"/>
      <c r="AQ28" s="47" t="str">
        <f t="shared" si="30"/>
        <v/>
      </c>
      <c r="AW28" s="2"/>
      <c r="AX28" s="2"/>
      <c r="AY28" s="130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</row>
    <row r="29" spans="1:81" x14ac:dyDescent="0.25">
      <c r="A29" s="66"/>
      <c r="B29" s="66"/>
      <c r="C29" s="67"/>
      <c r="D29" s="35"/>
      <c r="AW29" s="2"/>
      <c r="AX29" s="2"/>
      <c r="AY29" s="130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</row>
    <row r="30" spans="1:81" x14ac:dyDescent="0.25">
      <c r="A30" s="66"/>
      <c r="B30" s="66"/>
      <c r="C30" s="67"/>
      <c r="D30" s="35"/>
      <c r="AW30" s="2"/>
      <c r="AX30" s="2"/>
      <c r="AY30" s="130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</row>
    <row r="31" spans="1:81" x14ac:dyDescent="0.25">
      <c r="A31" s="66"/>
      <c r="B31" s="66"/>
      <c r="C31" s="67"/>
      <c r="D31" s="35"/>
      <c r="AW31" s="2"/>
      <c r="AX31" s="2"/>
      <c r="AY31" s="130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</row>
    <row r="32" spans="1:81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  <c r="AW32" s="2"/>
      <c r="AX32" s="2"/>
      <c r="AY32" s="130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</row>
    <row r="33" spans="1:81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  <c r="AW33" s="2"/>
      <c r="AX33" s="2"/>
      <c r="AY33" s="130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</row>
    <row r="34" spans="1:81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81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81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81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81" x14ac:dyDescent="0.25">
      <c r="L38" s="49"/>
      <c r="AE38" s="33" t="s">
        <v>99</v>
      </c>
      <c r="AF38" s="33" t="s">
        <v>100</v>
      </c>
      <c r="AG38" s="33" t="s">
        <v>101</v>
      </c>
    </row>
    <row r="39" spans="1:81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81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81" x14ac:dyDescent="0.25">
      <c r="L41" s="49"/>
      <c r="AE41" s="33">
        <v>17</v>
      </c>
      <c r="AF41" s="33">
        <f>AF40+3.8</f>
        <v>55.599999999999994</v>
      </c>
      <c r="AG41" s="33">
        <f>AG40+200</f>
        <v>2300</v>
      </c>
      <c r="AH41" s="33">
        <f>AH40+0.8</f>
        <v>9.6000000000000014</v>
      </c>
    </row>
    <row r="42" spans="1:81" x14ac:dyDescent="0.25">
      <c r="L42" s="49"/>
      <c r="AE42" s="33">
        <v>18</v>
      </c>
      <c r="AF42" s="33">
        <f>AF41+3.8</f>
        <v>59.399999999999991</v>
      </c>
      <c r="AG42" s="33">
        <f>AG41+200</f>
        <v>2500</v>
      </c>
      <c r="AH42" s="33">
        <f>AH41+0.8</f>
        <v>10.400000000000002</v>
      </c>
    </row>
    <row r="43" spans="1:81" x14ac:dyDescent="0.25">
      <c r="L43" s="49"/>
      <c r="AE43" s="33">
        <v>19</v>
      </c>
      <c r="AF43" s="33">
        <f>AF42+3.8</f>
        <v>63.199999999999989</v>
      </c>
      <c r="AG43" s="33">
        <f>AG42+200</f>
        <v>2700</v>
      </c>
      <c r="AH43" s="33">
        <f>AH42+0.8</f>
        <v>11.200000000000003</v>
      </c>
    </row>
    <row r="44" spans="1:81" x14ac:dyDescent="0.25">
      <c r="L44" s="49"/>
      <c r="AE44" s="33">
        <v>20</v>
      </c>
      <c r="AF44" s="33">
        <f>AF43+3.8</f>
        <v>66.999999999999986</v>
      </c>
      <c r="AG44" s="33">
        <f>AG43+200</f>
        <v>2900</v>
      </c>
      <c r="AH44" s="33">
        <f>AH43+0.8</f>
        <v>12.000000000000004</v>
      </c>
    </row>
    <row r="45" spans="1:81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81" x14ac:dyDescent="0.25">
      <c r="L46" s="49"/>
      <c r="AE46" s="33">
        <v>22</v>
      </c>
      <c r="AF46" s="33">
        <f>AF45+2.8</f>
        <v>72.59999999999998</v>
      </c>
      <c r="AG46" s="33">
        <f>AG45+380</f>
        <v>3660</v>
      </c>
      <c r="AH46" s="33">
        <f>AH45+1.6</f>
        <v>15.200000000000003</v>
      </c>
    </row>
    <row r="47" spans="1:81" x14ac:dyDescent="0.25">
      <c r="L47" s="49"/>
      <c r="AE47" s="33">
        <v>23</v>
      </c>
      <c r="AF47" s="33">
        <f>AF46+2.8</f>
        <v>75.399999999999977</v>
      </c>
      <c r="AG47" s="33">
        <f>AG46+380</f>
        <v>4040</v>
      </c>
      <c r="AH47" s="33">
        <f>AH46+1.6</f>
        <v>16.800000000000004</v>
      </c>
    </row>
    <row r="48" spans="1:81" x14ac:dyDescent="0.25">
      <c r="L48" s="49"/>
      <c r="AE48" s="33">
        <v>24</v>
      </c>
      <c r="AF48" s="33">
        <f>AF47+2.8</f>
        <v>78.199999999999974</v>
      </c>
      <c r="AG48" s="33">
        <f>AG47+380</f>
        <v>4420</v>
      </c>
      <c r="AH48" s="33">
        <f>AH47+1.6</f>
        <v>18.400000000000006</v>
      </c>
    </row>
    <row r="49" spans="12:34" x14ac:dyDescent="0.25">
      <c r="L49" s="49"/>
      <c r="AE49" s="33">
        <v>25</v>
      </c>
      <c r="AF49" s="33">
        <f>AF48+2.8</f>
        <v>80.999999999999972</v>
      </c>
      <c r="AG49" s="33">
        <v>4800</v>
      </c>
      <c r="AH49" s="33">
        <f>AH48+1.6</f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>AF50+3</f>
        <v>86.999999999999972</v>
      </c>
      <c r="AG51" s="33">
        <f>AG50+960</f>
        <v>6720</v>
      </c>
      <c r="AH51" s="33">
        <f>AH50+4</f>
        <v>28.000000000000007</v>
      </c>
    </row>
    <row r="52" spans="12:34" x14ac:dyDescent="0.25">
      <c r="L52" s="49"/>
      <c r="AE52" s="33">
        <v>28</v>
      </c>
      <c r="AF52" s="33">
        <f>AF51+3</f>
        <v>89.999999999999972</v>
      </c>
      <c r="AG52" s="33">
        <f>AG51+960</f>
        <v>7680</v>
      </c>
      <c r="AH52" s="33">
        <f>AH51+4</f>
        <v>32.000000000000007</v>
      </c>
    </row>
    <row r="53" spans="12:34" x14ac:dyDescent="0.25">
      <c r="L53" s="49"/>
      <c r="AE53" s="33">
        <v>29</v>
      </c>
      <c r="AF53" s="33">
        <f>AF52+3</f>
        <v>92.999999999999972</v>
      </c>
      <c r="AG53" s="33">
        <f>AG52+960</f>
        <v>8640</v>
      </c>
      <c r="AH53" s="33">
        <f>AH52+4</f>
        <v>36.000000000000007</v>
      </c>
    </row>
    <row r="54" spans="12:34" x14ac:dyDescent="0.25">
      <c r="L54" s="49"/>
      <c r="AE54" s="33">
        <v>30</v>
      </c>
      <c r="AF54" s="33">
        <f>AF53+3</f>
        <v>95.999999999999972</v>
      </c>
      <c r="AG54" s="33">
        <f>AG53+960</f>
        <v>9600</v>
      </c>
      <c r="AH54" s="33">
        <f>AH53+4</f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>AF55+3.8</f>
        <v>103.59999999999997</v>
      </c>
      <c r="AG56" s="33">
        <f>AG55+480</f>
        <v>10560</v>
      </c>
      <c r="AH56" s="33">
        <f>AH55+2</f>
        <v>44.000000000000007</v>
      </c>
    </row>
    <row r="57" spans="12:34" x14ac:dyDescent="0.25">
      <c r="L57" s="49"/>
      <c r="AE57" s="33">
        <v>33</v>
      </c>
      <c r="AF57" s="33">
        <f>AF56+3.8</f>
        <v>107.39999999999996</v>
      </c>
      <c r="AG57" s="33">
        <f>AG56+480</f>
        <v>11040</v>
      </c>
      <c r="AH57" s="33">
        <f>AH56+2</f>
        <v>46.000000000000007</v>
      </c>
    </row>
    <row r="58" spans="12:34" x14ac:dyDescent="0.25">
      <c r="L58" s="49"/>
      <c r="AE58" s="33">
        <v>34</v>
      </c>
      <c r="AF58" s="33">
        <f>AF57+3.8</f>
        <v>111.19999999999996</v>
      </c>
      <c r="AG58" s="33">
        <f>AG57+480</f>
        <v>11520</v>
      </c>
      <c r="AH58" s="33">
        <f>AH57+2</f>
        <v>48.000000000000007</v>
      </c>
    </row>
    <row r="59" spans="12:34" x14ac:dyDescent="0.25">
      <c r="L59" s="49"/>
      <c r="AE59" s="33">
        <v>35</v>
      </c>
      <c r="AF59" s="33">
        <f>AF58+3.8</f>
        <v>114.99999999999996</v>
      </c>
      <c r="AG59" s="33">
        <f>AG58+480</f>
        <v>12000</v>
      </c>
      <c r="AH59" s="33">
        <f>AH58+2</f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AM32:AP36 Q32:Q36 N32:N36">
    <cfRule type="expression" dxfId="1985" priority="12">
      <formula>$L32="API sand"</formula>
    </cfRule>
  </conditionalFormatting>
  <conditionalFormatting sqref="R32:S36 AB32:AB35 AJ32:AL36 Z32:Z36 N32:N36">
    <cfRule type="expression" dxfId="1984" priority="11">
      <formula>$M32="API sand"</formula>
    </cfRule>
  </conditionalFormatting>
  <conditionalFormatting sqref="R32:T36 Z32:AB35 AK32:AL36 N32:N36">
    <cfRule type="expression" dxfId="1983" priority="10">
      <formula>$M32="API clay"</formula>
    </cfRule>
  </conditionalFormatting>
  <conditionalFormatting sqref="U32:W36 AM32:AP36 N32:P36">
    <cfRule type="expression" dxfId="1982" priority="7">
      <formula>$L32="Stiff clay w/o free water"</formula>
    </cfRule>
    <cfRule type="expression" dxfId="1981" priority="9">
      <formula>$L32="API clay"</formula>
    </cfRule>
  </conditionalFormatting>
  <conditionalFormatting sqref="U32:Y36 AM32:AP36 N32:P36">
    <cfRule type="expression" dxfId="1980" priority="8">
      <formula>$L32="Kirsch soft clay"</formula>
    </cfRule>
  </conditionalFormatting>
  <conditionalFormatting sqref="U32:Y36 AM32:AP36 N32:P36">
    <cfRule type="expression" dxfId="1979" priority="6">
      <formula>$L32="Kirsch stiff clay"</formula>
    </cfRule>
  </conditionalFormatting>
  <conditionalFormatting sqref="AM32:AP36 Q32:Q36 X32:Y36 N32:N36">
    <cfRule type="expression" dxfId="1978" priority="5">
      <formula>$L32="Kirsch sand"</formula>
    </cfRule>
  </conditionalFormatting>
  <conditionalFormatting sqref="AC32:AD36 AI32:AI36 AM32:AP36 N32:N36">
    <cfRule type="expression" dxfId="1977" priority="4">
      <formula>$L32="Modified Weak rock"</formula>
    </cfRule>
  </conditionalFormatting>
  <conditionalFormatting sqref="AM32:AP36 N32:P36 U32:V36">
    <cfRule type="expression" dxfId="1976" priority="3">
      <formula>$L32="Reese stiff clay"</formula>
    </cfRule>
  </conditionalFormatting>
  <conditionalFormatting sqref="AB36">
    <cfRule type="expression" dxfId="1975" priority="2">
      <formula>$M36="API sand"</formula>
    </cfRule>
  </conditionalFormatting>
  <conditionalFormatting sqref="Z36:AB36">
    <cfRule type="expression" dxfId="1974" priority="1">
      <formula>$M36="API clay"</formula>
    </cfRule>
  </conditionalFormatting>
  <conditionalFormatting sqref="AE37:AH37">
    <cfRule type="expression" dxfId="1973" priority="13">
      <formula>#REF!="Modified Weak rock"</formula>
    </cfRule>
  </conditionalFormatting>
  <dataValidations count="4">
    <dataValidation type="textLength" showInputMessage="1" showErrorMessage="1" sqref="M27:M31" xr:uid="{E2CD02F5-2723-492F-AA34-FF1C6F85245A}">
      <formula1>0</formula1>
      <formula2>100</formula2>
    </dataValidation>
    <dataValidation showInputMessage="1" showErrorMessage="1" sqref="M6:M26" xr:uid="{1D436BF5-A8AF-4ECF-A66F-94E890844D0E}"/>
    <dataValidation type="list" showInputMessage="1" showErrorMessage="1" sqref="L32:L255 L6:L26" xr:uid="{FB4FAB88-92CE-4293-8C32-8F698F768F4E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32:M36" xr:uid="{95758C1E-9317-4DFA-A6A2-9D94B16B6F65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92E9-5BBC-450D-A9C8-4B52DF86BAF0}">
  <sheetPr>
    <tabColor theme="6" tint="0.59999389629810485"/>
  </sheetPr>
  <dimension ref="A1:AR255"/>
  <sheetViews>
    <sheetView topLeftCell="M1" zoomScaleNormal="100" workbookViewId="0">
      <selection activeCell="AC16" sqref="AC16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140625" style="33" customWidth="1"/>
    <col min="22" max="22" width="19.42578125" style="33" customWidth="1"/>
    <col min="23" max="23" width="6.5703125" style="33" customWidth="1"/>
    <col min="24" max="24" width="11.855468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85546875" style="33" customWidth="1"/>
    <col min="30" max="30" width="11.85546875" style="33" customWidth="1"/>
    <col min="31" max="31" width="10.28515625" style="33" customWidth="1"/>
    <col min="32" max="32" width="8.140625" style="33" customWidth="1"/>
    <col min="33" max="33" width="13.7109375" style="33" customWidth="1"/>
    <col min="34" max="34" width="8.42578125" style="33" customWidth="1"/>
    <col min="35" max="35" width="7.855468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140625" style="33"/>
  </cols>
  <sheetData>
    <row r="1" spans="1:44" x14ac:dyDescent="0.25">
      <c r="A1" s="34" t="str">
        <f ca="1">TRIM(MID(CELL("filename",A1),FIND("]",CELL("filename",A1),1)+1,255))</f>
        <v>Location_23</v>
      </c>
      <c r="D1" s="34"/>
    </row>
    <row r="3" spans="1:44" s="35" customFormat="1" ht="45" customHeight="1" x14ac:dyDescent="0.25">
      <c r="F3" s="36" t="s">
        <v>39</v>
      </c>
      <c r="J3" s="37" t="s">
        <v>22</v>
      </c>
      <c r="Q3" s="101"/>
      <c r="R3" s="155"/>
      <c r="S3" s="155"/>
      <c r="T3" s="101"/>
      <c r="U3" s="155"/>
      <c r="V3" s="155"/>
      <c r="W3" s="101"/>
      <c r="X3" s="69"/>
      <c r="Y3" s="101"/>
      <c r="Z3" s="101"/>
      <c r="AA3" s="101"/>
      <c r="AB3" s="101"/>
      <c r="AC3" s="69"/>
      <c r="AD3" s="39"/>
      <c r="AE3" s="39"/>
      <c r="AF3" s="39"/>
      <c r="AG3" s="39"/>
      <c r="AH3" s="39"/>
      <c r="AI3" s="39"/>
      <c r="AJ3" s="101"/>
      <c r="AK3" s="101"/>
      <c r="AL3" s="101"/>
      <c r="AM3" s="101"/>
      <c r="AN3" s="101"/>
      <c r="AO3" s="101"/>
      <c r="AP3" s="101"/>
    </row>
    <row r="4" spans="1:44" x14ac:dyDescent="0.25">
      <c r="A4" s="40" t="s">
        <v>60</v>
      </c>
      <c r="B4" s="33">
        <f>COUNTIF(J:J,"&gt;0")</f>
        <v>9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</row>
    <row r="5" spans="1:44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02" t="s">
        <v>38</v>
      </c>
      <c r="K5" s="102" t="s">
        <v>30</v>
      </c>
      <c r="L5" s="102" t="s">
        <v>31</v>
      </c>
      <c r="M5" s="102" t="s">
        <v>31</v>
      </c>
      <c r="N5" s="102" t="s">
        <v>32</v>
      </c>
      <c r="O5" s="102" t="s">
        <v>33</v>
      </c>
      <c r="P5" s="102" t="s">
        <v>35</v>
      </c>
      <c r="Q5" s="102" t="s">
        <v>36</v>
      </c>
      <c r="R5" s="102" t="s">
        <v>36</v>
      </c>
      <c r="S5" s="102" t="s">
        <v>34</v>
      </c>
      <c r="T5" s="102" t="s">
        <v>33</v>
      </c>
      <c r="U5" s="102" t="s">
        <v>34</v>
      </c>
      <c r="V5" s="102" t="s">
        <v>62</v>
      </c>
      <c r="W5" s="102" t="s">
        <v>34</v>
      </c>
      <c r="X5" s="102" t="s">
        <v>33</v>
      </c>
      <c r="Y5" s="102" t="s">
        <v>35</v>
      </c>
      <c r="Z5" s="102" t="s">
        <v>33</v>
      </c>
      <c r="AA5" s="102" t="s">
        <v>34</v>
      </c>
      <c r="AB5" s="102" t="s">
        <v>33</v>
      </c>
      <c r="AC5" s="102" t="s">
        <v>33</v>
      </c>
      <c r="AD5" s="102" t="s">
        <v>35</v>
      </c>
      <c r="AE5" s="102" t="s">
        <v>34</v>
      </c>
      <c r="AF5" s="102" t="s">
        <v>33</v>
      </c>
      <c r="AG5" s="102" t="s">
        <v>35</v>
      </c>
      <c r="AH5" s="102" t="s">
        <v>34</v>
      </c>
      <c r="AI5" s="102" t="s">
        <v>34</v>
      </c>
      <c r="AJ5" s="102" t="s">
        <v>34</v>
      </c>
      <c r="AK5" s="102" t="s">
        <v>34</v>
      </c>
      <c r="AL5" s="102" t="s">
        <v>34</v>
      </c>
      <c r="AM5" s="102" t="s">
        <v>34</v>
      </c>
      <c r="AN5" s="102" t="s">
        <v>34</v>
      </c>
      <c r="AO5" s="102" t="s">
        <v>34</v>
      </c>
      <c r="AP5" s="102" t="s">
        <v>34</v>
      </c>
      <c r="AQ5" s="102" t="s">
        <v>103</v>
      </c>
      <c r="AR5" s="102" t="s">
        <v>178</v>
      </c>
    </row>
    <row r="6" spans="1:44" x14ac:dyDescent="0.25">
      <c r="C6" s="45"/>
      <c r="F6" s="33" t="s">
        <v>67</v>
      </c>
      <c r="G6" s="57">
        <v>23</v>
      </c>
      <c r="H6" s="45" t="s">
        <v>28</v>
      </c>
      <c r="I6" s="33" t="s">
        <v>279</v>
      </c>
      <c r="J6" s="47">
        <v>1</v>
      </c>
      <c r="K6" s="19">
        <v>0</v>
      </c>
      <c r="L6" t="s">
        <v>110</v>
      </c>
      <c r="M6" s="49" t="s">
        <v>64</v>
      </c>
      <c r="N6" s="47">
        <v>9.6999999999999993</v>
      </c>
      <c r="O6" s="63">
        <v>0</v>
      </c>
      <c r="P6" s="63">
        <v>0</v>
      </c>
      <c r="Q6" s="47">
        <v>34</v>
      </c>
      <c r="R6" s="47">
        <f>IF(Q6&lt;&gt;0,Q6-5,NA())</f>
        <v>29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4800</v>
      </c>
      <c r="Y6" s="47">
        <v>0</v>
      </c>
      <c r="Z6" s="47">
        <f>VLOOKUP(R6,$AE$39:$AF$59,2)</f>
        <v>92.999999999999972</v>
      </c>
      <c r="AA6" s="47">
        <v>1</v>
      </c>
      <c r="AB6" s="47">
        <f>VLOOKUP(R6,$AE$39:$AG$59,3)</f>
        <v>8640</v>
      </c>
      <c r="AC6" s="63">
        <v>8000</v>
      </c>
      <c r="AD6" s="63">
        <v>16363.636363636364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>VLOOKUP(R6,$AE$39:$AH$59,4)</f>
        <v>36.000000000000007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70</v>
      </c>
    </row>
    <row r="7" spans="1:44" x14ac:dyDescent="0.25">
      <c r="A7" s="54" t="s">
        <v>23</v>
      </c>
      <c r="C7" s="45"/>
      <c r="F7" s="55" t="s">
        <v>48</v>
      </c>
      <c r="G7" s="56"/>
      <c r="H7" s="39"/>
      <c r="I7" s="56" t="s">
        <v>261</v>
      </c>
      <c r="J7" s="47">
        <v>2</v>
      </c>
      <c r="K7" s="19">
        <v>-1.1000000000000001</v>
      </c>
      <c r="L7" t="s">
        <v>190</v>
      </c>
      <c r="M7" s="49" t="s">
        <v>64</v>
      </c>
      <c r="N7" s="47">
        <v>9.9</v>
      </c>
      <c r="O7" s="63">
        <v>0</v>
      </c>
      <c r="P7" s="63">
        <v>0</v>
      </c>
      <c r="Q7" s="47">
        <v>39</v>
      </c>
      <c r="R7" s="47">
        <f t="shared" ref="R7:R14" si="0">IF(Q7&lt;&gt;0,Q7-5,NA())</f>
        <v>34</v>
      </c>
      <c r="S7" s="47">
        <v>1.7</v>
      </c>
      <c r="T7" s="47">
        <v>0</v>
      </c>
      <c r="U7" s="75">
        <v>0</v>
      </c>
      <c r="V7" s="75">
        <v>0</v>
      </c>
      <c r="W7" s="47">
        <v>0</v>
      </c>
      <c r="X7" s="47">
        <v>42000</v>
      </c>
      <c r="Y7" s="47">
        <v>0</v>
      </c>
      <c r="Z7" s="47">
        <f t="shared" ref="Z7:Z14" si="1">VLOOKUP(R7,$AE$39:$AF$59,2)</f>
        <v>111.19999999999996</v>
      </c>
      <c r="AA7" s="47">
        <v>1</v>
      </c>
      <c r="AB7" s="47">
        <f t="shared" ref="AB7:AB14" si="2">VLOOKUP(R7,$AE$39:$AG$59,3)</f>
        <v>11520</v>
      </c>
      <c r="AC7" s="63">
        <v>38000</v>
      </c>
      <c r="AD7" s="63">
        <v>9148.936170212768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ref="AJ7:AJ14" si="3">VLOOKUP(R7,$AE$39:$AH$59,4)</f>
        <v>48.000000000000007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64</v>
      </c>
    </row>
    <row r="8" spans="1:44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278</v>
      </c>
      <c r="J8" s="47">
        <v>3</v>
      </c>
      <c r="K8" s="19">
        <v>-5.8</v>
      </c>
      <c r="L8" t="s">
        <v>195</v>
      </c>
      <c r="M8" s="49" t="s">
        <v>64</v>
      </c>
      <c r="N8" s="47">
        <v>10</v>
      </c>
      <c r="O8" s="63">
        <v>0</v>
      </c>
      <c r="P8" s="63">
        <v>0</v>
      </c>
      <c r="Q8" s="47">
        <v>28</v>
      </c>
      <c r="R8" s="47">
        <f t="shared" si="0"/>
        <v>23</v>
      </c>
      <c r="S8" s="47">
        <v>1.9</v>
      </c>
      <c r="T8" s="47">
        <v>0</v>
      </c>
      <c r="U8" s="75">
        <v>0</v>
      </c>
      <c r="V8" s="75">
        <v>0</v>
      </c>
      <c r="W8" s="47">
        <v>0</v>
      </c>
      <c r="X8" s="47">
        <v>15200</v>
      </c>
      <c r="Y8" s="47">
        <v>0</v>
      </c>
      <c r="Z8" s="47">
        <f t="shared" si="1"/>
        <v>75.399999999999977</v>
      </c>
      <c r="AA8" s="47">
        <v>1</v>
      </c>
      <c r="AB8" s="47">
        <f t="shared" si="2"/>
        <v>4040</v>
      </c>
      <c r="AC8" s="63">
        <v>66000</v>
      </c>
      <c r="AD8" s="63">
        <v>29999.999999999996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 t="shared" si="3"/>
        <v>16.800000000000004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67</v>
      </c>
    </row>
    <row r="9" spans="1:44" x14ac:dyDescent="0.25">
      <c r="A9" s="33" t="s">
        <v>68</v>
      </c>
      <c r="B9" s="57">
        <v>40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278</v>
      </c>
      <c r="J9" s="47">
        <v>4</v>
      </c>
      <c r="K9" s="19">
        <v>-7</v>
      </c>
      <c r="L9" t="s">
        <v>280</v>
      </c>
      <c r="M9" s="49" t="s">
        <v>64</v>
      </c>
      <c r="N9" s="47">
        <v>10</v>
      </c>
      <c r="O9" s="63">
        <v>0</v>
      </c>
      <c r="P9" s="63">
        <v>0</v>
      </c>
      <c r="Q9" s="47">
        <v>30</v>
      </c>
      <c r="R9" s="47">
        <f t="shared" si="0"/>
        <v>25</v>
      </c>
      <c r="S9" s="47">
        <v>2.5</v>
      </c>
      <c r="T9" s="47">
        <v>0</v>
      </c>
      <c r="U9" s="75">
        <v>0</v>
      </c>
      <c r="V9" s="75">
        <v>0</v>
      </c>
      <c r="W9" s="47">
        <v>0</v>
      </c>
      <c r="X9" s="47">
        <v>75000</v>
      </c>
      <c r="Y9" s="47">
        <v>0</v>
      </c>
      <c r="Z9" s="47">
        <f t="shared" si="1"/>
        <v>80.999999999999972</v>
      </c>
      <c r="AA9" s="47">
        <v>1</v>
      </c>
      <c r="AB9" s="47">
        <f t="shared" si="2"/>
        <v>4800</v>
      </c>
      <c r="AC9" s="63">
        <v>99000</v>
      </c>
      <c r="AD9" s="63">
        <v>10363.636363636364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>
        <f t="shared" si="3"/>
        <v>20.000000000000007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90</v>
      </c>
    </row>
    <row r="10" spans="1:44" s="56" customFormat="1" x14ac:dyDescent="0.25">
      <c r="A10" s="56" t="s">
        <v>69</v>
      </c>
      <c r="B10" s="58">
        <v>40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278</v>
      </c>
      <c r="J10" s="47">
        <v>5</v>
      </c>
      <c r="K10" s="19">
        <v>-12.5</v>
      </c>
      <c r="L10" t="s">
        <v>281</v>
      </c>
      <c r="M10" s="49" t="s">
        <v>64</v>
      </c>
      <c r="N10" s="47">
        <v>10</v>
      </c>
      <c r="O10" s="63">
        <v>0</v>
      </c>
      <c r="P10" s="63">
        <v>0</v>
      </c>
      <c r="Q10" s="47">
        <v>28</v>
      </c>
      <c r="R10" s="47">
        <f t="shared" si="0"/>
        <v>23</v>
      </c>
      <c r="S10" s="47">
        <v>1.2</v>
      </c>
      <c r="T10" s="47">
        <v>0</v>
      </c>
      <c r="U10" s="75">
        <v>0</v>
      </c>
      <c r="V10" s="75">
        <v>0</v>
      </c>
      <c r="W10" s="47">
        <v>0</v>
      </c>
      <c r="X10" s="47">
        <v>28300</v>
      </c>
      <c r="Y10" s="47">
        <v>0</v>
      </c>
      <c r="Z10" s="47">
        <f t="shared" si="1"/>
        <v>75.399999999999977</v>
      </c>
      <c r="AA10" s="47">
        <v>1</v>
      </c>
      <c r="AB10" s="47">
        <f t="shared" si="2"/>
        <v>4040</v>
      </c>
      <c r="AC10" s="63">
        <v>111000</v>
      </c>
      <c r="AD10" s="63">
        <v>3733.3333333333335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3"/>
        <v>16.800000000000004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69</v>
      </c>
    </row>
    <row r="11" spans="1:44" x14ac:dyDescent="0.25">
      <c r="A11" s="33" t="s">
        <v>70</v>
      </c>
      <c r="B11" s="57">
        <v>0.5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216</v>
      </c>
      <c r="J11" s="47">
        <v>6</v>
      </c>
      <c r="K11" s="19">
        <v>-20</v>
      </c>
      <c r="L11" s="49" t="s">
        <v>275</v>
      </c>
      <c r="M11" s="49" t="s">
        <v>65</v>
      </c>
      <c r="N11" s="47">
        <v>9.3000000000000007</v>
      </c>
      <c r="O11" s="63">
        <v>402</v>
      </c>
      <c r="P11" s="63">
        <v>-60.25</v>
      </c>
      <c r="Q11" s="47">
        <v>0</v>
      </c>
      <c r="R11" s="47" t="e">
        <f t="shared" si="0"/>
        <v>#N/A</v>
      </c>
      <c r="S11" s="47">
        <v>3</v>
      </c>
      <c r="T11" s="47">
        <v>0</v>
      </c>
      <c r="U11" s="75">
        <v>1.7999999999999999E-2</v>
      </c>
      <c r="V11" s="75">
        <v>0</v>
      </c>
      <c r="W11" s="47">
        <v>0.25</v>
      </c>
      <c r="X11" s="47">
        <v>25300</v>
      </c>
      <c r="Y11" s="47">
        <v>0</v>
      </c>
      <c r="Z11" s="47" t="e">
        <f t="shared" si="1"/>
        <v>#N/A</v>
      </c>
      <c r="AA11" s="47">
        <v>1</v>
      </c>
      <c r="AB11" s="47" t="e">
        <f t="shared" si="2"/>
        <v>#N/A</v>
      </c>
      <c r="AC11" s="63">
        <v>519000</v>
      </c>
      <c r="AD11" s="63">
        <v>-74750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 t="e">
        <f>VLOOKUP(R11,$AE$39:$AH$59,4)</f>
        <v>#N/A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</row>
    <row r="12" spans="1:44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 t="s">
        <v>216</v>
      </c>
      <c r="J12" s="47">
        <v>7</v>
      </c>
      <c r="K12" s="19">
        <v>-24</v>
      </c>
      <c r="L12" s="49" t="s">
        <v>275</v>
      </c>
      <c r="M12" s="49" t="s">
        <v>65</v>
      </c>
      <c r="N12" s="47">
        <v>9.3000000000000007</v>
      </c>
      <c r="O12" s="63">
        <v>476</v>
      </c>
      <c r="P12" s="63">
        <v>36.488549618320604</v>
      </c>
      <c r="Q12" s="47">
        <v>0</v>
      </c>
      <c r="R12" s="47" t="e">
        <f t="shared" si="0"/>
        <v>#N/A</v>
      </c>
      <c r="S12" s="47">
        <v>3</v>
      </c>
      <c r="T12" s="47">
        <v>0</v>
      </c>
      <c r="U12" s="75">
        <v>1.7999999999999999E-2</v>
      </c>
      <c r="V12" s="75">
        <v>0</v>
      </c>
      <c r="W12" s="47">
        <v>0.25</v>
      </c>
      <c r="X12" s="47">
        <v>56600</v>
      </c>
      <c r="Y12" s="47">
        <v>0</v>
      </c>
      <c r="Z12" s="47" t="e">
        <f t="shared" si="1"/>
        <v>#N/A</v>
      </c>
      <c r="AA12" s="47">
        <v>1</v>
      </c>
      <c r="AB12" s="47" t="e">
        <f t="shared" si="2"/>
        <v>#N/A</v>
      </c>
      <c r="AC12" s="63">
        <v>637000</v>
      </c>
      <c r="AD12" s="63">
        <v>56641.221374045796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3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</row>
    <row r="13" spans="1:44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273</v>
      </c>
      <c r="J13" s="47">
        <v>8</v>
      </c>
      <c r="K13" s="19">
        <v>-37.1</v>
      </c>
      <c r="L13" s="49" t="s">
        <v>275</v>
      </c>
      <c r="M13" s="49" t="s">
        <v>65</v>
      </c>
      <c r="N13" s="47">
        <v>8.9</v>
      </c>
      <c r="O13" s="63">
        <v>800</v>
      </c>
      <c r="P13" s="63">
        <v>-241.3793103448277</v>
      </c>
      <c r="Q13" s="47">
        <v>0</v>
      </c>
      <c r="R13" s="47" t="e">
        <f t="shared" si="0"/>
        <v>#N/A</v>
      </c>
      <c r="S13" s="47">
        <v>3</v>
      </c>
      <c r="T13" s="47">
        <v>0</v>
      </c>
      <c r="U13" s="75">
        <v>1.7999999999999999E-2</v>
      </c>
      <c r="V13" s="75">
        <v>0</v>
      </c>
      <c r="W13" s="47">
        <v>0.25</v>
      </c>
      <c r="X13" s="47">
        <v>25000</v>
      </c>
      <c r="Y13" s="47">
        <v>0</v>
      </c>
      <c r="Z13" s="47" t="e">
        <f t="shared" si="1"/>
        <v>#N/A</v>
      </c>
      <c r="AA13" s="47">
        <v>1</v>
      </c>
      <c r="AB13" s="47" t="e">
        <f t="shared" si="2"/>
        <v>#N/A</v>
      </c>
      <c r="AC13" s="63">
        <v>1197000</v>
      </c>
      <c r="AD13" s="63">
        <v>-371724.13793103467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3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</row>
    <row r="14" spans="1:44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273</v>
      </c>
      <c r="J14" s="47">
        <v>9</v>
      </c>
      <c r="K14" s="19">
        <v>-40</v>
      </c>
      <c r="L14" s="49" t="s">
        <v>275</v>
      </c>
      <c r="M14" s="49" t="s">
        <v>65</v>
      </c>
      <c r="N14" s="47">
        <v>8.9</v>
      </c>
      <c r="O14" s="63">
        <v>248</v>
      </c>
      <c r="P14" s="63">
        <v>3.0750000000000002</v>
      </c>
      <c r="Q14" s="47">
        <v>0</v>
      </c>
      <c r="R14" s="47" t="e">
        <f t="shared" si="0"/>
        <v>#N/A</v>
      </c>
      <c r="S14" s="47">
        <v>3</v>
      </c>
      <c r="T14" s="47">
        <v>0</v>
      </c>
      <c r="U14" s="75">
        <v>1.7999999999999999E-2</v>
      </c>
      <c r="V14" s="75">
        <v>0</v>
      </c>
      <c r="W14" s="47">
        <v>0.25</v>
      </c>
      <c r="X14" s="47">
        <v>29900</v>
      </c>
      <c r="Y14" s="47">
        <v>0</v>
      </c>
      <c r="Z14" s="47" t="e">
        <f t="shared" si="1"/>
        <v>#N/A</v>
      </c>
      <c r="AA14" s="47">
        <v>1</v>
      </c>
      <c r="AB14" s="47" t="e">
        <f t="shared" si="2"/>
        <v>#N/A</v>
      </c>
      <c r="AC14" s="63">
        <v>367000</v>
      </c>
      <c r="AD14" s="63">
        <v>4675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 t="e">
        <f t="shared" si="3"/>
        <v>#N/A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</row>
    <row r="15" spans="1:44" x14ac:dyDescent="0.25">
      <c r="A15" s="33" t="s">
        <v>44</v>
      </c>
      <c r="B15" s="61">
        <v>207000000</v>
      </c>
      <c r="C15" s="45" t="s">
        <v>47</v>
      </c>
      <c r="J15" s="47"/>
      <c r="K15" s="19"/>
      <c r="L15"/>
      <c r="M15" s="49"/>
      <c r="N15" s="47"/>
      <c r="O15" s="63"/>
      <c r="P15" s="63"/>
      <c r="Q15" s="47"/>
      <c r="R15" s="47"/>
      <c r="S15" s="47"/>
      <c r="T15" s="47"/>
      <c r="U15" s="75"/>
      <c r="V15" s="75"/>
      <c r="W15" s="47"/>
      <c r="X15" s="47"/>
      <c r="Y15" s="47"/>
      <c r="Z15" s="47"/>
      <c r="AA15" s="47"/>
      <c r="AB15" s="47"/>
      <c r="AC15" s="63"/>
      <c r="AD15" s="63"/>
      <c r="AE15" s="63"/>
      <c r="AF15" s="63"/>
      <c r="AG15" s="63"/>
      <c r="AH15" s="63"/>
      <c r="AI15" s="63"/>
      <c r="AJ15" s="47"/>
      <c r="AK15" s="47"/>
      <c r="AL15" s="47"/>
      <c r="AM15" s="47"/>
      <c r="AN15" s="47"/>
      <c r="AO15" s="47"/>
      <c r="AP15" s="47"/>
      <c r="AQ15" s="47"/>
      <c r="AR15" s="47"/>
    </row>
    <row r="16" spans="1:44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/>
      <c r="J16" s="47"/>
      <c r="K16" s="19"/>
      <c r="L16"/>
      <c r="M16" s="49"/>
      <c r="N16" s="47"/>
      <c r="O16" s="63"/>
      <c r="P16" s="63"/>
      <c r="Q16" s="47"/>
      <c r="R16" s="47"/>
      <c r="S16" s="47"/>
      <c r="T16" s="47"/>
      <c r="U16" s="75"/>
      <c r="V16" s="75"/>
      <c r="W16" s="47"/>
      <c r="X16" s="47"/>
      <c r="Y16" s="47"/>
      <c r="Z16" s="47"/>
      <c r="AA16" s="47"/>
      <c r="AB16" s="47"/>
      <c r="AC16" s="63"/>
      <c r="AD16" s="63"/>
      <c r="AE16" s="63"/>
      <c r="AF16" s="63"/>
      <c r="AG16" s="63"/>
      <c r="AH16" s="63"/>
      <c r="AI16" s="63"/>
      <c r="AJ16" s="47"/>
      <c r="AK16" s="47"/>
      <c r="AL16" s="47"/>
      <c r="AM16" s="47"/>
      <c r="AN16" s="47"/>
      <c r="AO16" s="47"/>
      <c r="AP16" s="47"/>
      <c r="AQ16" s="47"/>
      <c r="AR16" s="47"/>
    </row>
    <row r="17" spans="1:44" s="56" customFormat="1" x14ac:dyDescent="0.25">
      <c r="A17" s="33" t="s">
        <v>98</v>
      </c>
      <c r="B17" s="57">
        <v>0.53</v>
      </c>
      <c r="C17" s="45"/>
      <c r="D17" s="102"/>
      <c r="E17" s="102"/>
      <c r="J17" s="47"/>
      <c r="K17" s="19"/>
      <c r="L17"/>
      <c r="M17" s="49"/>
      <c r="N17" s="47"/>
      <c r="O17" s="63"/>
      <c r="P17" s="63"/>
      <c r="Q17" s="47"/>
      <c r="R17" s="47"/>
      <c r="S17" s="47"/>
      <c r="T17" s="47"/>
      <c r="U17" s="75"/>
      <c r="V17" s="75"/>
      <c r="W17" s="47"/>
      <c r="X17" s="47"/>
      <c r="Y17" s="47"/>
      <c r="Z17" s="47"/>
      <c r="AA17" s="47"/>
      <c r="AB17" s="47"/>
      <c r="AC17" s="63"/>
      <c r="AD17" s="63"/>
      <c r="AE17" s="63"/>
      <c r="AF17" s="63"/>
      <c r="AG17" s="63"/>
      <c r="AH17" s="63"/>
      <c r="AI17" s="63"/>
      <c r="AJ17" s="47"/>
      <c r="AK17" s="47"/>
      <c r="AL17" s="47"/>
      <c r="AM17" s="47"/>
      <c r="AN17" s="47"/>
      <c r="AO17" s="47"/>
      <c r="AP17" s="47"/>
      <c r="AQ17" s="47"/>
      <c r="AR17" s="47"/>
    </row>
    <row r="18" spans="1:44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K18" s="19"/>
      <c r="L18"/>
      <c r="M18" s="49"/>
      <c r="N18" s="47"/>
      <c r="O18" s="63"/>
      <c r="P18" s="47"/>
      <c r="Q18" s="47"/>
      <c r="R18" s="47"/>
      <c r="S18" s="47"/>
      <c r="T18" s="47"/>
      <c r="U18" s="47"/>
      <c r="V18" s="75"/>
      <c r="W18" s="47"/>
      <c r="X18" s="47"/>
      <c r="Y18" s="47"/>
      <c r="Z18" s="47"/>
      <c r="AA18" s="47"/>
      <c r="AB18" s="47"/>
      <c r="AC18" s="47"/>
      <c r="AD18" s="47"/>
      <c r="AE18" s="63"/>
      <c r="AF18" s="63"/>
      <c r="AG18" s="63"/>
      <c r="AH18" s="63"/>
      <c r="AI18" s="63"/>
      <c r="AJ18" s="47"/>
      <c r="AK18" s="47"/>
      <c r="AL18" s="47"/>
      <c r="AM18" s="47"/>
      <c r="AN18" s="47"/>
      <c r="AO18" s="47"/>
      <c r="AP18" s="47"/>
      <c r="AQ18" s="47"/>
      <c r="AR18" s="47"/>
    </row>
    <row r="19" spans="1:44" x14ac:dyDescent="0.25">
      <c r="A19" s="102" t="s">
        <v>38</v>
      </c>
      <c r="B19" s="102" t="s">
        <v>30</v>
      </c>
      <c r="C19" s="102" t="s">
        <v>59</v>
      </c>
      <c r="D19" s="43"/>
      <c r="E19" s="35"/>
      <c r="L19" s="49"/>
      <c r="M19" s="49" t="s">
        <v>94</v>
      </c>
      <c r="N19" s="47"/>
      <c r="O19" s="47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  <c r="AO19" s="47"/>
      <c r="AP19" s="47"/>
    </row>
    <row r="20" spans="1:44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4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4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4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4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4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4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4" x14ac:dyDescent="0.25">
      <c r="A27" s="66"/>
      <c r="B27" s="66"/>
      <c r="C27" s="67"/>
      <c r="D27" s="35"/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4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4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4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4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4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4">AF40+3.8</f>
        <v>55.599999999999994</v>
      </c>
      <c r="AG41" s="33">
        <f t="shared" ref="AG41:AG43" si="5">AG40+200</f>
        <v>2300</v>
      </c>
      <c r="AH41" s="33">
        <f t="shared" ref="AH41:AH44" si="6">AH40+0.8</f>
        <v>9.6000000000000014</v>
      </c>
    </row>
    <row r="42" spans="1:42" x14ac:dyDescent="0.25">
      <c r="L42" s="49"/>
      <c r="AE42" s="33">
        <v>18</v>
      </c>
      <c r="AF42" s="33">
        <f t="shared" si="4"/>
        <v>59.399999999999991</v>
      </c>
      <c r="AG42" s="33">
        <f t="shared" si="5"/>
        <v>2500</v>
      </c>
      <c r="AH42" s="33">
        <f t="shared" si="6"/>
        <v>10.400000000000002</v>
      </c>
    </row>
    <row r="43" spans="1:42" x14ac:dyDescent="0.25">
      <c r="L43" s="49"/>
      <c r="AE43" s="33">
        <v>19</v>
      </c>
      <c r="AF43" s="33">
        <f t="shared" si="4"/>
        <v>63.199999999999989</v>
      </c>
      <c r="AG43" s="33">
        <f t="shared" si="5"/>
        <v>2700</v>
      </c>
      <c r="AH43" s="33">
        <f t="shared" si="6"/>
        <v>11.200000000000003</v>
      </c>
    </row>
    <row r="44" spans="1:42" x14ac:dyDescent="0.25">
      <c r="L44" s="49"/>
      <c r="AE44" s="33">
        <v>20</v>
      </c>
      <c r="AF44" s="33">
        <f t="shared" si="4"/>
        <v>66.999999999999986</v>
      </c>
      <c r="AG44" s="33">
        <f>AG43+200</f>
        <v>2900</v>
      </c>
      <c r="AH44" s="33">
        <f t="shared" si="6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7">AF45+2.8</f>
        <v>72.59999999999998</v>
      </c>
      <c r="AG46" s="33">
        <f t="shared" ref="AG46:AG48" si="8">AG45+380</f>
        <v>3660</v>
      </c>
      <c r="AH46" s="33">
        <f t="shared" ref="AH46:AH49" si="9">AH45+1.6</f>
        <v>15.200000000000003</v>
      </c>
    </row>
    <row r="47" spans="1:42" x14ac:dyDescent="0.25">
      <c r="L47" s="49"/>
      <c r="AE47" s="33">
        <v>23</v>
      </c>
      <c r="AF47" s="33">
        <f t="shared" si="7"/>
        <v>75.399999999999977</v>
      </c>
      <c r="AG47" s="33">
        <f t="shared" si="8"/>
        <v>4040</v>
      </c>
      <c r="AH47" s="33">
        <f t="shared" si="9"/>
        <v>16.800000000000004</v>
      </c>
    </row>
    <row r="48" spans="1:42" x14ac:dyDescent="0.25">
      <c r="L48" s="49"/>
      <c r="AE48" s="33">
        <v>24</v>
      </c>
      <c r="AF48" s="33">
        <f t="shared" si="7"/>
        <v>78.199999999999974</v>
      </c>
      <c r="AG48" s="33">
        <f t="shared" si="8"/>
        <v>4420</v>
      </c>
      <c r="AH48" s="33">
        <f t="shared" si="9"/>
        <v>18.400000000000006</v>
      </c>
    </row>
    <row r="49" spans="12:34" x14ac:dyDescent="0.25">
      <c r="L49" s="49"/>
      <c r="AE49" s="33">
        <v>25</v>
      </c>
      <c r="AF49" s="33">
        <f t="shared" si="7"/>
        <v>80.999999999999972</v>
      </c>
      <c r="AG49" s="33">
        <v>4800</v>
      </c>
      <c r="AH49" s="33">
        <f t="shared" si="9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0">AF50+3</f>
        <v>86.999999999999972</v>
      </c>
      <c r="AG51" s="33">
        <f t="shared" ref="AG51:AG54" si="11">AG50+960</f>
        <v>6720</v>
      </c>
      <c r="AH51" s="33">
        <f t="shared" ref="AH51:AH54" si="12">AH50+4</f>
        <v>28.000000000000007</v>
      </c>
    </row>
    <row r="52" spans="12:34" x14ac:dyDescent="0.25">
      <c r="L52" s="49"/>
      <c r="AE52" s="33">
        <v>28</v>
      </c>
      <c r="AF52" s="33">
        <f t="shared" si="10"/>
        <v>89.999999999999972</v>
      </c>
      <c r="AG52" s="33">
        <f t="shared" si="11"/>
        <v>7680</v>
      </c>
      <c r="AH52" s="33">
        <f t="shared" si="12"/>
        <v>32.000000000000007</v>
      </c>
    </row>
    <row r="53" spans="12:34" x14ac:dyDescent="0.25">
      <c r="L53" s="49"/>
      <c r="AE53" s="33">
        <v>29</v>
      </c>
      <c r="AF53" s="33">
        <f t="shared" si="10"/>
        <v>92.999999999999972</v>
      </c>
      <c r="AG53" s="33">
        <f t="shared" si="11"/>
        <v>8640</v>
      </c>
      <c r="AH53" s="33">
        <f t="shared" si="12"/>
        <v>36.000000000000007</v>
      </c>
    </row>
    <row r="54" spans="12:34" x14ac:dyDescent="0.25">
      <c r="L54" s="49"/>
      <c r="AE54" s="33">
        <v>30</v>
      </c>
      <c r="AF54" s="33">
        <f t="shared" si="10"/>
        <v>95.999999999999972</v>
      </c>
      <c r="AG54" s="33">
        <f t="shared" si="11"/>
        <v>9600</v>
      </c>
      <c r="AH54" s="33">
        <f t="shared" si="12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3">AF55+3.8</f>
        <v>103.59999999999997</v>
      </c>
      <c r="AG56" s="33">
        <f t="shared" ref="AG56:AG59" si="14">AG55+480</f>
        <v>10560</v>
      </c>
      <c r="AH56" s="33">
        <f t="shared" ref="AH56:AH59" si="15">AH55+2</f>
        <v>44.000000000000007</v>
      </c>
    </row>
    <row r="57" spans="12:34" x14ac:dyDescent="0.25">
      <c r="L57" s="49"/>
      <c r="AE57" s="33">
        <v>33</v>
      </c>
      <c r="AF57" s="33">
        <f t="shared" si="13"/>
        <v>107.39999999999996</v>
      </c>
      <c r="AG57" s="33">
        <f t="shared" si="14"/>
        <v>11040</v>
      </c>
      <c r="AH57" s="33">
        <f t="shared" si="15"/>
        <v>46.000000000000007</v>
      </c>
    </row>
    <row r="58" spans="12:34" x14ac:dyDescent="0.25">
      <c r="L58" s="49"/>
      <c r="AE58" s="33">
        <v>34</v>
      </c>
      <c r="AF58" s="33">
        <f t="shared" si="13"/>
        <v>111.19999999999996</v>
      </c>
      <c r="AG58" s="33">
        <f t="shared" si="14"/>
        <v>11520</v>
      </c>
      <c r="AH58" s="33">
        <f t="shared" si="15"/>
        <v>48.000000000000007</v>
      </c>
    </row>
    <row r="59" spans="12:34" x14ac:dyDescent="0.25">
      <c r="L59" s="49"/>
      <c r="AE59" s="33">
        <v>35</v>
      </c>
      <c r="AF59" s="33">
        <f t="shared" si="13"/>
        <v>114.99999999999996</v>
      </c>
      <c r="AG59" s="33">
        <f t="shared" si="14"/>
        <v>12000</v>
      </c>
      <c r="AH59" s="33">
        <f t="shared" si="15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W10:Y10 N6:N14 S10:T12 Q6:R6 W12:Y12 W11 Y11 Q7:Q14 S13 T17:T18 W13:X13 Y17:Y18 AJ6:AJ18 R7:R18 Z6:Z18 AB6:AB18 AM6:AQ18 AM19:AP36">
    <cfRule type="expression" dxfId="1972" priority="134">
      <formula>$L6="API sand"</formula>
    </cfRule>
  </conditionalFormatting>
  <conditionalFormatting sqref="R19:S20 R29:S36 S21:S28 AD21:AD28 AB19:AB35 N6:N14 S18 AK6:AL18">
    <cfRule type="expression" dxfId="1971" priority="133">
      <formula>$M6="API sand"</formula>
    </cfRule>
  </conditionalFormatting>
  <conditionalFormatting sqref="R19:T20 R29:T36 S21:T28 AD21:AD28 AB19:AB35 N6:N14 S18 AK6:AL18">
    <cfRule type="expression" dxfId="1970" priority="132">
      <formula>$M6="API clay"</formula>
    </cfRule>
  </conditionalFormatting>
  <conditionalFormatting sqref="U19:W36 AC6:AI6 U13:U14 U18 W18 V13:V18 AA6:AA18 AC7:AD13 AE7:AI18 U6:V12 N6:P14 AM6:AP36">
    <cfRule type="expression" dxfId="1969" priority="129">
      <formula>$L6="Stiff clay w/o free water"</formula>
    </cfRule>
    <cfRule type="expression" dxfId="1968" priority="131">
      <formula>$L6="API clay"</formula>
    </cfRule>
  </conditionalFormatting>
  <conditionalFormatting sqref="U19:Y36 AC6:AI6 U13:U14 U18 W18:X18 V13:V18 AA6:AA18 AC7:AD13 AE7:AI18 U6:V12 N6:P14 AM6:AP36">
    <cfRule type="expression" dxfId="1967" priority="130">
      <formula>$L6="Kirsch soft clay"</formula>
    </cfRule>
  </conditionalFormatting>
  <conditionalFormatting sqref="U19:Y36 AC6:AI6 U13:U14 U18 W18:X18 V13:V18 AA6:AA18 AC7:AD13 AE7:AI18 U6:V12 N6:P14 AM6:AP36">
    <cfRule type="expression" dxfId="1966" priority="128">
      <formula>$L6="Kirsch stiff clay"</formula>
    </cfRule>
  </conditionalFormatting>
  <conditionalFormatting sqref="W10:Y10 N6:N14 S10:T12 Q6:R6 W12:Y12 W11 Y11 Q7:Q14 S13 T17:T18 W13:X13 Y17:Y18 AJ6:AJ18 R7:R18 Z6:Z18 AB6:AB18 AM6:AQ18 AM19:AP36">
    <cfRule type="expression" dxfId="1965" priority="127">
      <formula>$L6="Kirsch sand"</formula>
    </cfRule>
  </conditionalFormatting>
  <conditionalFormatting sqref="AC18:AD19 AI19 N6:N14 AM6:AP36">
    <cfRule type="expression" dxfId="1964" priority="126">
      <formula>$L6="Modified Weak rock"</formula>
    </cfRule>
  </conditionalFormatting>
  <conditionalFormatting sqref="U19:V36 AC6:AI6 U13:U14 U18 V13:V18 AA6:AA18 AC7:AD13 AE7:AI18 U6:V12 N6:P14 AM6:AP36">
    <cfRule type="expression" dxfId="1963" priority="125">
      <formula>$L6="Reese stiff clay"</formula>
    </cfRule>
  </conditionalFormatting>
  <conditionalFormatting sqref="N18:N36 Q18:Q36">
    <cfRule type="expression" dxfId="1962" priority="124">
      <formula>$L18="API sand"</formula>
    </cfRule>
  </conditionalFormatting>
  <conditionalFormatting sqref="N18:N36 AB36 AJ19:AL36 Z19:Z36">
    <cfRule type="expression" dxfId="1961" priority="123">
      <formula>$M18="API sand"</formula>
    </cfRule>
  </conditionalFormatting>
  <conditionalFormatting sqref="Z36:AB36 AK19:AL36 N18:N36 Z19:AA35">
    <cfRule type="expression" dxfId="1960" priority="122">
      <formula>$M18="API clay"</formula>
    </cfRule>
  </conditionalFormatting>
  <conditionalFormatting sqref="N18:P18 N29:P36 N19:N28 P19:P28">
    <cfRule type="expression" dxfId="1959" priority="119">
      <formula>$L18="Stiff clay w/o free water"</formula>
    </cfRule>
    <cfRule type="expression" dxfId="1958" priority="121">
      <formula>$L18="API clay"</formula>
    </cfRule>
  </conditionalFormatting>
  <conditionalFormatting sqref="N18:P18 N29:P36 N19:N28 P19:P28">
    <cfRule type="expression" dxfId="1957" priority="120">
      <formula>$L18="Kirsch soft clay"</formula>
    </cfRule>
  </conditionalFormatting>
  <conditionalFormatting sqref="N18:P18 N29:P36 N19:N28 P19:P28">
    <cfRule type="expression" dxfId="1956" priority="118">
      <formula>$L18="Kirsch stiff clay"</formula>
    </cfRule>
  </conditionalFormatting>
  <conditionalFormatting sqref="N18:N36 Q18:Q36 X19:Y36 X18">
    <cfRule type="expression" dxfId="1955" priority="117">
      <formula>$L18="Kirsch sand"</formula>
    </cfRule>
  </conditionalFormatting>
  <conditionalFormatting sqref="N18:N36 AC20:AD36 AI20:AI36">
    <cfRule type="expression" dxfId="1954" priority="116">
      <formula>$L18="Modified Weak rock"</formula>
    </cfRule>
  </conditionalFormatting>
  <conditionalFormatting sqref="N18:P18 N29:P36 N19:N28 P19:P28">
    <cfRule type="expression" dxfId="1953" priority="115">
      <formula>$L18="Reese stiff clay"</formula>
    </cfRule>
  </conditionalFormatting>
  <conditionalFormatting sqref="AC6:AI6 U13:U14 V13:V18 AA6:AA18 AC7:AD13 AE7:AI18 U6:V12 N6:P14 AM6:AP18">
    <cfRule type="expression" dxfId="1952" priority="114">
      <formula>$L6="PISA clay"</formula>
    </cfRule>
  </conditionalFormatting>
  <conditionalFormatting sqref="N6:N14 AM6:AP18">
    <cfRule type="expression" dxfId="1951" priority="113">
      <formula>$L6="PISA sand"</formula>
    </cfRule>
  </conditionalFormatting>
  <conditionalFormatting sqref="O19:O21">
    <cfRule type="expression" dxfId="1950" priority="112">
      <formula>$L19="API sand"</formula>
    </cfRule>
  </conditionalFormatting>
  <conditionalFormatting sqref="O19:O21">
    <cfRule type="expression" dxfId="1949" priority="111">
      <formula>$L19="Kirsch sand"</formula>
    </cfRule>
  </conditionalFormatting>
  <conditionalFormatting sqref="O22:O28">
    <cfRule type="expression" dxfId="1948" priority="110">
      <formula>$L22="API sand"</formula>
    </cfRule>
  </conditionalFormatting>
  <conditionalFormatting sqref="O22:O28">
    <cfRule type="expression" dxfId="1947" priority="109">
      <formula>$L22="Kirsch sand"</formula>
    </cfRule>
  </conditionalFormatting>
  <conditionalFormatting sqref="S6:T9 W6:Y9 T13:T16 Y13:Y16">
    <cfRule type="expression" dxfId="1946" priority="108">
      <formula>$L6="API sand"</formula>
    </cfRule>
  </conditionalFormatting>
  <conditionalFormatting sqref="S6:T9 W6:Y9 T13:T16 Y13:Y16">
    <cfRule type="expression" dxfId="1945" priority="107">
      <formula>$L6="Kirsch sand"</formula>
    </cfRule>
  </conditionalFormatting>
  <conditionalFormatting sqref="AE37:AH37">
    <cfRule type="expression" dxfId="1944" priority="135">
      <formula>$L19="Modified Weak rock"</formula>
    </cfRule>
  </conditionalFormatting>
  <conditionalFormatting sqref="S14 W14:X14">
    <cfRule type="expression" dxfId="1943" priority="106">
      <formula>$L14="API sand"</formula>
    </cfRule>
  </conditionalFormatting>
  <conditionalFormatting sqref="S14 W14:X14">
    <cfRule type="expression" dxfId="1942" priority="105">
      <formula>$L14="Kirsch sand"</formula>
    </cfRule>
  </conditionalFormatting>
  <conditionalFormatting sqref="AD14">
    <cfRule type="expression" dxfId="1941" priority="102">
      <formula>$L14="Stiff clay w/o free water"</formula>
    </cfRule>
    <cfRule type="expression" dxfId="1940" priority="104">
      <formula>$L14="API clay"</formula>
    </cfRule>
  </conditionalFormatting>
  <conditionalFormatting sqref="AD14">
    <cfRule type="expression" dxfId="1939" priority="103">
      <formula>$L14="Kirsch soft clay"</formula>
    </cfRule>
  </conditionalFormatting>
  <conditionalFormatting sqref="AD14">
    <cfRule type="expression" dxfId="1938" priority="101">
      <formula>$L14="Kirsch stiff clay"</formula>
    </cfRule>
  </conditionalFormatting>
  <conditionalFormatting sqref="AD14">
    <cfRule type="expression" dxfId="1937" priority="100">
      <formula>$L14="Reese stiff clay"</formula>
    </cfRule>
  </conditionalFormatting>
  <conditionalFormatting sqref="AD14">
    <cfRule type="expression" dxfId="1936" priority="99">
      <formula>$L14="PISA clay"</formula>
    </cfRule>
  </conditionalFormatting>
  <conditionalFormatting sqref="N15 Q15 S15 W15">
    <cfRule type="expression" dxfId="1935" priority="98">
      <formula>$L15="API sand"</formula>
    </cfRule>
  </conditionalFormatting>
  <conditionalFormatting sqref="N15">
    <cfRule type="expression" dxfId="1934" priority="97">
      <formula>$M15="API sand"</formula>
    </cfRule>
  </conditionalFormatting>
  <conditionalFormatting sqref="N15">
    <cfRule type="expression" dxfId="1933" priority="96">
      <formula>$M15="API clay"</formula>
    </cfRule>
  </conditionalFormatting>
  <conditionalFormatting sqref="N15:P15">
    <cfRule type="expression" dxfId="1932" priority="93">
      <formula>$L15="Stiff clay w/o free water"</formula>
    </cfRule>
    <cfRule type="expression" dxfId="1931" priority="95">
      <formula>$L15="API clay"</formula>
    </cfRule>
  </conditionalFormatting>
  <conditionalFormatting sqref="N15:P15">
    <cfRule type="expression" dxfId="1930" priority="94">
      <formula>$L15="Kirsch soft clay"</formula>
    </cfRule>
  </conditionalFormatting>
  <conditionalFormatting sqref="N15:P15">
    <cfRule type="expression" dxfId="1929" priority="92">
      <formula>$L15="Kirsch stiff clay"</formula>
    </cfRule>
  </conditionalFormatting>
  <conditionalFormatting sqref="N15 Q15 S15 W15">
    <cfRule type="expression" dxfId="1928" priority="91">
      <formula>$L15="Kirsch sand"</formula>
    </cfRule>
  </conditionalFormatting>
  <conditionalFormatting sqref="N15">
    <cfRule type="expression" dxfId="1927" priority="90">
      <formula>$L15="Modified Weak rock"</formula>
    </cfRule>
  </conditionalFormatting>
  <conditionalFormatting sqref="N15:P15">
    <cfRule type="expression" dxfId="1926" priority="89">
      <formula>$L15="Reese stiff clay"</formula>
    </cfRule>
  </conditionalFormatting>
  <conditionalFormatting sqref="N15:P15">
    <cfRule type="expression" dxfId="1925" priority="88">
      <formula>$L15="PISA clay"</formula>
    </cfRule>
  </conditionalFormatting>
  <conditionalFormatting sqref="N15">
    <cfRule type="expression" dxfId="1924" priority="87">
      <formula>$L15="PISA sand"</formula>
    </cfRule>
  </conditionalFormatting>
  <conditionalFormatting sqref="AD15">
    <cfRule type="expression" dxfId="1923" priority="84">
      <formula>$L15="Stiff clay w/o free water"</formula>
    </cfRule>
    <cfRule type="expression" dxfId="1922" priority="86">
      <formula>$L15="API clay"</formula>
    </cfRule>
  </conditionalFormatting>
  <conditionalFormatting sqref="AD15">
    <cfRule type="expression" dxfId="1921" priority="85">
      <formula>$L15="Kirsch soft clay"</formula>
    </cfRule>
  </conditionalFormatting>
  <conditionalFormatting sqref="AD15">
    <cfRule type="expression" dxfId="1920" priority="83">
      <formula>$L15="Kirsch stiff clay"</formula>
    </cfRule>
  </conditionalFormatting>
  <conditionalFormatting sqref="AD15">
    <cfRule type="expression" dxfId="1919" priority="82">
      <formula>$L15="Reese stiff clay"</formula>
    </cfRule>
  </conditionalFormatting>
  <conditionalFormatting sqref="AD15">
    <cfRule type="expression" dxfId="1918" priority="81">
      <formula>$L15="PISA clay"</formula>
    </cfRule>
  </conditionalFormatting>
  <conditionalFormatting sqref="AC15">
    <cfRule type="expression" dxfId="1917" priority="78">
      <formula>$L15="Stiff clay w/o free water"</formula>
    </cfRule>
    <cfRule type="expression" dxfId="1916" priority="80">
      <formula>$L15="API clay"</formula>
    </cfRule>
  </conditionalFormatting>
  <conditionalFormatting sqref="AC15">
    <cfRule type="expression" dxfId="1915" priority="79">
      <formula>$L15="Kirsch soft clay"</formula>
    </cfRule>
  </conditionalFormatting>
  <conditionalFormatting sqref="AC15">
    <cfRule type="expression" dxfId="1914" priority="77">
      <formula>$L15="Kirsch stiff clay"</formula>
    </cfRule>
  </conditionalFormatting>
  <conditionalFormatting sqref="AC15">
    <cfRule type="expression" dxfId="1913" priority="76">
      <formula>$L15="Reese stiff clay"</formula>
    </cfRule>
  </conditionalFormatting>
  <conditionalFormatting sqref="AC15">
    <cfRule type="expression" dxfId="1912" priority="75">
      <formula>$L15="PISA clay"</formula>
    </cfRule>
  </conditionalFormatting>
  <conditionalFormatting sqref="X15">
    <cfRule type="expression" dxfId="1911" priority="74">
      <formula>$L15="API sand"</formula>
    </cfRule>
  </conditionalFormatting>
  <conditionalFormatting sqref="X15">
    <cfRule type="expression" dxfId="1910" priority="73">
      <formula>$L15="Kirsch sand"</formula>
    </cfRule>
  </conditionalFormatting>
  <conditionalFormatting sqref="N16 Q16 S16 W16:X16">
    <cfRule type="expression" dxfId="1909" priority="72">
      <formula>$L16="API sand"</formula>
    </cfRule>
  </conditionalFormatting>
  <conditionalFormatting sqref="N16">
    <cfRule type="expression" dxfId="1908" priority="71">
      <formula>$M16="API sand"</formula>
    </cfRule>
  </conditionalFormatting>
  <conditionalFormatting sqref="N16">
    <cfRule type="expression" dxfId="1907" priority="70">
      <formula>$M16="API clay"</formula>
    </cfRule>
  </conditionalFormatting>
  <conditionalFormatting sqref="N16:P16">
    <cfRule type="expression" dxfId="1906" priority="67">
      <formula>$L16="Stiff clay w/o free water"</formula>
    </cfRule>
    <cfRule type="expression" dxfId="1905" priority="69">
      <formula>$L16="API clay"</formula>
    </cfRule>
  </conditionalFormatting>
  <conditionalFormatting sqref="N16:P16">
    <cfRule type="expression" dxfId="1904" priority="68">
      <formula>$L16="Kirsch soft clay"</formula>
    </cfRule>
  </conditionalFormatting>
  <conditionalFormatting sqref="N16:P16">
    <cfRule type="expression" dxfId="1903" priority="66">
      <formula>$L16="Kirsch stiff clay"</formula>
    </cfRule>
  </conditionalFormatting>
  <conditionalFormatting sqref="N16 Q16 S16 W16:X16">
    <cfRule type="expression" dxfId="1902" priority="65">
      <formula>$L16="Kirsch sand"</formula>
    </cfRule>
  </conditionalFormatting>
  <conditionalFormatting sqref="N16">
    <cfRule type="expression" dxfId="1901" priority="64">
      <formula>$L16="Modified Weak rock"</formula>
    </cfRule>
  </conditionalFormatting>
  <conditionalFormatting sqref="N16:P16">
    <cfRule type="expression" dxfId="1900" priority="63">
      <formula>$L16="Reese stiff clay"</formula>
    </cfRule>
  </conditionalFormatting>
  <conditionalFormatting sqref="N16:P16">
    <cfRule type="expression" dxfId="1899" priority="62">
      <formula>$L16="PISA clay"</formula>
    </cfRule>
  </conditionalFormatting>
  <conditionalFormatting sqref="N16">
    <cfRule type="expression" dxfId="1898" priority="61">
      <formula>$L16="PISA sand"</formula>
    </cfRule>
  </conditionalFormatting>
  <conditionalFormatting sqref="AC16:AD16">
    <cfRule type="expression" dxfId="1897" priority="58">
      <formula>$L16="Stiff clay w/o free water"</formula>
    </cfRule>
    <cfRule type="expression" dxfId="1896" priority="60">
      <formula>$L16="API clay"</formula>
    </cfRule>
  </conditionalFormatting>
  <conditionalFormatting sqref="AC16:AD16">
    <cfRule type="expression" dxfId="1895" priority="59">
      <formula>$L16="Kirsch soft clay"</formula>
    </cfRule>
  </conditionalFormatting>
  <conditionalFormatting sqref="AC16:AD16">
    <cfRule type="expression" dxfId="1894" priority="57">
      <formula>$L16="Kirsch stiff clay"</formula>
    </cfRule>
  </conditionalFormatting>
  <conditionalFormatting sqref="AC16:AD16">
    <cfRule type="expression" dxfId="1893" priority="56">
      <formula>$L16="Reese stiff clay"</formula>
    </cfRule>
  </conditionalFormatting>
  <conditionalFormatting sqref="AC16:AD16">
    <cfRule type="expression" dxfId="1892" priority="55">
      <formula>$L16="PISA clay"</formula>
    </cfRule>
  </conditionalFormatting>
  <conditionalFormatting sqref="N17 Q17 S17 W17">
    <cfRule type="expression" dxfId="1891" priority="54">
      <formula>$L17="API sand"</formula>
    </cfRule>
  </conditionalFormatting>
  <conditionalFormatting sqref="N17">
    <cfRule type="expression" dxfId="1890" priority="53">
      <formula>$M17="API sand"</formula>
    </cfRule>
  </conditionalFormatting>
  <conditionalFormatting sqref="N17">
    <cfRule type="expression" dxfId="1889" priority="52">
      <formula>$M17="API clay"</formula>
    </cfRule>
  </conditionalFormatting>
  <conditionalFormatting sqref="N17:P17">
    <cfRule type="expression" dxfId="1888" priority="49">
      <formula>$L17="Stiff clay w/o free water"</formula>
    </cfRule>
    <cfRule type="expression" dxfId="1887" priority="51">
      <formula>$L17="API clay"</formula>
    </cfRule>
  </conditionalFormatting>
  <conditionalFormatting sqref="N17:P17">
    <cfRule type="expression" dxfId="1886" priority="50">
      <formula>$L17="Kirsch soft clay"</formula>
    </cfRule>
  </conditionalFormatting>
  <conditionalFormatting sqref="N17:P17">
    <cfRule type="expression" dxfId="1885" priority="48">
      <formula>$L17="Kirsch stiff clay"</formula>
    </cfRule>
  </conditionalFormatting>
  <conditionalFormatting sqref="N17 Q17 S17 W17">
    <cfRule type="expression" dxfId="1884" priority="47">
      <formula>$L17="Kirsch sand"</formula>
    </cfRule>
  </conditionalFormatting>
  <conditionalFormatting sqref="N17">
    <cfRule type="expression" dxfId="1883" priority="46">
      <formula>$L17="Modified Weak rock"</formula>
    </cfRule>
  </conditionalFormatting>
  <conditionalFormatting sqref="N17:P17">
    <cfRule type="expression" dxfId="1882" priority="45">
      <formula>$L17="Reese stiff clay"</formula>
    </cfRule>
  </conditionalFormatting>
  <conditionalFormatting sqref="N17:P17">
    <cfRule type="expression" dxfId="1881" priority="44">
      <formula>$L17="PISA clay"</formula>
    </cfRule>
  </conditionalFormatting>
  <conditionalFormatting sqref="N17">
    <cfRule type="expression" dxfId="1880" priority="43">
      <formula>$L17="PISA sand"</formula>
    </cfRule>
  </conditionalFormatting>
  <conditionalFormatting sqref="AD17">
    <cfRule type="expression" dxfId="1879" priority="40">
      <formula>$L17="Stiff clay w/o free water"</formula>
    </cfRule>
    <cfRule type="expression" dxfId="1878" priority="42">
      <formula>$L17="API clay"</formula>
    </cfRule>
  </conditionalFormatting>
  <conditionalFormatting sqref="AD17">
    <cfRule type="expression" dxfId="1877" priority="41">
      <formula>$L17="Kirsch soft clay"</formula>
    </cfRule>
  </conditionalFormatting>
  <conditionalFormatting sqref="AD17">
    <cfRule type="expression" dxfId="1876" priority="39">
      <formula>$L17="Kirsch stiff clay"</formula>
    </cfRule>
  </conditionalFormatting>
  <conditionalFormatting sqref="AD17">
    <cfRule type="expression" dxfId="1875" priority="38">
      <formula>$L17="Reese stiff clay"</formula>
    </cfRule>
  </conditionalFormatting>
  <conditionalFormatting sqref="AD17">
    <cfRule type="expression" dxfId="1874" priority="37">
      <formula>$L17="PISA clay"</formula>
    </cfRule>
  </conditionalFormatting>
  <conditionalFormatting sqref="AC17">
    <cfRule type="expression" dxfId="1873" priority="34">
      <formula>$L17="Stiff clay w/o free water"</formula>
    </cfRule>
    <cfRule type="expression" dxfId="1872" priority="36">
      <formula>$L17="API clay"</formula>
    </cfRule>
  </conditionalFormatting>
  <conditionalFormatting sqref="AC17">
    <cfRule type="expression" dxfId="1871" priority="35">
      <formula>$L17="Kirsch soft clay"</formula>
    </cfRule>
  </conditionalFormatting>
  <conditionalFormatting sqref="AC17">
    <cfRule type="expression" dxfId="1870" priority="33">
      <formula>$L17="Kirsch stiff clay"</formula>
    </cfRule>
  </conditionalFormatting>
  <conditionalFormatting sqref="AC17">
    <cfRule type="expression" dxfId="1869" priority="32">
      <formula>$L17="Reese stiff clay"</formula>
    </cfRule>
  </conditionalFormatting>
  <conditionalFormatting sqref="AC17">
    <cfRule type="expression" dxfId="1868" priority="31">
      <formula>$L17="PISA clay"</formula>
    </cfRule>
  </conditionalFormatting>
  <conditionalFormatting sqref="X17">
    <cfRule type="expression" dxfId="1867" priority="30">
      <formula>$L17="API sand"</formula>
    </cfRule>
  </conditionalFormatting>
  <conditionalFormatting sqref="X17">
    <cfRule type="expression" dxfId="1866" priority="29">
      <formula>$L17="Kirsch sand"</formula>
    </cfRule>
  </conditionalFormatting>
  <conditionalFormatting sqref="U15">
    <cfRule type="expression" dxfId="1865" priority="26">
      <formula>$L15="Stiff clay w/o free water"</formula>
    </cfRule>
    <cfRule type="expression" dxfId="1864" priority="28">
      <formula>$L15="API clay"</formula>
    </cfRule>
  </conditionalFormatting>
  <conditionalFormatting sqref="U15">
    <cfRule type="expression" dxfId="1863" priority="27">
      <formula>$L15="Kirsch soft clay"</formula>
    </cfRule>
  </conditionalFormatting>
  <conditionalFormatting sqref="U15">
    <cfRule type="expression" dxfId="1862" priority="25">
      <formula>$L15="Kirsch stiff clay"</formula>
    </cfRule>
  </conditionalFormatting>
  <conditionalFormatting sqref="U15">
    <cfRule type="expression" dxfId="1861" priority="24">
      <formula>$L15="Reese stiff clay"</formula>
    </cfRule>
  </conditionalFormatting>
  <conditionalFormatting sqref="U15">
    <cfRule type="expression" dxfId="1860" priority="23">
      <formula>$L15="PISA clay"</formula>
    </cfRule>
  </conditionalFormatting>
  <conditionalFormatting sqref="U16">
    <cfRule type="expression" dxfId="1859" priority="20">
      <formula>$L16="Stiff clay w/o free water"</formula>
    </cfRule>
    <cfRule type="expression" dxfId="1858" priority="22">
      <formula>$L16="API clay"</formula>
    </cfRule>
  </conditionalFormatting>
  <conditionalFormatting sqref="U16">
    <cfRule type="expression" dxfId="1857" priority="21">
      <formula>$L16="Kirsch soft clay"</formula>
    </cfRule>
  </conditionalFormatting>
  <conditionalFormatting sqref="U16">
    <cfRule type="expression" dxfId="1856" priority="19">
      <formula>$L16="Kirsch stiff clay"</formula>
    </cfRule>
  </conditionalFormatting>
  <conditionalFormatting sqref="U16">
    <cfRule type="expression" dxfId="1855" priority="18">
      <formula>$L16="Reese stiff clay"</formula>
    </cfRule>
  </conditionalFormatting>
  <conditionalFormatting sqref="U16">
    <cfRule type="expression" dxfId="1854" priority="17">
      <formula>$L16="PISA clay"</formula>
    </cfRule>
  </conditionalFormatting>
  <conditionalFormatting sqref="U17">
    <cfRule type="expression" dxfId="1853" priority="14">
      <formula>$L17="Stiff clay w/o free water"</formula>
    </cfRule>
    <cfRule type="expression" dxfId="1852" priority="16">
      <formula>$L17="API clay"</formula>
    </cfRule>
  </conditionalFormatting>
  <conditionalFormatting sqref="U17">
    <cfRule type="expression" dxfId="1851" priority="15">
      <formula>$L17="Kirsch soft clay"</formula>
    </cfRule>
  </conditionalFormatting>
  <conditionalFormatting sqref="U17">
    <cfRule type="expression" dxfId="1850" priority="13">
      <formula>$L17="Kirsch stiff clay"</formula>
    </cfRule>
  </conditionalFormatting>
  <conditionalFormatting sqref="U17">
    <cfRule type="expression" dxfId="1849" priority="12">
      <formula>$L17="Reese stiff clay"</formula>
    </cfRule>
  </conditionalFormatting>
  <conditionalFormatting sqref="U17">
    <cfRule type="expression" dxfId="1848" priority="11">
      <formula>$L17="PISA clay"</formula>
    </cfRule>
  </conditionalFormatting>
  <conditionalFormatting sqref="AC14">
    <cfRule type="expression" dxfId="1847" priority="8">
      <formula>$L14="Stiff clay w/o free water"</formula>
    </cfRule>
    <cfRule type="expression" dxfId="1846" priority="10">
      <formula>$L14="API clay"</formula>
    </cfRule>
  </conditionalFormatting>
  <conditionalFormatting sqref="AC14">
    <cfRule type="expression" dxfId="1845" priority="9">
      <formula>$L14="Kirsch soft clay"</formula>
    </cfRule>
  </conditionalFormatting>
  <conditionalFormatting sqref="AC14">
    <cfRule type="expression" dxfId="1844" priority="7">
      <formula>$L14="Kirsch stiff clay"</formula>
    </cfRule>
  </conditionalFormatting>
  <conditionalFormatting sqref="AC14">
    <cfRule type="expression" dxfId="1843" priority="6">
      <formula>$L14="Reese stiff clay"</formula>
    </cfRule>
  </conditionalFormatting>
  <conditionalFormatting sqref="AC14">
    <cfRule type="expression" dxfId="1842" priority="5">
      <formula>$L14="PISA clay"</formula>
    </cfRule>
  </conditionalFormatting>
  <conditionalFormatting sqref="X11">
    <cfRule type="expression" dxfId="1841" priority="4">
      <formula>$L11="API sand"</formula>
    </cfRule>
  </conditionalFormatting>
  <conditionalFormatting sqref="X11">
    <cfRule type="expression" dxfId="1840" priority="3">
      <formula>$L11="Kirsch sand"</formula>
    </cfRule>
  </conditionalFormatting>
  <conditionalFormatting sqref="AR6:AR18">
    <cfRule type="expression" dxfId="1839" priority="2">
      <formula>$L6="API sand"</formula>
    </cfRule>
  </conditionalFormatting>
  <conditionalFormatting sqref="AR6:AR18">
    <cfRule type="expression" dxfId="1838" priority="1">
      <formula>$L6="Kirsch sand"</formula>
    </cfRule>
  </conditionalFormatting>
  <dataValidations count="3">
    <dataValidation type="list" showInputMessage="1" showErrorMessage="1" sqref="M18:M36" xr:uid="{283D9143-86F1-4EE8-81EA-FA75EBC7EB80}">
      <formula1>"',API sand,API clay"</formula1>
    </dataValidation>
    <dataValidation type="list" showInputMessage="1" showErrorMessage="1" sqref="L19:L255 L11:L14" xr:uid="{732D99FB-CECA-4746-AA57-EC159F91102C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7" xr:uid="{688A3C16-66C8-4E4D-B129-3385C3295D74}">
      <formula1>"Zero soil,API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6E8AF-D3E6-46B0-9097-E894D40D932E}">
  <sheetPr>
    <tabColor theme="6" tint="0.59999389629810485"/>
  </sheetPr>
  <dimension ref="C2:AI37"/>
  <sheetViews>
    <sheetView zoomScale="115" zoomScaleNormal="115" workbookViewId="0">
      <selection activeCell="V35" sqref="V35"/>
    </sheetView>
  </sheetViews>
  <sheetFormatPr defaultRowHeight="15" x14ac:dyDescent="0.25"/>
  <sheetData>
    <row r="2" spans="3:35" x14ac:dyDescent="0.25">
      <c r="C2" t="s">
        <v>222</v>
      </c>
      <c r="D2" t="s">
        <v>223</v>
      </c>
      <c r="E2" t="s">
        <v>224</v>
      </c>
      <c r="F2" t="s">
        <v>225</v>
      </c>
      <c r="G2" t="s">
        <v>226</v>
      </c>
      <c r="H2" t="s">
        <v>227</v>
      </c>
      <c r="I2" t="s">
        <v>228</v>
      </c>
      <c r="J2" t="s">
        <v>229</v>
      </c>
      <c r="K2" t="s">
        <v>230</v>
      </c>
      <c r="L2" t="s">
        <v>231</v>
      </c>
      <c r="M2" t="s">
        <v>232</v>
      </c>
      <c r="N2" t="s">
        <v>233</v>
      </c>
      <c r="O2" t="s">
        <v>234</v>
      </c>
      <c r="P2" t="s">
        <v>235</v>
      </c>
      <c r="Q2" t="s">
        <v>236</v>
      </c>
      <c r="R2" t="s">
        <v>237</v>
      </c>
      <c r="S2" t="s">
        <v>238</v>
      </c>
      <c r="T2" t="s">
        <v>239</v>
      </c>
      <c r="U2" t="s">
        <v>240</v>
      </c>
      <c r="V2" t="s">
        <v>241</v>
      </c>
      <c r="W2" t="s">
        <v>242</v>
      </c>
      <c r="X2" t="s">
        <v>243</v>
      </c>
      <c r="Y2" t="s">
        <v>244</v>
      </c>
      <c r="Z2" t="s">
        <v>245</v>
      </c>
      <c r="AA2" t="s">
        <v>246</v>
      </c>
      <c r="AB2" t="s">
        <v>247</v>
      </c>
      <c r="AC2" t="s">
        <v>248</v>
      </c>
      <c r="AD2" t="s">
        <v>249</v>
      </c>
      <c r="AE2" t="s">
        <v>250</v>
      </c>
      <c r="AF2" t="s">
        <v>251</v>
      </c>
      <c r="AG2" t="s">
        <v>252</v>
      </c>
      <c r="AH2" t="s">
        <v>253</v>
      </c>
      <c r="AI2" t="s">
        <v>254</v>
      </c>
    </row>
    <row r="3" spans="3:35" x14ac:dyDescent="0.25">
      <c r="C3">
        <v>0</v>
      </c>
      <c r="D3" t="s">
        <v>255</v>
      </c>
      <c r="E3">
        <v>23</v>
      </c>
      <c r="F3">
        <v>20.2</v>
      </c>
      <c r="G3">
        <v>18</v>
      </c>
      <c r="H3">
        <v>28</v>
      </c>
      <c r="I3">
        <v>5</v>
      </c>
      <c r="J3">
        <v>0</v>
      </c>
      <c r="K3">
        <v>0</v>
      </c>
      <c r="L3">
        <v>0.2</v>
      </c>
      <c r="M3">
        <v>0.3</v>
      </c>
      <c r="N3">
        <v>0.7</v>
      </c>
      <c r="O3">
        <v>0</v>
      </c>
      <c r="P3">
        <v>0</v>
      </c>
      <c r="Q3">
        <v>8</v>
      </c>
      <c r="R3">
        <v>17</v>
      </c>
      <c r="S3">
        <v>39</v>
      </c>
      <c r="Z3">
        <v>0</v>
      </c>
      <c r="AA3">
        <v>0</v>
      </c>
      <c r="AB3">
        <v>4</v>
      </c>
      <c r="AC3">
        <v>10</v>
      </c>
      <c r="AD3">
        <v>22</v>
      </c>
      <c r="AE3">
        <v>4</v>
      </c>
      <c r="AF3">
        <v>32.700000000000003</v>
      </c>
      <c r="AG3">
        <v>3</v>
      </c>
      <c r="AH3" t="s">
        <v>256</v>
      </c>
      <c r="AI3">
        <v>1.8</v>
      </c>
    </row>
    <row r="4" spans="3:35" x14ac:dyDescent="0.25">
      <c r="C4">
        <v>0.65</v>
      </c>
      <c r="D4" t="s">
        <v>255</v>
      </c>
      <c r="E4">
        <v>23</v>
      </c>
      <c r="F4">
        <v>20.2</v>
      </c>
      <c r="G4">
        <v>18</v>
      </c>
      <c r="H4">
        <v>28</v>
      </c>
      <c r="I4">
        <v>5</v>
      </c>
      <c r="J4">
        <v>0.1</v>
      </c>
      <c r="K4">
        <v>0.5</v>
      </c>
      <c r="L4">
        <v>0.7</v>
      </c>
      <c r="M4">
        <v>0.9</v>
      </c>
      <c r="N4">
        <v>1.2</v>
      </c>
      <c r="O4">
        <v>0</v>
      </c>
      <c r="P4">
        <v>26</v>
      </c>
      <c r="Q4">
        <v>37</v>
      </c>
      <c r="R4">
        <v>47</v>
      </c>
      <c r="S4">
        <v>68</v>
      </c>
      <c r="Z4">
        <v>0</v>
      </c>
      <c r="AA4">
        <v>10</v>
      </c>
      <c r="AB4">
        <v>17</v>
      </c>
      <c r="AC4">
        <v>23</v>
      </c>
      <c r="AD4">
        <v>35</v>
      </c>
      <c r="AE4">
        <v>4</v>
      </c>
      <c r="AF4">
        <v>32.700000000000003</v>
      </c>
      <c r="AG4">
        <v>3</v>
      </c>
      <c r="AH4" t="s">
        <v>256</v>
      </c>
      <c r="AI4">
        <v>1.8</v>
      </c>
    </row>
    <row r="5" spans="3:35" x14ac:dyDescent="0.25">
      <c r="C5">
        <v>0.65</v>
      </c>
      <c r="D5" t="s">
        <v>257</v>
      </c>
      <c r="E5">
        <v>30</v>
      </c>
      <c r="F5">
        <v>19.399999999999999</v>
      </c>
      <c r="H5">
        <v>24</v>
      </c>
      <c r="J5">
        <v>3.7</v>
      </c>
      <c r="K5">
        <v>5.6</v>
      </c>
      <c r="L5">
        <v>6</v>
      </c>
      <c r="M5">
        <v>6.5</v>
      </c>
      <c r="N5">
        <v>9.4</v>
      </c>
      <c r="T5">
        <v>75</v>
      </c>
      <c r="U5">
        <v>34</v>
      </c>
      <c r="V5">
        <v>40</v>
      </c>
      <c r="W5">
        <v>43</v>
      </c>
      <c r="X5">
        <v>46</v>
      </c>
      <c r="Y5">
        <v>52</v>
      </c>
      <c r="Z5">
        <v>0</v>
      </c>
      <c r="AA5">
        <v>13</v>
      </c>
      <c r="AB5">
        <v>24</v>
      </c>
      <c r="AC5">
        <v>36</v>
      </c>
      <c r="AD5">
        <v>63</v>
      </c>
      <c r="AE5">
        <v>39</v>
      </c>
      <c r="AF5">
        <v>15.4</v>
      </c>
      <c r="AG5">
        <v>2.6</v>
      </c>
      <c r="AH5" t="s">
        <v>258</v>
      </c>
    </row>
    <row r="6" spans="3:35" x14ac:dyDescent="0.25">
      <c r="C6">
        <v>4.2</v>
      </c>
      <c r="D6" t="s">
        <v>257</v>
      </c>
      <c r="E6">
        <v>30</v>
      </c>
      <c r="F6">
        <v>19.399999999999999</v>
      </c>
      <c r="H6">
        <v>24</v>
      </c>
      <c r="J6">
        <v>13.3</v>
      </c>
      <c r="K6">
        <v>15.2</v>
      </c>
      <c r="L6">
        <v>15.5</v>
      </c>
      <c r="M6">
        <v>16</v>
      </c>
      <c r="N6">
        <v>19</v>
      </c>
      <c r="T6">
        <v>75</v>
      </c>
      <c r="U6">
        <v>34</v>
      </c>
      <c r="V6">
        <v>40</v>
      </c>
      <c r="W6">
        <v>43</v>
      </c>
      <c r="X6">
        <v>46</v>
      </c>
      <c r="Y6">
        <v>52</v>
      </c>
      <c r="Z6">
        <v>46</v>
      </c>
      <c r="AA6">
        <v>59</v>
      </c>
      <c r="AB6">
        <v>70</v>
      </c>
      <c r="AC6">
        <v>81</v>
      </c>
      <c r="AD6">
        <v>109</v>
      </c>
      <c r="AE6">
        <v>39</v>
      </c>
      <c r="AF6">
        <v>15.4</v>
      </c>
      <c r="AG6">
        <v>2.6</v>
      </c>
      <c r="AH6" t="s">
        <v>258</v>
      </c>
    </row>
    <row r="7" spans="3:35" x14ac:dyDescent="0.25">
      <c r="C7">
        <v>4.2</v>
      </c>
      <c r="D7" t="s">
        <v>259</v>
      </c>
      <c r="E7">
        <v>26</v>
      </c>
      <c r="F7">
        <v>20</v>
      </c>
      <c r="H7">
        <v>14</v>
      </c>
      <c r="J7">
        <v>6.2</v>
      </c>
      <c r="K7">
        <v>8.4</v>
      </c>
      <c r="L7">
        <v>8.9</v>
      </c>
      <c r="M7">
        <v>9.4</v>
      </c>
      <c r="N7">
        <v>11.2</v>
      </c>
      <c r="T7">
        <v>56</v>
      </c>
      <c r="U7">
        <v>32</v>
      </c>
      <c r="V7">
        <v>37</v>
      </c>
      <c r="W7">
        <v>40</v>
      </c>
      <c r="X7">
        <v>43</v>
      </c>
      <c r="Y7">
        <v>49</v>
      </c>
      <c r="Z7">
        <v>9</v>
      </c>
      <c r="AA7">
        <v>46</v>
      </c>
      <c r="AB7">
        <v>61</v>
      </c>
      <c r="AC7">
        <v>76</v>
      </c>
      <c r="AD7">
        <v>113</v>
      </c>
      <c r="AE7">
        <v>30.5</v>
      </c>
      <c r="AF7">
        <v>4.4000000000000004</v>
      </c>
      <c r="AG7">
        <v>1.2</v>
      </c>
      <c r="AH7" t="s">
        <v>260</v>
      </c>
    </row>
    <row r="8" spans="3:35" x14ac:dyDescent="0.25">
      <c r="C8">
        <v>6</v>
      </c>
      <c r="D8" t="s">
        <v>259</v>
      </c>
      <c r="E8">
        <v>26</v>
      </c>
      <c r="F8">
        <v>20</v>
      </c>
      <c r="H8">
        <v>14</v>
      </c>
      <c r="J8">
        <v>4.4000000000000004</v>
      </c>
      <c r="K8">
        <v>6.6</v>
      </c>
      <c r="L8">
        <v>7.1</v>
      </c>
      <c r="M8">
        <v>7.6</v>
      </c>
      <c r="N8">
        <v>9.4</v>
      </c>
      <c r="T8">
        <v>56</v>
      </c>
      <c r="U8">
        <v>32</v>
      </c>
      <c r="V8">
        <v>37</v>
      </c>
      <c r="W8">
        <v>40</v>
      </c>
      <c r="X8">
        <v>43</v>
      </c>
      <c r="Y8">
        <v>49</v>
      </c>
      <c r="Z8">
        <v>13</v>
      </c>
      <c r="AA8">
        <v>50</v>
      </c>
      <c r="AB8">
        <v>65</v>
      </c>
      <c r="AC8">
        <v>80</v>
      </c>
      <c r="AD8">
        <v>116</v>
      </c>
      <c r="AE8">
        <v>30.5</v>
      </c>
      <c r="AF8">
        <v>4.4000000000000004</v>
      </c>
      <c r="AG8">
        <v>1.2</v>
      </c>
      <c r="AH8" t="s">
        <v>260</v>
      </c>
    </row>
    <row r="9" spans="3:35" x14ac:dyDescent="0.25">
      <c r="C9">
        <v>6</v>
      </c>
      <c r="D9" t="s">
        <v>261</v>
      </c>
      <c r="E9">
        <v>24</v>
      </c>
      <c r="F9">
        <v>19.899999999999999</v>
      </c>
      <c r="H9">
        <v>6</v>
      </c>
      <c r="J9">
        <v>7.4</v>
      </c>
      <c r="K9">
        <v>10.3</v>
      </c>
      <c r="L9">
        <v>10.8</v>
      </c>
      <c r="M9">
        <v>12.3</v>
      </c>
      <c r="N9">
        <v>20.6</v>
      </c>
      <c r="T9">
        <v>68</v>
      </c>
      <c r="U9">
        <v>33</v>
      </c>
      <c r="V9">
        <v>39</v>
      </c>
      <c r="W9">
        <v>42</v>
      </c>
      <c r="X9">
        <v>45</v>
      </c>
      <c r="Y9">
        <v>51</v>
      </c>
      <c r="Z9">
        <v>6</v>
      </c>
      <c r="AA9">
        <v>54</v>
      </c>
      <c r="AB9">
        <v>74</v>
      </c>
      <c r="AC9">
        <v>95</v>
      </c>
      <c r="AD9">
        <v>145</v>
      </c>
      <c r="AE9">
        <v>58.9</v>
      </c>
      <c r="AF9">
        <v>4.5999999999999996</v>
      </c>
      <c r="AG9">
        <v>1.2</v>
      </c>
      <c r="AH9" t="s">
        <v>262</v>
      </c>
    </row>
    <row r="10" spans="3:35" x14ac:dyDescent="0.25">
      <c r="C10">
        <v>9</v>
      </c>
      <c r="D10" t="s">
        <v>261</v>
      </c>
      <c r="E10">
        <v>24</v>
      </c>
      <c r="F10">
        <v>19.899999999999999</v>
      </c>
      <c r="H10">
        <v>6</v>
      </c>
      <c r="J10">
        <v>12.6</v>
      </c>
      <c r="K10">
        <v>15.4</v>
      </c>
      <c r="L10">
        <v>16</v>
      </c>
      <c r="M10">
        <v>17.399999999999999</v>
      </c>
      <c r="N10">
        <v>25.8</v>
      </c>
      <c r="T10">
        <v>68</v>
      </c>
      <c r="U10">
        <v>33</v>
      </c>
      <c r="V10">
        <v>39</v>
      </c>
      <c r="W10">
        <v>42</v>
      </c>
      <c r="X10">
        <v>45</v>
      </c>
      <c r="Y10">
        <v>51</v>
      </c>
      <c r="Z10">
        <v>26</v>
      </c>
      <c r="AA10">
        <v>74</v>
      </c>
      <c r="AB10">
        <v>95</v>
      </c>
      <c r="AC10">
        <v>115</v>
      </c>
      <c r="AD10">
        <v>165</v>
      </c>
      <c r="AE10">
        <v>58.9</v>
      </c>
      <c r="AF10">
        <v>4.5999999999999996</v>
      </c>
      <c r="AG10">
        <v>1.2</v>
      </c>
      <c r="AH10" t="s">
        <v>262</v>
      </c>
    </row>
    <row r="11" spans="3:35" x14ac:dyDescent="0.25">
      <c r="C11">
        <v>9</v>
      </c>
      <c r="D11" t="s">
        <v>261</v>
      </c>
      <c r="E11">
        <v>24</v>
      </c>
      <c r="F11">
        <v>19.899999999999999</v>
      </c>
      <c r="H11">
        <v>6</v>
      </c>
      <c r="J11">
        <v>15.2</v>
      </c>
      <c r="K11">
        <v>24.2</v>
      </c>
      <c r="L11">
        <v>24.8</v>
      </c>
      <c r="M11">
        <v>25.4</v>
      </c>
      <c r="N11">
        <v>39.200000000000003</v>
      </c>
      <c r="T11">
        <v>79</v>
      </c>
      <c r="U11">
        <v>34</v>
      </c>
      <c r="V11">
        <v>40</v>
      </c>
      <c r="W11">
        <v>43</v>
      </c>
      <c r="X11">
        <v>46</v>
      </c>
      <c r="Y11">
        <v>52</v>
      </c>
      <c r="Z11">
        <v>16</v>
      </c>
      <c r="AA11">
        <v>82</v>
      </c>
      <c r="AB11">
        <v>108</v>
      </c>
      <c r="AC11">
        <v>135</v>
      </c>
      <c r="AD11">
        <v>200</v>
      </c>
      <c r="AE11">
        <v>89.5</v>
      </c>
      <c r="AF11">
        <v>4.4000000000000004</v>
      </c>
      <c r="AG11">
        <v>1.2</v>
      </c>
      <c r="AH11" t="s">
        <v>263</v>
      </c>
    </row>
    <row r="12" spans="3:35" x14ac:dyDescent="0.25">
      <c r="C12">
        <v>12.9</v>
      </c>
      <c r="D12" t="s">
        <v>261</v>
      </c>
      <c r="E12">
        <v>24</v>
      </c>
      <c r="F12">
        <v>19.899999999999999</v>
      </c>
      <c r="H12">
        <v>6</v>
      </c>
      <c r="J12">
        <v>10.5</v>
      </c>
      <c r="K12">
        <v>19.399999999999999</v>
      </c>
      <c r="L12">
        <v>20</v>
      </c>
      <c r="M12">
        <v>20.6</v>
      </c>
      <c r="N12">
        <v>34.4</v>
      </c>
      <c r="T12">
        <v>79</v>
      </c>
      <c r="U12">
        <v>34</v>
      </c>
      <c r="V12">
        <v>40</v>
      </c>
      <c r="W12">
        <v>43</v>
      </c>
      <c r="X12">
        <v>46</v>
      </c>
      <c r="Y12">
        <v>52</v>
      </c>
      <c r="Z12">
        <v>25</v>
      </c>
      <c r="AA12">
        <v>90</v>
      </c>
      <c r="AB12">
        <v>117</v>
      </c>
      <c r="AC12">
        <v>143</v>
      </c>
      <c r="AD12">
        <v>208</v>
      </c>
      <c r="AE12">
        <v>89.5</v>
      </c>
      <c r="AF12">
        <v>4.4000000000000004</v>
      </c>
      <c r="AG12">
        <v>1.2</v>
      </c>
      <c r="AH12" t="s">
        <v>263</v>
      </c>
    </row>
    <row r="13" spans="3:35" x14ac:dyDescent="0.25">
      <c r="C13">
        <v>12.9</v>
      </c>
      <c r="D13" t="s">
        <v>264</v>
      </c>
      <c r="E13">
        <v>32</v>
      </c>
      <c r="F13">
        <v>18.5</v>
      </c>
      <c r="H13">
        <v>38</v>
      </c>
      <c r="J13">
        <v>5.7</v>
      </c>
      <c r="K13">
        <v>8.4</v>
      </c>
      <c r="L13">
        <v>8.6999999999999993</v>
      </c>
      <c r="M13">
        <v>8.9</v>
      </c>
      <c r="N13">
        <v>11.2</v>
      </c>
      <c r="T13">
        <v>59</v>
      </c>
      <c r="U13">
        <v>26</v>
      </c>
      <c r="V13">
        <v>26</v>
      </c>
      <c r="W13">
        <v>28</v>
      </c>
      <c r="X13">
        <v>30</v>
      </c>
      <c r="Y13">
        <v>34</v>
      </c>
      <c r="Z13">
        <v>12</v>
      </c>
      <c r="AA13">
        <v>72</v>
      </c>
      <c r="AB13">
        <v>97</v>
      </c>
      <c r="AC13">
        <v>122</v>
      </c>
      <c r="AD13">
        <v>183</v>
      </c>
      <c r="AE13">
        <v>12.7</v>
      </c>
      <c r="AF13">
        <v>2.5</v>
      </c>
      <c r="AG13">
        <v>0.9</v>
      </c>
      <c r="AH13" t="s">
        <v>265</v>
      </c>
    </row>
    <row r="14" spans="3:35" x14ac:dyDescent="0.25">
      <c r="C14">
        <v>25</v>
      </c>
      <c r="D14" t="s">
        <v>264</v>
      </c>
      <c r="E14">
        <v>32</v>
      </c>
      <c r="F14">
        <v>18.5</v>
      </c>
      <c r="H14">
        <v>38</v>
      </c>
      <c r="J14">
        <v>3.8</v>
      </c>
      <c r="K14">
        <v>6.4</v>
      </c>
      <c r="L14">
        <v>6.7</v>
      </c>
      <c r="M14">
        <v>6.9</v>
      </c>
      <c r="N14">
        <v>9.3000000000000007</v>
      </c>
      <c r="T14">
        <v>59</v>
      </c>
      <c r="U14">
        <v>26</v>
      </c>
      <c r="V14">
        <v>26</v>
      </c>
      <c r="W14">
        <v>28</v>
      </c>
      <c r="X14">
        <v>30</v>
      </c>
      <c r="Y14">
        <v>34</v>
      </c>
      <c r="Z14">
        <v>28</v>
      </c>
      <c r="AA14">
        <v>88</v>
      </c>
      <c r="AB14">
        <v>113</v>
      </c>
      <c r="AC14">
        <v>137</v>
      </c>
      <c r="AD14">
        <v>198</v>
      </c>
      <c r="AE14">
        <v>12.7</v>
      </c>
      <c r="AF14">
        <v>2.5</v>
      </c>
      <c r="AG14">
        <v>0.9</v>
      </c>
      <c r="AH14" t="s">
        <v>265</v>
      </c>
    </row>
    <row r="15" spans="3:35" x14ac:dyDescent="0.25">
      <c r="C15">
        <v>25</v>
      </c>
      <c r="D15" t="s">
        <v>266</v>
      </c>
      <c r="E15">
        <v>34</v>
      </c>
      <c r="F15">
        <v>18.5</v>
      </c>
      <c r="G15">
        <v>23</v>
      </c>
      <c r="H15">
        <v>76</v>
      </c>
      <c r="I15">
        <v>4</v>
      </c>
      <c r="J15">
        <v>2.7</v>
      </c>
      <c r="K15">
        <v>4.4000000000000004</v>
      </c>
      <c r="L15">
        <v>4.5</v>
      </c>
      <c r="M15">
        <v>4.7</v>
      </c>
      <c r="N15">
        <v>7</v>
      </c>
      <c r="O15">
        <v>35</v>
      </c>
      <c r="P15">
        <v>168</v>
      </c>
      <c r="Q15">
        <v>224</v>
      </c>
      <c r="R15">
        <v>281</v>
      </c>
      <c r="S15">
        <v>444</v>
      </c>
      <c r="Z15">
        <v>25</v>
      </c>
      <c r="AA15">
        <v>123</v>
      </c>
      <c r="AB15">
        <v>218</v>
      </c>
      <c r="AC15">
        <v>312</v>
      </c>
      <c r="AD15">
        <v>545</v>
      </c>
      <c r="AE15">
        <v>20.100000000000001</v>
      </c>
      <c r="AF15">
        <v>5.5</v>
      </c>
      <c r="AG15">
        <v>1.9</v>
      </c>
      <c r="AH15" t="s">
        <v>267</v>
      </c>
      <c r="AI15">
        <v>1.8</v>
      </c>
    </row>
    <row r="16" spans="3:35" x14ac:dyDescent="0.25">
      <c r="C16">
        <v>38.1</v>
      </c>
      <c r="D16" t="s">
        <v>266</v>
      </c>
      <c r="E16">
        <v>34</v>
      </c>
      <c r="F16">
        <v>18.5</v>
      </c>
      <c r="G16">
        <v>23</v>
      </c>
      <c r="H16">
        <v>76</v>
      </c>
      <c r="I16">
        <v>4</v>
      </c>
      <c r="J16">
        <v>5.5</v>
      </c>
      <c r="K16">
        <v>7.2</v>
      </c>
      <c r="L16">
        <v>7.3</v>
      </c>
      <c r="M16">
        <v>7.5</v>
      </c>
      <c r="N16">
        <v>9.8000000000000007</v>
      </c>
      <c r="O16">
        <v>178</v>
      </c>
      <c r="P16">
        <v>312</v>
      </c>
      <c r="Q16">
        <v>367</v>
      </c>
      <c r="R16">
        <v>424</v>
      </c>
      <c r="S16">
        <v>588</v>
      </c>
      <c r="Z16">
        <v>212</v>
      </c>
      <c r="AA16">
        <v>310</v>
      </c>
      <c r="AB16">
        <v>405</v>
      </c>
      <c r="AC16">
        <v>499</v>
      </c>
      <c r="AD16">
        <v>732</v>
      </c>
      <c r="AE16">
        <v>20.100000000000001</v>
      </c>
      <c r="AF16">
        <v>5.5</v>
      </c>
      <c r="AG16">
        <v>1.9</v>
      </c>
      <c r="AH16" t="s">
        <v>267</v>
      </c>
      <c r="AI16">
        <v>1.8</v>
      </c>
    </row>
    <row r="17" spans="3:35" x14ac:dyDescent="0.25">
      <c r="C17">
        <v>38.1</v>
      </c>
      <c r="D17" t="s">
        <v>268</v>
      </c>
      <c r="E17">
        <v>28</v>
      </c>
      <c r="F17">
        <v>19</v>
      </c>
      <c r="H17">
        <v>28</v>
      </c>
      <c r="J17">
        <v>18.3</v>
      </c>
      <c r="K17">
        <v>26.8</v>
      </c>
      <c r="L17">
        <v>27.9</v>
      </c>
      <c r="M17">
        <v>28.9</v>
      </c>
      <c r="N17">
        <v>36.9</v>
      </c>
      <c r="T17">
        <v>80</v>
      </c>
      <c r="U17">
        <v>26</v>
      </c>
      <c r="V17">
        <v>28</v>
      </c>
      <c r="W17">
        <v>31</v>
      </c>
      <c r="X17">
        <v>33</v>
      </c>
      <c r="Y17">
        <v>37</v>
      </c>
      <c r="Z17">
        <v>38</v>
      </c>
      <c r="AA17">
        <v>142</v>
      </c>
      <c r="AB17">
        <v>188</v>
      </c>
      <c r="AC17">
        <v>234</v>
      </c>
      <c r="AD17">
        <v>349</v>
      </c>
      <c r="AE17">
        <v>46</v>
      </c>
      <c r="AF17">
        <v>3.4</v>
      </c>
      <c r="AG17">
        <v>1</v>
      </c>
      <c r="AH17" t="s">
        <v>269</v>
      </c>
    </row>
    <row r="18" spans="3:35" x14ac:dyDescent="0.25">
      <c r="C18">
        <v>44</v>
      </c>
      <c r="D18" t="s">
        <v>268</v>
      </c>
      <c r="E18">
        <v>28</v>
      </c>
      <c r="F18">
        <v>19</v>
      </c>
      <c r="H18">
        <v>28</v>
      </c>
      <c r="J18">
        <v>23</v>
      </c>
      <c r="K18">
        <v>31.5</v>
      </c>
      <c r="L18">
        <v>32.6</v>
      </c>
      <c r="M18">
        <v>33.6</v>
      </c>
      <c r="N18">
        <v>41.6</v>
      </c>
      <c r="T18">
        <v>80</v>
      </c>
      <c r="U18">
        <v>26</v>
      </c>
      <c r="V18">
        <v>28</v>
      </c>
      <c r="W18">
        <v>31</v>
      </c>
      <c r="X18">
        <v>33</v>
      </c>
      <c r="Y18">
        <v>37</v>
      </c>
      <c r="Z18">
        <v>55</v>
      </c>
      <c r="AA18">
        <v>159</v>
      </c>
      <c r="AB18">
        <v>205</v>
      </c>
      <c r="AC18">
        <v>251</v>
      </c>
      <c r="AD18">
        <v>366</v>
      </c>
      <c r="AE18">
        <v>46</v>
      </c>
      <c r="AF18">
        <v>3.4</v>
      </c>
      <c r="AG18">
        <v>1</v>
      </c>
      <c r="AH18" t="s">
        <v>269</v>
      </c>
    </row>
    <row r="19" spans="3:35" x14ac:dyDescent="0.25">
      <c r="C19">
        <v>44</v>
      </c>
      <c r="D19" t="s">
        <v>268</v>
      </c>
      <c r="E19">
        <v>28</v>
      </c>
      <c r="F19">
        <v>19</v>
      </c>
      <c r="H19">
        <v>28</v>
      </c>
      <c r="J19">
        <v>18</v>
      </c>
      <c r="K19">
        <v>31.5</v>
      </c>
      <c r="L19">
        <v>32.6</v>
      </c>
      <c r="M19">
        <v>33.6</v>
      </c>
      <c r="N19">
        <v>41.6</v>
      </c>
      <c r="T19">
        <v>80</v>
      </c>
      <c r="U19">
        <v>26</v>
      </c>
      <c r="V19">
        <v>28</v>
      </c>
      <c r="W19">
        <v>31</v>
      </c>
      <c r="X19">
        <v>33</v>
      </c>
      <c r="Y19">
        <v>38</v>
      </c>
      <c r="Z19">
        <v>44</v>
      </c>
      <c r="AA19">
        <v>132</v>
      </c>
      <c r="AB19">
        <v>182</v>
      </c>
      <c r="AC19">
        <v>232</v>
      </c>
      <c r="AD19">
        <v>359</v>
      </c>
      <c r="AE19">
        <v>46</v>
      </c>
      <c r="AF19">
        <v>3</v>
      </c>
      <c r="AG19">
        <v>1</v>
      </c>
      <c r="AH19" t="s">
        <v>270</v>
      </c>
    </row>
    <row r="20" spans="3:35" x14ac:dyDescent="0.25">
      <c r="C20">
        <v>48.8</v>
      </c>
      <c r="D20" t="s">
        <v>268</v>
      </c>
      <c r="E20">
        <v>28</v>
      </c>
      <c r="F20">
        <v>19</v>
      </c>
      <c r="H20">
        <v>28</v>
      </c>
      <c r="J20">
        <v>33</v>
      </c>
      <c r="K20">
        <v>46.5</v>
      </c>
      <c r="L20">
        <v>47.6</v>
      </c>
      <c r="M20">
        <v>48.6</v>
      </c>
      <c r="N20">
        <v>56.6</v>
      </c>
      <c r="T20">
        <v>80</v>
      </c>
      <c r="U20">
        <v>26</v>
      </c>
      <c r="V20">
        <v>28</v>
      </c>
      <c r="W20">
        <v>31</v>
      </c>
      <c r="X20">
        <v>33</v>
      </c>
      <c r="Y20">
        <v>38</v>
      </c>
      <c r="Z20">
        <v>118</v>
      </c>
      <c r="AA20">
        <v>207</v>
      </c>
      <c r="AB20">
        <v>257</v>
      </c>
      <c r="AC20">
        <v>307</v>
      </c>
      <c r="AD20">
        <v>433</v>
      </c>
      <c r="AE20">
        <v>46</v>
      </c>
      <c r="AF20">
        <v>3</v>
      </c>
      <c r="AG20">
        <v>1</v>
      </c>
      <c r="AH20" t="s">
        <v>270</v>
      </c>
    </row>
    <row r="21" spans="3:35" x14ac:dyDescent="0.25">
      <c r="C21">
        <v>48.8</v>
      </c>
      <c r="D21" t="s">
        <v>271</v>
      </c>
      <c r="E21">
        <v>25</v>
      </c>
      <c r="F21">
        <v>19.8</v>
      </c>
      <c r="H21">
        <v>11</v>
      </c>
      <c r="J21">
        <v>12</v>
      </c>
      <c r="K21">
        <v>18.899999999999999</v>
      </c>
      <c r="L21">
        <v>20.3</v>
      </c>
      <c r="M21">
        <v>23.4</v>
      </c>
      <c r="N21">
        <v>39.700000000000003</v>
      </c>
      <c r="T21">
        <v>68</v>
      </c>
      <c r="U21">
        <v>26</v>
      </c>
      <c r="V21">
        <v>28</v>
      </c>
      <c r="W21">
        <v>30</v>
      </c>
      <c r="X21">
        <v>33</v>
      </c>
      <c r="Y21">
        <v>37</v>
      </c>
      <c r="Z21">
        <v>48</v>
      </c>
      <c r="AA21">
        <v>146</v>
      </c>
      <c r="AB21">
        <v>196</v>
      </c>
      <c r="AC21">
        <v>246</v>
      </c>
      <c r="AD21">
        <v>371</v>
      </c>
      <c r="AE21">
        <v>46</v>
      </c>
      <c r="AF21">
        <v>2.5</v>
      </c>
      <c r="AG21">
        <v>0.9</v>
      </c>
      <c r="AH21" t="s">
        <v>272</v>
      </c>
    </row>
    <row r="22" spans="3:35" x14ac:dyDescent="0.25">
      <c r="C22">
        <v>65.5</v>
      </c>
      <c r="D22" t="s">
        <v>271</v>
      </c>
      <c r="E22">
        <v>25</v>
      </c>
      <c r="F22">
        <v>19.8</v>
      </c>
      <c r="H22">
        <v>11</v>
      </c>
      <c r="J22">
        <v>32.6</v>
      </c>
      <c r="K22">
        <v>39.5</v>
      </c>
      <c r="L22">
        <v>40.799999999999997</v>
      </c>
      <c r="M22">
        <v>44</v>
      </c>
      <c r="N22">
        <v>60.3</v>
      </c>
      <c r="T22">
        <v>68</v>
      </c>
      <c r="U22">
        <v>26</v>
      </c>
      <c r="V22">
        <v>28</v>
      </c>
      <c r="W22">
        <v>30</v>
      </c>
      <c r="X22">
        <v>33</v>
      </c>
      <c r="Y22">
        <v>37</v>
      </c>
      <c r="Z22">
        <v>92</v>
      </c>
      <c r="AA22">
        <v>190</v>
      </c>
      <c r="AB22">
        <v>239</v>
      </c>
      <c r="AC22">
        <v>289</v>
      </c>
      <c r="AD22">
        <v>415</v>
      </c>
      <c r="AE22">
        <v>46</v>
      </c>
      <c r="AF22">
        <v>2.5</v>
      </c>
      <c r="AG22">
        <v>0.9</v>
      </c>
      <c r="AH22" t="s">
        <v>272</v>
      </c>
    </row>
    <row r="23" spans="3:35" x14ac:dyDescent="0.25">
      <c r="C23">
        <v>65.5</v>
      </c>
      <c r="D23" t="s">
        <v>273</v>
      </c>
      <c r="E23">
        <v>32</v>
      </c>
      <c r="F23">
        <v>18.899999999999999</v>
      </c>
      <c r="G23">
        <v>47</v>
      </c>
      <c r="H23">
        <v>85</v>
      </c>
      <c r="I23">
        <v>3</v>
      </c>
      <c r="J23">
        <v>2.4</v>
      </c>
      <c r="K23">
        <v>10.5</v>
      </c>
      <c r="L23">
        <v>11.9</v>
      </c>
      <c r="M23">
        <v>27</v>
      </c>
      <c r="N23">
        <v>73.7</v>
      </c>
      <c r="O23">
        <v>402</v>
      </c>
      <c r="P23">
        <v>488</v>
      </c>
      <c r="Q23">
        <v>531</v>
      </c>
      <c r="R23">
        <v>575</v>
      </c>
      <c r="S23">
        <v>661</v>
      </c>
      <c r="Z23">
        <v>503</v>
      </c>
      <c r="AA23">
        <v>675</v>
      </c>
      <c r="AB23">
        <v>761</v>
      </c>
      <c r="AC23">
        <v>848</v>
      </c>
      <c r="AD23">
        <v>1020</v>
      </c>
      <c r="AE23">
        <v>45.8</v>
      </c>
      <c r="AF23">
        <v>5.0999999999999996</v>
      </c>
      <c r="AG23">
        <v>1.8</v>
      </c>
      <c r="AH23" t="s">
        <v>274</v>
      </c>
      <c r="AI23">
        <v>1.8</v>
      </c>
    </row>
    <row r="24" spans="3:35" x14ac:dyDescent="0.25">
      <c r="C24">
        <v>80</v>
      </c>
      <c r="D24" t="s">
        <v>273</v>
      </c>
      <c r="E24">
        <v>32</v>
      </c>
      <c r="F24">
        <v>18.899999999999999</v>
      </c>
      <c r="G24">
        <v>47</v>
      </c>
      <c r="H24">
        <v>85</v>
      </c>
      <c r="I24">
        <v>3</v>
      </c>
      <c r="J24">
        <v>4.3</v>
      </c>
      <c r="K24">
        <v>12.4</v>
      </c>
      <c r="L24">
        <v>13.8</v>
      </c>
      <c r="M24">
        <v>28.9</v>
      </c>
      <c r="N24">
        <v>75.599999999999994</v>
      </c>
      <c r="O24">
        <v>482</v>
      </c>
      <c r="P24">
        <v>568</v>
      </c>
      <c r="Q24">
        <v>611</v>
      </c>
      <c r="R24">
        <v>655</v>
      </c>
      <c r="S24">
        <v>741</v>
      </c>
      <c r="Z24">
        <v>654</v>
      </c>
      <c r="AA24">
        <v>826</v>
      </c>
      <c r="AB24">
        <v>913</v>
      </c>
      <c r="AC24">
        <v>999</v>
      </c>
      <c r="AD24">
        <v>1171</v>
      </c>
      <c r="AE24">
        <v>45.8</v>
      </c>
      <c r="AF24">
        <v>5.0999999999999996</v>
      </c>
      <c r="AG24">
        <v>1.8</v>
      </c>
      <c r="AH24" t="s">
        <v>274</v>
      </c>
      <c r="AI24">
        <v>1.8</v>
      </c>
    </row>
    <row r="27" spans="3:35" x14ac:dyDescent="0.25">
      <c r="T27">
        <v>11111</v>
      </c>
    </row>
    <row r="28" spans="3:35" x14ac:dyDescent="0.25">
      <c r="T28">
        <v>75</v>
      </c>
    </row>
    <row r="29" spans="3:35" x14ac:dyDescent="0.25">
      <c r="T29">
        <v>56</v>
      </c>
    </row>
    <row r="30" spans="3:35" x14ac:dyDescent="0.25">
      <c r="T30">
        <v>68</v>
      </c>
    </row>
    <row r="31" spans="3:35" x14ac:dyDescent="0.25">
      <c r="T31">
        <v>79</v>
      </c>
    </row>
    <row r="32" spans="3:35" x14ac:dyDescent="0.25">
      <c r="T32">
        <v>59</v>
      </c>
    </row>
    <row r="33" spans="20:20" x14ac:dyDescent="0.25">
      <c r="T33">
        <v>111111</v>
      </c>
    </row>
    <row r="34" spans="20:20" x14ac:dyDescent="0.25">
      <c r="T34">
        <v>80</v>
      </c>
    </row>
    <row r="35" spans="20:20" x14ac:dyDescent="0.25">
      <c r="T35">
        <v>80</v>
      </c>
    </row>
    <row r="36" spans="20:20" x14ac:dyDescent="0.25">
      <c r="T36">
        <v>68</v>
      </c>
    </row>
    <row r="37" spans="20:20" x14ac:dyDescent="0.25">
      <c r="T37">
        <v>11111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47D7E-6B9F-4C16-9F5D-355CC16665D9}">
  <sheetPr>
    <tabColor theme="9" tint="0.59999389629810485"/>
  </sheetPr>
  <dimension ref="A1:AS258"/>
  <sheetViews>
    <sheetView topLeftCell="L1" zoomScale="106" zoomScaleNormal="106" workbookViewId="0">
      <selection activeCell="Y10" sqref="Y10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9.5703125" style="33" bestFit="1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6.5703125" style="33" bestFit="1" customWidth="1"/>
    <col min="16" max="16" width="8.5703125" style="33" bestFit="1" customWidth="1"/>
    <col min="17" max="18" width="9.5703125" style="33" bestFit="1" customWidth="1"/>
    <col min="19" max="19" width="4" style="33" bestFit="1" customWidth="1"/>
    <col min="20" max="20" width="5.5703125" style="33" bestFit="1" customWidth="1"/>
    <col min="21" max="21" width="9.5703125" style="33" bestFit="1" customWidth="1"/>
    <col min="22" max="22" width="15.28515625" style="33" bestFit="1" customWidth="1"/>
    <col min="23" max="23" width="4" style="33" bestFit="1" customWidth="1"/>
    <col min="24" max="24" width="7" style="33" bestFit="1" customWidth="1"/>
    <col min="25" max="25" width="8.42578125" style="33" bestFit="1" customWidth="1"/>
    <col min="26" max="26" width="9.7109375" style="33" bestFit="1" customWidth="1"/>
    <col min="27" max="27" width="11" style="33" bestFit="1" customWidth="1"/>
    <col min="28" max="28" width="8.5703125" style="33" bestFit="1" customWidth="1"/>
    <col min="29" max="29" width="14.85546875" style="33" customWidth="1"/>
    <col min="30" max="30" width="8.85546875" style="33" bestFit="1" customWidth="1"/>
    <col min="31" max="31" width="7.85546875" style="33" bestFit="1" customWidth="1"/>
    <col min="32" max="32" width="5.5703125" style="33" bestFit="1" customWidth="1"/>
    <col min="33" max="33" width="11" style="33" bestFit="1" customWidth="1"/>
    <col min="34" max="34" width="5.42578125" style="33" bestFit="1" customWidth="1"/>
    <col min="35" max="35" width="4.85546875" style="33" bestFit="1" customWidth="1"/>
    <col min="36" max="36" width="3.5703125" style="33" bestFit="1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16384" width="9.140625" style="33"/>
  </cols>
  <sheetData>
    <row r="1" spans="1:45" x14ac:dyDescent="0.25">
      <c r="A1" s="34" t="str">
        <f ca="1">TRIM(MID(CELL("filename",A1),FIND("]",CELL("filename",A1),1)+1,255))</f>
        <v>Location_BH-55 BE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06"/>
      <c r="R3" s="155"/>
      <c r="S3" s="155"/>
      <c r="T3" s="106"/>
      <c r="U3" s="155"/>
      <c r="V3" s="155"/>
      <c r="W3" s="106"/>
      <c r="X3" s="106"/>
      <c r="Y3" s="106"/>
      <c r="Z3" s="106"/>
      <c r="AA3" s="106"/>
      <c r="AB3" s="106"/>
      <c r="AC3" s="156"/>
      <c r="AD3" s="156"/>
      <c r="AE3" s="156"/>
      <c r="AF3" s="156"/>
      <c r="AG3" s="156"/>
      <c r="AH3" s="156"/>
      <c r="AI3" s="156"/>
      <c r="AJ3" s="106"/>
      <c r="AK3" s="106"/>
      <c r="AL3" s="106"/>
      <c r="AM3" s="106"/>
      <c r="AN3" s="106"/>
    </row>
    <row r="4" spans="1:45" x14ac:dyDescent="0.25">
      <c r="A4" s="40" t="s">
        <v>60</v>
      </c>
      <c r="B4" s="33">
        <f>COUNTIF(J:J,"&gt;0")</f>
        <v>6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282</v>
      </c>
      <c r="AP4" s="43" t="s">
        <v>283</v>
      </c>
      <c r="AQ4" s="43" t="s">
        <v>284</v>
      </c>
      <c r="AR4" s="43" t="s">
        <v>285</v>
      </c>
      <c r="AS4" s="43" t="s">
        <v>286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07" t="s">
        <v>38</v>
      </c>
      <c r="K5" s="107" t="s">
        <v>30</v>
      </c>
      <c r="L5" s="107" t="s">
        <v>31</v>
      </c>
      <c r="M5" s="107" t="s">
        <v>31</v>
      </c>
      <c r="N5" s="107" t="s">
        <v>32</v>
      </c>
      <c r="O5" s="107" t="s">
        <v>33</v>
      </c>
      <c r="P5" s="107" t="s">
        <v>35</v>
      </c>
      <c r="Q5" s="107" t="s">
        <v>36</v>
      </c>
      <c r="R5" s="107" t="s">
        <v>36</v>
      </c>
      <c r="S5" s="107" t="s">
        <v>34</v>
      </c>
      <c r="T5" s="107" t="s">
        <v>33</v>
      </c>
      <c r="U5" s="107" t="s">
        <v>34</v>
      </c>
      <c r="V5" s="107" t="s">
        <v>62</v>
      </c>
      <c r="W5" s="107" t="s">
        <v>34</v>
      </c>
      <c r="X5" s="107" t="s">
        <v>33</v>
      </c>
      <c r="Y5" s="107" t="s">
        <v>35</v>
      </c>
      <c r="Z5" s="107" t="s">
        <v>33</v>
      </c>
      <c r="AA5" s="107" t="s">
        <v>34</v>
      </c>
      <c r="AB5" s="107" t="s">
        <v>33</v>
      </c>
      <c r="AC5" s="107" t="s">
        <v>33</v>
      </c>
      <c r="AD5" s="107" t="s">
        <v>35</v>
      </c>
      <c r="AE5" s="107" t="s">
        <v>34</v>
      </c>
      <c r="AF5" s="107" t="s">
        <v>33</v>
      </c>
      <c r="AG5" s="107" t="s">
        <v>35</v>
      </c>
      <c r="AH5" s="107" t="s">
        <v>34</v>
      </c>
      <c r="AI5" s="107" t="s">
        <v>34</v>
      </c>
      <c r="AJ5" s="107" t="s">
        <v>34</v>
      </c>
      <c r="AK5" s="107" t="s">
        <v>34</v>
      </c>
      <c r="AL5" s="107" t="s">
        <v>34</v>
      </c>
      <c r="AM5" s="107" t="s">
        <v>34</v>
      </c>
      <c r="AN5" s="107" t="s">
        <v>34</v>
      </c>
      <c r="AO5" s="107" t="s">
        <v>34</v>
      </c>
      <c r="AP5" s="107" t="s">
        <v>33</v>
      </c>
      <c r="AQ5" s="107" t="s">
        <v>34</v>
      </c>
      <c r="AR5" s="107" t="s">
        <v>34</v>
      </c>
    </row>
    <row r="6" spans="1:45" x14ac:dyDescent="0.25">
      <c r="C6" s="45"/>
      <c r="F6" s="33" t="s">
        <v>67</v>
      </c>
      <c r="G6" s="57">
        <v>0</v>
      </c>
      <c r="H6" s="45" t="s">
        <v>28</v>
      </c>
      <c r="I6" s="33">
        <v>1</v>
      </c>
      <c r="J6" s="47">
        <v>1</v>
      </c>
      <c r="K6" s="63">
        <v>0</v>
      </c>
      <c r="L6" s="33" t="s">
        <v>112</v>
      </c>
      <c r="M6" s="49" t="s">
        <v>64</v>
      </c>
      <c r="N6" s="47">
        <v>9.6000000000000014</v>
      </c>
      <c r="O6" s="63">
        <v>0</v>
      </c>
      <c r="P6" s="63">
        <v>0</v>
      </c>
      <c r="Q6" s="47">
        <v>45</v>
      </c>
      <c r="R6" s="47">
        <f t="shared" ref="R6:R11" si="0">Q6-5</f>
        <v>40</v>
      </c>
      <c r="S6" s="47">
        <v>1.5</v>
      </c>
      <c r="T6" s="47">
        <v>0</v>
      </c>
      <c r="U6" s="47">
        <v>0</v>
      </c>
      <c r="V6" s="47">
        <v>0</v>
      </c>
      <c r="W6" s="47">
        <v>0.5</v>
      </c>
      <c r="X6" s="81">
        <v>2000</v>
      </c>
      <c r="Y6" s="81">
        <v>0</v>
      </c>
      <c r="Z6" s="108">
        <f t="shared" ref="Z6:Z11" si="1">VLOOKUP(R6,$AE$31:$AF$51,2)</f>
        <v>114.99999999999996</v>
      </c>
      <c r="AA6" s="108">
        <v>1</v>
      </c>
      <c r="AB6" s="108">
        <f>VLOOKUP(R6,$AE$31:$AG$51,3)</f>
        <v>12000</v>
      </c>
      <c r="AC6" s="47">
        <v>50000</v>
      </c>
      <c r="AD6" s="47">
        <v>0</v>
      </c>
      <c r="AE6" s="81">
        <v>0.3</v>
      </c>
      <c r="AF6" s="47">
        <v>0</v>
      </c>
      <c r="AG6" s="47">
        <v>0</v>
      </c>
      <c r="AH6" s="47">
        <v>0</v>
      </c>
      <c r="AI6" s="47">
        <v>0</v>
      </c>
      <c r="AJ6" s="47">
        <f>VLOOKUP(R6,$AE$39:$AH$59,4)</f>
        <v>50.000000000000007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>
        <v>1</v>
      </c>
      <c r="J7" s="47">
        <v>2</v>
      </c>
      <c r="K7" s="63">
        <v>-1</v>
      </c>
      <c r="L7" s="33" t="s">
        <v>112</v>
      </c>
      <c r="M7" s="49" t="s">
        <v>64</v>
      </c>
      <c r="N7" s="47">
        <v>9.6000000000000014</v>
      </c>
      <c r="O7" s="63">
        <v>0</v>
      </c>
      <c r="P7" s="63">
        <v>0</v>
      </c>
      <c r="Q7" s="47">
        <v>45</v>
      </c>
      <c r="R7" s="47">
        <f t="shared" si="0"/>
        <v>40</v>
      </c>
      <c r="S7" s="47">
        <v>1.5</v>
      </c>
      <c r="T7" s="47">
        <v>0</v>
      </c>
      <c r="U7" s="47">
        <v>0</v>
      </c>
      <c r="V7" s="47">
        <v>0</v>
      </c>
      <c r="W7" s="47">
        <v>0.5</v>
      </c>
      <c r="X7" s="81">
        <v>45000</v>
      </c>
      <c r="Y7" s="81">
        <v>0</v>
      </c>
      <c r="Z7" s="108">
        <f t="shared" si="1"/>
        <v>114.99999999999996</v>
      </c>
      <c r="AA7" s="108">
        <v>1</v>
      </c>
      <c r="AB7" s="108">
        <f t="shared" ref="AB7:AB11" si="2">VLOOKUP(R7,$AE$31:$AG$51,3)</f>
        <v>12000</v>
      </c>
      <c r="AC7" s="47">
        <v>50000</v>
      </c>
      <c r="AD7" s="47">
        <v>0</v>
      </c>
      <c r="AE7" s="81">
        <v>0.3</v>
      </c>
      <c r="AF7" s="47">
        <v>0</v>
      </c>
      <c r="AG7" s="47">
        <v>0</v>
      </c>
      <c r="AH7" s="47">
        <v>0</v>
      </c>
      <c r="AI7" s="47">
        <v>0</v>
      </c>
      <c r="AJ7" s="47">
        <f>VLOOKUP(R7,$AE$31:$AH$51,4)</f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0</v>
      </c>
      <c r="AP7" s="47">
        <v>0</v>
      </c>
      <c r="AQ7" s="47">
        <v>0</v>
      </c>
      <c r="AR7" s="47">
        <v>0</v>
      </c>
      <c r="AS7" s="47">
        <v>0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59">
        <v>1000</v>
      </c>
      <c r="H8" s="45" t="s">
        <v>53</v>
      </c>
      <c r="I8" s="33" t="s">
        <v>303</v>
      </c>
      <c r="J8" s="47">
        <v>3</v>
      </c>
      <c r="K8" s="63">
        <v>-4</v>
      </c>
      <c r="L8" s="33" t="s">
        <v>112</v>
      </c>
      <c r="M8" s="49" t="s">
        <v>64</v>
      </c>
      <c r="N8" s="47">
        <v>8.5</v>
      </c>
      <c r="O8" s="63">
        <v>0</v>
      </c>
      <c r="P8" s="63">
        <v>0</v>
      </c>
      <c r="Q8" s="47">
        <v>43</v>
      </c>
      <c r="R8" s="47">
        <f t="shared" si="0"/>
        <v>38</v>
      </c>
      <c r="S8" s="47">
        <v>1.3</v>
      </c>
      <c r="T8" s="47">
        <v>0</v>
      </c>
      <c r="U8" s="47">
        <v>0</v>
      </c>
      <c r="V8" s="47">
        <v>0</v>
      </c>
      <c r="W8" s="47">
        <v>0.5</v>
      </c>
      <c r="X8" s="81">
        <v>45000</v>
      </c>
      <c r="Y8" s="81">
        <v>0</v>
      </c>
      <c r="Z8" s="108">
        <f t="shared" si="1"/>
        <v>114.99999999999996</v>
      </c>
      <c r="AA8" s="108">
        <v>1</v>
      </c>
      <c r="AB8" s="108">
        <f t="shared" si="2"/>
        <v>12000</v>
      </c>
      <c r="AC8" s="47">
        <v>50000</v>
      </c>
      <c r="AD8" s="47">
        <v>13725.490196078432</v>
      </c>
      <c r="AE8" s="81">
        <v>0.3</v>
      </c>
      <c r="AF8" s="47">
        <v>0</v>
      </c>
      <c r="AG8" s="47">
        <v>0</v>
      </c>
      <c r="AH8" s="47">
        <v>0</v>
      </c>
      <c r="AI8" s="47">
        <v>0</v>
      </c>
      <c r="AJ8" s="47">
        <f t="shared" ref="AJ8:AJ11" si="3">VLOOKUP(R8,$AE$31:$AH$51,4)</f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</row>
    <row r="9" spans="1:45" x14ac:dyDescent="0.25">
      <c r="A9" s="33" t="s">
        <v>68</v>
      </c>
      <c r="B9" s="57">
        <v>70</v>
      </c>
      <c r="C9" s="45" t="s">
        <v>28</v>
      </c>
      <c r="F9" s="33" t="s">
        <v>96</v>
      </c>
      <c r="G9" s="59">
        <v>-20000</v>
      </c>
      <c r="H9" s="45" t="s">
        <v>54</v>
      </c>
      <c r="I9" s="33" t="s">
        <v>261</v>
      </c>
      <c r="J9" s="47">
        <v>4</v>
      </c>
      <c r="K9" s="63">
        <v>-9.1</v>
      </c>
      <c r="L9" s="33" t="s">
        <v>112</v>
      </c>
      <c r="M9" s="49" t="s">
        <v>64</v>
      </c>
      <c r="N9" s="47">
        <v>8.5</v>
      </c>
      <c r="O9" s="63">
        <v>0</v>
      </c>
      <c r="P9" s="63">
        <v>0</v>
      </c>
      <c r="Q9" s="47">
        <v>44</v>
      </c>
      <c r="R9" s="47">
        <f t="shared" si="0"/>
        <v>39</v>
      </c>
      <c r="S9" s="47">
        <v>1</v>
      </c>
      <c r="T9" s="47">
        <v>0</v>
      </c>
      <c r="U9" s="47">
        <v>0</v>
      </c>
      <c r="V9" s="47">
        <v>0</v>
      </c>
      <c r="W9" s="47">
        <v>0.5</v>
      </c>
      <c r="X9" s="81">
        <v>45000</v>
      </c>
      <c r="Y9" s="81">
        <v>0</v>
      </c>
      <c r="Z9" s="108">
        <f t="shared" si="1"/>
        <v>114.99999999999996</v>
      </c>
      <c r="AA9" s="108">
        <v>1</v>
      </c>
      <c r="AB9" s="108">
        <f t="shared" si="2"/>
        <v>12000</v>
      </c>
      <c r="AC9" s="47">
        <v>120000</v>
      </c>
      <c r="AD9" s="47">
        <v>5357.1428571428578</v>
      </c>
      <c r="AE9" s="81">
        <v>0.3</v>
      </c>
      <c r="AF9" s="47">
        <v>0</v>
      </c>
      <c r="AG9" s="47">
        <v>0</v>
      </c>
      <c r="AH9" s="47">
        <v>0</v>
      </c>
      <c r="AI9" s="47">
        <v>0</v>
      </c>
      <c r="AJ9" s="47">
        <f t="shared" si="3"/>
        <v>50.000000000000007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0</v>
      </c>
      <c r="AP9" s="47">
        <v>0</v>
      </c>
      <c r="AQ9" s="47">
        <v>0</v>
      </c>
      <c r="AR9" s="47">
        <v>0</v>
      </c>
      <c r="AS9" s="47">
        <v>0</v>
      </c>
    </row>
    <row r="10" spans="1:45" s="56" customFormat="1" x14ac:dyDescent="0.25">
      <c r="A10" s="56" t="s">
        <v>69</v>
      </c>
      <c r="B10" s="58">
        <v>70</v>
      </c>
      <c r="C10" s="45" t="s">
        <v>28</v>
      </c>
      <c r="F10" s="33" t="s">
        <v>51</v>
      </c>
      <c r="G10" s="59">
        <v>1000</v>
      </c>
      <c r="H10" s="45" t="s">
        <v>53</v>
      </c>
      <c r="I10" s="33" t="s">
        <v>290</v>
      </c>
      <c r="J10" s="47">
        <v>5</v>
      </c>
      <c r="K10" s="63">
        <v>-14.7</v>
      </c>
      <c r="L10" s="33" t="s">
        <v>112</v>
      </c>
      <c r="M10" s="49" t="s">
        <v>64</v>
      </c>
      <c r="N10" s="47">
        <v>9.8999999999999986</v>
      </c>
      <c r="O10" s="63">
        <v>0</v>
      </c>
      <c r="P10" s="63">
        <v>0</v>
      </c>
      <c r="Q10" s="47">
        <v>40</v>
      </c>
      <c r="R10" s="47">
        <f t="shared" si="0"/>
        <v>35</v>
      </c>
      <c r="S10" s="47">
        <v>1</v>
      </c>
      <c r="T10" s="47">
        <v>0</v>
      </c>
      <c r="U10" s="47">
        <v>0</v>
      </c>
      <c r="V10" s="47">
        <v>0</v>
      </c>
      <c r="W10" s="47">
        <v>0.5</v>
      </c>
      <c r="X10" s="81">
        <v>45000</v>
      </c>
      <c r="Y10" s="81">
        <v>7211.5384615384601</v>
      </c>
      <c r="Z10" s="108">
        <f t="shared" si="1"/>
        <v>114.99999999999996</v>
      </c>
      <c r="AA10" s="108">
        <v>1</v>
      </c>
      <c r="AB10" s="108">
        <f t="shared" si="2"/>
        <v>12000</v>
      </c>
      <c r="AC10" s="47">
        <v>150000</v>
      </c>
      <c r="AD10" s="47">
        <v>3846.1538461538453</v>
      </c>
      <c r="AE10" s="81">
        <v>0.3</v>
      </c>
      <c r="AF10" s="47">
        <v>0</v>
      </c>
      <c r="AG10" s="47">
        <v>0</v>
      </c>
      <c r="AH10" s="47">
        <v>0</v>
      </c>
      <c r="AI10" s="47">
        <v>0</v>
      </c>
      <c r="AJ10" s="47">
        <f t="shared" si="3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59">
        <v>0</v>
      </c>
      <c r="H11" s="45" t="s">
        <v>53</v>
      </c>
      <c r="I11" s="33" t="s">
        <v>304</v>
      </c>
      <c r="J11" s="47">
        <v>6</v>
      </c>
      <c r="K11" s="63">
        <v>-25.1</v>
      </c>
      <c r="L11" s="33" t="s">
        <v>112</v>
      </c>
      <c r="M11" s="49" t="s">
        <v>64</v>
      </c>
      <c r="N11" s="47">
        <v>7.6999999999999993</v>
      </c>
      <c r="O11" s="63">
        <v>0</v>
      </c>
      <c r="P11" s="63">
        <v>0</v>
      </c>
      <c r="Q11" s="47">
        <v>38</v>
      </c>
      <c r="R11" s="47">
        <f t="shared" si="0"/>
        <v>33</v>
      </c>
      <c r="S11" s="47">
        <v>0.6</v>
      </c>
      <c r="T11" s="47">
        <v>0</v>
      </c>
      <c r="U11" s="47">
        <v>0</v>
      </c>
      <c r="V11" s="47">
        <v>0</v>
      </c>
      <c r="W11" s="47">
        <v>0.5</v>
      </c>
      <c r="X11" s="81">
        <v>45000</v>
      </c>
      <c r="Y11" s="81">
        <v>0</v>
      </c>
      <c r="Z11" s="108">
        <f t="shared" si="1"/>
        <v>107.39999999999996</v>
      </c>
      <c r="AA11" s="108">
        <v>1</v>
      </c>
      <c r="AB11" s="108">
        <f t="shared" si="2"/>
        <v>11040</v>
      </c>
      <c r="AC11" s="47">
        <v>170000</v>
      </c>
      <c r="AD11" s="47">
        <v>0</v>
      </c>
      <c r="AE11" s="81">
        <v>0.3</v>
      </c>
      <c r="AF11" s="47">
        <v>0</v>
      </c>
      <c r="AG11" s="47">
        <v>0</v>
      </c>
      <c r="AH11" s="47">
        <v>0</v>
      </c>
      <c r="AI11" s="47">
        <v>0</v>
      </c>
      <c r="AJ11" s="47">
        <f t="shared" si="3"/>
        <v>46.000000000000007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0</v>
      </c>
      <c r="AP11" s="47">
        <v>0</v>
      </c>
      <c r="AQ11" s="47">
        <v>0</v>
      </c>
      <c r="AR11" s="47">
        <v>0</v>
      </c>
      <c r="AS11" s="47">
        <v>0</v>
      </c>
    </row>
    <row r="12" spans="1:45" x14ac:dyDescent="0.25">
      <c r="A12" s="33" t="s">
        <v>74</v>
      </c>
      <c r="B12" s="57">
        <v>8.4</v>
      </c>
      <c r="C12" s="45" t="s">
        <v>28</v>
      </c>
      <c r="E12" s="59"/>
      <c r="F12" s="56" t="s">
        <v>97</v>
      </c>
      <c r="G12" s="58">
        <v>0</v>
      </c>
      <c r="H12" s="45" t="s">
        <v>53</v>
      </c>
      <c r="I12" s="56"/>
      <c r="J12" s="47"/>
      <c r="K12" s="63"/>
      <c r="L12" s="49"/>
      <c r="M12" s="49"/>
      <c r="N12" s="47"/>
      <c r="O12" s="63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108"/>
      <c r="AA12" s="108"/>
      <c r="AB12" s="108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J13" s="47"/>
      <c r="K13" s="63"/>
      <c r="L13" s="49"/>
      <c r="M13" s="49"/>
      <c r="N13" s="47"/>
      <c r="O13" s="63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108"/>
      <c r="AA13" s="108"/>
      <c r="AB13" s="108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J14" s="47"/>
      <c r="K14" s="63"/>
      <c r="L14" s="49"/>
      <c r="M14" s="49"/>
      <c r="N14" s="47"/>
      <c r="O14" s="63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108"/>
      <c r="AA14" s="108"/>
      <c r="AB14" s="108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</row>
    <row r="15" spans="1:45" s="56" customFormat="1" x14ac:dyDescent="0.25">
      <c r="A15" s="33" t="s">
        <v>44</v>
      </c>
      <c r="B15" s="61">
        <v>207000000</v>
      </c>
      <c r="C15" s="45" t="s">
        <v>47</v>
      </c>
      <c r="D15" s="33"/>
      <c r="E15" s="33"/>
      <c r="F15" s="33"/>
      <c r="G15" s="33"/>
      <c r="J15" s="47"/>
      <c r="K15" s="63"/>
      <c r="L15" s="49"/>
      <c r="M15" s="49"/>
      <c r="N15" s="47"/>
      <c r="O15" s="63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J16" s="47"/>
      <c r="K16" s="63"/>
      <c r="L16" s="49"/>
      <c r="M16" s="49"/>
      <c r="N16" s="47"/>
      <c r="O16" s="63"/>
      <c r="P16" s="63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</row>
    <row r="17" spans="1:40" x14ac:dyDescent="0.25">
      <c r="A17" s="33" t="s">
        <v>98</v>
      </c>
      <c r="B17" s="57">
        <v>0.53</v>
      </c>
      <c r="C17" s="45"/>
      <c r="D17" s="107"/>
      <c r="E17" s="107"/>
      <c r="F17" s="56"/>
      <c r="G17" s="56"/>
      <c r="J17" s="47"/>
      <c r="K17" s="63"/>
      <c r="L17" s="49"/>
      <c r="M17" s="49"/>
      <c r="N17" s="47"/>
      <c r="O17" s="63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</row>
    <row r="18" spans="1:40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56"/>
      <c r="J18" s="47"/>
      <c r="K18" s="63"/>
      <c r="L18" s="49"/>
      <c r="M18" s="49"/>
      <c r="N18" s="47"/>
      <c r="O18" s="63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</row>
    <row r="19" spans="1:40" s="56" customFormat="1" x14ac:dyDescent="0.25">
      <c r="A19" s="107" t="s">
        <v>38</v>
      </c>
      <c r="B19" s="107" t="s">
        <v>30</v>
      </c>
      <c r="C19" s="107" t="s">
        <v>59</v>
      </c>
      <c r="D19" s="43"/>
      <c r="E19" s="35"/>
      <c r="F19" s="33"/>
      <c r="G19" s="33"/>
      <c r="J19" s="47"/>
      <c r="K19" s="63"/>
      <c r="L19" s="49"/>
      <c r="M19" s="49"/>
      <c r="N19" s="47"/>
      <c r="O19" s="63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</row>
    <row r="20" spans="1:40" x14ac:dyDescent="0.25">
      <c r="A20" s="66">
        <v>1</v>
      </c>
      <c r="B20" s="66">
        <v>0</v>
      </c>
      <c r="C20" s="66">
        <v>9.0999999999999998E-2</v>
      </c>
      <c r="D20" s="43"/>
      <c r="J20" s="47"/>
      <c r="K20" s="63"/>
      <c r="L20" s="49"/>
      <c r="M20" s="49"/>
      <c r="N20" s="47"/>
      <c r="O20" s="63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</row>
    <row r="21" spans="1:40" x14ac:dyDescent="0.25">
      <c r="A21" s="66"/>
      <c r="B21" s="66"/>
      <c r="C21" s="66"/>
      <c r="D21" s="43"/>
      <c r="K21" s="79"/>
      <c r="L21" s="49"/>
      <c r="M21" s="49" t="s">
        <v>94</v>
      </c>
      <c r="N21" s="47"/>
      <c r="O21" s="63"/>
      <c r="P21" s="47"/>
      <c r="Q21" s="47"/>
      <c r="R21" s="64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</row>
    <row r="22" spans="1:40" x14ac:dyDescent="0.25">
      <c r="A22" s="47"/>
      <c r="B22" s="47"/>
      <c r="C22" s="47"/>
      <c r="D22" s="35"/>
      <c r="K22" s="79"/>
      <c r="L22" s="49"/>
      <c r="M22" s="49" t="s">
        <v>94</v>
      </c>
      <c r="N22" s="47"/>
      <c r="O22" s="47"/>
      <c r="P22" s="47"/>
      <c r="Q22" s="47"/>
      <c r="R22" s="64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</row>
    <row r="23" spans="1:40" x14ac:dyDescent="0.25">
      <c r="A23" s="47"/>
      <c r="B23" s="47"/>
      <c r="C23" s="47"/>
      <c r="D23" s="35"/>
      <c r="K23" s="79"/>
      <c r="L23" s="49"/>
      <c r="M23" s="49" t="s">
        <v>94</v>
      </c>
      <c r="N23" s="47"/>
      <c r="O23" s="47"/>
      <c r="P23" s="47"/>
      <c r="Q23" s="47"/>
      <c r="R23" s="64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I23" s="47"/>
      <c r="AJ23" s="47"/>
      <c r="AK23" s="47"/>
      <c r="AL23" s="47"/>
      <c r="AM23" s="47"/>
      <c r="AN23" s="47"/>
    </row>
    <row r="24" spans="1:40" x14ac:dyDescent="0.25">
      <c r="A24" s="43"/>
      <c r="B24" s="43"/>
      <c r="C24" s="43"/>
      <c r="D24" s="43"/>
      <c r="K24" s="79"/>
      <c r="L24" s="49"/>
      <c r="M24" s="49" t="s">
        <v>94</v>
      </c>
      <c r="N24" s="47"/>
      <c r="O24" s="47"/>
      <c r="P24" s="47"/>
      <c r="Q24" s="47"/>
      <c r="R24" s="64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I24" s="47"/>
      <c r="AJ24" s="47"/>
      <c r="AK24" s="47"/>
      <c r="AL24" s="47"/>
      <c r="AM24" s="47"/>
      <c r="AN24" s="47"/>
    </row>
    <row r="25" spans="1:40" x14ac:dyDescent="0.25">
      <c r="A25" s="47"/>
      <c r="B25" s="47"/>
      <c r="C25" s="47"/>
      <c r="D25" s="35"/>
      <c r="K25" s="79"/>
      <c r="L25" s="49"/>
      <c r="M25" s="49" t="s">
        <v>94</v>
      </c>
      <c r="N25" s="47"/>
      <c r="O25" s="47"/>
      <c r="P25" s="47"/>
      <c r="Q25" s="47"/>
      <c r="R25" s="64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I25" s="47"/>
      <c r="AJ25" s="47"/>
      <c r="AK25" s="47"/>
      <c r="AL25" s="47"/>
      <c r="AM25" s="47"/>
      <c r="AN25" s="47"/>
    </row>
    <row r="26" spans="1:40" x14ac:dyDescent="0.25">
      <c r="A26" s="43"/>
      <c r="B26" s="43"/>
      <c r="C26" s="43"/>
      <c r="D26" s="43"/>
      <c r="K26" s="79"/>
      <c r="L26" s="49"/>
      <c r="M26" s="49" t="s">
        <v>94</v>
      </c>
      <c r="N26" s="47"/>
      <c r="O26" s="47"/>
      <c r="P26" s="47"/>
      <c r="Q26" s="47"/>
      <c r="R26" s="64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I26" s="47"/>
      <c r="AJ26" s="47"/>
      <c r="AK26" s="47"/>
      <c r="AL26" s="47"/>
      <c r="AM26" s="47"/>
      <c r="AN26" s="47"/>
    </row>
    <row r="27" spans="1:40" x14ac:dyDescent="0.25">
      <c r="A27" s="43"/>
      <c r="B27" s="43"/>
      <c r="C27" s="43"/>
      <c r="D27" s="43"/>
      <c r="L27" s="49"/>
      <c r="M27" s="49" t="s">
        <v>94</v>
      </c>
      <c r="N27" s="47"/>
      <c r="O27" s="47"/>
      <c r="P27" s="47"/>
      <c r="Q27" s="47"/>
      <c r="R27" s="64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I27" s="47"/>
      <c r="AJ27" s="47"/>
      <c r="AK27" s="47"/>
      <c r="AL27" s="47"/>
      <c r="AM27" s="47"/>
      <c r="AN27" s="47"/>
    </row>
    <row r="28" spans="1:40" x14ac:dyDescent="0.25">
      <c r="A28" s="43"/>
      <c r="B28" s="43"/>
      <c r="C28" s="43"/>
      <c r="D28" s="43"/>
      <c r="L28" s="49"/>
      <c r="M28" s="49" t="s">
        <v>94</v>
      </c>
      <c r="N28" s="47"/>
      <c r="O28" s="47"/>
      <c r="P28" s="47"/>
      <c r="Q28" s="47"/>
      <c r="R28" s="64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I28" s="47"/>
      <c r="AJ28" s="47"/>
      <c r="AK28" s="47"/>
      <c r="AL28" s="47"/>
      <c r="AM28" s="47"/>
      <c r="AN28" s="47"/>
    </row>
    <row r="29" spans="1:40" x14ac:dyDescent="0.25">
      <c r="A29" s="43"/>
      <c r="B29" s="43"/>
      <c r="C29" s="43"/>
      <c r="D29" s="43"/>
      <c r="L29" s="49"/>
      <c r="M29" s="49" t="s">
        <v>94</v>
      </c>
      <c r="N29" s="47"/>
      <c r="O29" s="47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</row>
    <row r="30" spans="1:40" x14ac:dyDescent="0.25">
      <c r="A30" s="43"/>
      <c r="B30" s="43"/>
      <c r="C30" s="43"/>
      <c r="D30" s="43"/>
      <c r="L30" s="49"/>
      <c r="M30" s="49" t="s">
        <v>94</v>
      </c>
      <c r="N30" s="47"/>
      <c r="O30" s="47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33" t="s">
        <v>99</v>
      </c>
      <c r="AF30" s="33" t="s">
        <v>100</v>
      </c>
      <c r="AG30" s="33" t="s">
        <v>101</v>
      </c>
      <c r="AI30" s="47"/>
      <c r="AJ30" s="47"/>
      <c r="AK30" s="47"/>
      <c r="AL30" s="47"/>
      <c r="AM30" s="47"/>
      <c r="AN30" s="47"/>
    </row>
    <row r="31" spans="1:40" x14ac:dyDescent="0.25">
      <c r="A31" s="43"/>
      <c r="B31" s="43"/>
      <c r="C31" s="43"/>
      <c r="D31" s="43"/>
      <c r="L31" s="49"/>
      <c r="M31" s="49" t="s">
        <v>94</v>
      </c>
      <c r="N31" s="47"/>
      <c r="O31" s="47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33">
        <v>15</v>
      </c>
      <c r="AF31" s="33">
        <v>48</v>
      </c>
      <c r="AG31" s="33">
        <v>1900</v>
      </c>
      <c r="AH31" s="33">
        <v>8</v>
      </c>
      <c r="AI31" s="47"/>
      <c r="AJ31" s="47"/>
      <c r="AK31" s="47"/>
      <c r="AL31" s="47"/>
      <c r="AM31" s="47"/>
      <c r="AN31" s="47"/>
    </row>
    <row r="32" spans="1:40" x14ac:dyDescent="0.25">
      <c r="A32" s="43"/>
      <c r="B32" s="43"/>
      <c r="C32" s="43"/>
      <c r="D32" s="43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33">
        <v>16</v>
      </c>
      <c r="AF32" s="33">
        <v>51.8</v>
      </c>
      <c r="AG32" s="33">
        <v>2100</v>
      </c>
      <c r="AH32" s="33">
        <v>8.8000000000000007</v>
      </c>
      <c r="AI32" s="47"/>
      <c r="AJ32" s="47"/>
      <c r="AK32" s="47"/>
      <c r="AL32" s="47"/>
      <c r="AM32" s="47"/>
      <c r="AN32" s="47"/>
    </row>
    <row r="33" spans="1:40" x14ac:dyDescent="0.25">
      <c r="A33" s="43"/>
      <c r="B33" s="43"/>
      <c r="C33" s="43"/>
      <c r="D33" s="43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33">
        <v>17</v>
      </c>
      <c r="AF33" s="33">
        <v>55.599999999999994</v>
      </c>
      <c r="AG33" s="33">
        <v>2300</v>
      </c>
      <c r="AH33" s="33">
        <v>9.6000000000000014</v>
      </c>
      <c r="AI33" s="47"/>
      <c r="AJ33" s="47"/>
      <c r="AK33" s="47"/>
      <c r="AL33" s="47"/>
      <c r="AM33" s="47"/>
      <c r="AN33" s="47"/>
    </row>
    <row r="34" spans="1:40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33">
        <v>18</v>
      </c>
      <c r="AF34" s="33">
        <v>59.399999999999991</v>
      </c>
      <c r="AG34" s="33">
        <v>2500</v>
      </c>
      <c r="AH34" s="33">
        <v>10.400000000000002</v>
      </c>
      <c r="AI34" s="47"/>
      <c r="AJ34" s="47"/>
      <c r="AK34" s="47"/>
      <c r="AL34" s="47"/>
      <c r="AM34" s="47"/>
      <c r="AN34" s="47"/>
    </row>
    <row r="35" spans="1:40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33">
        <v>19</v>
      </c>
      <c r="AF35" s="33">
        <v>63.199999999999989</v>
      </c>
      <c r="AG35" s="33">
        <v>2700</v>
      </c>
      <c r="AH35" s="33">
        <v>11.200000000000003</v>
      </c>
      <c r="AI35" s="47"/>
      <c r="AJ35" s="47"/>
      <c r="AK35" s="47"/>
      <c r="AL35" s="47"/>
      <c r="AM35" s="47"/>
      <c r="AN35" s="47"/>
    </row>
    <row r="36" spans="1:40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33">
        <v>20</v>
      </c>
      <c r="AF36" s="33">
        <v>66.999999999999986</v>
      </c>
      <c r="AG36" s="33">
        <v>2900</v>
      </c>
      <c r="AH36" s="33">
        <v>12.000000000000004</v>
      </c>
      <c r="AI36" s="47"/>
      <c r="AJ36" s="47"/>
      <c r="AK36" s="47"/>
      <c r="AL36" s="47"/>
      <c r="AM36" s="47"/>
      <c r="AN36" s="47"/>
    </row>
    <row r="37" spans="1:40" x14ac:dyDescent="0.25">
      <c r="L37" s="49"/>
      <c r="M37" s="49" t="s">
        <v>94</v>
      </c>
      <c r="N37" s="47"/>
      <c r="O37" s="63"/>
      <c r="P37" s="47"/>
      <c r="Q37" s="47"/>
      <c r="R37" s="64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33">
        <v>21</v>
      </c>
      <c r="AF37" s="33">
        <v>69.799999999999983</v>
      </c>
      <c r="AG37" s="33">
        <v>3280</v>
      </c>
      <c r="AH37" s="33">
        <v>13.600000000000003</v>
      </c>
      <c r="AI37" s="47"/>
      <c r="AJ37" s="47"/>
      <c r="AK37" s="47"/>
      <c r="AL37" s="47"/>
      <c r="AM37" s="47"/>
      <c r="AN37" s="47"/>
    </row>
    <row r="38" spans="1:40" x14ac:dyDescent="0.25">
      <c r="L38" s="49"/>
      <c r="M38" s="49" t="s">
        <v>94</v>
      </c>
      <c r="N38" s="47"/>
      <c r="O38" s="63"/>
      <c r="P38" s="47"/>
      <c r="Q38" s="47"/>
      <c r="R38" s="64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33">
        <v>22</v>
      </c>
      <c r="AF38" s="33">
        <v>72.59999999999998</v>
      </c>
      <c r="AG38" s="33">
        <v>3660</v>
      </c>
      <c r="AH38" s="33">
        <v>15.200000000000003</v>
      </c>
      <c r="AI38" s="47"/>
      <c r="AJ38" s="47"/>
      <c r="AK38" s="47"/>
      <c r="AL38" s="47"/>
      <c r="AM38" s="47"/>
      <c r="AN38" s="47"/>
    </row>
    <row r="39" spans="1:40" x14ac:dyDescent="0.25">
      <c r="L39" s="49"/>
      <c r="M39" s="49" t="s">
        <v>94</v>
      </c>
      <c r="N39" s="47"/>
      <c r="O39" s="63"/>
      <c r="P39" s="47"/>
      <c r="Q39" s="47"/>
      <c r="R39" s="64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33">
        <v>23</v>
      </c>
      <c r="AF39" s="33">
        <v>75.399999999999977</v>
      </c>
      <c r="AG39" s="33">
        <v>4040</v>
      </c>
      <c r="AH39" s="33">
        <v>16.800000000000004</v>
      </c>
      <c r="AI39" s="47"/>
      <c r="AJ39" s="47"/>
      <c r="AK39" s="47"/>
      <c r="AL39" s="47"/>
      <c r="AM39" s="47"/>
      <c r="AN39" s="47"/>
    </row>
    <row r="40" spans="1:40" x14ac:dyDescent="0.25">
      <c r="L40" s="49"/>
      <c r="AE40" s="33">
        <v>24</v>
      </c>
      <c r="AF40" s="33">
        <v>78.199999999999974</v>
      </c>
      <c r="AG40" s="33">
        <v>4420</v>
      </c>
      <c r="AH40" s="33">
        <v>18.400000000000006</v>
      </c>
    </row>
    <row r="41" spans="1:40" x14ac:dyDescent="0.25">
      <c r="L41" s="49"/>
      <c r="AE41" s="33">
        <v>25</v>
      </c>
      <c r="AF41" s="33">
        <v>80.999999999999972</v>
      </c>
      <c r="AG41" s="33">
        <v>4800</v>
      </c>
      <c r="AH41" s="33">
        <v>20.000000000000007</v>
      </c>
    </row>
    <row r="42" spans="1:40" x14ac:dyDescent="0.25">
      <c r="L42" s="49"/>
      <c r="AE42" s="33">
        <v>26</v>
      </c>
      <c r="AF42" s="33">
        <v>83.999999999999972</v>
      </c>
      <c r="AG42" s="33">
        <v>5760</v>
      </c>
      <c r="AH42" s="33">
        <v>24.000000000000007</v>
      </c>
    </row>
    <row r="43" spans="1:40" x14ac:dyDescent="0.25">
      <c r="L43" s="49"/>
      <c r="AE43" s="33">
        <v>27</v>
      </c>
      <c r="AF43" s="33">
        <v>86.999999999999972</v>
      </c>
      <c r="AG43" s="33">
        <v>6720</v>
      </c>
      <c r="AH43" s="33">
        <v>28.000000000000007</v>
      </c>
    </row>
    <row r="44" spans="1:40" x14ac:dyDescent="0.25">
      <c r="L44" s="49"/>
      <c r="AE44" s="33">
        <v>28</v>
      </c>
      <c r="AF44" s="33">
        <v>89.999999999999972</v>
      </c>
      <c r="AG44" s="33">
        <v>7680</v>
      </c>
      <c r="AH44" s="33">
        <v>32.000000000000007</v>
      </c>
    </row>
    <row r="45" spans="1:40" x14ac:dyDescent="0.25">
      <c r="L45" s="49"/>
      <c r="AE45" s="33">
        <v>29</v>
      </c>
      <c r="AF45" s="33">
        <v>92.999999999999972</v>
      </c>
      <c r="AG45" s="33">
        <v>8640</v>
      </c>
      <c r="AH45" s="33">
        <v>36.000000000000007</v>
      </c>
    </row>
    <row r="46" spans="1:40" x14ac:dyDescent="0.25">
      <c r="L46" s="49"/>
      <c r="AE46" s="33">
        <v>30</v>
      </c>
      <c r="AF46" s="33">
        <v>95.999999999999972</v>
      </c>
      <c r="AG46" s="33">
        <v>9600</v>
      </c>
      <c r="AH46" s="33">
        <v>40.000000000000007</v>
      </c>
    </row>
    <row r="47" spans="1:40" x14ac:dyDescent="0.25">
      <c r="L47" s="49"/>
      <c r="AE47" s="33">
        <v>31</v>
      </c>
      <c r="AF47" s="33">
        <v>99.799999999999969</v>
      </c>
      <c r="AG47" s="33">
        <v>10080</v>
      </c>
      <c r="AH47" s="33">
        <v>42.000000000000007</v>
      </c>
    </row>
    <row r="48" spans="1:40" x14ac:dyDescent="0.25">
      <c r="L48" s="49"/>
      <c r="AE48" s="33">
        <v>32</v>
      </c>
      <c r="AF48" s="33">
        <v>103.59999999999997</v>
      </c>
      <c r="AG48" s="33">
        <v>10560</v>
      </c>
      <c r="AH48" s="33">
        <v>44.000000000000007</v>
      </c>
    </row>
    <row r="49" spans="12:34" x14ac:dyDescent="0.25">
      <c r="L49" s="49"/>
      <c r="AE49" s="33">
        <v>33</v>
      </c>
      <c r="AF49" s="33">
        <v>107.39999999999996</v>
      </c>
      <c r="AG49" s="33">
        <v>11040</v>
      </c>
      <c r="AH49" s="33">
        <v>46.000000000000007</v>
      </c>
    </row>
    <row r="50" spans="12:34" x14ac:dyDescent="0.25">
      <c r="L50" s="49"/>
      <c r="AE50" s="33">
        <v>34</v>
      </c>
      <c r="AF50" s="33">
        <v>111.19999999999996</v>
      </c>
      <c r="AG50" s="33">
        <v>11520</v>
      </c>
      <c r="AH50" s="33">
        <v>48.000000000000007</v>
      </c>
    </row>
    <row r="51" spans="12:34" x14ac:dyDescent="0.25">
      <c r="L51" s="49"/>
      <c r="AE51" s="33">
        <v>35</v>
      </c>
      <c r="AF51" s="33">
        <v>114.99999999999996</v>
      </c>
      <c r="AG51" s="33">
        <v>12000</v>
      </c>
      <c r="AH51" s="33">
        <v>50.000000000000007</v>
      </c>
    </row>
    <row r="52" spans="12:34" x14ac:dyDescent="0.25">
      <c r="L52" s="49"/>
    </row>
    <row r="53" spans="12:34" x14ac:dyDescent="0.25">
      <c r="L53" s="49"/>
    </row>
    <row r="54" spans="12:34" x14ac:dyDescent="0.25">
      <c r="L54" s="49"/>
    </row>
    <row r="55" spans="12:34" x14ac:dyDescent="0.25">
      <c r="L55" s="49"/>
    </row>
    <row r="56" spans="12:34" x14ac:dyDescent="0.25">
      <c r="L56" s="49"/>
    </row>
    <row r="57" spans="12:34" x14ac:dyDescent="0.25">
      <c r="L57" s="49"/>
    </row>
    <row r="58" spans="12:34" x14ac:dyDescent="0.25">
      <c r="L58" s="49"/>
    </row>
    <row r="59" spans="12:34" x14ac:dyDescent="0.25">
      <c r="L59" s="49"/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  <row r="256" spans="12:12" x14ac:dyDescent="0.25">
      <c r="L256" s="49"/>
    </row>
    <row r="257" spans="12:12" x14ac:dyDescent="0.25">
      <c r="L257" s="49"/>
    </row>
    <row r="258" spans="12:12" x14ac:dyDescent="0.25">
      <c r="L258" s="49"/>
    </row>
  </sheetData>
  <mergeCells count="3">
    <mergeCell ref="R3:S3"/>
    <mergeCell ref="U3:V3"/>
    <mergeCell ref="AC3:AI3"/>
  </mergeCells>
  <conditionalFormatting sqref="N6 Q6 R15:AA16 AM8:AN18 Q8:Q18 N8:N20 AE8:AI11 AE6:AI6 AO8:AS11 AM6:AS6 R8:Y14 AJ7:AJ11">
    <cfRule type="expression" dxfId="1837" priority="62">
      <formula>$L6="API sand"</formula>
    </cfRule>
  </conditionalFormatting>
  <conditionalFormatting sqref="AJ12:AJ16 N6 AB15:AB16 AK6:AL6 AK8:AL18 N8:N20">
    <cfRule type="expression" dxfId="1836" priority="61">
      <formula>$M6="API sand"</formula>
    </cfRule>
  </conditionalFormatting>
  <conditionalFormatting sqref="AJ12:AJ16 N6 AK6:AL6 AB15:AB16 AK8:AL18 N8:N20">
    <cfRule type="expression" dxfId="1835" priority="60">
      <formula>$M6="API clay"</formula>
    </cfRule>
  </conditionalFormatting>
  <conditionalFormatting sqref="AM6:AN6 N6:P6 AM8:AN18 N8:P11">
    <cfRule type="expression" dxfId="1834" priority="57">
      <formula>$L6="Stiff clay w/o free water"</formula>
    </cfRule>
    <cfRule type="expression" dxfId="1833" priority="59">
      <formula>$L6="API clay"</formula>
    </cfRule>
  </conditionalFormatting>
  <conditionalFormatting sqref="AM6:AN6 N6:P6 AM8:AN18 N8:P11">
    <cfRule type="expression" dxfId="1832" priority="58">
      <formula>$L6="Kirsch soft clay"</formula>
    </cfRule>
  </conditionalFormatting>
  <conditionalFormatting sqref="AM6:AN6 N6:P6 AM8:AN18 N8:P11">
    <cfRule type="expression" dxfId="1831" priority="56">
      <formula>$L6="Kirsch stiff clay"</formula>
    </cfRule>
  </conditionalFormatting>
  <conditionalFormatting sqref="N6 Q6 R15:AA16 AM8:AN18 Q8:Q18 N8:N20 AE8:AI11 AE6:AI6 AO8:AS11 AM6:AS6 R8:Y14 AJ7:AJ11">
    <cfRule type="expression" dxfId="1830" priority="55">
      <formula>$L6="Kirsch sand"</formula>
    </cfRule>
  </conditionalFormatting>
  <conditionalFormatting sqref="N6 AC6:AD6 AM6:AN6 AC8:AD18 AM8:AN18 N8:N20">
    <cfRule type="expression" dxfId="1829" priority="54">
      <formula>$L6="Modified Weak rock"</formula>
    </cfRule>
  </conditionalFormatting>
  <conditionalFormatting sqref="AM6:AN6 N6:P6 AM8:AN18 N8:P11">
    <cfRule type="expression" dxfId="1828" priority="53">
      <formula>$L6="Reese stiff clay"</formula>
    </cfRule>
  </conditionalFormatting>
  <conditionalFormatting sqref="N21:N39 Q19:Q39 AM19:AN39">
    <cfRule type="expression" dxfId="1827" priority="52">
      <formula>$L19="API sand"</formula>
    </cfRule>
  </conditionalFormatting>
  <conditionalFormatting sqref="N21:N39 Z19:Z39 AB19:AB39 R19:S39 AJ19:AL39">
    <cfRule type="expression" dxfId="1826" priority="51">
      <formula>$M19="API sand"</formula>
    </cfRule>
  </conditionalFormatting>
  <conditionalFormatting sqref="Z19:AB39 AK19:AL39 R19:T39 N21:N39">
    <cfRule type="expression" dxfId="1825" priority="50">
      <formula>$M19="API clay"</formula>
    </cfRule>
  </conditionalFormatting>
  <conditionalFormatting sqref="U19:W39 AM19:AN39 N32:P39 N21:N31 P19:P31">
    <cfRule type="expression" dxfId="1824" priority="47">
      <formula>$L19="Stiff clay w/o free water"</formula>
    </cfRule>
    <cfRule type="expression" dxfId="1823" priority="49">
      <formula>$L19="API clay"</formula>
    </cfRule>
  </conditionalFormatting>
  <conditionalFormatting sqref="U19:Y39 AM19:AN39 N32:P39 N21:N31 P19:P31">
    <cfRule type="expression" dxfId="1822" priority="48">
      <formula>$L19="Kirsch soft clay"</formula>
    </cfRule>
  </conditionalFormatting>
  <conditionalFormatting sqref="AM19:AN39 U19:Y39 N32:P39 N21:N31 P19:P31">
    <cfRule type="expression" dxfId="1821" priority="46">
      <formula>$L19="Kirsch stiff clay"</formula>
    </cfRule>
  </conditionalFormatting>
  <conditionalFormatting sqref="N21:N39 Q19:Q39 X19:Y39 AM19:AN39">
    <cfRule type="expression" dxfId="1820" priority="45">
      <formula>$L19="Kirsch sand"</formula>
    </cfRule>
  </conditionalFormatting>
  <conditionalFormatting sqref="N21:N39 AC19:AI22 AM19:AN39 AC23:AD39 AI23:AI39">
    <cfRule type="expression" dxfId="1819" priority="44">
      <formula>$L19="Modified Weak rock"</formula>
    </cfRule>
  </conditionalFormatting>
  <conditionalFormatting sqref="U19:V39 AM19:AN39 N32:P39 N21:N31 P19:P31">
    <cfRule type="expression" dxfId="1818" priority="43">
      <formula>$L19="Reese stiff clay"</formula>
    </cfRule>
  </conditionalFormatting>
  <conditionalFormatting sqref="AC6:AD6 AM6:AN6 N6:P6 AC8:AD18 AM8:AN18 N8:P11">
    <cfRule type="expression" dxfId="1817" priority="42">
      <formula>$L6="PISA clay"</formula>
    </cfRule>
  </conditionalFormatting>
  <conditionalFormatting sqref="N6 AC6:AD6 AM6:AN6 AC8:AD18 AM8:AN18 N8:N20">
    <cfRule type="expression" dxfId="1816" priority="41">
      <formula>$L6="PISA sand"</formula>
    </cfRule>
  </conditionalFormatting>
  <conditionalFormatting sqref="R6:Y6">
    <cfRule type="expression" dxfId="1815" priority="40">
      <formula>$L6="API sand"</formula>
    </cfRule>
  </conditionalFormatting>
  <conditionalFormatting sqref="R6:Y6">
    <cfRule type="expression" dxfId="1814" priority="39">
      <formula>$L6="Kirsch sand"</formula>
    </cfRule>
  </conditionalFormatting>
  <conditionalFormatting sqref="N12:P15 N16:O16 P17:P18 O17:O21 N17:N20">
    <cfRule type="expression" dxfId="1813" priority="36">
      <formula>$L12="Stiff clay w/o free water"</formula>
    </cfRule>
    <cfRule type="expression" dxfId="1812" priority="38">
      <formula>$L12="API clay"</formula>
    </cfRule>
  </conditionalFormatting>
  <conditionalFormatting sqref="N12:P15 N16:O16 P17:P18 O17:O21 N17:N20">
    <cfRule type="expression" dxfId="1811" priority="37">
      <formula>$L12="Kirsch soft clay"</formula>
    </cfRule>
  </conditionalFormatting>
  <conditionalFormatting sqref="N12:P15 N16:O16 P17:P18 O17:O21 N17:N20">
    <cfRule type="expression" dxfId="1810" priority="35">
      <formula>$L12="Kirsch stiff clay"</formula>
    </cfRule>
  </conditionalFormatting>
  <conditionalFormatting sqref="N12:P15 N16:O16 P17:P18 O17:O21 N17:N20">
    <cfRule type="expression" dxfId="1809" priority="34">
      <formula>$L12="Reese stiff clay"</formula>
    </cfRule>
  </conditionalFormatting>
  <conditionalFormatting sqref="N12:P15 N16:O16 P17:P18 O17:O21 N17:N20">
    <cfRule type="expression" dxfId="1808" priority="33">
      <formula>$L12="PISA clay"</formula>
    </cfRule>
  </conditionalFormatting>
  <conditionalFormatting sqref="R17:AB18">
    <cfRule type="expression" dxfId="1807" priority="32">
      <formula>$L17="API sand"</formula>
    </cfRule>
  </conditionalFormatting>
  <conditionalFormatting sqref="R17:AB18">
    <cfRule type="expression" dxfId="1806" priority="31">
      <formula>$L17="Kirsch sand"</formula>
    </cfRule>
  </conditionalFormatting>
  <conditionalFormatting sqref="AE17:AJ18 AE12:AI16">
    <cfRule type="expression" dxfId="1805" priority="30">
      <formula>$L12="API sand"</formula>
    </cfRule>
  </conditionalFormatting>
  <conditionalFormatting sqref="AE17:AJ18 AE12:AI16">
    <cfRule type="expression" dxfId="1804" priority="29">
      <formula>$L12="Kirsch sand"</formula>
    </cfRule>
  </conditionalFormatting>
  <conditionalFormatting sqref="O22:O24">
    <cfRule type="expression" dxfId="1803" priority="28">
      <formula>$L22="API sand"</formula>
    </cfRule>
  </conditionalFormatting>
  <conditionalFormatting sqref="O22:O24">
    <cfRule type="expression" dxfId="1802" priority="27">
      <formula>$L22="Kirsch sand"</formula>
    </cfRule>
  </conditionalFormatting>
  <conditionalFormatting sqref="O25:O31">
    <cfRule type="expression" dxfId="1801" priority="26">
      <formula>$L25="API sand"</formula>
    </cfRule>
  </conditionalFormatting>
  <conditionalFormatting sqref="O25:O31">
    <cfRule type="expression" dxfId="1800" priority="25">
      <formula>$L25="Kirsch sand"</formula>
    </cfRule>
  </conditionalFormatting>
  <conditionalFormatting sqref="P16">
    <cfRule type="expression" dxfId="1799" priority="22">
      <formula>$L16="Stiff clay w/o free water"</formula>
    </cfRule>
    <cfRule type="expression" dxfId="1798" priority="24">
      <formula>$L16="API clay"</formula>
    </cfRule>
  </conditionalFormatting>
  <conditionalFormatting sqref="P16">
    <cfRule type="expression" dxfId="1797" priority="23">
      <formula>$L16="Kirsch soft clay"</formula>
    </cfRule>
  </conditionalFormatting>
  <conditionalFormatting sqref="P16">
    <cfRule type="expression" dxfId="1796" priority="21">
      <formula>$L16="Kirsch stiff clay"</formula>
    </cfRule>
  </conditionalFormatting>
  <conditionalFormatting sqref="P16">
    <cfRule type="expression" dxfId="1795" priority="20">
      <formula>$L16="Reese stiff clay"</formula>
    </cfRule>
  </conditionalFormatting>
  <conditionalFormatting sqref="P16">
    <cfRule type="expression" dxfId="1794" priority="19">
      <formula>$L16="PISA clay"</formula>
    </cfRule>
  </conditionalFormatting>
  <conditionalFormatting sqref="N7 Q7 AE7:AI7 AM7:AS7">
    <cfRule type="expression" dxfId="1793" priority="18">
      <formula>$L7="API sand"</formula>
    </cfRule>
  </conditionalFormatting>
  <conditionalFormatting sqref="N7 AK7:AL7">
    <cfRule type="expression" dxfId="1792" priority="17">
      <formula>$M7="API sand"</formula>
    </cfRule>
  </conditionalFormatting>
  <conditionalFormatting sqref="N7 AK7:AL7">
    <cfRule type="expression" dxfId="1791" priority="16">
      <formula>$M7="API clay"</formula>
    </cfRule>
  </conditionalFormatting>
  <conditionalFormatting sqref="AM7:AN7 N7:P7">
    <cfRule type="expression" dxfId="1790" priority="13">
      <formula>$L7="Stiff clay w/o free water"</formula>
    </cfRule>
    <cfRule type="expression" dxfId="1789" priority="15">
      <formula>$L7="API clay"</formula>
    </cfRule>
  </conditionalFormatting>
  <conditionalFormatting sqref="AM7:AN7 N7:P7">
    <cfRule type="expression" dxfId="1788" priority="14">
      <formula>$L7="Kirsch soft clay"</formula>
    </cfRule>
  </conditionalFormatting>
  <conditionalFormatting sqref="AM7:AN7 N7:P7">
    <cfRule type="expression" dxfId="1787" priority="12">
      <formula>$L7="Kirsch stiff clay"</formula>
    </cfRule>
  </conditionalFormatting>
  <conditionalFormatting sqref="N7 Q7 AE7:AI7 AM7:AS7">
    <cfRule type="expression" dxfId="1786" priority="11">
      <formula>$L7="Kirsch sand"</formula>
    </cfRule>
  </conditionalFormatting>
  <conditionalFormatting sqref="N7 AC7:AD7 AM7:AN7">
    <cfRule type="expression" dxfId="1785" priority="10">
      <formula>$L7="Modified Weak rock"</formula>
    </cfRule>
  </conditionalFormatting>
  <conditionalFormatting sqref="AM7:AN7 N7:P7">
    <cfRule type="expression" dxfId="1784" priority="9">
      <formula>$L7="Reese stiff clay"</formula>
    </cfRule>
  </conditionalFormatting>
  <conditionalFormatting sqref="AC7:AD7 AM7:AN7 N7:P7">
    <cfRule type="expression" dxfId="1783" priority="8">
      <formula>$L7="PISA clay"</formula>
    </cfRule>
  </conditionalFormatting>
  <conditionalFormatting sqref="N7 AC7:AD7 AM7:AN7">
    <cfRule type="expression" dxfId="1782" priority="7">
      <formula>$L7="PISA sand"</formula>
    </cfRule>
  </conditionalFormatting>
  <conditionalFormatting sqref="R7:Y7">
    <cfRule type="expression" dxfId="1781" priority="6">
      <formula>$L7="API sand"</formula>
    </cfRule>
  </conditionalFormatting>
  <conditionalFormatting sqref="R7:Y7">
    <cfRule type="expression" dxfId="1780" priority="5">
      <formula>$L7="Kirsch sand"</formula>
    </cfRule>
  </conditionalFormatting>
  <conditionalFormatting sqref="Z6:Z14 AB6:AB14">
    <cfRule type="expression" dxfId="1779" priority="4">
      <formula>$M6="API sand"</formula>
    </cfRule>
  </conditionalFormatting>
  <conditionalFormatting sqref="Z6:AB14">
    <cfRule type="expression" dxfId="1778" priority="3">
      <formula>$M6="API clay"</formula>
    </cfRule>
  </conditionalFormatting>
  <conditionalFormatting sqref="AJ6">
    <cfRule type="expression" dxfId="1777" priority="2">
      <formula>$L6="API sand"</formula>
    </cfRule>
  </conditionalFormatting>
  <conditionalFormatting sqref="AJ6">
    <cfRule type="expression" dxfId="1776" priority="1">
      <formula>$L6="Kirsch sand"</formula>
    </cfRule>
  </conditionalFormatting>
  <dataValidations count="3">
    <dataValidation type="list" showInputMessage="1" showErrorMessage="1" sqref="M6:M18" xr:uid="{D11FB9EF-7C7D-422E-8FEE-BA4D32C94912}">
      <formula1>"Zero soil,API sand,API clay"</formula1>
    </dataValidation>
    <dataValidation type="list" showInputMessage="1" showErrorMessage="1" sqref="L12:L258" xr:uid="{E580529F-72F0-45A9-AF10-34CBB7D25D4A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19:M39" xr:uid="{B091804D-3D24-41AA-9A68-92070E1D0061}">
      <formula1>"',API sand,API clay"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D8E74-6114-498B-B99E-81C6340BE594}">
  <sheetPr>
    <tabColor theme="9" tint="0.59999389629810485"/>
  </sheetPr>
  <dimension ref="A1:AS258"/>
  <sheetViews>
    <sheetView topLeftCell="E1" zoomScaleNormal="100" workbookViewId="0">
      <selection activeCell="G25" sqref="G25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9.5703125" style="33" bestFit="1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6.5703125" style="33" bestFit="1" customWidth="1"/>
    <col min="16" max="16" width="8.5703125" style="33" bestFit="1" customWidth="1"/>
    <col min="17" max="18" width="9.5703125" style="33" bestFit="1" customWidth="1"/>
    <col min="19" max="19" width="4" style="33" bestFit="1" customWidth="1"/>
    <col min="20" max="20" width="5.5703125" style="33" bestFit="1" customWidth="1"/>
    <col min="21" max="21" width="9.5703125" style="33" bestFit="1" customWidth="1"/>
    <col min="22" max="22" width="15.28515625" style="33" bestFit="1" customWidth="1"/>
    <col min="23" max="23" width="4" style="33" bestFit="1" customWidth="1"/>
    <col min="24" max="24" width="7" style="33" bestFit="1" customWidth="1"/>
    <col min="25" max="25" width="8.42578125" style="33" bestFit="1" customWidth="1"/>
    <col min="26" max="26" width="9.7109375" style="33" bestFit="1" customWidth="1"/>
    <col min="27" max="27" width="11" style="33" bestFit="1" customWidth="1"/>
    <col min="28" max="28" width="8.5703125" style="33" bestFit="1" customWidth="1"/>
    <col min="29" max="29" width="14.85546875" style="33" customWidth="1"/>
    <col min="30" max="30" width="8.85546875" style="33" bestFit="1" customWidth="1"/>
    <col min="31" max="31" width="7.85546875" style="33" bestFit="1" customWidth="1"/>
    <col min="32" max="32" width="5.5703125" style="33" bestFit="1" customWidth="1"/>
    <col min="33" max="33" width="11" style="33" bestFit="1" customWidth="1"/>
    <col min="34" max="34" width="5.42578125" style="33" bestFit="1" customWidth="1"/>
    <col min="35" max="35" width="4.85546875" style="33" bestFit="1" customWidth="1"/>
    <col min="36" max="36" width="3.5703125" style="33" bestFit="1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16384" width="9.140625" style="33"/>
  </cols>
  <sheetData>
    <row r="1" spans="1:45" x14ac:dyDescent="0.25">
      <c r="A1" s="34" t="str">
        <f ca="1">TRIM(MID(CELL("filename",A1),FIND("]",CELL("filename",A1),1)+1,255))</f>
        <v>Location_BH-55 LB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06"/>
      <c r="R3" s="155"/>
      <c r="S3" s="155"/>
      <c r="T3" s="106"/>
      <c r="U3" s="155"/>
      <c r="V3" s="155"/>
      <c r="W3" s="106"/>
      <c r="X3" s="106"/>
      <c r="Y3" s="106"/>
      <c r="Z3" s="106"/>
      <c r="AA3" s="106"/>
      <c r="AB3" s="106"/>
      <c r="AC3" s="156"/>
      <c r="AD3" s="156"/>
      <c r="AE3" s="156"/>
      <c r="AF3" s="156"/>
      <c r="AG3" s="156"/>
      <c r="AH3" s="156"/>
      <c r="AI3" s="156"/>
      <c r="AJ3" s="106"/>
      <c r="AK3" s="106"/>
      <c r="AL3" s="106"/>
      <c r="AM3" s="106"/>
      <c r="AN3" s="106"/>
    </row>
    <row r="4" spans="1:45" x14ac:dyDescent="0.25">
      <c r="A4" s="40" t="s">
        <v>60</v>
      </c>
      <c r="B4" s="33">
        <f>COUNTIF(J:J,"&gt;0")</f>
        <v>6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282</v>
      </c>
      <c r="AP4" s="43" t="s">
        <v>283</v>
      </c>
      <c r="AQ4" s="43" t="s">
        <v>284</v>
      </c>
      <c r="AR4" s="43" t="s">
        <v>285</v>
      </c>
      <c r="AS4" s="43" t="s">
        <v>286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07" t="s">
        <v>38</v>
      </c>
      <c r="K5" s="107" t="s">
        <v>30</v>
      </c>
      <c r="L5" s="107" t="s">
        <v>31</v>
      </c>
      <c r="M5" s="107" t="s">
        <v>31</v>
      </c>
      <c r="N5" s="107" t="s">
        <v>32</v>
      </c>
      <c r="O5" s="107" t="s">
        <v>33</v>
      </c>
      <c r="P5" s="107" t="s">
        <v>35</v>
      </c>
      <c r="Q5" s="107" t="s">
        <v>36</v>
      </c>
      <c r="R5" s="107" t="s">
        <v>36</v>
      </c>
      <c r="S5" s="107" t="s">
        <v>34</v>
      </c>
      <c r="T5" s="107" t="s">
        <v>33</v>
      </c>
      <c r="U5" s="107" t="s">
        <v>34</v>
      </c>
      <c r="V5" s="107" t="s">
        <v>62</v>
      </c>
      <c r="W5" s="107" t="s">
        <v>34</v>
      </c>
      <c r="X5" s="107" t="s">
        <v>33</v>
      </c>
      <c r="Y5" s="107" t="s">
        <v>35</v>
      </c>
      <c r="Z5" s="107" t="s">
        <v>33</v>
      </c>
      <c r="AA5" s="107" t="s">
        <v>34</v>
      </c>
      <c r="AB5" s="107" t="s">
        <v>33</v>
      </c>
      <c r="AC5" s="107" t="s">
        <v>33</v>
      </c>
      <c r="AD5" s="107" t="s">
        <v>35</v>
      </c>
      <c r="AE5" s="107" t="s">
        <v>34</v>
      </c>
      <c r="AF5" s="107" t="s">
        <v>33</v>
      </c>
      <c r="AG5" s="107" t="s">
        <v>35</v>
      </c>
      <c r="AH5" s="107" t="s">
        <v>34</v>
      </c>
      <c r="AI5" s="107" t="s">
        <v>34</v>
      </c>
      <c r="AJ5" s="107" t="s">
        <v>34</v>
      </c>
      <c r="AK5" s="107" t="s">
        <v>34</v>
      </c>
      <c r="AL5" s="107" t="s">
        <v>34</v>
      </c>
      <c r="AM5" s="107" t="s">
        <v>34</v>
      </c>
      <c r="AN5" s="107" t="s">
        <v>34</v>
      </c>
      <c r="AO5" s="107" t="s">
        <v>34</v>
      </c>
      <c r="AP5" s="107" t="s">
        <v>33</v>
      </c>
      <c r="AQ5" s="107" t="s">
        <v>34</v>
      </c>
      <c r="AR5" s="107" t="s">
        <v>34</v>
      </c>
    </row>
    <row r="6" spans="1:45" x14ac:dyDescent="0.25">
      <c r="C6" s="45"/>
      <c r="F6" s="33" t="s">
        <v>67</v>
      </c>
      <c r="G6" s="57">
        <v>0</v>
      </c>
      <c r="H6" s="45" t="s">
        <v>28</v>
      </c>
      <c r="J6" s="47">
        <v>1</v>
      </c>
      <c r="K6" s="63">
        <v>0</v>
      </c>
      <c r="L6" s="33" t="s">
        <v>112</v>
      </c>
      <c r="M6" s="49" t="s">
        <v>64</v>
      </c>
      <c r="N6" s="47">
        <v>9.6000000000000014</v>
      </c>
      <c r="O6" s="63">
        <v>0</v>
      </c>
      <c r="P6" s="63">
        <v>0</v>
      </c>
      <c r="Q6" s="47">
        <v>44</v>
      </c>
      <c r="R6" s="47">
        <f>Q6-5</f>
        <v>39</v>
      </c>
      <c r="S6" s="47">
        <v>1.5</v>
      </c>
      <c r="T6" s="47">
        <v>0</v>
      </c>
      <c r="U6" s="47">
        <v>0</v>
      </c>
      <c r="V6" s="47">
        <v>0</v>
      </c>
      <c r="W6" s="47">
        <v>0.5</v>
      </c>
      <c r="X6" s="81">
        <v>2000</v>
      </c>
      <c r="Y6" s="81">
        <v>0</v>
      </c>
      <c r="Z6" s="108">
        <f t="shared" ref="Z6:Z11" si="0">VLOOKUP(R6,$AE$31:$AF$51,2)</f>
        <v>114.99999999999996</v>
      </c>
      <c r="AA6" s="108">
        <v>1</v>
      </c>
      <c r="AB6" s="108">
        <f t="shared" ref="AB6:AB11" si="1">VLOOKUP(R6,$AE$31:$AG$51,3)</f>
        <v>12000</v>
      </c>
      <c r="AC6" s="47">
        <v>30000</v>
      </c>
      <c r="AD6" s="47">
        <v>0</v>
      </c>
      <c r="AE6" s="81">
        <v>0.3</v>
      </c>
      <c r="AF6" s="47">
        <v>0</v>
      </c>
      <c r="AG6" s="47">
        <v>0</v>
      </c>
      <c r="AH6" s="47">
        <v>0</v>
      </c>
      <c r="AI6" s="47">
        <v>0</v>
      </c>
      <c r="AJ6" s="47">
        <f>VLOOKUP(R6,$AE$39:$AH$59,4)</f>
        <v>50.000000000000007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/>
      <c r="J7" s="47">
        <v>2</v>
      </c>
      <c r="K7" s="63">
        <v>-1</v>
      </c>
      <c r="L7" s="33" t="s">
        <v>112</v>
      </c>
      <c r="M7" s="49" t="s">
        <v>64</v>
      </c>
      <c r="N7" s="47">
        <v>9.6000000000000014</v>
      </c>
      <c r="O7" s="63">
        <v>0</v>
      </c>
      <c r="P7" s="63">
        <v>0</v>
      </c>
      <c r="Q7" s="47">
        <v>44</v>
      </c>
      <c r="R7" s="47">
        <f>Q7-5</f>
        <v>39</v>
      </c>
      <c r="S7" s="47">
        <v>1.5</v>
      </c>
      <c r="T7" s="47">
        <v>0</v>
      </c>
      <c r="U7" s="47">
        <v>0</v>
      </c>
      <c r="V7" s="47">
        <v>0</v>
      </c>
      <c r="W7" s="47">
        <v>0.5</v>
      </c>
      <c r="X7" s="81">
        <v>45000</v>
      </c>
      <c r="Y7" s="81">
        <v>0</v>
      </c>
      <c r="Z7" s="108">
        <f t="shared" si="0"/>
        <v>114.99999999999996</v>
      </c>
      <c r="AA7" s="108">
        <v>1</v>
      </c>
      <c r="AB7" s="108">
        <f t="shared" si="1"/>
        <v>12000</v>
      </c>
      <c r="AC7" s="47">
        <v>30000</v>
      </c>
      <c r="AD7" s="47">
        <v>0</v>
      </c>
      <c r="AE7" s="81">
        <v>0.3</v>
      </c>
      <c r="AF7" s="47">
        <v>0</v>
      </c>
      <c r="AG7" s="47">
        <v>0</v>
      </c>
      <c r="AH7" s="47">
        <v>0</v>
      </c>
      <c r="AI7" s="47">
        <v>0</v>
      </c>
      <c r="AJ7" s="47">
        <f t="shared" ref="AJ7:AJ11" si="2">VLOOKUP(R7,$AE$39:$AH$59,4)</f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0</v>
      </c>
      <c r="AP7" s="47">
        <v>0</v>
      </c>
      <c r="AQ7" s="47">
        <v>0</v>
      </c>
      <c r="AR7" s="47">
        <v>0</v>
      </c>
      <c r="AS7" s="47">
        <v>0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59">
        <v>1000</v>
      </c>
      <c r="H8" s="45" t="s">
        <v>53</v>
      </c>
      <c r="J8" s="47">
        <v>3</v>
      </c>
      <c r="K8" s="63">
        <v>-4</v>
      </c>
      <c r="L8" s="33" t="s">
        <v>112</v>
      </c>
      <c r="M8" s="49" t="s">
        <v>64</v>
      </c>
      <c r="N8" s="47">
        <v>8.5</v>
      </c>
      <c r="O8" s="63">
        <v>0</v>
      </c>
      <c r="P8" s="63">
        <v>0</v>
      </c>
      <c r="Q8" s="47">
        <v>39</v>
      </c>
      <c r="R8" s="47">
        <f>Q8-5</f>
        <v>34</v>
      </c>
      <c r="S8" s="47">
        <v>1.3</v>
      </c>
      <c r="T8" s="47">
        <v>0</v>
      </c>
      <c r="U8" s="47">
        <v>0</v>
      </c>
      <c r="V8" s="47">
        <v>0</v>
      </c>
      <c r="W8" s="47">
        <v>0.5</v>
      </c>
      <c r="X8" s="81">
        <v>45000</v>
      </c>
      <c r="Y8" s="81">
        <v>0</v>
      </c>
      <c r="Z8" s="108">
        <f t="shared" si="0"/>
        <v>111.19999999999996</v>
      </c>
      <c r="AA8" s="108">
        <v>1</v>
      </c>
      <c r="AB8" s="108">
        <f t="shared" si="1"/>
        <v>11520</v>
      </c>
      <c r="AC8" s="47">
        <v>30000</v>
      </c>
      <c r="AD8" s="47">
        <v>13725.490196078432</v>
      </c>
      <c r="AE8" s="81">
        <v>0.3</v>
      </c>
      <c r="AF8" s="47">
        <v>0</v>
      </c>
      <c r="AG8" s="47">
        <v>0</v>
      </c>
      <c r="AH8" s="47">
        <v>0</v>
      </c>
      <c r="AI8" s="47">
        <v>0</v>
      </c>
      <c r="AJ8" s="47">
        <f t="shared" si="2"/>
        <v>48.000000000000007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</row>
    <row r="9" spans="1:45" x14ac:dyDescent="0.25">
      <c r="A9" s="33" t="s">
        <v>68</v>
      </c>
      <c r="B9" s="57">
        <v>70</v>
      </c>
      <c r="C9" s="45" t="s">
        <v>28</v>
      </c>
      <c r="F9" s="33" t="s">
        <v>96</v>
      </c>
      <c r="G9" s="59">
        <v>-20000</v>
      </c>
      <c r="H9" s="45" t="s">
        <v>54</v>
      </c>
      <c r="J9" s="47">
        <v>4</v>
      </c>
      <c r="K9" s="63">
        <v>-9.1</v>
      </c>
      <c r="L9" s="33" t="s">
        <v>112</v>
      </c>
      <c r="M9" s="49" t="s">
        <v>64</v>
      </c>
      <c r="N9" s="47">
        <v>8.5</v>
      </c>
      <c r="O9" s="63">
        <v>0</v>
      </c>
      <c r="P9" s="63">
        <v>0</v>
      </c>
      <c r="Q9" s="47">
        <v>39</v>
      </c>
      <c r="R9" s="47">
        <f t="shared" ref="R9:R11" si="3">Q9-5</f>
        <v>34</v>
      </c>
      <c r="S9" s="47">
        <v>1</v>
      </c>
      <c r="T9" s="47">
        <v>0</v>
      </c>
      <c r="U9" s="47">
        <v>0</v>
      </c>
      <c r="V9" s="47">
        <v>0</v>
      </c>
      <c r="W9" s="47">
        <v>0.5</v>
      </c>
      <c r="X9" s="81">
        <v>45000</v>
      </c>
      <c r="Y9" s="81">
        <v>0</v>
      </c>
      <c r="Z9" s="108">
        <f t="shared" si="0"/>
        <v>111.19999999999996</v>
      </c>
      <c r="AA9" s="108">
        <v>1</v>
      </c>
      <c r="AB9" s="108">
        <f t="shared" si="1"/>
        <v>11520</v>
      </c>
      <c r="AC9" s="47">
        <v>10000</v>
      </c>
      <c r="AD9" s="47">
        <v>1785.7142857142858</v>
      </c>
      <c r="AE9" s="81">
        <v>0.3</v>
      </c>
      <c r="AF9" s="47">
        <v>0</v>
      </c>
      <c r="AG9" s="47">
        <v>0</v>
      </c>
      <c r="AH9" s="47">
        <v>0</v>
      </c>
      <c r="AI9" s="47">
        <v>0</v>
      </c>
      <c r="AJ9" s="47">
        <f t="shared" si="2"/>
        <v>48.000000000000007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0</v>
      </c>
      <c r="AP9" s="47">
        <v>0</v>
      </c>
      <c r="AQ9" s="47">
        <v>0</v>
      </c>
      <c r="AR9" s="47">
        <v>0</v>
      </c>
      <c r="AS9" s="47">
        <v>0</v>
      </c>
    </row>
    <row r="10" spans="1:45" s="56" customFormat="1" x14ac:dyDescent="0.25">
      <c r="A10" s="56" t="s">
        <v>69</v>
      </c>
      <c r="B10" s="58">
        <v>70</v>
      </c>
      <c r="C10" s="45" t="s">
        <v>28</v>
      </c>
      <c r="F10" s="33" t="s">
        <v>51</v>
      </c>
      <c r="G10" s="59">
        <v>1000</v>
      </c>
      <c r="H10" s="45" t="s">
        <v>53</v>
      </c>
      <c r="I10" s="33"/>
      <c r="J10" s="47">
        <v>5</v>
      </c>
      <c r="K10" s="63">
        <v>-14.7</v>
      </c>
      <c r="L10" s="33" t="s">
        <v>112</v>
      </c>
      <c r="M10" s="49" t="s">
        <v>64</v>
      </c>
      <c r="N10" s="47">
        <v>9.8999999999999986</v>
      </c>
      <c r="O10" s="63">
        <v>0</v>
      </c>
      <c r="P10" s="63">
        <v>0</v>
      </c>
      <c r="Q10" s="47">
        <v>42</v>
      </c>
      <c r="R10" s="47">
        <f t="shared" si="3"/>
        <v>37</v>
      </c>
      <c r="S10" s="47">
        <v>1</v>
      </c>
      <c r="T10" s="47">
        <v>0</v>
      </c>
      <c r="U10" s="47">
        <v>0</v>
      </c>
      <c r="V10" s="47">
        <v>0</v>
      </c>
      <c r="W10" s="47">
        <v>0.5</v>
      </c>
      <c r="X10" s="81">
        <v>45000</v>
      </c>
      <c r="Y10" s="81">
        <v>7211.5384615384601</v>
      </c>
      <c r="Z10" s="108">
        <f t="shared" si="0"/>
        <v>114.99999999999996</v>
      </c>
      <c r="AA10" s="108">
        <v>1</v>
      </c>
      <c r="AB10" s="108">
        <f t="shared" si="1"/>
        <v>12000</v>
      </c>
      <c r="AC10" s="47">
        <v>110000</v>
      </c>
      <c r="AD10" s="47">
        <v>3846.1538461538453</v>
      </c>
      <c r="AE10" s="81">
        <v>0.3</v>
      </c>
      <c r="AF10" s="47">
        <v>0</v>
      </c>
      <c r="AG10" s="47">
        <v>0</v>
      </c>
      <c r="AH10" s="47">
        <v>0</v>
      </c>
      <c r="AI10" s="47">
        <v>0</v>
      </c>
      <c r="AJ10" s="47">
        <f t="shared" si="2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59">
        <v>0</v>
      </c>
      <c r="H11" s="45" t="s">
        <v>53</v>
      </c>
      <c r="J11" s="47">
        <v>6</v>
      </c>
      <c r="K11" s="63">
        <v>-25.1</v>
      </c>
      <c r="L11" s="33" t="s">
        <v>112</v>
      </c>
      <c r="M11" s="49" t="s">
        <v>64</v>
      </c>
      <c r="N11" s="47">
        <v>7.6999999999999993</v>
      </c>
      <c r="O11" s="63">
        <v>0</v>
      </c>
      <c r="P11" s="63">
        <v>0</v>
      </c>
      <c r="Q11" s="47">
        <v>36</v>
      </c>
      <c r="R11" s="47">
        <f t="shared" si="3"/>
        <v>31</v>
      </c>
      <c r="S11" s="47">
        <v>0.6</v>
      </c>
      <c r="T11" s="47">
        <v>0</v>
      </c>
      <c r="U11" s="47">
        <v>0</v>
      </c>
      <c r="V11" s="47">
        <v>0</v>
      </c>
      <c r="W11" s="47">
        <v>0.5</v>
      </c>
      <c r="X11" s="81">
        <v>45000</v>
      </c>
      <c r="Y11" s="81">
        <v>0</v>
      </c>
      <c r="Z11" s="108">
        <f t="shared" si="0"/>
        <v>99.799999999999969</v>
      </c>
      <c r="AA11" s="108">
        <v>1</v>
      </c>
      <c r="AB11" s="108">
        <f t="shared" si="1"/>
        <v>10080</v>
      </c>
      <c r="AC11" s="47">
        <v>140000</v>
      </c>
      <c r="AD11" s="47">
        <v>0</v>
      </c>
      <c r="AE11" s="81">
        <v>0.3</v>
      </c>
      <c r="AF11" s="47">
        <v>0</v>
      </c>
      <c r="AG11" s="47">
        <v>0</v>
      </c>
      <c r="AH11" s="47">
        <v>0</v>
      </c>
      <c r="AI11" s="47">
        <v>0</v>
      </c>
      <c r="AJ11" s="47">
        <f t="shared" si="2"/>
        <v>42.000000000000007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0</v>
      </c>
      <c r="AP11" s="47">
        <v>0</v>
      </c>
      <c r="AQ11" s="47">
        <v>0</v>
      </c>
      <c r="AR11" s="47">
        <v>0</v>
      </c>
      <c r="AS11" s="47">
        <v>0</v>
      </c>
    </row>
    <row r="12" spans="1:45" x14ac:dyDescent="0.25">
      <c r="A12" s="33" t="s">
        <v>74</v>
      </c>
      <c r="B12" s="57">
        <v>8.4</v>
      </c>
      <c r="C12" s="45" t="s">
        <v>28</v>
      </c>
      <c r="E12" s="59"/>
      <c r="F12" s="56" t="s">
        <v>97</v>
      </c>
      <c r="G12" s="58">
        <v>0</v>
      </c>
      <c r="H12" s="45" t="s">
        <v>53</v>
      </c>
      <c r="I12" s="56"/>
      <c r="J12" s="47"/>
      <c r="K12" s="63"/>
      <c r="L12" s="49"/>
      <c r="M12" s="49"/>
      <c r="N12" s="47"/>
      <c r="O12" s="63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J13" s="47"/>
      <c r="K13" s="63"/>
      <c r="L13" s="49"/>
      <c r="M13" s="49"/>
      <c r="N13" s="47"/>
      <c r="O13" s="63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J14" s="47"/>
      <c r="K14" s="63"/>
      <c r="L14" s="49"/>
      <c r="M14" s="49"/>
      <c r="N14" s="47"/>
      <c r="O14" s="63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</row>
    <row r="15" spans="1:45" s="56" customFormat="1" x14ac:dyDescent="0.25">
      <c r="A15" s="33" t="s">
        <v>44</v>
      </c>
      <c r="B15" s="61">
        <v>207000000</v>
      </c>
      <c r="C15" s="45" t="s">
        <v>47</v>
      </c>
      <c r="D15" s="33"/>
      <c r="E15" s="33"/>
      <c r="F15" s="33"/>
      <c r="G15" s="33"/>
      <c r="J15" s="47"/>
      <c r="K15" s="63"/>
      <c r="L15" s="49"/>
      <c r="M15" s="49"/>
      <c r="N15" s="47"/>
      <c r="O15" s="63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J16" s="47"/>
      <c r="K16" s="63"/>
      <c r="L16" s="49"/>
      <c r="M16" s="49"/>
      <c r="N16" s="47"/>
      <c r="O16" s="63"/>
      <c r="P16" s="63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</row>
    <row r="17" spans="1:40" x14ac:dyDescent="0.25">
      <c r="A17" s="33" t="s">
        <v>98</v>
      </c>
      <c r="B17" s="57">
        <v>0.53</v>
      </c>
      <c r="C17" s="45"/>
      <c r="D17" s="107"/>
      <c r="E17" s="107"/>
      <c r="F17" s="56"/>
      <c r="G17" s="56"/>
      <c r="J17" s="47"/>
      <c r="K17" s="63"/>
      <c r="L17" s="49"/>
      <c r="M17" s="49"/>
      <c r="N17" s="47"/>
      <c r="O17" s="63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</row>
    <row r="18" spans="1:40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56"/>
      <c r="J18" s="47"/>
      <c r="K18" s="63"/>
      <c r="L18" s="49"/>
      <c r="M18" s="49"/>
      <c r="N18" s="47"/>
      <c r="O18" s="63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</row>
    <row r="19" spans="1:40" s="56" customFormat="1" x14ac:dyDescent="0.25">
      <c r="A19" s="107" t="s">
        <v>38</v>
      </c>
      <c r="B19" s="107" t="s">
        <v>30</v>
      </c>
      <c r="C19" s="107" t="s">
        <v>59</v>
      </c>
      <c r="D19" s="43"/>
      <c r="E19" s="35"/>
      <c r="F19" s="33"/>
      <c r="G19" s="33"/>
      <c r="J19" s="47"/>
      <c r="K19" s="63"/>
      <c r="L19" s="49"/>
      <c r="M19" s="49"/>
      <c r="N19" s="47"/>
      <c r="O19" s="63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</row>
    <row r="20" spans="1:40" x14ac:dyDescent="0.25">
      <c r="A20" s="66">
        <v>1</v>
      </c>
      <c r="B20" s="66">
        <v>0</v>
      </c>
      <c r="C20" s="66">
        <v>9.0999999999999998E-2</v>
      </c>
      <c r="D20" s="43"/>
      <c r="J20" s="47"/>
      <c r="K20" s="63"/>
      <c r="L20" s="49"/>
      <c r="M20" s="49"/>
      <c r="N20" s="47"/>
      <c r="O20" s="63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</row>
    <row r="21" spans="1:40" x14ac:dyDescent="0.25">
      <c r="A21" s="66"/>
      <c r="B21" s="66"/>
      <c r="C21" s="66"/>
      <c r="D21" s="43"/>
      <c r="K21" s="79"/>
      <c r="L21" s="49"/>
      <c r="M21" s="49" t="s">
        <v>94</v>
      </c>
      <c r="N21" s="47"/>
      <c r="O21" s="63"/>
      <c r="P21" s="47"/>
      <c r="Q21" s="47"/>
      <c r="R21" s="64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</row>
    <row r="22" spans="1:40" x14ac:dyDescent="0.25">
      <c r="A22" s="47"/>
      <c r="B22" s="47"/>
      <c r="C22" s="47"/>
      <c r="D22" s="35"/>
      <c r="E22" s="33" t="s">
        <v>112</v>
      </c>
      <c r="K22" s="79"/>
      <c r="L22" s="49"/>
      <c r="M22" s="49" t="s">
        <v>94</v>
      </c>
      <c r="N22" s="47"/>
      <c r="O22" s="47"/>
      <c r="P22" s="47"/>
      <c r="Q22" s="47"/>
      <c r="R22" s="64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</row>
    <row r="23" spans="1:40" x14ac:dyDescent="0.25">
      <c r="A23" s="47"/>
      <c r="B23" s="47"/>
      <c r="C23" s="47"/>
      <c r="D23" s="35"/>
      <c r="K23" s="79"/>
      <c r="L23" s="49"/>
      <c r="M23" s="49" t="s">
        <v>94</v>
      </c>
      <c r="N23" s="47"/>
      <c r="O23" s="47"/>
      <c r="P23" s="47"/>
      <c r="Q23" s="47"/>
      <c r="R23" s="64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I23" s="47"/>
      <c r="AJ23" s="47"/>
      <c r="AK23" s="47"/>
      <c r="AL23" s="47"/>
      <c r="AM23" s="47"/>
      <c r="AN23" s="47"/>
    </row>
    <row r="24" spans="1:40" x14ac:dyDescent="0.25">
      <c r="A24" s="43"/>
      <c r="B24" s="43"/>
      <c r="C24" s="43"/>
      <c r="D24" s="43"/>
      <c r="K24" s="79"/>
      <c r="L24" s="49"/>
      <c r="M24" s="49" t="s">
        <v>94</v>
      </c>
      <c r="N24" s="47"/>
      <c r="O24" s="47"/>
      <c r="P24" s="47"/>
      <c r="Q24" s="47"/>
      <c r="R24" s="64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I24" s="47"/>
      <c r="AJ24" s="47"/>
      <c r="AK24" s="47"/>
      <c r="AL24" s="47"/>
      <c r="AM24" s="47"/>
      <c r="AN24" s="47"/>
    </row>
    <row r="25" spans="1:40" x14ac:dyDescent="0.25">
      <c r="A25" s="47"/>
      <c r="B25" s="47"/>
      <c r="C25" s="47"/>
      <c r="D25" s="35"/>
      <c r="K25" s="79"/>
      <c r="L25" s="49"/>
      <c r="M25" s="49" t="s">
        <v>94</v>
      </c>
      <c r="N25" s="47"/>
      <c r="O25" s="47"/>
      <c r="P25" s="47"/>
      <c r="Q25" s="47"/>
      <c r="R25" s="64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I25" s="47"/>
      <c r="AJ25" s="47"/>
      <c r="AK25" s="47"/>
      <c r="AL25" s="47"/>
      <c r="AM25" s="47"/>
      <c r="AN25" s="47"/>
    </row>
    <row r="26" spans="1:40" x14ac:dyDescent="0.25">
      <c r="A26" s="43"/>
      <c r="B26" s="43"/>
      <c r="C26" s="43"/>
      <c r="D26" s="43"/>
      <c r="K26" s="79"/>
      <c r="L26" s="49"/>
      <c r="M26" s="49" t="s">
        <v>94</v>
      </c>
      <c r="N26" s="47"/>
      <c r="O26" s="47"/>
      <c r="P26" s="47"/>
      <c r="Q26" s="47"/>
      <c r="R26" s="64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I26" s="47"/>
      <c r="AJ26" s="47"/>
      <c r="AK26" s="47"/>
      <c r="AL26" s="47"/>
      <c r="AM26" s="47"/>
      <c r="AN26" s="47"/>
    </row>
    <row r="27" spans="1:40" x14ac:dyDescent="0.25">
      <c r="A27" s="43"/>
      <c r="B27" s="43"/>
      <c r="C27" s="43"/>
      <c r="D27" s="43"/>
      <c r="L27" s="49"/>
      <c r="M27" s="49" t="s">
        <v>94</v>
      </c>
      <c r="N27" s="47"/>
      <c r="O27" s="47"/>
      <c r="P27" s="47"/>
      <c r="Q27" s="47"/>
      <c r="R27" s="64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I27" s="47"/>
      <c r="AJ27" s="47"/>
      <c r="AK27" s="47"/>
      <c r="AL27" s="47"/>
      <c r="AM27" s="47"/>
      <c r="AN27" s="47"/>
    </row>
    <row r="28" spans="1:40" x14ac:dyDescent="0.25">
      <c r="A28" s="43"/>
      <c r="B28" s="43"/>
      <c r="C28" s="43"/>
      <c r="D28" s="43"/>
      <c r="L28" s="49"/>
      <c r="M28" s="49" t="s">
        <v>94</v>
      </c>
      <c r="N28" s="47"/>
      <c r="O28" s="47"/>
      <c r="P28" s="47"/>
      <c r="Q28" s="47"/>
      <c r="R28" s="64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I28" s="47"/>
      <c r="AJ28" s="47"/>
      <c r="AK28" s="47"/>
      <c r="AL28" s="47"/>
      <c r="AM28" s="47"/>
      <c r="AN28" s="47"/>
    </row>
    <row r="29" spans="1:40" x14ac:dyDescent="0.25">
      <c r="A29" s="43"/>
      <c r="B29" s="43"/>
      <c r="C29" s="43"/>
      <c r="D29" s="43"/>
      <c r="L29" s="49"/>
      <c r="M29" s="49" t="s">
        <v>94</v>
      </c>
      <c r="N29" s="47"/>
      <c r="O29" s="47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</row>
    <row r="30" spans="1:40" x14ac:dyDescent="0.25">
      <c r="A30" s="43"/>
      <c r="B30" s="43"/>
      <c r="C30" s="43"/>
      <c r="D30" s="43"/>
      <c r="L30" s="49"/>
      <c r="M30" s="49" t="s">
        <v>94</v>
      </c>
      <c r="N30" s="47"/>
      <c r="O30" s="47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33" t="s">
        <v>99</v>
      </c>
      <c r="AF30" s="33" t="s">
        <v>100</v>
      </c>
      <c r="AG30" s="33" t="s">
        <v>101</v>
      </c>
      <c r="AI30" s="47"/>
      <c r="AJ30" s="47"/>
      <c r="AK30" s="47"/>
      <c r="AL30" s="47"/>
      <c r="AM30" s="47"/>
      <c r="AN30" s="47"/>
    </row>
    <row r="31" spans="1:40" x14ac:dyDescent="0.25">
      <c r="A31" s="43"/>
      <c r="B31" s="43"/>
      <c r="C31" s="43"/>
      <c r="D31" s="43"/>
      <c r="L31" s="49"/>
      <c r="M31" s="49" t="s">
        <v>94</v>
      </c>
      <c r="N31" s="47"/>
      <c r="O31" s="47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33">
        <v>15</v>
      </c>
      <c r="AF31" s="33">
        <v>48</v>
      </c>
      <c r="AG31" s="33">
        <v>1900</v>
      </c>
      <c r="AH31" s="33">
        <v>8</v>
      </c>
      <c r="AI31" s="47"/>
      <c r="AJ31" s="47"/>
      <c r="AK31" s="47"/>
      <c r="AL31" s="47"/>
      <c r="AM31" s="47"/>
      <c r="AN31" s="47"/>
    </row>
    <row r="32" spans="1:40" x14ac:dyDescent="0.25">
      <c r="A32" s="43"/>
      <c r="B32" s="43"/>
      <c r="C32" s="43"/>
      <c r="D32" s="43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33">
        <v>16</v>
      </c>
      <c r="AF32" s="33">
        <v>51.8</v>
      </c>
      <c r="AG32" s="33">
        <v>2100</v>
      </c>
      <c r="AH32" s="33">
        <v>8.8000000000000007</v>
      </c>
      <c r="AI32" s="47"/>
      <c r="AJ32" s="47"/>
      <c r="AK32" s="47"/>
      <c r="AL32" s="47"/>
      <c r="AM32" s="47"/>
      <c r="AN32" s="47"/>
    </row>
    <row r="33" spans="1:40" x14ac:dyDescent="0.25">
      <c r="A33" s="43"/>
      <c r="B33" s="43"/>
      <c r="C33" s="43"/>
      <c r="D33" s="43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33">
        <v>17</v>
      </c>
      <c r="AF33" s="33">
        <v>55.599999999999994</v>
      </c>
      <c r="AG33" s="33">
        <v>2300</v>
      </c>
      <c r="AH33" s="33">
        <v>9.6000000000000014</v>
      </c>
      <c r="AI33" s="47"/>
      <c r="AJ33" s="47"/>
      <c r="AK33" s="47"/>
      <c r="AL33" s="47"/>
      <c r="AM33" s="47"/>
      <c r="AN33" s="47"/>
    </row>
    <row r="34" spans="1:40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33">
        <v>18</v>
      </c>
      <c r="AF34" s="33">
        <v>59.399999999999991</v>
      </c>
      <c r="AG34" s="33">
        <v>2500</v>
      </c>
      <c r="AH34" s="33">
        <v>10.400000000000002</v>
      </c>
      <c r="AI34" s="47"/>
      <c r="AJ34" s="47"/>
      <c r="AK34" s="47"/>
      <c r="AL34" s="47"/>
      <c r="AM34" s="47"/>
      <c r="AN34" s="47"/>
    </row>
    <row r="35" spans="1:40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33">
        <v>19</v>
      </c>
      <c r="AF35" s="33">
        <v>63.199999999999989</v>
      </c>
      <c r="AG35" s="33">
        <v>2700</v>
      </c>
      <c r="AH35" s="33">
        <v>11.200000000000003</v>
      </c>
      <c r="AI35" s="47"/>
      <c r="AJ35" s="47"/>
      <c r="AK35" s="47"/>
      <c r="AL35" s="47"/>
      <c r="AM35" s="47"/>
      <c r="AN35" s="47"/>
    </row>
    <row r="36" spans="1:40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33">
        <v>20</v>
      </c>
      <c r="AF36" s="33">
        <v>66.999999999999986</v>
      </c>
      <c r="AG36" s="33">
        <v>2900</v>
      </c>
      <c r="AH36" s="33">
        <v>12.000000000000004</v>
      </c>
      <c r="AI36" s="47"/>
      <c r="AJ36" s="47"/>
      <c r="AK36" s="47"/>
      <c r="AL36" s="47"/>
      <c r="AM36" s="47"/>
      <c r="AN36" s="47"/>
    </row>
    <row r="37" spans="1:40" x14ac:dyDescent="0.25">
      <c r="L37" s="49"/>
      <c r="M37" s="49" t="s">
        <v>94</v>
      </c>
      <c r="N37" s="47"/>
      <c r="O37" s="63"/>
      <c r="P37" s="47"/>
      <c r="Q37" s="47"/>
      <c r="R37" s="64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33">
        <v>21</v>
      </c>
      <c r="AF37" s="33">
        <v>69.799999999999983</v>
      </c>
      <c r="AG37" s="33">
        <v>3280</v>
      </c>
      <c r="AH37" s="33">
        <v>13.600000000000003</v>
      </c>
      <c r="AI37" s="47"/>
      <c r="AJ37" s="47"/>
      <c r="AK37" s="47"/>
      <c r="AL37" s="47"/>
      <c r="AM37" s="47"/>
      <c r="AN37" s="47"/>
    </row>
    <row r="38" spans="1:40" x14ac:dyDescent="0.25">
      <c r="L38" s="49"/>
      <c r="M38" s="49" t="s">
        <v>94</v>
      </c>
      <c r="N38" s="47"/>
      <c r="O38" s="63"/>
      <c r="P38" s="47"/>
      <c r="Q38" s="47"/>
      <c r="R38" s="64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33">
        <v>22</v>
      </c>
      <c r="AF38" s="33">
        <v>72.59999999999998</v>
      </c>
      <c r="AG38" s="33">
        <v>3660</v>
      </c>
      <c r="AH38" s="33">
        <v>15.200000000000003</v>
      </c>
      <c r="AI38" s="47"/>
      <c r="AJ38" s="47"/>
      <c r="AK38" s="47"/>
      <c r="AL38" s="47"/>
      <c r="AM38" s="47"/>
      <c r="AN38" s="47"/>
    </row>
    <row r="39" spans="1:40" x14ac:dyDescent="0.25">
      <c r="L39" s="49"/>
      <c r="M39" s="49" t="s">
        <v>94</v>
      </c>
      <c r="N39" s="47"/>
      <c r="O39" s="63"/>
      <c r="P39" s="47"/>
      <c r="Q39" s="47"/>
      <c r="R39" s="64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33">
        <v>23</v>
      </c>
      <c r="AF39" s="33">
        <v>75.399999999999977</v>
      </c>
      <c r="AG39" s="33">
        <v>4040</v>
      </c>
      <c r="AH39" s="33">
        <v>16.800000000000004</v>
      </c>
      <c r="AI39" s="47"/>
      <c r="AJ39" s="47"/>
      <c r="AK39" s="47"/>
      <c r="AL39" s="47"/>
      <c r="AM39" s="47"/>
      <c r="AN39" s="47"/>
    </row>
    <row r="40" spans="1:40" x14ac:dyDescent="0.25">
      <c r="L40" s="49"/>
      <c r="AE40" s="33">
        <v>24</v>
      </c>
      <c r="AF40" s="33">
        <v>78.199999999999974</v>
      </c>
      <c r="AG40" s="33">
        <v>4420</v>
      </c>
      <c r="AH40" s="33">
        <v>18.400000000000006</v>
      </c>
    </row>
    <row r="41" spans="1:40" x14ac:dyDescent="0.25">
      <c r="L41" s="49"/>
      <c r="AE41" s="33">
        <v>25</v>
      </c>
      <c r="AF41" s="33">
        <v>80.999999999999972</v>
      </c>
      <c r="AG41" s="33">
        <v>4800</v>
      </c>
      <c r="AH41" s="33">
        <v>20.000000000000007</v>
      </c>
    </row>
    <row r="42" spans="1:40" x14ac:dyDescent="0.25">
      <c r="L42" s="49"/>
      <c r="AE42" s="33">
        <v>26</v>
      </c>
      <c r="AF42" s="33">
        <v>83.999999999999972</v>
      </c>
      <c r="AG42" s="33">
        <v>5760</v>
      </c>
      <c r="AH42" s="33">
        <v>24.000000000000007</v>
      </c>
    </row>
    <row r="43" spans="1:40" x14ac:dyDescent="0.25">
      <c r="L43" s="49"/>
      <c r="AE43" s="33">
        <v>27</v>
      </c>
      <c r="AF43" s="33">
        <v>86.999999999999972</v>
      </c>
      <c r="AG43" s="33">
        <v>6720</v>
      </c>
      <c r="AH43" s="33">
        <v>28.000000000000007</v>
      </c>
    </row>
    <row r="44" spans="1:40" x14ac:dyDescent="0.25">
      <c r="L44" s="49"/>
      <c r="AE44" s="33">
        <v>28</v>
      </c>
      <c r="AF44" s="33">
        <v>89.999999999999972</v>
      </c>
      <c r="AG44" s="33">
        <v>7680</v>
      </c>
      <c r="AH44" s="33">
        <v>32.000000000000007</v>
      </c>
    </row>
    <row r="45" spans="1:40" x14ac:dyDescent="0.25">
      <c r="L45" s="49"/>
      <c r="AE45" s="33">
        <v>29</v>
      </c>
      <c r="AF45" s="33">
        <v>92.999999999999972</v>
      </c>
      <c r="AG45" s="33">
        <v>8640</v>
      </c>
      <c r="AH45" s="33">
        <v>36.000000000000007</v>
      </c>
    </row>
    <row r="46" spans="1:40" x14ac:dyDescent="0.25">
      <c r="L46" s="49"/>
      <c r="AE46" s="33">
        <v>30</v>
      </c>
      <c r="AF46" s="33">
        <v>95.999999999999972</v>
      </c>
      <c r="AG46" s="33">
        <v>9600</v>
      </c>
      <c r="AH46" s="33">
        <v>40.000000000000007</v>
      </c>
    </row>
    <row r="47" spans="1:40" x14ac:dyDescent="0.25">
      <c r="L47" s="49"/>
      <c r="AE47" s="33">
        <v>31</v>
      </c>
      <c r="AF47" s="33">
        <v>99.799999999999969</v>
      </c>
      <c r="AG47" s="33">
        <v>10080</v>
      </c>
      <c r="AH47" s="33">
        <v>42.000000000000007</v>
      </c>
    </row>
    <row r="48" spans="1:40" x14ac:dyDescent="0.25">
      <c r="L48" s="49"/>
      <c r="AE48" s="33">
        <v>32</v>
      </c>
      <c r="AF48" s="33">
        <v>103.59999999999997</v>
      </c>
      <c r="AG48" s="33">
        <v>10560</v>
      </c>
      <c r="AH48" s="33">
        <v>44.000000000000007</v>
      </c>
    </row>
    <row r="49" spans="12:34" x14ac:dyDescent="0.25">
      <c r="L49" s="49"/>
      <c r="AE49" s="33">
        <v>33</v>
      </c>
      <c r="AF49" s="33">
        <v>107.39999999999996</v>
      </c>
      <c r="AG49" s="33">
        <v>11040</v>
      </c>
      <c r="AH49" s="33">
        <v>46.000000000000007</v>
      </c>
    </row>
    <row r="50" spans="12:34" x14ac:dyDescent="0.25">
      <c r="L50" s="49"/>
      <c r="AE50" s="33">
        <v>34</v>
      </c>
      <c r="AF50" s="33">
        <v>111.19999999999996</v>
      </c>
      <c r="AG50" s="33">
        <v>11520</v>
      </c>
      <c r="AH50" s="33">
        <v>48.000000000000007</v>
      </c>
    </row>
    <row r="51" spans="12:34" x14ac:dyDescent="0.25">
      <c r="L51" s="49"/>
      <c r="AE51" s="33">
        <v>35</v>
      </c>
      <c r="AF51" s="33">
        <v>114.99999999999996</v>
      </c>
      <c r="AG51" s="33">
        <v>12000</v>
      </c>
      <c r="AH51" s="33">
        <v>50.000000000000007</v>
      </c>
    </row>
    <row r="52" spans="12:34" x14ac:dyDescent="0.25">
      <c r="L52" s="49"/>
    </row>
    <row r="53" spans="12:34" x14ac:dyDescent="0.25">
      <c r="L53" s="49"/>
    </row>
    <row r="54" spans="12:34" x14ac:dyDescent="0.25">
      <c r="L54" s="49"/>
    </row>
    <row r="55" spans="12:34" x14ac:dyDescent="0.25">
      <c r="L55" s="49"/>
    </row>
    <row r="56" spans="12:34" x14ac:dyDescent="0.25">
      <c r="L56" s="49"/>
    </row>
    <row r="57" spans="12:34" x14ac:dyDescent="0.25">
      <c r="L57" s="49"/>
    </row>
    <row r="58" spans="12:34" x14ac:dyDescent="0.25">
      <c r="L58" s="49"/>
    </row>
    <row r="59" spans="12:34" x14ac:dyDescent="0.25">
      <c r="L59" s="49"/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  <row r="256" spans="12:12" x14ac:dyDescent="0.25">
      <c r="L256" s="49"/>
    </row>
    <row r="257" spans="12:12" x14ac:dyDescent="0.25">
      <c r="L257" s="49"/>
    </row>
    <row r="258" spans="12:12" x14ac:dyDescent="0.25">
      <c r="L258" s="49"/>
    </row>
  </sheetData>
  <mergeCells count="3">
    <mergeCell ref="R3:S3"/>
    <mergeCell ref="U3:V3"/>
    <mergeCell ref="AC3:AI3"/>
  </mergeCells>
  <conditionalFormatting sqref="N6 Q6 R12:AA16 AM8:AN18 Q8:Q18 N8:N20 AE8:AI11 AE6:AI6 AO8:AS11 AM6:AS6 R8:Y11">
    <cfRule type="expression" dxfId="1775" priority="62">
      <formula>$L6="API sand"</formula>
    </cfRule>
  </conditionalFormatting>
  <conditionalFormatting sqref="AJ12:AJ16 N6 AB12:AB16 AK6:AL6 AK8:AL18 N8:N20">
    <cfRule type="expression" dxfId="1774" priority="61">
      <formula>$M6="API sand"</formula>
    </cfRule>
  </conditionalFormatting>
  <conditionalFormatting sqref="AJ12:AJ16 N6 AK6:AL6 AB12:AB16 AK8:AL18 N8:N20">
    <cfRule type="expression" dxfId="1773" priority="60">
      <formula>$M6="API clay"</formula>
    </cfRule>
  </conditionalFormatting>
  <conditionalFormatting sqref="AM6:AN6 N6:P6 AM8:AN18 N8:P11">
    <cfRule type="expression" dxfId="1772" priority="57">
      <formula>$L6="Stiff clay w/o free water"</formula>
    </cfRule>
    <cfRule type="expression" dxfId="1771" priority="59">
      <formula>$L6="API clay"</formula>
    </cfRule>
  </conditionalFormatting>
  <conditionalFormatting sqref="AM6:AN6 N6:P6 AM8:AN18 N8:P11">
    <cfRule type="expression" dxfId="1770" priority="58">
      <formula>$L6="Kirsch soft clay"</formula>
    </cfRule>
  </conditionalFormatting>
  <conditionalFormatting sqref="AM6:AN6 N6:P6 AM8:AN18 N8:P11">
    <cfRule type="expression" dxfId="1769" priority="56">
      <formula>$L6="Kirsch stiff clay"</formula>
    </cfRule>
  </conditionalFormatting>
  <conditionalFormatting sqref="N6 Q6 R12:AA16 AM8:AN18 Q8:Q18 N8:N20 AE8:AI11 AE6:AI6 AO8:AS11 AM6:AS6 R8:Y11">
    <cfRule type="expression" dxfId="1768" priority="55">
      <formula>$L6="Kirsch sand"</formula>
    </cfRule>
  </conditionalFormatting>
  <conditionalFormatting sqref="N6 AC6:AD6 AM6:AN6 AC8:AD18 AM8:AN18 N8:N20">
    <cfRule type="expression" dxfId="1767" priority="54">
      <formula>$L6="Modified Weak rock"</formula>
    </cfRule>
  </conditionalFormatting>
  <conditionalFormatting sqref="AM6:AN6 N6:P6 AM8:AN18 N8:P11">
    <cfRule type="expression" dxfId="1766" priority="53">
      <formula>$L6="Reese stiff clay"</formula>
    </cfRule>
  </conditionalFormatting>
  <conditionalFormatting sqref="N21:N39 Q19:Q39 AM19:AN39">
    <cfRule type="expression" dxfId="1765" priority="52">
      <formula>$L19="API sand"</formula>
    </cfRule>
  </conditionalFormatting>
  <conditionalFormatting sqref="N21:N39 Z19:Z39 AB19:AB39 R19:S39 AJ19:AL39">
    <cfRule type="expression" dxfId="1764" priority="51">
      <formula>$M19="API sand"</formula>
    </cfRule>
  </conditionalFormatting>
  <conditionalFormatting sqref="Z19:AB39 AK19:AL39 R19:T39 N21:N39">
    <cfRule type="expression" dxfId="1763" priority="50">
      <formula>$M19="API clay"</formula>
    </cfRule>
  </conditionalFormatting>
  <conditionalFormatting sqref="U19:W39 AM19:AN39 N32:P39 N21:N31 P19:P31">
    <cfRule type="expression" dxfId="1762" priority="47">
      <formula>$L19="Stiff clay w/o free water"</formula>
    </cfRule>
    <cfRule type="expression" dxfId="1761" priority="49">
      <formula>$L19="API clay"</formula>
    </cfRule>
  </conditionalFormatting>
  <conditionalFormatting sqref="U19:Y39 AM19:AN39 N32:P39 N21:N31 P19:P31">
    <cfRule type="expression" dxfId="1760" priority="48">
      <formula>$L19="Kirsch soft clay"</formula>
    </cfRule>
  </conditionalFormatting>
  <conditionalFormatting sqref="AM19:AN39 U19:Y39 N32:P39 N21:N31 P19:P31">
    <cfRule type="expression" dxfId="1759" priority="46">
      <formula>$L19="Kirsch stiff clay"</formula>
    </cfRule>
  </conditionalFormatting>
  <conditionalFormatting sqref="N21:N39 Q19:Q39 X19:Y39 AM19:AN39">
    <cfRule type="expression" dxfId="1758" priority="45">
      <formula>$L19="Kirsch sand"</formula>
    </cfRule>
  </conditionalFormatting>
  <conditionalFormatting sqref="N21:N39 AC19:AI22 AM19:AN39 AC23:AD39 AI23:AI39">
    <cfRule type="expression" dxfId="1757" priority="44">
      <formula>$L19="Modified Weak rock"</formula>
    </cfRule>
  </conditionalFormatting>
  <conditionalFormatting sqref="U19:V39 AM19:AN39 N32:P39 N21:N31 P19:P31">
    <cfRule type="expression" dxfId="1756" priority="43">
      <formula>$L19="Reese stiff clay"</formula>
    </cfRule>
  </conditionalFormatting>
  <conditionalFormatting sqref="AC6:AD6 AM6:AN6 N6:P6 AC8:AD18 AM8:AN18 N8:P11">
    <cfRule type="expression" dxfId="1755" priority="42">
      <formula>$L6="PISA clay"</formula>
    </cfRule>
  </conditionalFormatting>
  <conditionalFormatting sqref="N6 AC6:AD6 AM6:AN6 AC8:AD18 AM8:AN18 N8:N20">
    <cfRule type="expression" dxfId="1754" priority="41">
      <formula>$L6="PISA sand"</formula>
    </cfRule>
  </conditionalFormatting>
  <conditionalFormatting sqref="R6:Y6">
    <cfRule type="expression" dxfId="1753" priority="40">
      <formula>$L6="API sand"</formula>
    </cfRule>
  </conditionalFormatting>
  <conditionalFormatting sqref="R6:Y6">
    <cfRule type="expression" dxfId="1752" priority="39">
      <formula>$L6="Kirsch sand"</formula>
    </cfRule>
  </conditionalFormatting>
  <conditionalFormatting sqref="N12:P15 N16:O16 P17:P18 O17:O21 N17:N20">
    <cfRule type="expression" dxfId="1751" priority="36">
      <formula>$L12="Stiff clay w/o free water"</formula>
    </cfRule>
    <cfRule type="expression" dxfId="1750" priority="38">
      <formula>$L12="API clay"</formula>
    </cfRule>
  </conditionalFormatting>
  <conditionalFormatting sqref="N12:P15 N16:O16 P17:P18 O17:O21 N17:N20">
    <cfRule type="expression" dxfId="1749" priority="37">
      <formula>$L12="Kirsch soft clay"</formula>
    </cfRule>
  </conditionalFormatting>
  <conditionalFormatting sqref="N12:P15 N16:O16 P17:P18 O17:O21 N17:N20">
    <cfRule type="expression" dxfId="1748" priority="35">
      <formula>$L12="Kirsch stiff clay"</formula>
    </cfRule>
  </conditionalFormatting>
  <conditionalFormatting sqref="N12:P15 N16:O16 P17:P18 O17:O21 N17:N20">
    <cfRule type="expression" dxfId="1747" priority="34">
      <formula>$L12="Reese stiff clay"</formula>
    </cfRule>
  </conditionalFormatting>
  <conditionalFormatting sqref="N12:P15 N16:O16 P17:P18 O17:O21 N17:N20">
    <cfRule type="expression" dxfId="1746" priority="33">
      <formula>$L12="PISA clay"</formula>
    </cfRule>
  </conditionalFormatting>
  <conditionalFormatting sqref="R17:AB18">
    <cfRule type="expression" dxfId="1745" priority="32">
      <formula>$L17="API sand"</formula>
    </cfRule>
  </conditionalFormatting>
  <conditionalFormatting sqref="R17:AB18">
    <cfRule type="expression" dxfId="1744" priority="31">
      <formula>$L17="Kirsch sand"</formula>
    </cfRule>
  </conditionalFormatting>
  <conditionalFormatting sqref="AE17:AJ18 AE12:AI16">
    <cfRule type="expression" dxfId="1743" priority="30">
      <formula>$L12="API sand"</formula>
    </cfRule>
  </conditionalFormatting>
  <conditionalFormatting sqref="AE17:AJ18 AE12:AI16">
    <cfRule type="expression" dxfId="1742" priority="29">
      <formula>$L12="Kirsch sand"</formula>
    </cfRule>
  </conditionalFormatting>
  <conditionalFormatting sqref="O22:O24">
    <cfRule type="expression" dxfId="1741" priority="28">
      <formula>$L22="API sand"</formula>
    </cfRule>
  </conditionalFormatting>
  <conditionalFormatting sqref="O22:O24">
    <cfRule type="expression" dxfId="1740" priority="27">
      <formula>$L22="Kirsch sand"</formula>
    </cfRule>
  </conditionalFormatting>
  <conditionalFormatting sqref="O25:O31">
    <cfRule type="expression" dxfId="1739" priority="26">
      <formula>$L25="API sand"</formula>
    </cfRule>
  </conditionalFormatting>
  <conditionalFormatting sqref="O25:O31">
    <cfRule type="expression" dxfId="1738" priority="25">
      <formula>$L25="Kirsch sand"</formula>
    </cfRule>
  </conditionalFormatting>
  <conditionalFormatting sqref="P16">
    <cfRule type="expression" dxfId="1737" priority="22">
      <formula>$L16="Stiff clay w/o free water"</formula>
    </cfRule>
    <cfRule type="expression" dxfId="1736" priority="24">
      <formula>$L16="API clay"</formula>
    </cfRule>
  </conditionalFormatting>
  <conditionalFormatting sqref="P16">
    <cfRule type="expression" dxfId="1735" priority="23">
      <formula>$L16="Kirsch soft clay"</formula>
    </cfRule>
  </conditionalFormatting>
  <conditionalFormatting sqref="P16">
    <cfRule type="expression" dxfId="1734" priority="21">
      <formula>$L16="Kirsch stiff clay"</formula>
    </cfRule>
  </conditionalFormatting>
  <conditionalFormatting sqref="P16">
    <cfRule type="expression" dxfId="1733" priority="20">
      <formula>$L16="Reese stiff clay"</formula>
    </cfRule>
  </conditionalFormatting>
  <conditionalFormatting sqref="P16">
    <cfRule type="expression" dxfId="1732" priority="19">
      <formula>$L16="PISA clay"</formula>
    </cfRule>
  </conditionalFormatting>
  <conditionalFormatting sqref="N7 Q7 AE7:AI7 AM7:AS7">
    <cfRule type="expression" dxfId="1731" priority="18">
      <formula>$L7="API sand"</formula>
    </cfRule>
  </conditionalFormatting>
  <conditionalFormatting sqref="N7 AK7:AL7">
    <cfRule type="expression" dxfId="1730" priority="17">
      <formula>$M7="API sand"</formula>
    </cfRule>
  </conditionalFormatting>
  <conditionalFormatting sqref="N7 AK7:AL7">
    <cfRule type="expression" dxfId="1729" priority="16">
      <formula>$M7="API clay"</formula>
    </cfRule>
  </conditionalFormatting>
  <conditionalFormatting sqref="AM7:AN7 N7:P7">
    <cfRule type="expression" dxfId="1728" priority="13">
      <formula>$L7="Stiff clay w/o free water"</formula>
    </cfRule>
    <cfRule type="expression" dxfId="1727" priority="15">
      <formula>$L7="API clay"</formula>
    </cfRule>
  </conditionalFormatting>
  <conditionalFormatting sqref="AM7:AN7 N7:P7">
    <cfRule type="expression" dxfId="1726" priority="14">
      <formula>$L7="Kirsch soft clay"</formula>
    </cfRule>
  </conditionalFormatting>
  <conditionalFormatting sqref="AM7:AN7 N7:P7">
    <cfRule type="expression" dxfId="1725" priority="12">
      <formula>$L7="Kirsch stiff clay"</formula>
    </cfRule>
  </conditionalFormatting>
  <conditionalFormatting sqref="N7 Q7 AE7:AI7 AM7:AS7">
    <cfRule type="expression" dxfId="1724" priority="11">
      <formula>$L7="Kirsch sand"</formula>
    </cfRule>
  </conditionalFormatting>
  <conditionalFormatting sqref="N7 AC7:AD7 AM7:AN7">
    <cfRule type="expression" dxfId="1723" priority="10">
      <formula>$L7="Modified Weak rock"</formula>
    </cfRule>
  </conditionalFormatting>
  <conditionalFormatting sqref="AM7:AN7 N7:P7">
    <cfRule type="expression" dxfId="1722" priority="9">
      <formula>$L7="Reese stiff clay"</formula>
    </cfRule>
  </conditionalFormatting>
  <conditionalFormatting sqref="AC7:AD7 AM7:AN7 N7:P7">
    <cfRule type="expression" dxfId="1721" priority="8">
      <formula>$L7="PISA clay"</formula>
    </cfRule>
  </conditionalFormatting>
  <conditionalFormatting sqref="N7 AC7:AD7 AM7:AN7">
    <cfRule type="expression" dxfId="1720" priority="7">
      <formula>$L7="PISA sand"</formula>
    </cfRule>
  </conditionalFormatting>
  <conditionalFormatting sqref="R7:Y7">
    <cfRule type="expression" dxfId="1719" priority="6">
      <formula>$L7="API sand"</formula>
    </cfRule>
  </conditionalFormatting>
  <conditionalFormatting sqref="R7:Y7">
    <cfRule type="expression" dxfId="1718" priority="5">
      <formula>$L7="Kirsch sand"</formula>
    </cfRule>
  </conditionalFormatting>
  <conditionalFormatting sqref="Z6:Z11 AB6:AB11">
    <cfRule type="expression" dxfId="1717" priority="4">
      <formula>$M6="API sand"</formula>
    </cfRule>
  </conditionalFormatting>
  <conditionalFormatting sqref="Z6:AB11">
    <cfRule type="expression" dxfId="1716" priority="3">
      <formula>$M6="API clay"</formula>
    </cfRule>
  </conditionalFormatting>
  <conditionalFormatting sqref="AJ6:AJ11">
    <cfRule type="expression" dxfId="1715" priority="2">
      <formula>$L6="API sand"</formula>
    </cfRule>
  </conditionalFormatting>
  <conditionalFormatting sqref="AJ6:AJ11">
    <cfRule type="expression" dxfId="1714" priority="1">
      <formula>$L6="Kirsch sand"</formula>
    </cfRule>
  </conditionalFormatting>
  <dataValidations count="3">
    <dataValidation type="list" showInputMessage="1" showErrorMessage="1" sqref="L12:L258" xr:uid="{117BA226-E8C8-4CFB-8200-263C6C7F07BC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8" xr:uid="{D27056AA-157A-4EF3-8E91-9248299659B1}">
      <formula1>"Zero soil,API sand,API clay"</formula1>
    </dataValidation>
    <dataValidation type="list" showInputMessage="1" showErrorMessage="1" sqref="M19:M39" xr:uid="{04315259-45DD-4743-8E3D-2A1C836F3F57}">
      <formula1>"',API sand,API clay"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A6ACD-0E1A-4C1C-A131-A816BCB72FF6}">
  <sheetPr>
    <tabColor theme="9" tint="0.59999389629810485"/>
  </sheetPr>
  <dimension ref="A1:AS258"/>
  <sheetViews>
    <sheetView topLeftCell="D1" zoomScaleNormal="100" workbookViewId="0">
      <selection activeCell="F25" sqref="F25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9.5703125" style="33" bestFit="1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6.5703125" style="33" bestFit="1" customWidth="1"/>
    <col min="16" max="16" width="8.5703125" style="33" bestFit="1" customWidth="1"/>
    <col min="17" max="18" width="9.5703125" style="33" bestFit="1" customWidth="1"/>
    <col min="19" max="19" width="4" style="33" bestFit="1" customWidth="1"/>
    <col min="20" max="20" width="5.5703125" style="33" bestFit="1" customWidth="1"/>
    <col min="21" max="21" width="9.5703125" style="33" bestFit="1" customWidth="1"/>
    <col min="22" max="22" width="15.28515625" style="33" bestFit="1" customWidth="1"/>
    <col min="23" max="23" width="4" style="33" bestFit="1" customWidth="1"/>
    <col min="24" max="24" width="7" style="33" bestFit="1" customWidth="1"/>
    <col min="25" max="25" width="8.42578125" style="33" bestFit="1" customWidth="1"/>
    <col min="26" max="26" width="9.7109375" style="33" bestFit="1" customWidth="1"/>
    <col min="27" max="27" width="11" style="33" bestFit="1" customWidth="1"/>
    <col min="28" max="28" width="8.5703125" style="33" bestFit="1" customWidth="1"/>
    <col min="29" max="29" width="14.85546875" style="33" customWidth="1"/>
    <col min="30" max="30" width="8.85546875" style="33" bestFit="1" customWidth="1"/>
    <col min="31" max="31" width="7.85546875" style="33" bestFit="1" customWidth="1"/>
    <col min="32" max="32" width="5.5703125" style="33" bestFit="1" customWidth="1"/>
    <col min="33" max="33" width="11" style="33" bestFit="1" customWidth="1"/>
    <col min="34" max="34" width="5.42578125" style="33" bestFit="1" customWidth="1"/>
    <col min="35" max="35" width="4.85546875" style="33" bestFit="1" customWidth="1"/>
    <col min="36" max="36" width="3.5703125" style="33" bestFit="1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16384" width="9.140625" style="33"/>
  </cols>
  <sheetData>
    <row r="1" spans="1:45" x14ac:dyDescent="0.25">
      <c r="A1" s="34" t="str">
        <f ca="1">TRIM(MID(CELL("filename",A1),FIND("]",CELL("filename",A1),1)+1,255))</f>
        <v>Location_BH-55 UB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06"/>
      <c r="R3" s="155"/>
      <c r="S3" s="155"/>
      <c r="T3" s="106"/>
      <c r="U3" s="155"/>
      <c r="V3" s="155"/>
      <c r="W3" s="106"/>
      <c r="X3" s="106"/>
      <c r="Y3" s="106"/>
      <c r="Z3" s="106"/>
      <c r="AA3" s="106"/>
      <c r="AB3" s="106"/>
      <c r="AC3" s="156"/>
      <c r="AD3" s="156"/>
      <c r="AE3" s="156"/>
      <c r="AF3" s="156"/>
      <c r="AG3" s="156"/>
      <c r="AH3" s="156"/>
      <c r="AI3" s="156"/>
      <c r="AJ3" s="106"/>
      <c r="AK3" s="106"/>
      <c r="AL3" s="106"/>
      <c r="AM3" s="106"/>
      <c r="AN3" s="106"/>
    </row>
    <row r="4" spans="1:45" x14ac:dyDescent="0.25">
      <c r="A4" s="40" t="s">
        <v>60</v>
      </c>
      <c r="B4" s="33">
        <f>COUNTIF(J:J,"&gt;0")</f>
        <v>6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282</v>
      </c>
      <c r="AP4" s="43" t="s">
        <v>283</v>
      </c>
      <c r="AQ4" s="43" t="s">
        <v>284</v>
      </c>
      <c r="AR4" s="43" t="s">
        <v>285</v>
      </c>
      <c r="AS4" s="43" t="s">
        <v>286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07" t="s">
        <v>38</v>
      </c>
      <c r="K5" s="107" t="s">
        <v>30</v>
      </c>
      <c r="L5" s="107" t="s">
        <v>31</v>
      </c>
      <c r="M5" s="107" t="s">
        <v>31</v>
      </c>
      <c r="N5" s="107" t="s">
        <v>32</v>
      </c>
      <c r="O5" s="107" t="s">
        <v>33</v>
      </c>
      <c r="P5" s="107" t="s">
        <v>35</v>
      </c>
      <c r="Q5" s="107" t="s">
        <v>36</v>
      </c>
      <c r="R5" s="107" t="s">
        <v>36</v>
      </c>
      <c r="S5" s="107" t="s">
        <v>34</v>
      </c>
      <c r="T5" s="107" t="s">
        <v>33</v>
      </c>
      <c r="U5" s="107" t="s">
        <v>34</v>
      </c>
      <c r="V5" s="107" t="s">
        <v>62</v>
      </c>
      <c r="W5" s="107" t="s">
        <v>34</v>
      </c>
      <c r="X5" s="107" t="s">
        <v>33</v>
      </c>
      <c r="Y5" s="107" t="s">
        <v>35</v>
      </c>
      <c r="Z5" s="107" t="s">
        <v>33</v>
      </c>
      <c r="AA5" s="107" t="s">
        <v>34</v>
      </c>
      <c r="AB5" s="107" t="s">
        <v>33</v>
      </c>
      <c r="AC5" s="107" t="s">
        <v>33</v>
      </c>
      <c r="AD5" s="107" t="s">
        <v>35</v>
      </c>
      <c r="AE5" s="107" t="s">
        <v>34</v>
      </c>
      <c r="AF5" s="107" t="s">
        <v>33</v>
      </c>
      <c r="AG5" s="107" t="s">
        <v>35</v>
      </c>
      <c r="AH5" s="107" t="s">
        <v>34</v>
      </c>
      <c r="AI5" s="107" t="s">
        <v>34</v>
      </c>
      <c r="AJ5" s="107" t="s">
        <v>34</v>
      </c>
      <c r="AK5" s="107" t="s">
        <v>34</v>
      </c>
      <c r="AL5" s="107" t="s">
        <v>34</v>
      </c>
      <c r="AM5" s="107" t="s">
        <v>34</v>
      </c>
      <c r="AN5" s="107" t="s">
        <v>34</v>
      </c>
      <c r="AO5" s="107" t="s">
        <v>34</v>
      </c>
      <c r="AP5" s="107" t="s">
        <v>33</v>
      </c>
      <c r="AQ5" s="107" t="s">
        <v>34</v>
      </c>
      <c r="AR5" s="107" t="s">
        <v>34</v>
      </c>
    </row>
    <row r="6" spans="1:45" x14ac:dyDescent="0.25">
      <c r="C6" s="45"/>
      <c r="F6" s="33" t="s">
        <v>67</v>
      </c>
      <c r="G6" s="57">
        <v>0</v>
      </c>
      <c r="H6" s="45" t="s">
        <v>28</v>
      </c>
      <c r="J6" s="47">
        <v>1</v>
      </c>
      <c r="K6" s="63">
        <v>0</v>
      </c>
      <c r="L6" s="33" t="s">
        <v>112</v>
      </c>
      <c r="M6" s="49" t="s">
        <v>64</v>
      </c>
      <c r="N6" s="47">
        <v>9.6000000000000014</v>
      </c>
      <c r="O6" s="63">
        <v>0</v>
      </c>
      <c r="P6" s="63">
        <v>0</v>
      </c>
      <c r="Q6" s="47">
        <v>46</v>
      </c>
      <c r="R6" s="47">
        <f>Q6-5</f>
        <v>41</v>
      </c>
      <c r="S6" s="47">
        <v>1.5</v>
      </c>
      <c r="T6" s="47">
        <v>0</v>
      </c>
      <c r="U6" s="47">
        <v>0</v>
      </c>
      <c r="V6" s="47">
        <v>0</v>
      </c>
      <c r="W6" s="47">
        <v>0.5</v>
      </c>
      <c r="X6" s="81">
        <v>2000</v>
      </c>
      <c r="Y6" s="81">
        <v>0</v>
      </c>
      <c r="Z6" s="108">
        <f t="shared" ref="Z6:Z11" si="0">VLOOKUP(R6,$AE$31:$AF$51,2)</f>
        <v>114.99999999999996</v>
      </c>
      <c r="AA6" s="108">
        <v>1</v>
      </c>
      <c r="AB6" s="108">
        <f t="shared" ref="AB6:AB11" si="1">VLOOKUP(R6,$AE$31:$AG$51,3)</f>
        <v>12000</v>
      </c>
      <c r="AC6" s="47">
        <v>70000</v>
      </c>
      <c r="AD6" s="47">
        <v>0</v>
      </c>
      <c r="AE6" s="81">
        <v>0.3</v>
      </c>
      <c r="AF6" s="47">
        <v>0</v>
      </c>
      <c r="AG6" s="47">
        <v>0</v>
      </c>
      <c r="AH6" s="47">
        <v>0</v>
      </c>
      <c r="AI6" s="47">
        <v>0</v>
      </c>
      <c r="AJ6" s="47">
        <f>VLOOKUP(R6,$AE$39:$AH$59,4)</f>
        <v>50.000000000000007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/>
      <c r="J7" s="47">
        <v>2</v>
      </c>
      <c r="K7" s="63">
        <v>-1</v>
      </c>
      <c r="L7" s="33" t="s">
        <v>112</v>
      </c>
      <c r="M7" s="49" t="s">
        <v>64</v>
      </c>
      <c r="N7" s="47">
        <v>9.6000000000000014</v>
      </c>
      <c r="O7" s="63">
        <v>0</v>
      </c>
      <c r="P7" s="63">
        <v>0</v>
      </c>
      <c r="Q7" s="47">
        <v>46</v>
      </c>
      <c r="R7" s="47">
        <f>Q7-5</f>
        <v>41</v>
      </c>
      <c r="S7" s="47">
        <v>1.5</v>
      </c>
      <c r="T7" s="47">
        <v>0</v>
      </c>
      <c r="U7" s="47">
        <v>0</v>
      </c>
      <c r="V7" s="47">
        <v>0</v>
      </c>
      <c r="W7" s="47">
        <v>0.5</v>
      </c>
      <c r="X7" s="81">
        <v>45000</v>
      </c>
      <c r="Y7" s="81">
        <v>0</v>
      </c>
      <c r="Z7" s="108">
        <f t="shared" si="0"/>
        <v>114.99999999999996</v>
      </c>
      <c r="AA7" s="108">
        <v>1</v>
      </c>
      <c r="AB7" s="108">
        <f t="shared" si="1"/>
        <v>12000</v>
      </c>
      <c r="AC7" s="47">
        <v>70000</v>
      </c>
      <c r="AD7" s="47">
        <v>0</v>
      </c>
      <c r="AE7" s="81">
        <v>0.3</v>
      </c>
      <c r="AF7" s="47">
        <v>0</v>
      </c>
      <c r="AG7" s="47">
        <v>0</v>
      </c>
      <c r="AH7" s="47">
        <v>0</v>
      </c>
      <c r="AI7" s="47">
        <v>0</v>
      </c>
      <c r="AJ7" s="47">
        <f t="shared" ref="AJ7:AJ11" si="2">VLOOKUP(R7,$AE$39:$AH$59,4)</f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0</v>
      </c>
      <c r="AP7" s="47">
        <v>0</v>
      </c>
      <c r="AQ7" s="47">
        <v>0</v>
      </c>
      <c r="AR7" s="47">
        <v>0</v>
      </c>
      <c r="AS7" s="47">
        <v>0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59">
        <v>1000</v>
      </c>
      <c r="H8" s="45" t="s">
        <v>53</v>
      </c>
      <c r="J8" s="47">
        <v>3</v>
      </c>
      <c r="K8" s="63">
        <v>-4</v>
      </c>
      <c r="L8" s="33" t="s">
        <v>112</v>
      </c>
      <c r="M8" s="49" t="s">
        <v>64</v>
      </c>
      <c r="N8" s="47">
        <v>8.5</v>
      </c>
      <c r="O8" s="63">
        <v>0</v>
      </c>
      <c r="P8" s="63">
        <v>0</v>
      </c>
      <c r="Q8" s="47">
        <v>42</v>
      </c>
      <c r="R8" s="47">
        <f>Q8-5</f>
        <v>37</v>
      </c>
      <c r="S8" s="47">
        <v>1.3</v>
      </c>
      <c r="T8" s="47">
        <v>0</v>
      </c>
      <c r="U8" s="47">
        <v>0</v>
      </c>
      <c r="V8" s="47">
        <v>0</v>
      </c>
      <c r="W8" s="47">
        <v>0.5</v>
      </c>
      <c r="X8" s="81">
        <v>45000</v>
      </c>
      <c r="Y8" s="81">
        <v>0</v>
      </c>
      <c r="Z8" s="108">
        <f t="shared" si="0"/>
        <v>114.99999999999996</v>
      </c>
      <c r="AA8" s="108">
        <v>1</v>
      </c>
      <c r="AB8" s="108">
        <f t="shared" si="1"/>
        <v>12000</v>
      </c>
      <c r="AC8" s="47">
        <v>70000</v>
      </c>
      <c r="AD8" s="47">
        <v>13725.490196078432</v>
      </c>
      <c r="AE8" s="81">
        <v>0.3</v>
      </c>
      <c r="AF8" s="47">
        <v>0</v>
      </c>
      <c r="AG8" s="47">
        <v>0</v>
      </c>
      <c r="AH8" s="47">
        <v>0</v>
      </c>
      <c r="AI8" s="47">
        <v>0</v>
      </c>
      <c r="AJ8" s="47">
        <f t="shared" si="2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</row>
    <row r="9" spans="1:45" x14ac:dyDescent="0.25">
      <c r="A9" s="33" t="s">
        <v>68</v>
      </c>
      <c r="B9" s="57">
        <v>70</v>
      </c>
      <c r="C9" s="45" t="s">
        <v>28</v>
      </c>
      <c r="F9" s="33" t="s">
        <v>96</v>
      </c>
      <c r="G9" s="59">
        <v>-20000</v>
      </c>
      <c r="H9" s="45" t="s">
        <v>54</v>
      </c>
      <c r="J9" s="47">
        <v>4</v>
      </c>
      <c r="K9" s="63">
        <v>-9.1</v>
      </c>
      <c r="L9" s="33" t="s">
        <v>112</v>
      </c>
      <c r="M9" s="49" t="s">
        <v>64</v>
      </c>
      <c r="N9" s="47">
        <v>8.5</v>
      </c>
      <c r="O9" s="63">
        <v>0</v>
      </c>
      <c r="P9" s="63">
        <v>0</v>
      </c>
      <c r="Q9" s="47">
        <v>42</v>
      </c>
      <c r="R9" s="47">
        <f t="shared" ref="R9:R11" si="3">Q9-5</f>
        <v>37</v>
      </c>
      <c r="S9" s="47">
        <v>1</v>
      </c>
      <c r="T9" s="47">
        <v>0</v>
      </c>
      <c r="U9" s="47">
        <v>0</v>
      </c>
      <c r="V9" s="47">
        <v>0</v>
      </c>
      <c r="W9" s="47">
        <v>0.5</v>
      </c>
      <c r="X9" s="81">
        <v>45000</v>
      </c>
      <c r="Y9" s="81">
        <v>0</v>
      </c>
      <c r="Z9" s="108">
        <f t="shared" si="0"/>
        <v>114.99999999999996</v>
      </c>
      <c r="AA9" s="108">
        <v>1</v>
      </c>
      <c r="AB9" s="108">
        <f t="shared" si="1"/>
        <v>12000</v>
      </c>
      <c r="AC9" s="47">
        <v>140000</v>
      </c>
      <c r="AD9" s="47">
        <v>8928.5714285714294</v>
      </c>
      <c r="AE9" s="81">
        <v>0.3</v>
      </c>
      <c r="AF9" s="47">
        <v>0</v>
      </c>
      <c r="AG9" s="47">
        <v>0</v>
      </c>
      <c r="AH9" s="47">
        <v>0</v>
      </c>
      <c r="AI9" s="47">
        <v>0</v>
      </c>
      <c r="AJ9" s="47">
        <f t="shared" si="2"/>
        <v>50.000000000000007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0</v>
      </c>
      <c r="AP9" s="47">
        <v>0</v>
      </c>
      <c r="AQ9" s="47">
        <v>0</v>
      </c>
      <c r="AR9" s="47">
        <v>0</v>
      </c>
      <c r="AS9" s="47">
        <v>0</v>
      </c>
    </row>
    <row r="10" spans="1:45" s="56" customFormat="1" x14ac:dyDescent="0.25">
      <c r="A10" s="56" t="s">
        <v>69</v>
      </c>
      <c r="B10" s="58">
        <v>70</v>
      </c>
      <c r="C10" s="45" t="s">
        <v>28</v>
      </c>
      <c r="F10" s="33" t="s">
        <v>51</v>
      </c>
      <c r="G10" s="59">
        <v>1000</v>
      </c>
      <c r="H10" s="45" t="s">
        <v>53</v>
      </c>
      <c r="I10" s="33"/>
      <c r="J10" s="47">
        <v>5</v>
      </c>
      <c r="K10" s="63">
        <v>-14.7</v>
      </c>
      <c r="L10" s="33" t="s">
        <v>112</v>
      </c>
      <c r="M10" s="49" t="s">
        <v>64</v>
      </c>
      <c r="N10" s="47">
        <v>9.8999999999999986</v>
      </c>
      <c r="O10" s="63">
        <v>0</v>
      </c>
      <c r="P10" s="63">
        <v>0</v>
      </c>
      <c r="Q10" s="47">
        <v>44</v>
      </c>
      <c r="R10" s="47">
        <f t="shared" si="3"/>
        <v>39</v>
      </c>
      <c r="S10" s="47">
        <v>1</v>
      </c>
      <c r="T10" s="47">
        <v>0</v>
      </c>
      <c r="U10" s="47">
        <v>0</v>
      </c>
      <c r="V10" s="47">
        <v>0</v>
      </c>
      <c r="W10" s="47">
        <v>0.5</v>
      </c>
      <c r="X10" s="81">
        <v>45000</v>
      </c>
      <c r="Y10" s="81">
        <v>7211.5384615384601</v>
      </c>
      <c r="Z10" s="108">
        <f t="shared" si="0"/>
        <v>114.99999999999996</v>
      </c>
      <c r="AA10" s="108">
        <v>1</v>
      </c>
      <c r="AB10" s="108">
        <f t="shared" si="1"/>
        <v>12000</v>
      </c>
      <c r="AC10" s="47">
        <v>190000</v>
      </c>
      <c r="AD10" s="47">
        <v>3846.1538461538453</v>
      </c>
      <c r="AE10" s="81">
        <v>0.3</v>
      </c>
      <c r="AF10" s="47">
        <v>0</v>
      </c>
      <c r="AG10" s="47">
        <v>0</v>
      </c>
      <c r="AH10" s="47">
        <v>0</v>
      </c>
      <c r="AI10" s="47">
        <v>0</v>
      </c>
      <c r="AJ10" s="47">
        <f t="shared" si="2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59">
        <v>0</v>
      </c>
      <c r="H11" s="45" t="s">
        <v>53</v>
      </c>
      <c r="J11" s="47">
        <v>6</v>
      </c>
      <c r="K11" s="63">
        <v>-25.1</v>
      </c>
      <c r="L11" s="33" t="s">
        <v>112</v>
      </c>
      <c r="M11" s="49" t="s">
        <v>64</v>
      </c>
      <c r="N11" s="47">
        <v>7.6999999999999993</v>
      </c>
      <c r="O11" s="63">
        <v>0</v>
      </c>
      <c r="P11" s="63">
        <v>0</v>
      </c>
      <c r="Q11" s="47">
        <v>40</v>
      </c>
      <c r="R11" s="47">
        <f t="shared" si="3"/>
        <v>35</v>
      </c>
      <c r="S11" s="47">
        <v>0.6</v>
      </c>
      <c r="T11" s="47">
        <v>0</v>
      </c>
      <c r="U11" s="47">
        <v>0</v>
      </c>
      <c r="V11" s="47">
        <v>0</v>
      </c>
      <c r="W11" s="47">
        <v>0.5</v>
      </c>
      <c r="X11" s="81">
        <v>45000</v>
      </c>
      <c r="Y11" s="81">
        <v>0</v>
      </c>
      <c r="Z11" s="108">
        <f t="shared" si="0"/>
        <v>114.99999999999996</v>
      </c>
      <c r="AA11" s="108">
        <v>1</v>
      </c>
      <c r="AB11" s="108">
        <f t="shared" si="1"/>
        <v>12000</v>
      </c>
      <c r="AC11" s="47">
        <v>200000</v>
      </c>
      <c r="AD11" s="47">
        <v>0</v>
      </c>
      <c r="AE11" s="81">
        <v>0.3</v>
      </c>
      <c r="AF11" s="47">
        <v>0</v>
      </c>
      <c r="AG11" s="47">
        <v>0</v>
      </c>
      <c r="AH11" s="47">
        <v>0</v>
      </c>
      <c r="AI11" s="47">
        <v>0</v>
      </c>
      <c r="AJ11" s="47">
        <f t="shared" si="2"/>
        <v>50.000000000000007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0</v>
      </c>
      <c r="AP11" s="47">
        <v>0</v>
      </c>
      <c r="AQ11" s="47">
        <v>0</v>
      </c>
      <c r="AR11" s="47">
        <v>0</v>
      </c>
      <c r="AS11" s="47">
        <v>0</v>
      </c>
    </row>
    <row r="12" spans="1:45" x14ac:dyDescent="0.25">
      <c r="A12" s="33" t="s">
        <v>74</v>
      </c>
      <c r="B12" s="57">
        <v>8.4</v>
      </c>
      <c r="C12" s="45" t="s">
        <v>28</v>
      </c>
      <c r="E12" s="59"/>
      <c r="F12" s="56" t="s">
        <v>97</v>
      </c>
      <c r="G12" s="58">
        <v>0</v>
      </c>
      <c r="H12" s="45" t="s">
        <v>53</v>
      </c>
      <c r="I12" s="56"/>
      <c r="J12" s="47"/>
      <c r="K12" s="63"/>
      <c r="L12" s="49"/>
      <c r="M12" s="49"/>
      <c r="N12" s="47"/>
      <c r="O12" s="63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J13" s="47"/>
      <c r="K13" s="63"/>
      <c r="L13" s="49"/>
      <c r="M13" s="49"/>
      <c r="N13" s="47"/>
      <c r="O13" s="63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J14" s="47"/>
      <c r="K14" s="63"/>
      <c r="L14" s="49"/>
      <c r="M14" s="49"/>
      <c r="N14" s="47"/>
      <c r="O14" s="63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</row>
    <row r="15" spans="1:45" s="56" customFormat="1" x14ac:dyDescent="0.25">
      <c r="A15" s="33" t="s">
        <v>44</v>
      </c>
      <c r="B15" s="61">
        <v>207000000</v>
      </c>
      <c r="C15" s="45" t="s">
        <v>47</v>
      </c>
      <c r="D15" s="33"/>
      <c r="E15" s="33"/>
      <c r="F15" s="33"/>
      <c r="G15" s="33"/>
      <c r="J15" s="47"/>
      <c r="K15" s="63"/>
      <c r="L15" s="49"/>
      <c r="M15" s="49"/>
      <c r="N15" s="47"/>
      <c r="O15" s="63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J16" s="47"/>
      <c r="K16" s="63"/>
      <c r="L16" s="49"/>
      <c r="M16" s="49"/>
      <c r="N16" s="47"/>
      <c r="O16" s="63"/>
      <c r="P16" s="63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</row>
    <row r="17" spans="1:40" x14ac:dyDescent="0.25">
      <c r="A17" s="33" t="s">
        <v>98</v>
      </c>
      <c r="B17" s="57">
        <v>0.53</v>
      </c>
      <c r="C17" s="45"/>
      <c r="D17" s="107"/>
      <c r="E17" s="107"/>
      <c r="F17" s="56"/>
      <c r="G17" s="56"/>
      <c r="J17" s="47"/>
      <c r="K17" s="63"/>
      <c r="L17" s="49"/>
      <c r="M17" s="49"/>
      <c r="N17" s="47"/>
      <c r="O17" s="63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</row>
    <row r="18" spans="1:40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56"/>
      <c r="J18" s="47"/>
      <c r="K18" s="63"/>
      <c r="L18" s="49"/>
      <c r="M18" s="49"/>
      <c r="N18" s="47"/>
      <c r="O18" s="63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</row>
    <row r="19" spans="1:40" s="56" customFormat="1" x14ac:dyDescent="0.25">
      <c r="A19" s="107" t="s">
        <v>38</v>
      </c>
      <c r="B19" s="107" t="s">
        <v>30</v>
      </c>
      <c r="C19" s="107" t="s">
        <v>59</v>
      </c>
      <c r="D19" s="43"/>
      <c r="E19" s="35"/>
      <c r="F19" s="33"/>
      <c r="G19" s="33"/>
      <c r="J19" s="47"/>
      <c r="K19" s="63"/>
      <c r="L19" s="49"/>
      <c r="M19" s="49"/>
      <c r="N19" s="47"/>
      <c r="O19" s="63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</row>
    <row r="20" spans="1:40" x14ac:dyDescent="0.25">
      <c r="A20" s="66">
        <v>1</v>
      </c>
      <c r="B20" s="66">
        <v>0</v>
      </c>
      <c r="C20" s="66">
        <v>9.0999999999999998E-2</v>
      </c>
      <c r="D20" s="43"/>
      <c r="J20" s="47"/>
      <c r="K20" s="63"/>
      <c r="L20" s="49"/>
      <c r="M20" s="49"/>
      <c r="N20" s="47"/>
      <c r="O20" s="63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</row>
    <row r="21" spans="1:40" x14ac:dyDescent="0.25">
      <c r="A21" s="66"/>
      <c r="B21" s="66"/>
      <c r="C21" s="66"/>
      <c r="D21" s="43"/>
      <c r="K21" s="79"/>
      <c r="L21" s="49"/>
      <c r="M21" s="49" t="s">
        <v>94</v>
      </c>
      <c r="N21" s="47"/>
      <c r="O21" s="63"/>
      <c r="P21" s="47"/>
      <c r="Q21" s="47"/>
      <c r="R21" s="64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</row>
    <row r="22" spans="1:40" x14ac:dyDescent="0.25">
      <c r="A22" s="47"/>
      <c r="B22" s="47"/>
      <c r="C22" s="47"/>
      <c r="D22" s="35"/>
      <c r="K22" s="79"/>
      <c r="L22" s="49"/>
      <c r="M22" s="49" t="s">
        <v>94</v>
      </c>
      <c r="N22" s="47"/>
      <c r="O22" s="47"/>
      <c r="P22" s="47"/>
      <c r="Q22" s="47"/>
      <c r="R22" s="64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</row>
    <row r="23" spans="1:40" x14ac:dyDescent="0.25">
      <c r="A23" s="47"/>
      <c r="B23" s="47"/>
      <c r="C23" s="47"/>
      <c r="D23" s="35"/>
      <c r="K23" s="79"/>
      <c r="L23" s="49"/>
      <c r="M23" s="49" t="s">
        <v>94</v>
      </c>
      <c r="N23" s="47"/>
      <c r="O23" s="47"/>
      <c r="P23" s="47"/>
      <c r="Q23" s="47"/>
      <c r="R23" s="64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I23" s="47"/>
      <c r="AJ23" s="47"/>
      <c r="AK23" s="47"/>
      <c r="AL23" s="47"/>
      <c r="AM23" s="47"/>
      <c r="AN23" s="47"/>
    </row>
    <row r="24" spans="1:40" x14ac:dyDescent="0.25">
      <c r="A24" s="43"/>
      <c r="B24" s="43"/>
      <c r="C24" s="43"/>
      <c r="D24" s="43"/>
      <c r="K24" s="79"/>
      <c r="L24" s="49"/>
      <c r="M24" s="49" t="s">
        <v>94</v>
      </c>
      <c r="N24" s="47"/>
      <c r="O24" s="47"/>
      <c r="P24" s="47"/>
      <c r="Q24" s="47"/>
      <c r="R24" s="64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I24" s="47"/>
      <c r="AJ24" s="47"/>
      <c r="AK24" s="47"/>
      <c r="AL24" s="47"/>
      <c r="AM24" s="47"/>
      <c r="AN24" s="47"/>
    </row>
    <row r="25" spans="1:40" x14ac:dyDescent="0.25">
      <c r="A25" s="47"/>
      <c r="B25" s="47"/>
      <c r="C25" s="47"/>
      <c r="D25" s="35"/>
      <c r="K25" s="79"/>
      <c r="L25" s="49"/>
      <c r="M25" s="49" t="s">
        <v>94</v>
      </c>
      <c r="N25" s="47"/>
      <c r="O25" s="47"/>
      <c r="P25" s="47"/>
      <c r="Q25" s="47"/>
      <c r="R25" s="64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I25" s="47"/>
      <c r="AJ25" s="47"/>
      <c r="AK25" s="47"/>
      <c r="AL25" s="47"/>
      <c r="AM25" s="47"/>
      <c r="AN25" s="47"/>
    </row>
    <row r="26" spans="1:40" x14ac:dyDescent="0.25">
      <c r="A26" s="43"/>
      <c r="B26" s="43"/>
      <c r="C26" s="43"/>
      <c r="D26" s="43"/>
      <c r="K26" s="79"/>
      <c r="L26" s="49"/>
      <c r="M26" s="49" t="s">
        <v>94</v>
      </c>
      <c r="N26" s="47"/>
      <c r="O26" s="47"/>
      <c r="P26" s="47"/>
      <c r="Q26" s="47"/>
      <c r="R26" s="64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I26" s="47"/>
      <c r="AJ26" s="47"/>
      <c r="AK26" s="47"/>
      <c r="AL26" s="47"/>
      <c r="AM26" s="47"/>
      <c r="AN26" s="47"/>
    </row>
    <row r="27" spans="1:40" x14ac:dyDescent="0.25">
      <c r="A27" s="43"/>
      <c r="B27" s="43"/>
      <c r="C27" s="43"/>
      <c r="D27" s="43"/>
      <c r="L27" s="49"/>
      <c r="M27" s="49" t="s">
        <v>94</v>
      </c>
      <c r="N27" s="47"/>
      <c r="O27" s="47"/>
      <c r="P27" s="47"/>
      <c r="Q27" s="47"/>
      <c r="R27" s="64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I27" s="47"/>
      <c r="AJ27" s="47"/>
      <c r="AK27" s="47"/>
      <c r="AL27" s="47"/>
      <c r="AM27" s="47"/>
      <c r="AN27" s="47"/>
    </row>
    <row r="28" spans="1:40" x14ac:dyDescent="0.25">
      <c r="A28" s="43"/>
      <c r="B28" s="43"/>
      <c r="C28" s="43"/>
      <c r="D28" s="43"/>
      <c r="L28" s="49"/>
      <c r="M28" s="49" t="s">
        <v>94</v>
      </c>
      <c r="N28" s="47"/>
      <c r="O28" s="47"/>
      <c r="P28" s="47"/>
      <c r="Q28" s="47"/>
      <c r="R28" s="64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I28" s="47"/>
      <c r="AJ28" s="47"/>
      <c r="AK28" s="47"/>
      <c r="AL28" s="47"/>
      <c r="AM28" s="47"/>
      <c r="AN28" s="47"/>
    </row>
    <row r="29" spans="1:40" x14ac:dyDescent="0.25">
      <c r="A29" s="43"/>
      <c r="B29" s="43"/>
      <c r="C29" s="43"/>
      <c r="D29" s="43"/>
      <c r="L29" s="49"/>
      <c r="M29" s="49" t="s">
        <v>94</v>
      </c>
      <c r="N29" s="47"/>
      <c r="O29" s="47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</row>
    <row r="30" spans="1:40" x14ac:dyDescent="0.25">
      <c r="A30" s="43"/>
      <c r="B30" s="43"/>
      <c r="C30" s="43"/>
      <c r="D30" s="43"/>
      <c r="L30" s="49"/>
      <c r="M30" s="49" t="s">
        <v>94</v>
      </c>
      <c r="N30" s="47"/>
      <c r="O30" s="47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33" t="s">
        <v>99</v>
      </c>
      <c r="AF30" s="33" t="s">
        <v>100</v>
      </c>
      <c r="AG30" s="33" t="s">
        <v>101</v>
      </c>
      <c r="AI30" s="47"/>
      <c r="AJ30" s="47"/>
      <c r="AK30" s="47"/>
      <c r="AL30" s="47"/>
      <c r="AM30" s="47"/>
      <c r="AN30" s="47"/>
    </row>
    <row r="31" spans="1:40" x14ac:dyDescent="0.25">
      <c r="A31" s="43"/>
      <c r="B31" s="43"/>
      <c r="C31" s="43"/>
      <c r="D31" s="43"/>
      <c r="L31" s="49"/>
      <c r="M31" s="49" t="s">
        <v>94</v>
      </c>
      <c r="N31" s="47"/>
      <c r="O31" s="47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33">
        <v>15</v>
      </c>
      <c r="AF31" s="33">
        <v>48</v>
      </c>
      <c r="AG31" s="33">
        <v>1900</v>
      </c>
      <c r="AH31" s="33">
        <v>8</v>
      </c>
      <c r="AI31" s="47"/>
      <c r="AJ31" s="47"/>
      <c r="AK31" s="47"/>
      <c r="AL31" s="47"/>
      <c r="AM31" s="47"/>
      <c r="AN31" s="47"/>
    </row>
    <row r="32" spans="1:40" x14ac:dyDescent="0.25">
      <c r="A32" s="43"/>
      <c r="B32" s="43"/>
      <c r="C32" s="43"/>
      <c r="D32" s="43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33">
        <v>16</v>
      </c>
      <c r="AF32" s="33">
        <v>51.8</v>
      </c>
      <c r="AG32" s="33">
        <v>2100</v>
      </c>
      <c r="AH32" s="33">
        <v>8.8000000000000007</v>
      </c>
      <c r="AI32" s="47"/>
      <c r="AJ32" s="47"/>
      <c r="AK32" s="47"/>
      <c r="AL32" s="47"/>
      <c r="AM32" s="47"/>
      <c r="AN32" s="47"/>
    </row>
    <row r="33" spans="1:40" x14ac:dyDescent="0.25">
      <c r="A33" s="43"/>
      <c r="B33" s="43"/>
      <c r="C33" s="43"/>
      <c r="D33" s="43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33">
        <v>17</v>
      </c>
      <c r="AF33" s="33">
        <v>55.599999999999994</v>
      </c>
      <c r="AG33" s="33">
        <v>2300</v>
      </c>
      <c r="AH33" s="33">
        <v>9.6000000000000014</v>
      </c>
      <c r="AI33" s="47"/>
      <c r="AJ33" s="47"/>
      <c r="AK33" s="47"/>
      <c r="AL33" s="47"/>
      <c r="AM33" s="47"/>
      <c r="AN33" s="47"/>
    </row>
    <row r="34" spans="1:40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33">
        <v>18</v>
      </c>
      <c r="AF34" s="33">
        <v>59.399999999999991</v>
      </c>
      <c r="AG34" s="33">
        <v>2500</v>
      </c>
      <c r="AH34" s="33">
        <v>10.400000000000002</v>
      </c>
      <c r="AI34" s="47"/>
      <c r="AJ34" s="47"/>
      <c r="AK34" s="47"/>
      <c r="AL34" s="47"/>
      <c r="AM34" s="47"/>
      <c r="AN34" s="47"/>
    </row>
    <row r="35" spans="1:40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33">
        <v>19</v>
      </c>
      <c r="AF35" s="33">
        <v>63.199999999999989</v>
      </c>
      <c r="AG35" s="33">
        <v>2700</v>
      </c>
      <c r="AH35" s="33">
        <v>11.200000000000003</v>
      </c>
      <c r="AI35" s="47"/>
      <c r="AJ35" s="47"/>
      <c r="AK35" s="47"/>
      <c r="AL35" s="47"/>
      <c r="AM35" s="47"/>
      <c r="AN35" s="47"/>
    </row>
    <row r="36" spans="1:40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33">
        <v>20</v>
      </c>
      <c r="AF36" s="33">
        <v>66.999999999999986</v>
      </c>
      <c r="AG36" s="33">
        <v>2900</v>
      </c>
      <c r="AH36" s="33">
        <v>12.000000000000004</v>
      </c>
      <c r="AI36" s="47"/>
      <c r="AJ36" s="47"/>
      <c r="AK36" s="47"/>
      <c r="AL36" s="47"/>
      <c r="AM36" s="47"/>
      <c r="AN36" s="47"/>
    </row>
    <row r="37" spans="1:40" x14ac:dyDescent="0.25">
      <c r="L37" s="49"/>
      <c r="M37" s="49" t="s">
        <v>94</v>
      </c>
      <c r="N37" s="47"/>
      <c r="O37" s="63"/>
      <c r="P37" s="47"/>
      <c r="Q37" s="47"/>
      <c r="R37" s="64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33">
        <v>21</v>
      </c>
      <c r="AF37" s="33">
        <v>69.799999999999983</v>
      </c>
      <c r="AG37" s="33">
        <v>3280</v>
      </c>
      <c r="AH37" s="33">
        <v>13.600000000000003</v>
      </c>
      <c r="AI37" s="47"/>
      <c r="AJ37" s="47"/>
      <c r="AK37" s="47"/>
      <c r="AL37" s="47"/>
      <c r="AM37" s="47"/>
      <c r="AN37" s="47"/>
    </row>
    <row r="38" spans="1:40" x14ac:dyDescent="0.25">
      <c r="L38" s="49"/>
      <c r="M38" s="49" t="s">
        <v>94</v>
      </c>
      <c r="N38" s="47"/>
      <c r="O38" s="63"/>
      <c r="P38" s="47"/>
      <c r="Q38" s="47"/>
      <c r="R38" s="64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33">
        <v>22</v>
      </c>
      <c r="AF38" s="33">
        <v>72.59999999999998</v>
      </c>
      <c r="AG38" s="33">
        <v>3660</v>
      </c>
      <c r="AH38" s="33">
        <v>15.200000000000003</v>
      </c>
      <c r="AI38" s="47"/>
      <c r="AJ38" s="47"/>
      <c r="AK38" s="47"/>
      <c r="AL38" s="47"/>
      <c r="AM38" s="47"/>
      <c r="AN38" s="47"/>
    </row>
    <row r="39" spans="1:40" x14ac:dyDescent="0.25">
      <c r="L39" s="49"/>
      <c r="M39" s="49" t="s">
        <v>94</v>
      </c>
      <c r="N39" s="47"/>
      <c r="O39" s="63"/>
      <c r="P39" s="47"/>
      <c r="Q39" s="47"/>
      <c r="R39" s="64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33">
        <v>23</v>
      </c>
      <c r="AF39" s="33">
        <v>75.399999999999977</v>
      </c>
      <c r="AG39" s="33">
        <v>4040</v>
      </c>
      <c r="AH39" s="33">
        <v>16.800000000000004</v>
      </c>
      <c r="AI39" s="47"/>
      <c r="AJ39" s="47"/>
      <c r="AK39" s="47"/>
      <c r="AL39" s="47"/>
      <c r="AM39" s="47"/>
      <c r="AN39" s="47"/>
    </row>
    <row r="40" spans="1:40" x14ac:dyDescent="0.25">
      <c r="L40" s="49"/>
      <c r="AE40" s="33">
        <v>24</v>
      </c>
      <c r="AF40" s="33">
        <v>78.199999999999974</v>
      </c>
      <c r="AG40" s="33">
        <v>4420</v>
      </c>
      <c r="AH40" s="33">
        <v>18.400000000000006</v>
      </c>
    </row>
    <row r="41" spans="1:40" x14ac:dyDescent="0.25">
      <c r="L41" s="49"/>
      <c r="AE41" s="33">
        <v>25</v>
      </c>
      <c r="AF41" s="33">
        <v>80.999999999999972</v>
      </c>
      <c r="AG41" s="33">
        <v>4800</v>
      </c>
      <c r="AH41" s="33">
        <v>20.000000000000007</v>
      </c>
    </row>
    <row r="42" spans="1:40" x14ac:dyDescent="0.25">
      <c r="L42" s="49"/>
      <c r="AE42" s="33">
        <v>26</v>
      </c>
      <c r="AF42" s="33">
        <v>83.999999999999972</v>
      </c>
      <c r="AG42" s="33">
        <v>5760</v>
      </c>
      <c r="AH42" s="33">
        <v>24.000000000000007</v>
      </c>
    </row>
    <row r="43" spans="1:40" x14ac:dyDescent="0.25">
      <c r="L43" s="49"/>
      <c r="AE43" s="33">
        <v>27</v>
      </c>
      <c r="AF43" s="33">
        <v>86.999999999999972</v>
      </c>
      <c r="AG43" s="33">
        <v>6720</v>
      </c>
      <c r="AH43" s="33">
        <v>28.000000000000007</v>
      </c>
    </row>
    <row r="44" spans="1:40" x14ac:dyDescent="0.25">
      <c r="L44" s="49"/>
      <c r="AE44" s="33">
        <v>28</v>
      </c>
      <c r="AF44" s="33">
        <v>89.999999999999972</v>
      </c>
      <c r="AG44" s="33">
        <v>7680</v>
      </c>
      <c r="AH44" s="33">
        <v>32.000000000000007</v>
      </c>
    </row>
    <row r="45" spans="1:40" x14ac:dyDescent="0.25">
      <c r="L45" s="49"/>
      <c r="AE45" s="33">
        <v>29</v>
      </c>
      <c r="AF45" s="33">
        <v>92.999999999999972</v>
      </c>
      <c r="AG45" s="33">
        <v>8640</v>
      </c>
      <c r="AH45" s="33">
        <v>36.000000000000007</v>
      </c>
    </row>
    <row r="46" spans="1:40" x14ac:dyDescent="0.25">
      <c r="L46" s="49"/>
      <c r="AE46" s="33">
        <v>30</v>
      </c>
      <c r="AF46" s="33">
        <v>95.999999999999972</v>
      </c>
      <c r="AG46" s="33">
        <v>9600</v>
      </c>
      <c r="AH46" s="33">
        <v>40.000000000000007</v>
      </c>
    </row>
    <row r="47" spans="1:40" x14ac:dyDescent="0.25">
      <c r="L47" s="49"/>
      <c r="AE47" s="33">
        <v>31</v>
      </c>
      <c r="AF47" s="33">
        <v>99.799999999999969</v>
      </c>
      <c r="AG47" s="33">
        <v>10080</v>
      </c>
      <c r="AH47" s="33">
        <v>42.000000000000007</v>
      </c>
    </row>
    <row r="48" spans="1:40" x14ac:dyDescent="0.25">
      <c r="L48" s="49"/>
      <c r="AE48" s="33">
        <v>32</v>
      </c>
      <c r="AF48" s="33">
        <v>103.59999999999997</v>
      </c>
      <c r="AG48" s="33">
        <v>10560</v>
      </c>
      <c r="AH48" s="33">
        <v>44.000000000000007</v>
      </c>
    </row>
    <row r="49" spans="12:34" x14ac:dyDescent="0.25">
      <c r="L49" s="49"/>
      <c r="AE49" s="33">
        <v>33</v>
      </c>
      <c r="AF49" s="33">
        <v>107.39999999999996</v>
      </c>
      <c r="AG49" s="33">
        <v>11040</v>
      </c>
      <c r="AH49" s="33">
        <v>46.000000000000007</v>
      </c>
    </row>
    <row r="50" spans="12:34" x14ac:dyDescent="0.25">
      <c r="L50" s="49"/>
      <c r="AE50" s="33">
        <v>34</v>
      </c>
      <c r="AF50" s="33">
        <v>111.19999999999996</v>
      </c>
      <c r="AG50" s="33">
        <v>11520</v>
      </c>
      <c r="AH50" s="33">
        <v>48.000000000000007</v>
      </c>
    </row>
    <row r="51" spans="12:34" x14ac:dyDescent="0.25">
      <c r="L51" s="49"/>
      <c r="AE51" s="33">
        <v>35</v>
      </c>
      <c r="AF51" s="33">
        <v>114.99999999999996</v>
      </c>
      <c r="AG51" s="33">
        <v>12000</v>
      </c>
      <c r="AH51" s="33">
        <v>50.000000000000007</v>
      </c>
    </row>
    <row r="52" spans="12:34" x14ac:dyDescent="0.25">
      <c r="L52" s="49"/>
    </row>
    <row r="53" spans="12:34" x14ac:dyDescent="0.25">
      <c r="L53" s="49"/>
    </row>
    <row r="54" spans="12:34" x14ac:dyDescent="0.25">
      <c r="L54" s="49"/>
    </row>
    <row r="55" spans="12:34" x14ac:dyDescent="0.25">
      <c r="L55" s="49"/>
    </row>
    <row r="56" spans="12:34" x14ac:dyDescent="0.25">
      <c r="L56" s="49"/>
    </row>
    <row r="57" spans="12:34" x14ac:dyDescent="0.25">
      <c r="L57" s="49"/>
    </row>
    <row r="58" spans="12:34" x14ac:dyDescent="0.25">
      <c r="L58" s="49"/>
    </row>
    <row r="59" spans="12:34" x14ac:dyDescent="0.25">
      <c r="L59" s="49"/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  <row r="256" spans="12:12" x14ac:dyDescent="0.25">
      <c r="L256" s="49"/>
    </row>
    <row r="257" spans="12:12" x14ac:dyDescent="0.25">
      <c r="L257" s="49"/>
    </row>
    <row r="258" spans="12:12" x14ac:dyDescent="0.25">
      <c r="L258" s="49"/>
    </row>
  </sheetData>
  <mergeCells count="3">
    <mergeCell ref="R3:S3"/>
    <mergeCell ref="U3:V3"/>
    <mergeCell ref="AC3:AI3"/>
  </mergeCells>
  <conditionalFormatting sqref="N6 Q6 R12:AA16 AM8:AN18 Q8:Q18 N8:N20 AE8:AI11 AE6:AI6 AO8:AS11 AM6:AS6 R8:Y11">
    <cfRule type="expression" dxfId="1713" priority="62">
      <formula>$L6="API sand"</formula>
    </cfRule>
  </conditionalFormatting>
  <conditionalFormatting sqref="AJ12:AJ16 N6 AB12:AB16 AK6:AL6 AK8:AL18 N8:N20">
    <cfRule type="expression" dxfId="1712" priority="61">
      <formula>$M6="API sand"</formula>
    </cfRule>
  </conditionalFormatting>
  <conditionalFormatting sqref="AJ12:AJ16 N6 AK6:AL6 AB12:AB16 AK8:AL18 N8:N20">
    <cfRule type="expression" dxfId="1711" priority="60">
      <formula>$M6="API clay"</formula>
    </cfRule>
  </conditionalFormatting>
  <conditionalFormatting sqref="AM6:AN6 N6:P6 AM8:AN18 N8:P11">
    <cfRule type="expression" dxfId="1710" priority="57">
      <formula>$L6="Stiff clay w/o free water"</formula>
    </cfRule>
    <cfRule type="expression" dxfId="1709" priority="59">
      <formula>$L6="API clay"</formula>
    </cfRule>
  </conditionalFormatting>
  <conditionalFormatting sqref="AM6:AN6 N6:P6 AM8:AN18 N8:P11">
    <cfRule type="expression" dxfId="1708" priority="58">
      <formula>$L6="Kirsch soft clay"</formula>
    </cfRule>
  </conditionalFormatting>
  <conditionalFormatting sqref="AM6:AN6 N6:P6 AM8:AN18 N8:P11">
    <cfRule type="expression" dxfId="1707" priority="56">
      <formula>$L6="Kirsch stiff clay"</formula>
    </cfRule>
  </conditionalFormatting>
  <conditionalFormatting sqref="N6 Q6 R12:AA16 AM8:AN18 Q8:Q18 N8:N20 AE8:AI11 AE6:AI6 AO8:AS11 AM6:AS6 R8:Y11">
    <cfRule type="expression" dxfId="1706" priority="55">
      <formula>$L6="Kirsch sand"</formula>
    </cfRule>
  </conditionalFormatting>
  <conditionalFormatting sqref="N6 AC6:AD6 AM6:AN6 AC8:AD18 AM8:AN18 N8:N20">
    <cfRule type="expression" dxfId="1705" priority="54">
      <formula>$L6="Modified Weak rock"</formula>
    </cfRule>
  </conditionalFormatting>
  <conditionalFormatting sqref="AM6:AN6 N6:P6 AM8:AN18 N8:P11">
    <cfRule type="expression" dxfId="1704" priority="53">
      <formula>$L6="Reese stiff clay"</formula>
    </cfRule>
  </conditionalFormatting>
  <conditionalFormatting sqref="N21:N39 Q19:Q39 AM19:AN39">
    <cfRule type="expression" dxfId="1703" priority="52">
      <formula>$L19="API sand"</formula>
    </cfRule>
  </conditionalFormatting>
  <conditionalFormatting sqref="N21:N39 Z19:Z39 AB19:AB39 R19:S39 AJ19:AL39">
    <cfRule type="expression" dxfId="1702" priority="51">
      <formula>$M19="API sand"</formula>
    </cfRule>
  </conditionalFormatting>
  <conditionalFormatting sqref="Z19:AB39 AK19:AL39 R19:T39 N21:N39">
    <cfRule type="expression" dxfId="1701" priority="50">
      <formula>$M19="API clay"</formula>
    </cfRule>
  </conditionalFormatting>
  <conditionalFormatting sqref="U19:W39 AM19:AN39 N32:P39 N21:N31 P19:P31">
    <cfRule type="expression" dxfId="1700" priority="47">
      <formula>$L19="Stiff clay w/o free water"</formula>
    </cfRule>
    <cfRule type="expression" dxfId="1699" priority="49">
      <formula>$L19="API clay"</formula>
    </cfRule>
  </conditionalFormatting>
  <conditionalFormatting sqref="U19:Y39 AM19:AN39 N32:P39 N21:N31 P19:P31">
    <cfRule type="expression" dxfId="1698" priority="48">
      <formula>$L19="Kirsch soft clay"</formula>
    </cfRule>
  </conditionalFormatting>
  <conditionalFormatting sqref="AM19:AN39 U19:Y39 N32:P39 N21:N31 P19:P31">
    <cfRule type="expression" dxfId="1697" priority="46">
      <formula>$L19="Kirsch stiff clay"</formula>
    </cfRule>
  </conditionalFormatting>
  <conditionalFormatting sqref="N21:N39 Q19:Q39 X19:Y39 AM19:AN39">
    <cfRule type="expression" dxfId="1696" priority="45">
      <formula>$L19="Kirsch sand"</formula>
    </cfRule>
  </conditionalFormatting>
  <conditionalFormatting sqref="N21:N39 AC19:AI22 AM19:AN39 AC23:AD39 AI23:AI39">
    <cfRule type="expression" dxfId="1695" priority="44">
      <formula>$L19="Modified Weak rock"</formula>
    </cfRule>
  </conditionalFormatting>
  <conditionalFormatting sqref="U19:V39 AM19:AN39 N32:P39 N21:N31 P19:P31">
    <cfRule type="expression" dxfId="1694" priority="43">
      <formula>$L19="Reese stiff clay"</formula>
    </cfRule>
  </conditionalFormatting>
  <conditionalFormatting sqref="AC6:AD6 AM6:AN6 N6:P6 AC8:AD18 AM8:AN18 N8:P11">
    <cfRule type="expression" dxfId="1693" priority="42">
      <formula>$L6="PISA clay"</formula>
    </cfRule>
  </conditionalFormatting>
  <conditionalFormatting sqref="N6 AC6:AD6 AM6:AN6 AC8:AD18 AM8:AN18 N8:N20">
    <cfRule type="expression" dxfId="1692" priority="41">
      <formula>$L6="PISA sand"</formula>
    </cfRule>
  </conditionalFormatting>
  <conditionalFormatting sqref="R6:Y6">
    <cfRule type="expression" dxfId="1691" priority="40">
      <formula>$L6="API sand"</formula>
    </cfRule>
  </conditionalFormatting>
  <conditionalFormatting sqref="R6:Y6">
    <cfRule type="expression" dxfId="1690" priority="39">
      <formula>$L6="Kirsch sand"</formula>
    </cfRule>
  </conditionalFormatting>
  <conditionalFormatting sqref="N12:P15 N16:O16 P17:P18 O17:O21 N17:N20">
    <cfRule type="expression" dxfId="1689" priority="36">
      <formula>$L12="Stiff clay w/o free water"</formula>
    </cfRule>
    <cfRule type="expression" dxfId="1688" priority="38">
      <formula>$L12="API clay"</formula>
    </cfRule>
  </conditionalFormatting>
  <conditionalFormatting sqref="N12:P15 N16:O16 P17:P18 O17:O21 N17:N20">
    <cfRule type="expression" dxfId="1687" priority="37">
      <formula>$L12="Kirsch soft clay"</formula>
    </cfRule>
  </conditionalFormatting>
  <conditionalFormatting sqref="N12:P15 N16:O16 P17:P18 O17:O21 N17:N20">
    <cfRule type="expression" dxfId="1686" priority="35">
      <formula>$L12="Kirsch stiff clay"</formula>
    </cfRule>
  </conditionalFormatting>
  <conditionalFormatting sqref="N12:P15 N16:O16 P17:P18 O17:O21 N17:N20">
    <cfRule type="expression" dxfId="1685" priority="34">
      <formula>$L12="Reese stiff clay"</formula>
    </cfRule>
  </conditionalFormatting>
  <conditionalFormatting sqref="N12:P15 N16:O16 P17:P18 O17:O21 N17:N20">
    <cfRule type="expression" dxfId="1684" priority="33">
      <formula>$L12="PISA clay"</formula>
    </cfRule>
  </conditionalFormatting>
  <conditionalFormatting sqref="R17:AB18">
    <cfRule type="expression" dxfId="1683" priority="32">
      <formula>$L17="API sand"</formula>
    </cfRule>
  </conditionalFormatting>
  <conditionalFormatting sqref="R17:AB18">
    <cfRule type="expression" dxfId="1682" priority="31">
      <formula>$L17="Kirsch sand"</formula>
    </cfRule>
  </conditionalFormatting>
  <conditionalFormatting sqref="AE17:AJ18 AE12:AI16">
    <cfRule type="expression" dxfId="1681" priority="30">
      <formula>$L12="API sand"</formula>
    </cfRule>
  </conditionalFormatting>
  <conditionalFormatting sqref="AE17:AJ18 AE12:AI16">
    <cfRule type="expression" dxfId="1680" priority="29">
      <formula>$L12="Kirsch sand"</formula>
    </cfRule>
  </conditionalFormatting>
  <conditionalFormatting sqref="O22:O24">
    <cfRule type="expression" dxfId="1679" priority="28">
      <formula>$L22="API sand"</formula>
    </cfRule>
  </conditionalFormatting>
  <conditionalFormatting sqref="O22:O24">
    <cfRule type="expression" dxfId="1678" priority="27">
      <formula>$L22="Kirsch sand"</formula>
    </cfRule>
  </conditionalFormatting>
  <conditionalFormatting sqref="O25:O31">
    <cfRule type="expression" dxfId="1677" priority="26">
      <formula>$L25="API sand"</formula>
    </cfRule>
  </conditionalFormatting>
  <conditionalFormatting sqref="O25:O31">
    <cfRule type="expression" dxfId="1676" priority="25">
      <formula>$L25="Kirsch sand"</formula>
    </cfRule>
  </conditionalFormatting>
  <conditionalFormatting sqref="P16">
    <cfRule type="expression" dxfId="1675" priority="22">
      <formula>$L16="Stiff clay w/o free water"</formula>
    </cfRule>
    <cfRule type="expression" dxfId="1674" priority="24">
      <formula>$L16="API clay"</formula>
    </cfRule>
  </conditionalFormatting>
  <conditionalFormatting sqref="P16">
    <cfRule type="expression" dxfId="1673" priority="23">
      <formula>$L16="Kirsch soft clay"</formula>
    </cfRule>
  </conditionalFormatting>
  <conditionalFormatting sqref="P16">
    <cfRule type="expression" dxfId="1672" priority="21">
      <formula>$L16="Kirsch stiff clay"</formula>
    </cfRule>
  </conditionalFormatting>
  <conditionalFormatting sqref="P16">
    <cfRule type="expression" dxfId="1671" priority="20">
      <formula>$L16="Reese stiff clay"</formula>
    </cfRule>
  </conditionalFormatting>
  <conditionalFormatting sqref="P16">
    <cfRule type="expression" dxfId="1670" priority="19">
      <formula>$L16="PISA clay"</formula>
    </cfRule>
  </conditionalFormatting>
  <conditionalFormatting sqref="N7 Q7 AE7:AI7 AM7:AS7">
    <cfRule type="expression" dxfId="1669" priority="18">
      <formula>$L7="API sand"</formula>
    </cfRule>
  </conditionalFormatting>
  <conditionalFormatting sqref="N7 AK7:AL7">
    <cfRule type="expression" dxfId="1668" priority="17">
      <formula>$M7="API sand"</formula>
    </cfRule>
  </conditionalFormatting>
  <conditionalFormatting sqref="N7 AK7:AL7">
    <cfRule type="expression" dxfId="1667" priority="16">
      <formula>$M7="API clay"</formula>
    </cfRule>
  </conditionalFormatting>
  <conditionalFormatting sqref="AM7:AN7 N7:P7">
    <cfRule type="expression" dxfId="1666" priority="13">
      <formula>$L7="Stiff clay w/o free water"</formula>
    </cfRule>
    <cfRule type="expression" dxfId="1665" priority="15">
      <formula>$L7="API clay"</formula>
    </cfRule>
  </conditionalFormatting>
  <conditionalFormatting sqref="AM7:AN7 N7:P7">
    <cfRule type="expression" dxfId="1664" priority="14">
      <formula>$L7="Kirsch soft clay"</formula>
    </cfRule>
  </conditionalFormatting>
  <conditionalFormatting sqref="AM7:AN7 N7:P7">
    <cfRule type="expression" dxfId="1663" priority="12">
      <formula>$L7="Kirsch stiff clay"</formula>
    </cfRule>
  </conditionalFormatting>
  <conditionalFormatting sqref="N7 Q7 AE7:AI7 AM7:AS7">
    <cfRule type="expression" dxfId="1662" priority="11">
      <formula>$L7="Kirsch sand"</formula>
    </cfRule>
  </conditionalFormatting>
  <conditionalFormatting sqref="N7 AC7:AD7 AM7:AN7">
    <cfRule type="expression" dxfId="1661" priority="10">
      <formula>$L7="Modified Weak rock"</formula>
    </cfRule>
  </conditionalFormatting>
  <conditionalFormatting sqref="AM7:AN7 N7:P7">
    <cfRule type="expression" dxfId="1660" priority="9">
      <formula>$L7="Reese stiff clay"</formula>
    </cfRule>
  </conditionalFormatting>
  <conditionalFormatting sqref="AC7:AD7 AM7:AN7 N7:P7">
    <cfRule type="expression" dxfId="1659" priority="8">
      <formula>$L7="PISA clay"</formula>
    </cfRule>
  </conditionalFormatting>
  <conditionalFormatting sqref="N7 AC7:AD7 AM7:AN7">
    <cfRule type="expression" dxfId="1658" priority="7">
      <formula>$L7="PISA sand"</formula>
    </cfRule>
  </conditionalFormatting>
  <conditionalFormatting sqref="R7:Y7">
    <cfRule type="expression" dxfId="1657" priority="6">
      <formula>$L7="API sand"</formula>
    </cfRule>
  </conditionalFormatting>
  <conditionalFormatting sqref="R7:Y7">
    <cfRule type="expression" dxfId="1656" priority="5">
      <formula>$L7="Kirsch sand"</formula>
    </cfRule>
  </conditionalFormatting>
  <conditionalFormatting sqref="Z6:Z11 AB6:AB11">
    <cfRule type="expression" dxfId="1655" priority="4">
      <formula>$M6="API sand"</formula>
    </cfRule>
  </conditionalFormatting>
  <conditionalFormatting sqref="Z6:AB11">
    <cfRule type="expression" dxfId="1654" priority="3">
      <formula>$M6="API clay"</formula>
    </cfRule>
  </conditionalFormatting>
  <conditionalFormatting sqref="AJ6:AJ11">
    <cfRule type="expression" dxfId="1653" priority="2">
      <formula>$L6="API sand"</formula>
    </cfRule>
  </conditionalFormatting>
  <conditionalFormatting sqref="AJ6:AJ11">
    <cfRule type="expression" dxfId="1652" priority="1">
      <formula>$L6="Kirsch sand"</formula>
    </cfRule>
  </conditionalFormatting>
  <dataValidations count="3">
    <dataValidation type="list" showInputMessage="1" showErrorMessage="1" sqref="M6:M18" xr:uid="{CDD1EA1B-80B4-489A-8031-6581A4186F4E}">
      <formula1>"Zero soil,API sand,API clay"</formula1>
    </dataValidation>
    <dataValidation type="list" showInputMessage="1" showErrorMessage="1" sqref="L12:L258" xr:uid="{0F54CA7E-2184-49E1-8668-C9C47C7B4FBC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19:M39" xr:uid="{31FA65FE-B13B-4A74-A7DB-444D80A6130A}">
      <formula1>"',API sand,API clay"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7E52B-5DDF-47DB-AB5A-901288C32366}">
  <sheetPr>
    <tabColor rgb="FFFFC000"/>
  </sheetPr>
  <dimension ref="A1:AS258"/>
  <sheetViews>
    <sheetView zoomScaleNormal="100" workbookViewId="0">
      <selection activeCell="F24" sqref="F24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9.5703125" style="33" bestFit="1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6.5703125" style="33" bestFit="1" customWidth="1"/>
    <col min="16" max="16" width="8.5703125" style="33" bestFit="1" customWidth="1"/>
    <col min="17" max="18" width="9.5703125" style="33" bestFit="1" customWidth="1"/>
    <col min="19" max="19" width="4" style="33" bestFit="1" customWidth="1"/>
    <col min="20" max="20" width="5.5703125" style="33" bestFit="1" customWidth="1"/>
    <col min="21" max="21" width="9.5703125" style="33" bestFit="1" customWidth="1"/>
    <col min="22" max="22" width="15.28515625" style="33" bestFit="1" customWidth="1"/>
    <col min="23" max="23" width="4" style="33" bestFit="1" customWidth="1"/>
    <col min="24" max="24" width="7" style="33" bestFit="1" customWidth="1"/>
    <col min="25" max="25" width="8.42578125" style="33" bestFit="1" customWidth="1"/>
    <col min="26" max="26" width="9.7109375" style="33" bestFit="1" customWidth="1"/>
    <col min="27" max="27" width="11" style="33" bestFit="1" customWidth="1"/>
    <col min="28" max="28" width="8.5703125" style="33" bestFit="1" customWidth="1"/>
    <col min="29" max="29" width="14.85546875" style="33" customWidth="1"/>
    <col min="30" max="30" width="8.85546875" style="33" bestFit="1" customWidth="1"/>
    <col min="31" max="31" width="7.85546875" style="33" bestFit="1" customWidth="1"/>
    <col min="32" max="32" width="5.5703125" style="33" bestFit="1" customWidth="1"/>
    <col min="33" max="33" width="11" style="33" bestFit="1" customWidth="1"/>
    <col min="34" max="34" width="5.42578125" style="33" bestFit="1" customWidth="1"/>
    <col min="35" max="35" width="4.85546875" style="33" bestFit="1" customWidth="1"/>
    <col min="36" max="36" width="3.5703125" style="33" bestFit="1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16384" width="9.140625" style="33"/>
  </cols>
  <sheetData>
    <row r="1" spans="1:45" x14ac:dyDescent="0.25">
      <c r="A1" s="34" t="str">
        <f ca="1">TRIM(MID(CELL("filename",A1),FIND("]",CELL("filename",A1),1)+1,255))</f>
        <v>EW2 zone 4 BE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06"/>
      <c r="R3" s="155"/>
      <c r="S3" s="155"/>
      <c r="T3" s="106"/>
      <c r="U3" s="155"/>
      <c r="V3" s="155"/>
      <c r="W3" s="106"/>
      <c r="X3" s="106"/>
      <c r="Y3" s="106"/>
      <c r="Z3" s="106"/>
      <c r="AA3" s="106"/>
      <c r="AB3" s="106"/>
      <c r="AC3" s="156"/>
      <c r="AD3" s="156"/>
      <c r="AE3" s="156"/>
      <c r="AF3" s="156"/>
      <c r="AG3" s="156"/>
      <c r="AH3" s="156"/>
      <c r="AI3" s="156"/>
      <c r="AJ3" s="106"/>
      <c r="AK3" s="106"/>
      <c r="AL3" s="106"/>
      <c r="AM3" s="106"/>
      <c r="AN3" s="106"/>
    </row>
    <row r="4" spans="1:45" x14ac:dyDescent="0.25">
      <c r="A4" s="40" t="s">
        <v>60</v>
      </c>
      <c r="B4" s="33">
        <f>COUNTIF(J:J,"&gt;0")</f>
        <v>7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282</v>
      </c>
      <c r="AP4" s="43" t="s">
        <v>283</v>
      </c>
      <c r="AQ4" s="43" t="s">
        <v>284</v>
      </c>
      <c r="AR4" s="43" t="s">
        <v>285</v>
      </c>
      <c r="AS4" s="43" t="s">
        <v>286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07" t="s">
        <v>38</v>
      </c>
      <c r="K5" s="107" t="s">
        <v>30</v>
      </c>
      <c r="L5" s="107" t="s">
        <v>31</v>
      </c>
      <c r="M5" s="107" t="s">
        <v>31</v>
      </c>
      <c r="N5" s="107" t="s">
        <v>32</v>
      </c>
      <c r="O5" s="107" t="s">
        <v>33</v>
      </c>
      <c r="P5" s="107" t="s">
        <v>35</v>
      </c>
      <c r="Q5" s="107" t="s">
        <v>36</v>
      </c>
      <c r="R5" s="107" t="s">
        <v>36</v>
      </c>
      <c r="S5" s="107" t="s">
        <v>34</v>
      </c>
      <c r="T5" s="107" t="s">
        <v>33</v>
      </c>
      <c r="U5" s="107" t="s">
        <v>34</v>
      </c>
      <c r="V5" s="107" t="s">
        <v>62</v>
      </c>
      <c r="W5" s="107" t="s">
        <v>34</v>
      </c>
      <c r="X5" s="107" t="s">
        <v>33</v>
      </c>
      <c r="Y5" s="107" t="s">
        <v>35</v>
      </c>
      <c r="Z5" s="107" t="s">
        <v>33</v>
      </c>
      <c r="AA5" s="107" t="s">
        <v>34</v>
      </c>
      <c r="AB5" s="107" t="s">
        <v>33</v>
      </c>
      <c r="AC5" s="107" t="s">
        <v>33</v>
      </c>
      <c r="AD5" s="107" t="s">
        <v>35</v>
      </c>
      <c r="AE5" s="107" t="s">
        <v>34</v>
      </c>
      <c r="AF5" s="107" t="s">
        <v>33</v>
      </c>
      <c r="AG5" s="107" t="s">
        <v>35</v>
      </c>
      <c r="AH5" s="107" t="s">
        <v>34</v>
      </c>
      <c r="AI5" s="107" t="s">
        <v>34</v>
      </c>
      <c r="AJ5" s="107" t="s">
        <v>34</v>
      </c>
      <c r="AK5" s="107" t="s">
        <v>34</v>
      </c>
      <c r="AL5" s="107" t="s">
        <v>34</v>
      </c>
      <c r="AM5" s="107" t="s">
        <v>34</v>
      </c>
      <c r="AN5" s="107" t="s">
        <v>34</v>
      </c>
      <c r="AO5" s="107" t="s">
        <v>34</v>
      </c>
      <c r="AP5" s="107" t="s">
        <v>33</v>
      </c>
      <c r="AQ5" s="107" t="s">
        <v>34</v>
      </c>
      <c r="AR5" s="107" t="s">
        <v>34</v>
      </c>
    </row>
    <row r="6" spans="1:45" x14ac:dyDescent="0.25">
      <c r="C6" s="45"/>
      <c r="F6" s="33" t="s">
        <v>67</v>
      </c>
      <c r="G6" s="57">
        <v>0</v>
      </c>
      <c r="H6" s="45" t="s">
        <v>28</v>
      </c>
      <c r="J6" s="47">
        <v>1</v>
      </c>
      <c r="K6" s="63">
        <v>0</v>
      </c>
      <c r="L6" s="33" t="s">
        <v>112</v>
      </c>
      <c r="M6" s="49" t="s">
        <v>64</v>
      </c>
      <c r="N6" s="47">
        <v>8.1000000000000014</v>
      </c>
      <c r="O6" s="63">
        <v>0</v>
      </c>
      <c r="P6" s="63">
        <v>0</v>
      </c>
      <c r="Q6" s="47">
        <v>45</v>
      </c>
      <c r="R6" s="47">
        <f>Q6-5</f>
        <v>40</v>
      </c>
      <c r="S6" s="47">
        <v>1.5</v>
      </c>
      <c r="T6" s="47">
        <v>0</v>
      </c>
      <c r="U6" s="47">
        <v>0</v>
      </c>
      <c r="V6" s="47">
        <v>0</v>
      </c>
      <c r="W6" s="47">
        <v>0.5</v>
      </c>
      <c r="X6" s="81">
        <v>2000</v>
      </c>
      <c r="Y6" s="81">
        <v>0</v>
      </c>
      <c r="Z6" s="108">
        <f t="shared" ref="Z6:Z12" si="0">VLOOKUP(R6,$AE$31:$AF$51,2)</f>
        <v>114.99999999999996</v>
      </c>
      <c r="AA6" s="108">
        <v>1</v>
      </c>
      <c r="AB6" s="108">
        <f t="shared" ref="AB6:AB12" si="1">VLOOKUP(R6,$AE$31:$AG$51,3)</f>
        <v>12000</v>
      </c>
      <c r="AC6" s="47">
        <v>40000</v>
      </c>
      <c r="AD6" s="47">
        <v>0</v>
      </c>
      <c r="AE6" s="81">
        <v>0.3</v>
      </c>
      <c r="AF6" s="47">
        <v>0</v>
      </c>
      <c r="AG6" s="47">
        <v>0</v>
      </c>
      <c r="AH6" s="47">
        <v>0</v>
      </c>
      <c r="AI6" s="47">
        <v>0</v>
      </c>
      <c r="AJ6" s="47">
        <f>VLOOKUP(R6,$AE$39:$AH$59,4)</f>
        <v>50.000000000000007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/>
      <c r="J7" s="47">
        <v>2</v>
      </c>
      <c r="K7" s="63">
        <v>-1</v>
      </c>
      <c r="L7" s="33" t="s">
        <v>112</v>
      </c>
      <c r="M7" s="49" t="s">
        <v>64</v>
      </c>
      <c r="N7" s="47">
        <v>8.1000000000000014</v>
      </c>
      <c r="O7" s="63">
        <v>0</v>
      </c>
      <c r="P7" s="63">
        <v>0</v>
      </c>
      <c r="Q7" s="47">
        <v>45</v>
      </c>
      <c r="R7" s="47">
        <f>Q7-5</f>
        <v>40</v>
      </c>
      <c r="S7" s="47">
        <v>1.5</v>
      </c>
      <c r="T7" s="47">
        <v>0</v>
      </c>
      <c r="U7" s="47">
        <v>0</v>
      </c>
      <c r="V7" s="47">
        <v>0</v>
      </c>
      <c r="W7" s="47">
        <v>0.5</v>
      </c>
      <c r="X7" s="81">
        <v>30000</v>
      </c>
      <c r="Y7" s="81">
        <v>0</v>
      </c>
      <c r="Z7" s="108">
        <f t="shared" si="0"/>
        <v>114.99999999999996</v>
      </c>
      <c r="AA7" s="108">
        <v>1</v>
      </c>
      <c r="AB7" s="108">
        <f t="shared" si="1"/>
        <v>12000</v>
      </c>
      <c r="AC7" s="47">
        <v>40000</v>
      </c>
      <c r="AD7" s="47">
        <v>0</v>
      </c>
      <c r="AE7" s="81">
        <v>0.3</v>
      </c>
      <c r="AF7" s="47">
        <v>0</v>
      </c>
      <c r="AG7" s="47">
        <v>0</v>
      </c>
      <c r="AH7" s="47">
        <v>0</v>
      </c>
      <c r="AI7" s="47">
        <v>0</v>
      </c>
      <c r="AJ7" s="47">
        <f t="shared" ref="AJ7:AJ12" si="2">VLOOKUP(R7,$AE$39:$AH$59,4)</f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0</v>
      </c>
      <c r="AP7" s="47">
        <v>0</v>
      </c>
      <c r="AQ7" s="47">
        <v>0</v>
      </c>
      <c r="AR7" s="47">
        <v>0</v>
      </c>
      <c r="AS7" s="47">
        <v>0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59">
        <v>1000</v>
      </c>
      <c r="H8" s="45" t="s">
        <v>53</v>
      </c>
      <c r="J8" s="47">
        <v>3</v>
      </c>
      <c r="K8" s="63">
        <v>-2.5</v>
      </c>
      <c r="L8" s="33" t="s">
        <v>112</v>
      </c>
      <c r="M8" s="49" t="s">
        <v>64</v>
      </c>
      <c r="N8" s="47">
        <v>8.8999999999999986</v>
      </c>
      <c r="O8" s="63">
        <v>0</v>
      </c>
      <c r="P8" s="63">
        <v>0</v>
      </c>
      <c r="Q8" s="47">
        <v>42</v>
      </c>
      <c r="R8" s="47">
        <f>Q8-5</f>
        <v>37</v>
      </c>
      <c r="S8" s="47">
        <v>1.3</v>
      </c>
      <c r="T8" s="47">
        <v>0</v>
      </c>
      <c r="U8" s="47">
        <v>0</v>
      </c>
      <c r="V8" s="47">
        <v>0</v>
      </c>
      <c r="W8" s="47">
        <v>0.5</v>
      </c>
      <c r="X8" s="81">
        <v>30000</v>
      </c>
      <c r="Y8" s="81">
        <v>5294.1176470588234</v>
      </c>
      <c r="Z8" s="108">
        <f t="shared" si="0"/>
        <v>114.99999999999996</v>
      </c>
      <c r="AA8" s="108">
        <v>1</v>
      </c>
      <c r="AB8" s="108">
        <f t="shared" si="1"/>
        <v>12000</v>
      </c>
      <c r="AC8" s="47">
        <v>40000</v>
      </c>
      <c r="AD8" s="47">
        <v>10588.235294117647</v>
      </c>
      <c r="AE8" s="81">
        <v>0.3</v>
      </c>
      <c r="AF8" s="47">
        <v>0</v>
      </c>
      <c r="AG8" s="47">
        <v>0</v>
      </c>
      <c r="AH8" s="47">
        <v>0</v>
      </c>
      <c r="AI8" s="47">
        <v>0</v>
      </c>
      <c r="AJ8" s="47">
        <f t="shared" si="2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</row>
    <row r="9" spans="1:45" x14ac:dyDescent="0.25">
      <c r="A9" s="33" t="s">
        <v>68</v>
      </c>
      <c r="B9" s="57">
        <v>70</v>
      </c>
      <c r="C9" s="45" t="s">
        <v>28</v>
      </c>
      <c r="F9" s="33" t="s">
        <v>96</v>
      </c>
      <c r="G9" s="59">
        <v>-20000</v>
      </c>
      <c r="H9" s="45" t="s">
        <v>54</v>
      </c>
      <c r="J9" s="47">
        <v>4</v>
      </c>
      <c r="K9" s="63">
        <v>-11</v>
      </c>
      <c r="L9" s="33" t="s">
        <v>112</v>
      </c>
      <c r="M9" s="49" t="s">
        <v>64</v>
      </c>
      <c r="N9" s="47">
        <v>8.8999999999999986</v>
      </c>
      <c r="O9" s="63">
        <v>0</v>
      </c>
      <c r="P9" s="63">
        <v>0</v>
      </c>
      <c r="Q9" s="47">
        <v>32.5</v>
      </c>
      <c r="R9" s="47">
        <f t="shared" ref="R9:R12" si="3">Q9-5</f>
        <v>27.5</v>
      </c>
      <c r="S9" s="47">
        <v>0.6</v>
      </c>
      <c r="T9" s="47">
        <v>0</v>
      </c>
      <c r="U9" s="47">
        <v>0</v>
      </c>
      <c r="V9" s="47">
        <v>0</v>
      </c>
      <c r="W9" s="47">
        <v>0.5</v>
      </c>
      <c r="X9" s="81">
        <v>8000</v>
      </c>
      <c r="Y9" s="81">
        <v>0</v>
      </c>
      <c r="Z9" s="108">
        <f t="shared" si="0"/>
        <v>86.999999999999972</v>
      </c>
      <c r="AA9" s="108">
        <v>1</v>
      </c>
      <c r="AB9" s="108">
        <f t="shared" si="1"/>
        <v>6720</v>
      </c>
      <c r="AC9" s="47">
        <v>50000</v>
      </c>
      <c r="AD9" s="47">
        <v>0</v>
      </c>
      <c r="AE9" s="81">
        <v>0.3</v>
      </c>
      <c r="AF9" s="47">
        <v>0</v>
      </c>
      <c r="AG9" s="47">
        <v>0</v>
      </c>
      <c r="AH9" s="47">
        <v>0</v>
      </c>
      <c r="AI9" s="47">
        <v>0</v>
      </c>
      <c r="AJ9" s="47">
        <f t="shared" si="2"/>
        <v>28.000000000000007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0</v>
      </c>
      <c r="AP9" s="47">
        <v>0</v>
      </c>
      <c r="AQ9" s="47">
        <v>0</v>
      </c>
      <c r="AR9" s="47">
        <v>0</v>
      </c>
      <c r="AS9" s="47">
        <v>0</v>
      </c>
    </row>
    <row r="10" spans="1:45" s="56" customFormat="1" x14ac:dyDescent="0.25">
      <c r="A10" s="56" t="s">
        <v>69</v>
      </c>
      <c r="B10" s="58">
        <v>70</v>
      </c>
      <c r="C10" s="45" t="s">
        <v>28</v>
      </c>
      <c r="F10" s="33" t="s">
        <v>51</v>
      </c>
      <c r="G10" s="59">
        <v>1000</v>
      </c>
      <c r="H10" s="45" t="s">
        <v>53</v>
      </c>
      <c r="I10" s="33"/>
      <c r="J10" s="47">
        <v>5</v>
      </c>
      <c r="K10" s="63">
        <v>-15.7</v>
      </c>
      <c r="L10" s="33" t="s">
        <v>112</v>
      </c>
      <c r="M10" s="49" t="s">
        <v>64</v>
      </c>
      <c r="N10" s="47">
        <v>8.3000000000000007</v>
      </c>
      <c r="O10" s="63">
        <v>0</v>
      </c>
      <c r="P10" s="63">
        <v>0</v>
      </c>
      <c r="Q10" s="47">
        <v>43.5</v>
      </c>
      <c r="R10" s="47">
        <f t="shared" si="3"/>
        <v>38.5</v>
      </c>
      <c r="S10" s="47">
        <v>1</v>
      </c>
      <c r="T10" s="47">
        <v>0</v>
      </c>
      <c r="U10" s="47">
        <v>0</v>
      </c>
      <c r="V10" s="47">
        <v>0</v>
      </c>
      <c r="W10" s="47">
        <v>0.5</v>
      </c>
      <c r="X10" s="81">
        <v>75000</v>
      </c>
      <c r="Y10" s="81">
        <v>0</v>
      </c>
      <c r="Z10" s="108">
        <f t="shared" si="0"/>
        <v>114.99999999999996</v>
      </c>
      <c r="AA10" s="108">
        <v>1</v>
      </c>
      <c r="AB10" s="108">
        <f t="shared" si="1"/>
        <v>12000</v>
      </c>
      <c r="AC10" s="47">
        <v>100000</v>
      </c>
      <c r="AD10" s="47">
        <v>0</v>
      </c>
      <c r="AE10" s="81">
        <v>0.3</v>
      </c>
      <c r="AF10" s="47">
        <v>0</v>
      </c>
      <c r="AG10" s="47">
        <v>0</v>
      </c>
      <c r="AH10" s="47">
        <v>0</v>
      </c>
      <c r="AI10" s="47">
        <v>0</v>
      </c>
      <c r="AJ10" s="47">
        <f t="shared" si="2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59">
        <v>0</v>
      </c>
      <c r="H11" s="45" t="s">
        <v>53</v>
      </c>
      <c r="J11" s="47">
        <v>6</v>
      </c>
      <c r="K11" s="63">
        <v>-20.2</v>
      </c>
      <c r="L11" s="33" t="s">
        <v>112</v>
      </c>
      <c r="M11" s="49" t="s">
        <v>64</v>
      </c>
      <c r="N11" s="47">
        <v>9.3000000000000007</v>
      </c>
      <c r="O11" s="63">
        <v>0</v>
      </c>
      <c r="P11" s="63">
        <v>0</v>
      </c>
      <c r="Q11" s="47">
        <v>37.5</v>
      </c>
      <c r="R11" s="47">
        <f t="shared" si="3"/>
        <v>32.5</v>
      </c>
      <c r="S11" s="47">
        <v>0.7</v>
      </c>
      <c r="T11" s="47">
        <v>0</v>
      </c>
      <c r="U11" s="47">
        <v>0</v>
      </c>
      <c r="V11" s="47">
        <v>0</v>
      </c>
      <c r="W11" s="47">
        <v>0.5</v>
      </c>
      <c r="X11" s="81">
        <v>50000</v>
      </c>
      <c r="Y11" s="81">
        <v>0</v>
      </c>
      <c r="Z11" s="108">
        <f t="shared" si="0"/>
        <v>103.59999999999997</v>
      </c>
      <c r="AA11" s="108">
        <v>1</v>
      </c>
      <c r="AB11" s="108">
        <f t="shared" si="1"/>
        <v>10560</v>
      </c>
      <c r="AC11" s="47">
        <v>140000</v>
      </c>
      <c r="AD11" s="47">
        <v>0</v>
      </c>
      <c r="AE11" s="81">
        <v>0.3</v>
      </c>
      <c r="AF11" s="47">
        <v>0</v>
      </c>
      <c r="AG11" s="47">
        <v>0</v>
      </c>
      <c r="AH11" s="47">
        <v>0</v>
      </c>
      <c r="AI11" s="47">
        <v>0</v>
      </c>
      <c r="AJ11" s="47">
        <f t="shared" si="2"/>
        <v>44.000000000000007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0</v>
      </c>
      <c r="AP11" s="47">
        <v>0</v>
      </c>
      <c r="AQ11" s="47">
        <v>0</v>
      </c>
      <c r="AR11" s="47">
        <v>0</v>
      </c>
      <c r="AS11" s="47">
        <v>0</v>
      </c>
    </row>
    <row r="12" spans="1:45" x14ac:dyDescent="0.25">
      <c r="A12" s="33" t="s">
        <v>74</v>
      </c>
      <c r="B12" s="57">
        <v>8.4</v>
      </c>
      <c r="C12" s="45" t="s">
        <v>28</v>
      </c>
      <c r="E12" s="59"/>
      <c r="F12" s="56" t="s">
        <v>97</v>
      </c>
      <c r="G12" s="58">
        <v>0</v>
      </c>
      <c r="H12" s="45" t="s">
        <v>53</v>
      </c>
      <c r="I12" s="56"/>
      <c r="J12" s="47">
        <v>7</v>
      </c>
      <c r="K12" s="63">
        <v>-22.8</v>
      </c>
      <c r="L12" s="33" t="s">
        <v>112</v>
      </c>
      <c r="M12" s="49" t="s">
        <v>64</v>
      </c>
      <c r="N12" s="47">
        <v>9.8999999999999986</v>
      </c>
      <c r="O12" s="63">
        <v>0</v>
      </c>
      <c r="P12" s="63">
        <v>0</v>
      </c>
      <c r="Q12" s="47">
        <v>39</v>
      </c>
      <c r="R12" s="47">
        <f t="shared" si="3"/>
        <v>34</v>
      </c>
      <c r="S12" s="47">
        <v>1</v>
      </c>
      <c r="T12" s="47">
        <v>0</v>
      </c>
      <c r="U12" s="47">
        <v>0</v>
      </c>
      <c r="V12" s="47">
        <v>0</v>
      </c>
      <c r="W12" s="47">
        <v>0.5</v>
      </c>
      <c r="X12" s="81">
        <v>100000</v>
      </c>
      <c r="Y12" s="81">
        <v>0</v>
      </c>
      <c r="Z12" s="108">
        <f t="shared" si="0"/>
        <v>111.19999999999996</v>
      </c>
      <c r="AA12" s="108">
        <v>1</v>
      </c>
      <c r="AB12" s="108">
        <f t="shared" si="1"/>
        <v>11520</v>
      </c>
      <c r="AC12" s="47">
        <v>170000</v>
      </c>
      <c r="AD12" s="47">
        <v>0</v>
      </c>
      <c r="AE12" s="81">
        <v>0.3</v>
      </c>
      <c r="AF12" s="47">
        <v>0</v>
      </c>
      <c r="AG12" s="47">
        <v>0</v>
      </c>
      <c r="AH12" s="47">
        <v>0</v>
      </c>
      <c r="AI12" s="47">
        <v>0</v>
      </c>
      <c r="AJ12" s="47">
        <f t="shared" si="2"/>
        <v>48.000000000000007</v>
      </c>
      <c r="AK12" s="47">
        <v>1</v>
      </c>
      <c r="AL12" s="47">
        <v>1</v>
      </c>
      <c r="AM12" s="47">
        <v>1</v>
      </c>
      <c r="AN12" s="47">
        <v>1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J13" s="47"/>
      <c r="K13" s="63"/>
      <c r="M13" s="49"/>
      <c r="N13" s="47"/>
      <c r="O13" s="63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J14" s="47"/>
      <c r="K14" s="63"/>
      <c r="M14" s="49"/>
      <c r="N14" s="47"/>
      <c r="O14" s="63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</row>
    <row r="15" spans="1:45" s="56" customFormat="1" x14ac:dyDescent="0.25">
      <c r="A15" s="33" t="s">
        <v>44</v>
      </c>
      <c r="B15" s="61">
        <v>207000000</v>
      </c>
      <c r="C15" s="45" t="s">
        <v>47</v>
      </c>
      <c r="D15" s="33"/>
      <c r="E15" s="33"/>
      <c r="F15" s="33"/>
      <c r="G15" s="33"/>
      <c r="J15" s="47"/>
      <c r="K15" s="63"/>
      <c r="L15" s="33"/>
      <c r="M15" s="49"/>
      <c r="N15" s="47"/>
      <c r="O15" s="63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J16" s="47"/>
      <c r="K16" s="63"/>
      <c r="M16" s="49"/>
      <c r="N16" s="47"/>
      <c r="O16" s="63"/>
      <c r="P16" s="63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</row>
    <row r="17" spans="1:40" x14ac:dyDescent="0.25">
      <c r="A17" s="33" t="s">
        <v>98</v>
      </c>
      <c r="B17" s="57">
        <v>0.53</v>
      </c>
      <c r="C17" s="45"/>
      <c r="D17" s="107"/>
      <c r="E17" s="107"/>
      <c r="F17" s="56"/>
      <c r="G17" s="56"/>
      <c r="J17" s="47"/>
      <c r="K17" s="63"/>
      <c r="M17" s="49"/>
      <c r="N17" s="47"/>
      <c r="O17" s="63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</row>
    <row r="18" spans="1:40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56"/>
      <c r="J18" s="47"/>
      <c r="K18" s="63"/>
      <c r="L18" s="49"/>
      <c r="M18" s="49"/>
      <c r="N18" s="47"/>
      <c r="O18" s="63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</row>
    <row r="19" spans="1:40" s="56" customFormat="1" x14ac:dyDescent="0.25">
      <c r="A19" s="107" t="s">
        <v>38</v>
      </c>
      <c r="B19" s="107" t="s">
        <v>30</v>
      </c>
      <c r="C19" s="107" t="s">
        <v>59</v>
      </c>
      <c r="D19" s="43"/>
      <c r="E19" s="35"/>
      <c r="F19" s="33"/>
      <c r="G19" s="33"/>
      <c r="J19" s="47"/>
      <c r="K19" s="63"/>
      <c r="L19" s="49"/>
      <c r="M19" s="49" t="s">
        <v>94</v>
      </c>
      <c r="N19" s="47"/>
      <c r="O19" s="63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</row>
    <row r="20" spans="1:40" x14ac:dyDescent="0.25">
      <c r="A20" s="66">
        <v>1</v>
      </c>
      <c r="B20" s="66">
        <v>0</v>
      </c>
      <c r="C20" s="66">
        <v>9.0999999999999998E-2</v>
      </c>
      <c r="D20" s="43"/>
      <c r="J20" s="47"/>
      <c r="K20" s="63"/>
      <c r="L20" s="49"/>
      <c r="M20" s="49" t="s">
        <v>94</v>
      </c>
      <c r="N20" s="47"/>
      <c r="O20" s="63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</row>
    <row r="21" spans="1:40" x14ac:dyDescent="0.25">
      <c r="A21" s="66"/>
      <c r="B21" s="66"/>
      <c r="C21" s="66"/>
      <c r="D21" s="43"/>
      <c r="K21" s="79"/>
      <c r="L21" s="49"/>
      <c r="M21" s="49" t="s">
        <v>94</v>
      </c>
      <c r="N21" s="47"/>
      <c r="O21" s="63"/>
      <c r="P21" s="47"/>
      <c r="Q21" s="47"/>
      <c r="R21" s="64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</row>
    <row r="22" spans="1:40" x14ac:dyDescent="0.25">
      <c r="A22" s="47"/>
      <c r="B22" s="47"/>
      <c r="C22" s="47"/>
      <c r="D22" s="35"/>
      <c r="K22" s="79"/>
      <c r="L22" s="49"/>
      <c r="M22" s="49" t="s">
        <v>94</v>
      </c>
      <c r="N22" s="47"/>
      <c r="O22" s="47"/>
      <c r="P22" s="47"/>
      <c r="Q22" s="47"/>
      <c r="R22" s="64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</row>
    <row r="23" spans="1:40" x14ac:dyDescent="0.25">
      <c r="A23" s="47"/>
      <c r="B23" s="47"/>
      <c r="C23" s="47"/>
      <c r="D23" s="35"/>
      <c r="K23" s="79"/>
      <c r="L23" s="49"/>
      <c r="M23" s="49" t="s">
        <v>94</v>
      </c>
      <c r="N23" s="47"/>
      <c r="O23" s="47"/>
      <c r="P23" s="47"/>
      <c r="Q23" s="47"/>
      <c r="R23" s="64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I23" s="47"/>
      <c r="AJ23" s="47"/>
      <c r="AK23" s="47"/>
      <c r="AL23" s="47"/>
      <c r="AM23" s="47"/>
      <c r="AN23" s="47"/>
    </row>
    <row r="24" spans="1:40" x14ac:dyDescent="0.25">
      <c r="A24" s="43"/>
      <c r="B24" s="43"/>
      <c r="C24" s="43"/>
      <c r="D24" s="43"/>
      <c r="K24" s="79"/>
      <c r="L24" s="49"/>
      <c r="M24" s="49" t="s">
        <v>94</v>
      </c>
      <c r="N24" s="47"/>
      <c r="O24" s="47"/>
      <c r="P24" s="47"/>
      <c r="Q24" s="47"/>
      <c r="R24" s="64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I24" s="47"/>
      <c r="AJ24" s="47"/>
      <c r="AK24" s="47"/>
      <c r="AL24" s="47"/>
      <c r="AM24" s="47"/>
      <c r="AN24" s="47"/>
    </row>
    <row r="25" spans="1:40" x14ac:dyDescent="0.25">
      <c r="A25" s="47"/>
      <c r="B25" s="47"/>
      <c r="C25" s="47"/>
      <c r="D25" s="35"/>
      <c r="K25" s="79"/>
      <c r="L25" s="49"/>
      <c r="M25" s="49" t="s">
        <v>94</v>
      </c>
      <c r="N25" s="47"/>
      <c r="O25" s="47"/>
      <c r="P25" s="47"/>
      <c r="Q25" s="47"/>
      <c r="R25" s="64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I25" s="47"/>
      <c r="AJ25" s="47"/>
      <c r="AK25" s="47"/>
      <c r="AL25" s="47"/>
      <c r="AM25" s="47"/>
      <c r="AN25" s="47"/>
    </row>
    <row r="26" spans="1:40" x14ac:dyDescent="0.25">
      <c r="A26" s="43"/>
      <c r="B26" s="43"/>
      <c r="C26" s="43"/>
      <c r="D26" s="43"/>
      <c r="K26" s="79"/>
      <c r="L26" s="49"/>
      <c r="M26" s="49" t="s">
        <v>94</v>
      </c>
      <c r="N26" s="47"/>
      <c r="O26" s="47"/>
      <c r="P26" s="47"/>
      <c r="Q26" s="47"/>
      <c r="R26" s="64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I26" s="47"/>
      <c r="AJ26" s="47"/>
      <c r="AK26" s="47"/>
      <c r="AL26" s="47"/>
      <c r="AM26" s="47"/>
      <c r="AN26" s="47"/>
    </row>
    <row r="27" spans="1:40" x14ac:dyDescent="0.25">
      <c r="A27" s="43"/>
      <c r="B27" s="43"/>
      <c r="C27" s="43"/>
      <c r="D27" s="43"/>
      <c r="L27" s="49"/>
      <c r="M27" s="49" t="s">
        <v>94</v>
      </c>
      <c r="N27" s="47"/>
      <c r="O27" s="47"/>
      <c r="P27" s="47"/>
      <c r="Q27" s="47"/>
      <c r="R27" s="64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I27" s="47"/>
      <c r="AJ27" s="47"/>
      <c r="AK27" s="47"/>
      <c r="AL27" s="47"/>
      <c r="AM27" s="47"/>
      <c r="AN27" s="47"/>
    </row>
    <row r="28" spans="1:40" x14ac:dyDescent="0.25">
      <c r="A28" s="43"/>
      <c r="B28" s="43"/>
      <c r="C28" s="43"/>
      <c r="D28" s="43"/>
      <c r="L28" s="49"/>
      <c r="M28" s="49" t="s">
        <v>94</v>
      </c>
      <c r="N28" s="47"/>
      <c r="O28" s="47"/>
      <c r="P28" s="47"/>
      <c r="Q28" s="47"/>
      <c r="R28" s="64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I28" s="47"/>
      <c r="AJ28" s="47"/>
      <c r="AK28" s="47"/>
      <c r="AL28" s="47"/>
      <c r="AM28" s="47"/>
      <c r="AN28" s="47"/>
    </row>
    <row r="29" spans="1:40" x14ac:dyDescent="0.25">
      <c r="A29" s="43"/>
      <c r="B29" s="43"/>
      <c r="C29" s="43"/>
      <c r="D29" s="43"/>
      <c r="L29" s="49"/>
      <c r="M29" s="49" t="s">
        <v>94</v>
      </c>
      <c r="N29" s="47"/>
      <c r="O29" s="47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</row>
    <row r="30" spans="1:40" x14ac:dyDescent="0.25">
      <c r="A30" s="43"/>
      <c r="B30" s="43"/>
      <c r="C30" s="43"/>
      <c r="D30" s="43"/>
      <c r="L30" s="49"/>
      <c r="M30" s="49" t="s">
        <v>94</v>
      </c>
      <c r="N30" s="47"/>
      <c r="O30" s="47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33" t="s">
        <v>99</v>
      </c>
      <c r="AF30" s="33" t="s">
        <v>100</v>
      </c>
      <c r="AG30" s="33" t="s">
        <v>101</v>
      </c>
      <c r="AI30" s="47"/>
      <c r="AJ30" s="47"/>
      <c r="AK30" s="47"/>
      <c r="AL30" s="47"/>
      <c r="AM30" s="47"/>
      <c r="AN30" s="47"/>
    </row>
    <row r="31" spans="1:40" x14ac:dyDescent="0.25">
      <c r="A31" s="43"/>
      <c r="B31" s="43"/>
      <c r="C31" s="43"/>
      <c r="D31" s="43"/>
      <c r="L31" s="49"/>
      <c r="M31" s="49" t="s">
        <v>94</v>
      </c>
      <c r="N31" s="47"/>
      <c r="O31" s="47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33">
        <v>15</v>
      </c>
      <c r="AF31" s="33">
        <v>48</v>
      </c>
      <c r="AG31" s="33">
        <v>1900</v>
      </c>
      <c r="AH31" s="33">
        <v>8</v>
      </c>
      <c r="AI31" s="47"/>
      <c r="AJ31" s="47"/>
      <c r="AK31" s="47"/>
      <c r="AL31" s="47"/>
      <c r="AM31" s="47"/>
      <c r="AN31" s="47"/>
    </row>
    <row r="32" spans="1:40" x14ac:dyDescent="0.25">
      <c r="A32" s="43"/>
      <c r="B32" s="43"/>
      <c r="C32" s="43"/>
      <c r="D32" s="43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33">
        <v>16</v>
      </c>
      <c r="AF32" s="33">
        <v>51.8</v>
      </c>
      <c r="AG32" s="33">
        <v>2100</v>
      </c>
      <c r="AH32" s="33">
        <v>8.8000000000000007</v>
      </c>
      <c r="AI32" s="47"/>
      <c r="AJ32" s="47"/>
      <c r="AK32" s="47"/>
      <c r="AL32" s="47"/>
      <c r="AM32" s="47"/>
      <c r="AN32" s="47"/>
    </row>
    <row r="33" spans="1:40" x14ac:dyDescent="0.25">
      <c r="A33" s="43"/>
      <c r="B33" s="43"/>
      <c r="C33" s="43"/>
      <c r="D33" s="43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33">
        <v>17</v>
      </c>
      <c r="AF33" s="33">
        <v>55.599999999999994</v>
      </c>
      <c r="AG33" s="33">
        <v>2300</v>
      </c>
      <c r="AH33" s="33">
        <v>9.6000000000000014</v>
      </c>
      <c r="AI33" s="47"/>
      <c r="AJ33" s="47"/>
      <c r="AK33" s="47"/>
      <c r="AL33" s="47"/>
      <c r="AM33" s="47"/>
      <c r="AN33" s="47"/>
    </row>
    <row r="34" spans="1:40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33">
        <v>18</v>
      </c>
      <c r="AF34" s="33">
        <v>59.399999999999991</v>
      </c>
      <c r="AG34" s="33">
        <v>2500</v>
      </c>
      <c r="AH34" s="33">
        <v>10.400000000000002</v>
      </c>
      <c r="AI34" s="47"/>
      <c r="AJ34" s="47"/>
      <c r="AK34" s="47"/>
      <c r="AL34" s="47"/>
      <c r="AM34" s="47"/>
      <c r="AN34" s="47"/>
    </row>
    <row r="35" spans="1:40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33">
        <v>19</v>
      </c>
      <c r="AF35" s="33">
        <v>63.199999999999989</v>
      </c>
      <c r="AG35" s="33">
        <v>2700</v>
      </c>
      <c r="AH35" s="33">
        <v>11.200000000000003</v>
      </c>
      <c r="AI35" s="47"/>
      <c r="AJ35" s="47"/>
      <c r="AK35" s="47"/>
      <c r="AL35" s="47"/>
      <c r="AM35" s="47"/>
      <c r="AN35" s="47"/>
    </row>
    <row r="36" spans="1:40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33">
        <v>20</v>
      </c>
      <c r="AF36" s="33">
        <v>66.999999999999986</v>
      </c>
      <c r="AG36" s="33">
        <v>2900</v>
      </c>
      <c r="AH36" s="33">
        <v>12.000000000000004</v>
      </c>
      <c r="AI36" s="47"/>
      <c r="AJ36" s="47"/>
      <c r="AK36" s="47"/>
      <c r="AL36" s="47"/>
      <c r="AM36" s="47"/>
      <c r="AN36" s="47"/>
    </row>
    <row r="37" spans="1:40" x14ac:dyDescent="0.25">
      <c r="L37" s="49"/>
      <c r="M37" s="49" t="s">
        <v>94</v>
      </c>
      <c r="N37" s="47"/>
      <c r="O37" s="63"/>
      <c r="P37" s="47"/>
      <c r="Q37" s="47"/>
      <c r="R37" s="64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33">
        <v>21</v>
      </c>
      <c r="AF37" s="33">
        <v>69.799999999999983</v>
      </c>
      <c r="AG37" s="33">
        <v>3280</v>
      </c>
      <c r="AH37" s="33">
        <v>13.600000000000003</v>
      </c>
      <c r="AI37" s="47"/>
      <c r="AJ37" s="47"/>
      <c r="AK37" s="47"/>
      <c r="AL37" s="47"/>
      <c r="AM37" s="47"/>
      <c r="AN37" s="47"/>
    </row>
    <row r="38" spans="1:40" x14ac:dyDescent="0.25">
      <c r="L38" s="49"/>
      <c r="M38" s="49" t="s">
        <v>94</v>
      </c>
      <c r="N38" s="47"/>
      <c r="O38" s="63"/>
      <c r="P38" s="47"/>
      <c r="Q38" s="47"/>
      <c r="R38" s="64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33">
        <v>22</v>
      </c>
      <c r="AF38" s="33">
        <v>72.59999999999998</v>
      </c>
      <c r="AG38" s="33">
        <v>3660</v>
      </c>
      <c r="AH38" s="33">
        <v>15.200000000000003</v>
      </c>
      <c r="AI38" s="47"/>
      <c r="AJ38" s="47"/>
      <c r="AK38" s="47"/>
      <c r="AL38" s="47"/>
      <c r="AM38" s="47"/>
      <c r="AN38" s="47"/>
    </row>
    <row r="39" spans="1:40" x14ac:dyDescent="0.25">
      <c r="L39" s="49"/>
      <c r="M39" s="49" t="s">
        <v>94</v>
      </c>
      <c r="N39" s="47"/>
      <c r="O39" s="63"/>
      <c r="P39" s="47"/>
      <c r="Q39" s="47"/>
      <c r="R39" s="64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33">
        <v>23</v>
      </c>
      <c r="AF39" s="33">
        <v>75.399999999999977</v>
      </c>
      <c r="AG39" s="33">
        <v>4040</v>
      </c>
      <c r="AH39" s="33">
        <v>16.800000000000004</v>
      </c>
      <c r="AI39" s="47"/>
      <c r="AJ39" s="47"/>
      <c r="AK39" s="47"/>
      <c r="AL39" s="47"/>
      <c r="AM39" s="47"/>
      <c r="AN39" s="47"/>
    </row>
    <row r="40" spans="1:40" x14ac:dyDescent="0.25">
      <c r="L40" s="49"/>
      <c r="AE40" s="33">
        <v>24</v>
      </c>
      <c r="AF40" s="33">
        <v>78.199999999999974</v>
      </c>
      <c r="AG40" s="33">
        <v>4420</v>
      </c>
      <c r="AH40" s="33">
        <v>18.400000000000006</v>
      </c>
    </row>
    <row r="41" spans="1:40" x14ac:dyDescent="0.25">
      <c r="L41" s="49"/>
      <c r="AE41" s="33">
        <v>25</v>
      </c>
      <c r="AF41" s="33">
        <v>80.999999999999972</v>
      </c>
      <c r="AG41" s="33">
        <v>4800</v>
      </c>
      <c r="AH41" s="33">
        <v>20.000000000000007</v>
      </c>
    </row>
    <row r="42" spans="1:40" x14ac:dyDescent="0.25">
      <c r="L42" s="49"/>
      <c r="AE42" s="33">
        <v>26</v>
      </c>
      <c r="AF42" s="33">
        <v>83.999999999999972</v>
      </c>
      <c r="AG42" s="33">
        <v>5760</v>
      </c>
      <c r="AH42" s="33">
        <v>24.000000000000007</v>
      </c>
    </row>
    <row r="43" spans="1:40" x14ac:dyDescent="0.25">
      <c r="L43" s="49"/>
      <c r="AE43" s="33">
        <v>27</v>
      </c>
      <c r="AF43" s="33">
        <v>86.999999999999972</v>
      </c>
      <c r="AG43" s="33">
        <v>6720</v>
      </c>
      <c r="AH43" s="33">
        <v>28.000000000000007</v>
      </c>
    </row>
    <row r="44" spans="1:40" x14ac:dyDescent="0.25">
      <c r="L44" s="49"/>
      <c r="AE44" s="33">
        <v>28</v>
      </c>
      <c r="AF44" s="33">
        <v>89.999999999999972</v>
      </c>
      <c r="AG44" s="33">
        <v>7680</v>
      </c>
      <c r="AH44" s="33">
        <v>32.000000000000007</v>
      </c>
    </row>
    <row r="45" spans="1:40" x14ac:dyDescent="0.25">
      <c r="L45" s="49"/>
      <c r="AE45" s="33">
        <v>29</v>
      </c>
      <c r="AF45" s="33">
        <v>92.999999999999972</v>
      </c>
      <c r="AG45" s="33">
        <v>8640</v>
      </c>
      <c r="AH45" s="33">
        <v>36.000000000000007</v>
      </c>
    </row>
    <row r="46" spans="1:40" x14ac:dyDescent="0.25">
      <c r="L46" s="49"/>
      <c r="AE46" s="33">
        <v>30</v>
      </c>
      <c r="AF46" s="33">
        <v>95.999999999999972</v>
      </c>
      <c r="AG46" s="33">
        <v>9600</v>
      </c>
      <c r="AH46" s="33">
        <v>40.000000000000007</v>
      </c>
    </row>
    <row r="47" spans="1:40" x14ac:dyDescent="0.25">
      <c r="L47" s="49"/>
      <c r="AE47" s="33">
        <v>31</v>
      </c>
      <c r="AF47" s="33">
        <v>99.799999999999969</v>
      </c>
      <c r="AG47" s="33">
        <v>10080</v>
      </c>
      <c r="AH47" s="33">
        <v>42.000000000000007</v>
      </c>
    </row>
    <row r="48" spans="1:40" x14ac:dyDescent="0.25">
      <c r="L48" s="49"/>
      <c r="AE48" s="33">
        <v>32</v>
      </c>
      <c r="AF48" s="33">
        <v>103.59999999999997</v>
      </c>
      <c r="AG48" s="33">
        <v>10560</v>
      </c>
      <c r="AH48" s="33">
        <v>44.000000000000007</v>
      </c>
    </row>
    <row r="49" spans="12:34" x14ac:dyDescent="0.25">
      <c r="L49" s="49"/>
      <c r="AE49" s="33">
        <v>33</v>
      </c>
      <c r="AF49" s="33">
        <v>107.39999999999996</v>
      </c>
      <c r="AG49" s="33">
        <v>11040</v>
      </c>
      <c r="AH49" s="33">
        <v>46.000000000000007</v>
      </c>
    </row>
    <row r="50" spans="12:34" x14ac:dyDescent="0.25">
      <c r="L50" s="49"/>
      <c r="AE50" s="33">
        <v>34</v>
      </c>
      <c r="AF50" s="33">
        <v>111.19999999999996</v>
      </c>
      <c r="AG50" s="33">
        <v>11520</v>
      </c>
      <c r="AH50" s="33">
        <v>48.000000000000007</v>
      </c>
    </row>
    <row r="51" spans="12:34" x14ac:dyDescent="0.25">
      <c r="L51" s="49"/>
      <c r="AE51" s="33">
        <v>35</v>
      </c>
      <c r="AF51" s="33">
        <v>114.99999999999996</v>
      </c>
      <c r="AG51" s="33">
        <v>12000</v>
      </c>
      <c r="AH51" s="33">
        <v>50.000000000000007</v>
      </c>
    </row>
    <row r="52" spans="12:34" x14ac:dyDescent="0.25">
      <c r="L52" s="49"/>
    </row>
    <row r="53" spans="12:34" x14ac:dyDescent="0.25">
      <c r="L53" s="49"/>
    </row>
    <row r="54" spans="12:34" x14ac:dyDescent="0.25">
      <c r="L54" s="49"/>
    </row>
    <row r="55" spans="12:34" x14ac:dyDescent="0.25">
      <c r="L55" s="49"/>
    </row>
    <row r="56" spans="12:34" x14ac:dyDescent="0.25">
      <c r="L56" s="49"/>
    </row>
    <row r="57" spans="12:34" x14ac:dyDescent="0.25">
      <c r="L57" s="49"/>
    </row>
    <row r="58" spans="12:34" x14ac:dyDescent="0.25">
      <c r="L58" s="49"/>
    </row>
    <row r="59" spans="12:34" x14ac:dyDescent="0.25">
      <c r="L59" s="49"/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  <row r="256" spans="12:12" x14ac:dyDescent="0.25">
      <c r="L256" s="49"/>
    </row>
    <row r="257" spans="12:12" x14ac:dyDescent="0.25">
      <c r="L257" s="49"/>
    </row>
    <row r="258" spans="12:12" x14ac:dyDescent="0.25">
      <c r="L258" s="49"/>
    </row>
  </sheetData>
  <mergeCells count="3">
    <mergeCell ref="R3:S3"/>
    <mergeCell ref="U3:V3"/>
    <mergeCell ref="AC3:AI3"/>
  </mergeCells>
  <conditionalFormatting sqref="N6 Q6 R13:AA16 AM8:AN18 Q8:Q18 N8:N18 AE6:AI6 AO8:AS12 AM6:AS6 R8:Y12 AE8:AI16">
    <cfRule type="expression" dxfId="1651" priority="62">
      <formula>$L6="API sand"</formula>
    </cfRule>
  </conditionalFormatting>
  <conditionalFormatting sqref="AJ13:AJ16 N6 AB13:AB16 AK6:AL6 AK8:AL18 N8:N18">
    <cfRule type="expression" dxfId="1650" priority="61">
      <formula>$M6="API sand"</formula>
    </cfRule>
  </conditionalFormatting>
  <conditionalFormatting sqref="AJ13:AJ16 N6 AK6:AL6 AB13:AB16 AK8:AL18 N8:N18">
    <cfRule type="expression" dxfId="1649" priority="60">
      <formula>$M6="API clay"</formula>
    </cfRule>
  </conditionalFormatting>
  <conditionalFormatting sqref="AM6:AN6 N6:P6 AM8:AN18 N8:P15">
    <cfRule type="expression" dxfId="1648" priority="57">
      <formula>$L6="Stiff clay w/o free water"</formula>
    </cfRule>
    <cfRule type="expression" dxfId="1647" priority="59">
      <formula>$L6="API clay"</formula>
    </cfRule>
  </conditionalFormatting>
  <conditionalFormatting sqref="AM6:AN6 N6:P6 AM8:AN18 N8:P15">
    <cfRule type="expression" dxfId="1646" priority="58">
      <formula>$L6="Kirsch soft clay"</formula>
    </cfRule>
  </conditionalFormatting>
  <conditionalFormatting sqref="AM6:AN6 N6:P6 AM8:AN18 N8:P15">
    <cfRule type="expression" dxfId="1645" priority="56">
      <formula>$L6="Kirsch stiff clay"</formula>
    </cfRule>
  </conditionalFormatting>
  <conditionalFormatting sqref="N6 Q6 R13:AA16 AM8:AN18 Q8:Q18 N8:N18 AE6:AI6 AO8:AS12 AM6:AS6 R8:Y12 AE8:AI16">
    <cfRule type="expression" dxfId="1644" priority="55">
      <formula>$L6="Kirsch sand"</formula>
    </cfRule>
  </conditionalFormatting>
  <conditionalFormatting sqref="N6 AC6:AD6 AM6:AN6 AC8:AD18 AM8:AN18 N8:N18">
    <cfRule type="expression" dxfId="1643" priority="54">
      <formula>$L6="Modified Weak rock"</formula>
    </cfRule>
  </conditionalFormatting>
  <conditionalFormatting sqref="AM6:AN6 N6:P6 AM8:AN18 N8:P15">
    <cfRule type="expression" dxfId="1642" priority="53">
      <formula>$L6="Reese stiff clay"</formula>
    </cfRule>
  </conditionalFormatting>
  <conditionalFormatting sqref="N19:N39 Q19:Q39 AM19:AN39">
    <cfRule type="expression" dxfId="1641" priority="52">
      <formula>$L19="API sand"</formula>
    </cfRule>
  </conditionalFormatting>
  <conditionalFormatting sqref="N19:N39 Z19:Z39 AB19:AB39 R19:S39 AJ19:AL39">
    <cfRule type="expression" dxfId="1640" priority="51">
      <formula>$M19="API sand"</formula>
    </cfRule>
  </conditionalFormatting>
  <conditionalFormatting sqref="Z19:AB39 AK19:AL39 R19:T39 N19:N39">
    <cfRule type="expression" dxfId="1639" priority="50">
      <formula>$M19="API clay"</formula>
    </cfRule>
  </conditionalFormatting>
  <conditionalFormatting sqref="U19:W39 AM19:AN39 N32:P39 N19:N31 P19:P31">
    <cfRule type="expression" dxfId="1638" priority="47">
      <formula>$L19="Stiff clay w/o free water"</formula>
    </cfRule>
    <cfRule type="expression" dxfId="1637" priority="49">
      <formula>$L19="API clay"</formula>
    </cfRule>
  </conditionalFormatting>
  <conditionalFormatting sqref="U19:Y39 AM19:AN39 N32:P39 N19:N31 P19:P31">
    <cfRule type="expression" dxfId="1636" priority="48">
      <formula>$L19="Kirsch soft clay"</formula>
    </cfRule>
  </conditionalFormatting>
  <conditionalFormatting sqref="AM19:AN39 U19:Y39 N32:P39 N19:N31 P19:P31">
    <cfRule type="expression" dxfId="1635" priority="46">
      <formula>$L19="Kirsch stiff clay"</formula>
    </cfRule>
  </conditionalFormatting>
  <conditionalFormatting sqref="N19:N39 Q19:Q39 X19:Y39 AM19:AN39">
    <cfRule type="expression" dxfId="1634" priority="45">
      <formula>$L19="Kirsch sand"</formula>
    </cfRule>
  </conditionalFormatting>
  <conditionalFormatting sqref="N19:N39 AC19:AI22 AM19:AN39 AC23:AD39 AI23:AI39">
    <cfRule type="expression" dxfId="1633" priority="44">
      <formula>$L19="Modified Weak rock"</formula>
    </cfRule>
  </conditionalFormatting>
  <conditionalFormatting sqref="U19:V39 AM19:AN39 N32:P39 N19:N31 P19:P31">
    <cfRule type="expression" dxfId="1632" priority="43">
      <formula>$L19="Reese stiff clay"</formula>
    </cfRule>
  </conditionalFormatting>
  <conditionalFormatting sqref="AC6:AD6 AM6:AN6 N6:P6 AC8:AD18 AM8:AN18 N8:P15">
    <cfRule type="expression" dxfId="1631" priority="42">
      <formula>$L6="PISA clay"</formula>
    </cfRule>
  </conditionalFormatting>
  <conditionalFormatting sqref="N6 AC6:AD6 AM6:AN6 AC8:AD18 AM8:AN18 N8:N18">
    <cfRule type="expression" dxfId="1630" priority="41">
      <formula>$L6="PISA sand"</formula>
    </cfRule>
  </conditionalFormatting>
  <conditionalFormatting sqref="R6:Y6">
    <cfRule type="expression" dxfId="1629" priority="40">
      <formula>$L6="API sand"</formula>
    </cfRule>
  </conditionalFormatting>
  <conditionalFormatting sqref="R6:Y6">
    <cfRule type="expression" dxfId="1628" priority="39">
      <formula>$L6="Kirsch sand"</formula>
    </cfRule>
  </conditionalFormatting>
  <conditionalFormatting sqref="N17:N18 N16:O16 P17:P18 O17:O21">
    <cfRule type="expression" dxfId="1627" priority="36">
      <formula>$L16="Stiff clay w/o free water"</formula>
    </cfRule>
    <cfRule type="expression" dxfId="1626" priority="38">
      <formula>$L16="API clay"</formula>
    </cfRule>
  </conditionalFormatting>
  <conditionalFormatting sqref="N17:N18 N16:O16 P17:P18 O17:O21">
    <cfRule type="expression" dxfId="1625" priority="37">
      <formula>$L16="Kirsch soft clay"</formula>
    </cfRule>
  </conditionalFormatting>
  <conditionalFormatting sqref="N17:N18 N16:O16 P17:P18 O17:O21">
    <cfRule type="expression" dxfId="1624" priority="35">
      <formula>$L16="Kirsch stiff clay"</formula>
    </cfRule>
  </conditionalFormatting>
  <conditionalFormatting sqref="N17:N18 N16:O16 P17:P18 O17:O21">
    <cfRule type="expression" dxfId="1623" priority="34">
      <formula>$L16="Reese stiff clay"</formula>
    </cfRule>
  </conditionalFormatting>
  <conditionalFormatting sqref="N17:N18 N16:O16 P17:P18 O17:O21">
    <cfRule type="expression" dxfId="1622" priority="33">
      <formula>$L16="PISA clay"</formula>
    </cfRule>
  </conditionalFormatting>
  <conditionalFormatting sqref="R17:AB18">
    <cfRule type="expression" dxfId="1621" priority="32">
      <formula>$L17="API sand"</formula>
    </cfRule>
  </conditionalFormatting>
  <conditionalFormatting sqref="R17:AB18">
    <cfRule type="expression" dxfId="1620" priority="31">
      <formula>$L17="Kirsch sand"</formula>
    </cfRule>
  </conditionalFormatting>
  <conditionalFormatting sqref="AE17:AJ18">
    <cfRule type="expression" dxfId="1619" priority="30">
      <formula>$L17="API sand"</formula>
    </cfRule>
  </conditionalFormatting>
  <conditionalFormatting sqref="AE17:AJ18">
    <cfRule type="expression" dxfId="1618" priority="29">
      <formula>$L17="Kirsch sand"</formula>
    </cfRule>
  </conditionalFormatting>
  <conditionalFormatting sqref="O22:O24">
    <cfRule type="expression" dxfId="1617" priority="28">
      <formula>$L22="API sand"</formula>
    </cfRule>
  </conditionalFormatting>
  <conditionalFormatting sqref="O22:O24">
    <cfRule type="expression" dxfId="1616" priority="27">
      <formula>$L22="Kirsch sand"</formula>
    </cfRule>
  </conditionalFormatting>
  <conditionalFormatting sqref="O25:O31">
    <cfRule type="expression" dxfId="1615" priority="26">
      <formula>$L25="API sand"</formula>
    </cfRule>
  </conditionalFormatting>
  <conditionalFormatting sqref="O25:O31">
    <cfRule type="expression" dxfId="1614" priority="25">
      <formula>$L25="Kirsch sand"</formula>
    </cfRule>
  </conditionalFormatting>
  <conditionalFormatting sqref="P16">
    <cfRule type="expression" dxfId="1613" priority="22">
      <formula>$L16="Stiff clay w/o free water"</formula>
    </cfRule>
    <cfRule type="expression" dxfId="1612" priority="24">
      <formula>$L16="API clay"</formula>
    </cfRule>
  </conditionalFormatting>
  <conditionalFormatting sqref="P16">
    <cfRule type="expression" dxfId="1611" priority="23">
      <formula>$L16="Kirsch soft clay"</formula>
    </cfRule>
  </conditionalFormatting>
  <conditionalFormatting sqref="P16">
    <cfRule type="expression" dxfId="1610" priority="21">
      <formula>$L16="Kirsch stiff clay"</formula>
    </cfRule>
  </conditionalFormatting>
  <conditionalFormatting sqref="P16">
    <cfRule type="expression" dxfId="1609" priority="20">
      <formula>$L16="Reese stiff clay"</formula>
    </cfRule>
  </conditionalFormatting>
  <conditionalFormatting sqref="P16">
    <cfRule type="expression" dxfId="1608" priority="19">
      <formula>$L16="PISA clay"</formula>
    </cfRule>
  </conditionalFormatting>
  <conditionalFormatting sqref="N7 Q7 AE7:AI7 AM7:AS7">
    <cfRule type="expression" dxfId="1607" priority="18">
      <formula>$L7="API sand"</formula>
    </cfRule>
  </conditionalFormatting>
  <conditionalFormatting sqref="N7 AK7:AL7">
    <cfRule type="expression" dxfId="1606" priority="17">
      <formula>$M7="API sand"</formula>
    </cfRule>
  </conditionalFormatting>
  <conditionalFormatting sqref="N7 AK7:AL7">
    <cfRule type="expression" dxfId="1605" priority="16">
      <formula>$M7="API clay"</formula>
    </cfRule>
  </conditionalFormatting>
  <conditionalFormatting sqref="AM7:AN7 N7:P7">
    <cfRule type="expression" dxfId="1604" priority="13">
      <formula>$L7="Stiff clay w/o free water"</formula>
    </cfRule>
    <cfRule type="expression" dxfId="1603" priority="15">
      <formula>$L7="API clay"</formula>
    </cfRule>
  </conditionalFormatting>
  <conditionalFormatting sqref="AM7:AN7 N7:P7">
    <cfRule type="expression" dxfId="1602" priority="14">
      <formula>$L7="Kirsch soft clay"</formula>
    </cfRule>
  </conditionalFormatting>
  <conditionalFormatting sqref="AM7:AN7 N7:P7">
    <cfRule type="expression" dxfId="1601" priority="12">
      <formula>$L7="Kirsch stiff clay"</formula>
    </cfRule>
  </conditionalFormatting>
  <conditionalFormatting sqref="N7 Q7 AE7:AI7 AM7:AS7">
    <cfRule type="expression" dxfId="1600" priority="11">
      <formula>$L7="Kirsch sand"</formula>
    </cfRule>
  </conditionalFormatting>
  <conditionalFormatting sqref="N7 AC7:AD7 AM7:AN7">
    <cfRule type="expression" dxfId="1599" priority="10">
      <formula>$L7="Modified Weak rock"</formula>
    </cfRule>
  </conditionalFormatting>
  <conditionalFormatting sqref="AM7:AN7 N7:P7">
    <cfRule type="expression" dxfId="1598" priority="9">
      <formula>$L7="Reese stiff clay"</formula>
    </cfRule>
  </conditionalFormatting>
  <conditionalFormatting sqref="AC7:AD7 AM7:AN7 N7:P7">
    <cfRule type="expression" dxfId="1597" priority="8">
      <formula>$L7="PISA clay"</formula>
    </cfRule>
  </conditionalFormatting>
  <conditionalFormatting sqref="N7 AC7:AD7 AM7:AN7">
    <cfRule type="expression" dxfId="1596" priority="7">
      <formula>$L7="PISA sand"</formula>
    </cfRule>
  </conditionalFormatting>
  <conditionalFormatting sqref="R7:Y7">
    <cfRule type="expression" dxfId="1595" priority="6">
      <formula>$L7="API sand"</formula>
    </cfRule>
  </conditionalFormatting>
  <conditionalFormatting sqref="R7:Y7">
    <cfRule type="expression" dxfId="1594" priority="5">
      <formula>$L7="Kirsch sand"</formula>
    </cfRule>
  </conditionalFormatting>
  <conditionalFormatting sqref="Z6:Z12 AB6:AB12">
    <cfRule type="expression" dxfId="1593" priority="4">
      <formula>$M6="API sand"</formula>
    </cfRule>
  </conditionalFormatting>
  <conditionalFormatting sqref="Z6:AB12">
    <cfRule type="expression" dxfId="1592" priority="3">
      <formula>$M6="API clay"</formula>
    </cfRule>
  </conditionalFormatting>
  <conditionalFormatting sqref="AJ6:AJ12">
    <cfRule type="expression" dxfId="1591" priority="2">
      <formula>$L6="API sand"</formula>
    </cfRule>
  </conditionalFormatting>
  <conditionalFormatting sqref="AJ6:AJ12">
    <cfRule type="expression" dxfId="1590" priority="1">
      <formula>$L6="Kirsch sand"</formula>
    </cfRule>
  </conditionalFormatting>
  <dataValidations count="3">
    <dataValidation type="list" showInputMessage="1" showErrorMessage="1" sqref="L18:L258" xr:uid="{62710B19-893A-4695-8D31-C739DF4DE7E4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8" xr:uid="{B4D537B5-06D2-47BD-A9FB-43AB3AE79265}">
      <formula1>"Zero soil,API sand,API clay"</formula1>
    </dataValidation>
    <dataValidation type="list" showInputMessage="1" showErrorMessage="1" sqref="M19:M39" xr:uid="{471921EE-4E36-4E8A-8ABD-8A2DFA4C3D89}">
      <formula1>"',API sand,API clay"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BE07B-D136-44F4-97C3-90F42C07A440}">
  <sheetPr>
    <tabColor rgb="FFFFC000"/>
  </sheetPr>
  <dimension ref="A1:AS258"/>
  <sheetViews>
    <sheetView topLeftCell="C1" zoomScaleNormal="100" workbookViewId="0">
      <selection activeCell="H19" sqref="H19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9.5703125" style="33" bestFit="1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6.5703125" style="33" bestFit="1" customWidth="1"/>
    <col min="16" max="16" width="8.5703125" style="33" bestFit="1" customWidth="1"/>
    <col min="17" max="18" width="9.5703125" style="33" bestFit="1" customWidth="1"/>
    <col min="19" max="19" width="4" style="33" bestFit="1" customWidth="1"/>
    <col min="20" max="20" width="5.5703125" style="33" bestFit="1" customWidth="1"/>
    <col min="21" max="21" width="9.5703125" style="33" bestFit="1" customWidth="1"/>
    <col min="22" max="22" width="15.28515625" style="33" bestFit="1" customWidth="1"/>
    <col min="23" max="23" width="4" style="33" bestFit="1" customWidth="1"/>
    <col min="24" max="24" width="7" style="33" bestFit="1" customWidth="1"/>
    <col min="25" max="25" width="8.42578125" style="33" bestFit="1" customWidth="1"/>
    <col min="26" max="26" width="9.7109375" style="33" bestFit="1" customWidth="1"/>
    <col min="27" max="27" width="11" style="33" bestFit="1" customWidth="1"/>
    <col min="28" max="28" width="8.5703125" style="33" bestFit="1" customWidth="1"/>
    <col min="29" max="29" width="14.85546875" style="33" customWidth="1"/>
    <col min="30" max="30" width="8.85546875" style="33" bestFit="1" customWidth="1"/>
    <col min="31" max="31" width="7.85546875" style="33" bestFit="1" customWidth="1"/>
    <col min="32" max="32" width="5.5703125" style="33" bestFit="1" customWidth="1"/>
    <col min="33" max="33" width="11" style="33" bestFit="1" customWidth="1"/>
    <col min="34" max="34" width="5.42578125" style="33" bestFit="1" customWidth="1"/>
    <col min="35" max="35" width="4.85546875" style="33" bestFit="1" customWidth="1"/>
    <col min="36" max="36" width="3.5703125" style="33" bestFit="1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16384" width="9.140625" style="33"/>
  </cols>
  <sheetData>
    <row r="1" spans="1:45" x14ac:dyDescent="0.25">
      <c r="A1" s="34" t="str">
        <f ca="1">TRIM(MID(CELL("filename",A1),FIND("]",CELL("filename",A1),1)+1,255))</f>
        <v>EW2 zone 4 LB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06"/>
      <c r="R3" s="155"/>
      <c r="S3" s="155"/>
      <c r="T3" s="106"/>
      <c r="U3" s="155"/>
      <c r="V3" s="155"/>
      <c r="W3" s="106"/>
      <c r="X3" s="106"/>
      <c r="Y3" s="106"/>
      <c r="Z3" s="106"/>
      <c r="AA3" s="106"/>
      <c r="AB3" s="106"/>
      <c r="AC3" s="156"/>
      <c r="AD3" s="156"/>
      <c r="AE3" s="156"/>
      <c r="AF3" s="156"/>
      <c r="AG3" s="156"/>
      <c r="AH3" s="156"/>
      <c r="AI3" s="156"/>
      <c r="AJ3" s="106"/>
      <c r="AK3" s="106"/>
      <c r="AL3" s="106"/>
      <c r="AM3" s="106"/>
      <c r="AN3" s="106"/>
    </row>
    <row r="4" spans="1:45" x14ac:dyDescent="0.25">
      <c r="A4" s="40" t="s">
        <v>60</v>
      </c>
      <c r="B4" s="33">
        <f>COUNTIF(J:J,"&gt;0")</f>
        <v>7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282</v>
      </c>
      <c r="AP4" s="43" t="s">
        <v>283</v>
      </c>
      <c r="AQ4" s="43" t="s">
        <v>284</v>
      </c>
      <c r="AR4" s="43" t="s">
        <v>285</v>
      </c>
      <c r="AS4" s="43" t="s">
        <v>286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07" t="s">
        <v>38</v>
      </c>
      <c r="K5" s="107" t="s">
        <v>30</v>
      </c>
      <c r="L5" s="107" t="s">
        <v>31</v>
      </c>
      <c r="M5" s="107" t="s">
        <v>31</v>
      </c>
      <c r="N5" s="107" t="s">
        <v>32</v>
      </c>
      <c r="O5" s="107" t="s">
        <v>33</v>
      </c>
      <c r="P5" s="107" t="s">
        <v>35</v>
      </c>
      <c r="Q5" s="107" t="s">
        <v>36</v>
      </c>
      <c r="R5" s="107" t="s">
        <v>36</v>
      </c>
      <c r="S5" s="107" t="s">
        <v>34</v>
      </c>
      <c r="T5" s="107" t="s">
        <v>33</v>
      </c>
      <c r="U5" s="107" t="s">
        <v>34</v>
      </c>
      <c r="V5" s="107" t="s">
        <v>62</v>
      </c>
      <c r="W5" s="107" t="s">
        <v>34</v>
      </c>
      <c r="X5" s="107" t="s">
        <v>33</v>
      </c>
      <c r="Y5" s="107" t="s">
        <v>35</v>
      </c>
      <c r="Z5" s="107" t="s">
        <v>33</v>
      </c>
      <c r="AA5" s="107" t="s">
        <v>34</v>
      </c>
      <c r="AB5" s="107" t="s">
        <v>33</v>
      </c>
      <c r="AC5" s="107" t="s">
        <v>33</v>
      </c>
      <c r="AD5" s="107" t="s">
        <v>35</v>
      </c>
      <c r="AE5" s="107" t="s">
        <v>34</v>
      </c>
      <c r="AF5" s="107" t="s">
        <v>33</v>
      </c>
      <c r="AG5" s="107" t="s">
        <v>35</v>
      </c>
      <c r="AH5" s="107" t="s">
        <v>34</v>
      </c>
      <c r="AI5" s="107" t="s">
        <v>34</v>
      </c>
      <c r="AJ5" s="107" t="s">
        <v>34</v>
      </c>
      <c r="AK5" s="107" t="s">
        <v>34</v>
      </c>
      <c r="AL5" s="107" t="s">
        <v>34</v>
      </c>
      <c r="AM5" s="107" t="s">
        <v>34</v>
      </c>
      <c r="AN5" s="107" t="s">
        <v>34</v>
      </c>
      <c r="AO5" s="107" t="s">
        <v>34</v>
      </c>
      <c r="AP5" s="107" t="s">
        <v>33</v>
      </c>
      <c r="AQ5" s="107" t="s">
        <v>34</v>
      </c>
      <c r="AR5" s="107" t="s">
        <v>34</v>
      </c>
    </row>
    <row r="6" spans="1:45" x14ac:dyDescent="0.25">
      <c r="C6" s="45"/>
      <c r="F6" s="33" t="s">
        <v>67</v>
      </c>
      <c r="G6" s="57">
        <v>0</v>
      </c>
      <c r="H6" s="45" t="s">
        <v>28</v>
      </c>
      <c r="J6" s="47">
        <v>1</v>
      </c>
      <c r="K6" s="63">
        <v>0</v>
      </c>
      <c r="L6" s="33" t="s">
        <v>112</v>
      </c>
      <c r="M6" s="49" t="s">
        <v>64</v>
      </c>
      <c r="N6" s="47">
        <v>8.1000000000000014</v>
      </c>
      <c r="O6" s="63">
        <v>0</v>
      </c>
      <c r="P6" s="63">
        <v>0</v>
      </c>
      <c r="Q6" s="47">
        <v>44</v>
      </c>
      <c r="R6" s="47">
        <f>Q6-5</f>
        <v>39</v>
      </c>
      <c r="S6" s="47">
        <v>1.5</v>
      </c>
      <c r="T6" s="47">
        <v>0</v>
      </c>
      <c r="U6" s="47">
        <v>0</v>
      </c>
      <c r="V6" s="47">
        <v>0</v>
      </c>
      <c r="W6" s="47">
        <v>0.5</v>
      </c>
      <c r="X6" s="81">
        <v>2000</v>
      </c>
      <c r="Y6" s="81">
        <v>0</v>
      </c>
      <c r="Z6" s="108">
        <f t="shared" ref="Z6:Z12" si="0">VLOOKUP(R6,$AE$31:$AF$51,2)</f>
        <v>114.99999999999996</v>
      </c>
      <c r="AA6" s="108">
        <v>1</v>
      </c>
      <c r="AB6" s="108">
        <f t="shared" ref="AB6:AB12" si="1">VLOOKUP(R6,$AE$31:$AG$51,3)</f>
        <v>12000</v>
      </c>
      <c r="AC6" s="47">
        <v>20000</v>
      </c>
      <c r="AD6" s="47">
        <v>0</v>
      </c>
      <c r="AE6" s="81">
        <v>0.3</v>
      </c>
      <c r="AF6" s="47">
        <v>0</v>
      </c>
      <c r="AG6" s="47">
        <v>0</v>
      </c>
      <c r="AH6" s="47">
        <v>0</v>
      </c>
      <c r="AI6" s="47">
        <v>0</v>
      </c>
      <c r="AJ6" s="47">
        <f>VLOOKUP(R6,$AE$39:$AH$59,4)</f>
        <v>50.000000000000007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/>
      <c r="J7" s="47">
        <v>2</v>
      </c>
      <c r="K7" s="63">
        <v>-1</v>
      </c>
      <c r="L7" s="33" t="s">
        <v>112</v>
      </c>
      <c r="M7" s="49" t="s">
        <v>64</v>
      </c>
      <c r="N7" s="47">
        <v>8.1000000000000014</v>
      </c>
      <c r="O7" s="63">
        <v>0</v>
      </c>
      <c r="P7" s="63">
        <v>0</v>
      </c>
      <c r="Q7" s="47">
        <v>44</v>
      </c>
      <c r="R7" s="47">
        <f>Q7-5</f>
        <v>39</v>
      </c>
      <c r="S7" s="47">
        <v>1.5</v>
      </c>
      <c r="T7" s="47">
        <v>0</v>
      </c>
      <c r="U7" s="47">
        <v>0</v>
      </c>
      <c r="V7" s="47">
        <v>0</v>
      </c>
      <c r="W7" s="47">
        <v>0.5</v>
      </c>
      <c r="X7" s="81">
        <v>30000</v>
      </c>
      <c r="Y7" s="81">
        <v>0</v>
      </c>
      <c r="Z7" s="108">
        <f t="shared" si="0"/>
        <v>114.99999999999996</v>
      </c>
      <c r="AA7" s="108">
        <v>1</v>
      </c>
      <c r="AB7" s="108">
        <f t="shared" si="1"/>
        <v>12000</v>
      </c>
      <c r="AC7" s="47">
        <v>20000</v>
      </c>
      <c r="AD7" s="47">
        <v>0</v>
      </c>
      <c r="AE7" s="81">
        <v>0.3</v>
      </c>
      <c r="AF7" s="47">
        <v>0</v>
      </c>
      <c r="AG7" s="47">
        <v>0</v>
      </c>
      <c r="AH7" s="47">
        <v>0</v>
      </c>
      <c r="AI7" s="47">
        <v>0</v>
      </c>
      <c r="AJ7" s="47">
        <f t="shared" ref="AJ7:AJ12" si="2">VLOOKUP(R7,$AE$39:$AH$59,4)</f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0</v>
      </c>
      <c r="AP7" s="47">
        <v>0</v>
      </c>
      <c r="AQ7" s="47">
        <v>0</v>
      </c>
      <c r="AR7" s="47">
        <v>0</v>
      </c>
      <c r="AS7" s="47">
        <v>0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59">
        <v>1000</v>
      </c>
      <c r="H8" s="45" t="s">
        <v>53</v>
      </c>
      <c r="J8" s="47">
        <v>3</v>
      </c>
      <c r="K8" s="63">
        <v>-2.5</v>
      </c>
      <c r="L8" s="33" t="s">
        <v>112</v>
      </c>
      <c r="M8" s="49" t="s">
        <v>64</v>
      </c>
      <c r="N8" s="47">
        <v>8.8999999999999986</v>
      </c>
      <c r="O8" s="63">
        <v>0</v>
      </c>
      <c r="P8" s="63">
        <v>0</v>
      </c>
      <c r="Q8" s="47">
        <v>40</v>
      </c>
      <c r="R8" s="47">
        <f>Q8-5</f>
        <v>35</v>
      </c>
      <c r="S8" s="47">
        <v>1.3</v>
      </c>
      <c r="T8" s="47">
        <v>0</v>
      </c>
      <c r="U8" s="47">
        <v>0</v>
      </c>
      <c r="V8" s="47">
        <v>0</v>
      </c>
      <c r="W8" s="47">
        <v>0.5</v>
      </c>
      <c r="X8" s="81">
        <v>30000</v>
      </c>
      <c r="Y8" s="81">
        <v>5294.1176470588234</v>
      </c>
      <c r="Z8" s="108">
        <f t="shared" si="0"/>
        <v>114.99999999999996</v>
      </c>
      <c r="AA8" s="108">
        <v>1</v>
      </c>
      <c r="AB8" s="108">
        <f t="shared" si="1"/>
        <v>12000</v>
      </c>
      <c r="AC8" s="47">
        <v>10000</v>
      </c>
      <c r="AD8" s="47">
        <v>10588.235294117647</v>
      </c>
      <c r="AE8" s="81">
        <v>0.3</v>
      </c>
      <c r="AF8" s="47">
        <v>0</v>
      </c>
      <c r="AG8" s="47">
        <v>0</v>
      </c>
      <c r="AH8" s="47">
        <v>0</v>
      </c>
      <c r="AI8" s="47">
        <v>0</v>
      </c>
      <c r="AJ8" s="47">
        <f t="shared" si="2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</row>
    <row r="9" spans="1:45" x14ac:dyDescent="0.25">
      <c r="A9" s="33" t="s">
        <v>68</v>
      </c>
      <c r="B9" s="57">
        <v>70</v>
      </c>
      <c r="C9" s="45" t="s">
        <v>28</v>
      </c>
      <c r="F9" s="33" t="s">
        <v>96</v>
      </c>
      <c r="G9" s="59">
        <v>-20000</v>
      </c>
      <c r="H9" s="45" t="s">
        <v>54</v>
      </c>
      <c r="J9" s="47">
        <v>4</v>
      </c>
      <c r="K9" s="63">
        <v>-11</v>
      </c>
      <c r="L9" s="33" t="s">
        <v>112</v>
      </c>
      <c r="M9" s="49" t="s">
        <v>64</v>
      </c>
      <c r="N9" s="47">
        <v>8.8999999999999986</v>
      </c>
      <c r="O9" s="63">
        <v>0</v>
      </c>
      <c r="P9" s="63">
        <v>0</v>
      </c>
      <c r="Q9" s="47">
        <v>30</v>
      </c>
      <c r="R9" s="47">
        <f t="shared" ref="R9:R12" si="3">Q9-5</f>
        <v>25</v>
      </c>
      <c r="S9" s="47">
        <v>0.6</v>
      </c>
      <c r="T9" s="47">
        <v>0</v>
      </c>
      <c r="U9" s="47">
        <v>0</v>
      </c>
      <c r="V9" s="47">
        <v>0</v>
      </c>
      <c r="W9" s="47">
        <v>0.5</v>
      </c>
      <c r="X9" s="81">
        <v>8000</v>
      </c>
      <c r="Y9" s="81">
        <v>0</v>
      </c>
      <c r="Z9" s="108">
        <f t="shared" si="0"/>
        <v>80.999999999999972</v>
      </c>
      <c r="AA9" s="108">
        <v>1</v>
      </c>
      <c r="AB9" s="108">
        <f t="shared" si="1"/>
        <v>4800</v>
      </c>
      <c r="AC9" s="47">
        <v>10000</v>
      </c>
      <c r="AD9" s="47">
        <v>0</v>
      </c>
      <c r="AE9" s="81">
        <v>0.3</v>
      </c>
      <c r="AF9" s="47">
        <v>0</v>
      </c>
      <c r="AG9" s="47">
        <v>0</v>
      </c>
      <c r="AH9" s="47">
        <v>0</v>
      </c>
      <c r="AI9" s="47">
        <v>0</v>
      </c>
      <c r="AJ9" s="47">
        <f t="shared" si="2"/>
        <v>20.000000000000007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0</v>
      </c>
      <c r="AP9" s="47">
        <v>0</v>
      </c>
      <c r="AQ9" s="47">
        <v>0</v>
      </c>
      <c r="AR9" s="47">
        <v>0</v>
      </c>
      <c r="AS9" s="47">
        <v>0</v>
      </c>
    </row>
    <row r="10" spans="1:45" s="56" customFormat="1" x14ac:dyDescent="0.25">
      <c r="A10" s="56" t="s">
        <v>69</v>
      </c>
      <c r="B10" s="58">
        <v>70</v>
      </c>
      <c r="C10" s="45" t="s">
        <v>28</v>
      </c>
      <c r="F10" s="33" t="s">
        <v>51</v>
      </c>
      <c r="G10" s="59">
        <v>1000</v>
      </c>
      <c r="H10" s="45" t="s">
        <v>53</v>
      </c>
      <c r="I10" s="33"/>
      <c r="J10" s="47">
        <v>5</v>
      </c>
      <c r="K10" s="63">
        <v>-15.7</v>
      </c>
      <c r="L10" s="33" t="s">
        <v>112</v>
      </c>
      <c r="M10" s="49" t="s">
        <v>64</v>
      </c>
      <c r="N10" s="47">
        <v>8.3000000000000007</v>
      </c>
      <c r="O10" s="63">
        <v>0</v>
      </c>
      <c r="P10" s="63">
        <v>0</v>
      </c>
      <c r="Q10" s="47">
        <v>42</v>
      </c>
      <c r="R10" s="47">
        <f t="shared" si="3"/>
        <v>37</v>
      </c>
      <c r="S10" s="47">
        <v>1</v>
      </c>
      <c r="T10" s="47">
        <v>0</v>
      </c>
      <c r="U10" s="47">
        <v>0</v>
      </c>
      <c r="V10" s="47">
        <v>0</v>
      </c>
      <c r="W10" s="47">
        <v>0.5</v>
      </c>
      <c r="X10" s="81">
        <v>75000</v>
      </c>
      <c r="Y10" s="81">
        <v>0</v>
      </c>
      <c r="Z10" s="108">
        <f t="shared" si="0"/>
        <v>114.99999999999996</v>
      </c>
      <c r="AA10" s="108">
        <v>1</v>
      </c>
      <c r="AB10" s="108">
        <f t="shared" si="1"/>
        <v>12000</v>
      </c>
      <c r="AC10" s="47">
        <v>50000</v>
      </c>
      <c r="AD10" s="47">
        <v>0</v>
      </c>
      <c r="AE10" s="81">
        <v>0.3</v>
      </c>
      <c r="AF10" s="47">
        <v>0</v>
      </c>
      <c r="AG10" s="47">
        <v>0</v>
      </c>
      <c r="AH10" s="47">
        <v>0</v>
      </c>
      <c r="AI10" s="47">
        <v>0</v>
      </c>
      <c r="AJ10" s="47">
        <f t="shared" si="2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59">
        <v>0</v>
      </c>
      <c r="H11" s="45" t="s">
        <v>53</v>
      </c>
      <c r="J11" s="47">
        <v>6</v>
      </c>
      <c r="K11" s="63">
        <v>-20.2</v>
      </c>
      <c r="L11" s="33" t="s">
        <v>112</v>
      </c>
      <c r="M11" s="49" t="s">
        <v>64</v>
      </c>
      <c r="N11" s="47">
        <v>9.3000000000000007</v>
      </c>
      <c r="O11" s="63">
        <v>0</v>
      </c>
      <c r="P11" s="63">
        <v>0</v>
      </c>
      <c r="Q11" s="47">
        <v>36</v>
      </c>
      <c r="R11" s="47">
        <f t="shared" si="3"/>
        <v>31</v>
      </c>
      <c r="S11" s="47">
        <v>0.7</v>
      </c>
      <c r="T11" s="47">
        <v>0</v>
      </c>
      <c r="U11" s="47">
        <v>0</v>
      </c>
      <c r="V11" s="47">
        <v>0</v>
      </c>
      <c r="W11" s="47">
        <v>0.5</v>
      </c>
      <c r="X11" s="81">
        <v>50000</v>
      </c>
      <c r="Y11" s="81">
        <v>0</v>
      </c>
      <c r="Z11" s="108">
        <f t="shared" si="0"/>
        <v>99.799999999999969</v>
      </c>
      <c r="AA11" s="108">
        <v>1</v>
      </c>
      <c r="AB11" s="108">
        <f t="shared" si="1"/>
        <v>10080</v>
      </c>
      <c r="AC11" s="47">
        <v>110000</v>
      </c>
      <c r="AD11" s="47">
        <v>0</v>
      </c>
      <c r="AE11" s="81">
        <v>0.3</v>
      </c>
      <c r="AF11" s="47">
        <v>0</v>
      </c>
      <c r="AG11" s="47">
        <v>0</v>
      </c>
      <c r="AH11" s="47">
        <v>0</v>
      </c>
      <c r="AI11" s="47">
        <v>0</v>
      </c>
      <c r="AJ11" s="47">
        <f t="shared" si="2"/>
        <v>42.000000000000007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0</v>
      </c>
      <c r="AP11" s="47">
        <v>0</v>
      </c>
      <c r="AQ11" s="47">
        <v>0</v>
      </c>
      <c r="AR11" s="47">
        <v>0</v>
      </c>
      <c r="AS11" s="47">
        <v>0</v>
      </c>
    </row>
    <row r="12" spans="1:45" x14ac:dyDescent="0.25">
      <c r="A12" s="33" t="s">
        <v>74</v>
      </c>
      <c r="B12" s="57">
        <v>8.4</v>
      </c>
      <c r="C12" s="45" t="s">
        <v>28</v>
      </c>
      <c r="E12" s="59"/>
      <c r="F12" s="56" t="s">
        <v>97</v>
      </c>
      <c r="G12" s="58">
        <v>0</v>
      </c>
      <c r="H12" s="45" t="s">
        <v>53</v>
      </c>
      <c r="I12" s="56"/>
      <c r="J12" s="47">
        <v>7</v>
      </c>
      <c r="K12" s="63">
        <v>-22.8</v>
      </c>
      <c r="L12" s="33" t="s">
        <v>112</v>
      </c>
      <c r="M12" s="49" t="s">
        <v>64</v>
      </c>
      <c r="N12" s="47">
        <v>9.8999999999999986</v>
      </c>
      <c r="O12" s="63">
        <v>0</v>
      </c>
      <c r="P12" s="63">
        <v>0</v>
      </c>
      <c r="Q12" s="47">
        <v>36</v>
      </c>
      <c r="R12" s="47">
        <f t="shared" si="3"/>
        <v>31</v>
      </c>
      <c r="S12" s="47">
        <v>1</v>
      </c>
      <c r="T12" s="47">
        <v>0</v>
      </c>
      <c r="U12" s="47">
        <v>0</v>
      </c>
      <c r="V12" s="47">
        <v>0</v>
      </c>
      <c r="W12" s="47">
        <v>0.5</v>
      </c>
      <c r="X12" s="81">
        <v>100000</v>
      </c>
      <c r="Y12" s="81">
        <v>0</v>
      </c>
      <c r="Z12" s="108">
        <f t="shared" si="0"/>
        <v>99.799999999999969</v>
      </c>
      <c r="AA12" s="108">
        <v>1</v>
      </c>
      <c r="AB12" s="108">
        <f t="shared" si="1"/>
        <v>10080</v>
      </c>
      <c r="AC12" s="47">
        <v>140000</v>
      </c>
      <c r="AD12" s="47">
        <v>0</v>
      </c>
      <c r="AE12" s="81">
        <v>0.3</v>
      </c>
      <c r="AF12" s="47">
        <v>0</v>
      </c>
      <c r="AG12" s="47">
        <v>0</v>
      </c>
      <c r="AH12" s="47">
        <v>0</v>
      </c>
      <c r="AI12" s="47">
        <v>0</v>
      </c>
      <c r="AJ12" s="47">
        <f t="shared" si="2"/>
        <v>42.000000000000007</v>
      </c>
      <c r="AK12" s="47">
        <v>1</v>
      </c>
      <c r="AL12" s="47">
        <v>1</v>
      </c>
      <c r="AM12" s="47">
        <v>1</v>
      </c>
      <c r="AN12" s="47">
        <v>1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J13" s="47"/>
      <c r="K13" s="63"/>
      <c r="L13" s="49"/>
      <c r="M13" s="49"/>
      <c r="N13" s="47"/>
      <c r="O13" s="63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J14" s="47"/>
      <c r="K14" s="63"/>
      <c r="L14" s="49"/>
      <c r="M14" s="49"/>
      <c r="N14" s="47"/>
      <c r="O14" s="63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</row>
    <row r="15" spans="1:45" s="56" customFormat="1" x14ac:dyDescent="0.25">
      <c r="A15" s="33" t="s">
        <v>44</v>
      </c>
      <c r="B15" s="61">
        <v>207000000</v>
      </c>
      <c r="C15" s="45" t="s">
        <v>47</v>
      </c>
      <c r="D15" s="33"/>
      <c r="E15" s="33"/>
      <c r="F15" s="33"/>
      <c r="G15" s="33"/>
      <c r="J15" s="47"/>
      <c r="K15" s="63"/>
      <c r="L15" s="49"/>
      <c r="M15" s="49"/>
      <c r="N15" s="47"/>
      <c r="O15" s="63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J16" s="47"/>
      <c r="K16" s="63"/>
      <c r="L16" s="49"/>
      <c r="M16" s="49"/>
      <c r="N16" s="47"/>
      <c r="O16" s="63"/>
      <c r="P16" s="63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</row>
    <row r="17" spans="1:40" x14ac:dyDescent="0.25">
      <c r="A17" s="33" t="s">
        <v>98</v>
      </c>
      <c r="B17" s="57">
        <v>0.53</v>
      </c>
      <c r="C17" s="45"/>
      <c r="D17" s="107"/>
      <c r="E17" s="107"/>
      <c r="F17" s="56"/>
      <c r="G17" s="56"/>
      <c r="J17" s="47"/>
      <c r="K17" s="63"/>
      <c r="L17" s="49"/>
      <c r="M17" s="49"/>
      <c r="N17" s="47"/>
      <c r="O17" s="63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</row>
    <row r="18" spans="1:40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56"/>
      <c r="J18" s="47"/>
      <c r="K18" s="63"/>
      <c r="L18" s="49"/>
      <c r="M18" s="49"/>
      <c r="N18" s="47"/>
      <c r="O18" s="63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</row>
    <row r="19" spans="1:40" s="56" customFormat="1" x14ac:dyDescent="0.25">
      <c r="A19" s="107" t="s">
        <v>38</v>
      </c>
      <c r="B19" s="107" t="s">
        <v>30</v>
      </c>
      <c r="C19" s="107" t="s">
        <v>59</v>
      </c>
      <c r="D19" s="43"/>
      <c r="E19" s="35"/>
      <c r="F19" s="33"/>
      <c r="G19" s="33"/>
      <c r="J19" s="47"/>
      <c r="K19" s="63"/>
      <c r="L19" s="49"/>
      <c r="M19" s="49" t="s">
        <v>94</v>
      </c>
      <c r="N19" s="47"/>
      <c r="O19" s="63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</row>
    <row r="20" spans="1:40" x14ac:dyDescent="0.25">
      <c r="A20" s="66">
        <v>1</v>
      </c>
      <c r="B20" s="66">
        <v>0</v>
      </c>
      <c r="C20" s="66">
        <v>9.0999999999999998E-2</v>
      </c>
      <c r="D20" s="43"/>
      <c r="J20" s="47"/>
      <c r="K20" s="63"/>
      <c r="L20" s="49"/>
      <c r="M20" s="49" t="s">
        <v>94</v>
      </c>
      <c r="N20" s="47"/>
      <c r="O20" s="63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</row>
    <row r="21" spans="1:40" x14ac:dyDescent="0.25">
      <c r="A21" s="66"/>
      <c r="B21" s="66"/>
      <c r="C21" s="66"/>
      <c r="D21" s="43"/>
      <c r="K21" s="79"/>
      <c r="L21" s="49"/>
      <c r="M21" s="49" t="s">
        <v>94</v>
      </c>
      <c r="N21" s="47"/>
      <c r="O21" s="63"/>
      <c r="P21" s="47"/>
      <c r="Q21" s="47"/>
      <c r="R21" s="64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</row>
    <row r="22" spans="1:40" x14ac:dyDescent="0.25">
      <c r="A22" s="47"/>
      <c r="B22" s="47"/>
      <c r="C22" s="47"/>
      <c r="D22" s="35"/>
      <c r="K22" s="79"/>
      <c r="L22" s="49"/>
      <c r="M22" s="49" t="s">
        <v>94</v>
      </c>
      <c r="N22" s="47"/>
      <c r="O22" s="47"/>
      <c r="P22" s="47"/>
      <c r="Q22" s="47"/>
      <c r="R22" s="64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</row>
    <row r="23" spans="1:40" x14ac:dyDescent="0.25">
      <c r="A23" s="47"/>
      <c r="B23" s="47"/>
      <c r="C23" s="47"/>
      <c r="D23" s="35"/>
      <c r="K23" s="79"/>
      <c r="L23" s="49"/>
      <c r="M23" s="49" t="s">
        <v>94</v>
      </c>
      <c r="N23" s="47"/>
      <c r="O23" s="47"/>
      <c r="P23" s="47"/>
      <c r="Q23" s="47"/>
      <c r="R23" s="64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I23" s="47"/>
      <c r="AJ23" s="47"/>
      <c r="AK23" s="47"/>
      <c r="AL23" s="47"/>
      <c r="AM23" s="47"/>
      <c r="AN23" s="47"/>
    </row>
    <row r="24" spans="1:40" x14ac:dyDescent="0.25">
      <c r="A24" s="43"/>
      <c r="B24" s="43"/>
      <c r="C24" s="43"/>
      <c r="D24" s="43"/>
      <c r="K24" s="79"/>
      <c r="L24" s="49"/>
      <c r="M24" s="49" t="s">
        <v>94</v>
      </c>
      <c r="N24" s="47"/>
      <c r="O24" s="47"/>
      <c r="P24" s="47"/>
      <c r="Q24" s="47"/>
      <c r="R24" s="64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I24" s="47"/>
      <c r="AJ24" s="47"/>
      <c r="AK24" s="47"/>
      <c r="AL24" s="47"/>
      <c r="AM24" s="47"/>
      <c r="AN24" s="47"/>
    </row>
    <row r="25" spans="1:40" x14ac:dyDescent="0.25">
      <c r="A25" s="47"/>
      <c r="B25" s="47"/>
      <c r="C25" s="47"/>
      <c r="D25" s="35"/>
      <c r="K25" s="79"/>
      <c r="L25" s="49"/>
      <c r="M25" s="49" t="s">
        <v>94</v>
      </c>
      <c r="N25" s="47"/>
      <c r="O25" s="47"/>
      <c r="P25" s="47"/>
      <c r="Q25" s="47"/>
      <c r="R25" s="64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I25" s="47"/>
      <c r="AJ25" s="47"/>
      <c r="AK25" s="47"/>
      <c r="AL25" s="47"/>
      <c r="AM25" s="47"/>
      <c r="AN25" s="47"/>
    </row>
    <row r="26" spans="1:40" x14ac:dyDescent="0.25">
      <c r="A26" s="43"/>
      <c r="B26" s="43"/>
      <c r="C26" s="43"/>
      <c r="D26" s="43"/>
      <c r="K26" s="79"/>
      <c r="L26" s="49"/>
      <c r="M26" s="49" t="s">
        <v>94</v>
      </c>
      <c r="N26" s="47"/>
      <c r="O26" s="47"/>
      <c r="P26" s="47"/>
      <c r="Q26" s="47"/>
      <c r="R26" s="64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I26" s="47"/>
      <c r="AJ26" s="47"/>
      <c r="AK26" s="47"/>
      <c r="AL26" s="47"/>
      <c r="AM26" s="47"/>
      <c r="AN26" s="47"/>
    </row>
    <row r="27" spans="1:40" x14ac:dyDescent="0.25">
      <c r="A27" s="43"/>
      <c r="B27" s="43"/>
      <c r="C27" s="43"/>
      <c r="D27" s="43"/>
      <c r="L27" s="49"/>
      <c r="M27" s="49" t="s">
        <v>94</v>
      </c>
      <c r="N27" s="47"/>
      <c r="O27" s="47"/>
      <c r="P27" s="47"/>
      <c r="Q27" s="47"/>
      <c r="R27" s="64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I27" s="47"/>
      <c r="AJ27" s="47"/>
      <c r="AK27" s="47"/>
      <c r="AL27" s="47"/>
      <c r="AM27" s="47"/>
      <c r="AN27" s="47"/>
    </row>
    <row r="28" spans="1:40" x14ac:dyDescent="0.25">
      <c r="A28" s="43"/>
      <c r="B28" s="43"/>
      <c r="C28" s="43"/>
      <c r="D28" s="43"/>
      <c r="L28" s="49"/>
      <c r="M28" s="49" t="s">
        <v>94</v>
      </c>
      <c r="N28" s="47"/>
      <c r="O28" s="47"/>
      <c r="P28" s="47"/>
      <c r="Q28" s="47"/>
      <c r="R28" s="64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I28" s="47"/>
      <c r="AJ28" s="47"/>
      <c r="AK28" s="47"/>
      <c r="AL28" s="47"/>
      <c r="AM28" s="47"/>
      <c r="AN28" s="47"/>
    </row>
    <row r="29" spans="1:40" x14ac:dyDescent="0.25">
      <c r="A29" s="43"/>
      <c r="B29" s="43"/>
      <c r="C29" s="43"/>
      <c r="D29" s="43"/>
      <c r="L29" s="49"/>
      <c r="M29" s="49" t="s">
        <v>94</v>
      </c>
      <c r="N29" s="47"/>
      <c r="O29" s="47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</row>
    <row r="30" spans="1:40" x14ac:dyDescent="0.25">
      <c r="A30" s="43"/>
      <c r="B30" s="43"/>
      <c r="C30" s="43"/>
      <c r="D30" s="43"/>
      <c r="L30" s="49"/>
      <c r="M30" s="49" t="s">
        <v>94</v>
      </c>
      <c r="N30" s="47"/>
      <c r="O30" s="47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33" t="s">
        <v>99</v>
      </c>
      <c r="AF30" s="33" t="s">
        <v>100</v>
      </c>
      <c r="AG30" s="33" t="s">
        <v>101</v>
      </c>
      <c r="AI30" s="47"/>
      <c r="AJ30" s="47"/>
      <c r="AK30" s="47"/>
      <c r="AL30" s="47"/>
      <c r="AM30" s="47"/>
      <c r="AN30" s="47"/>
    </row>
    <row r="31" spans="1:40" x14ac:dyDescent="0.25">
      <c r="A31" s="43"/>
      <c r="B31" s="43"/>
      <c r="C31" s="43"/>
      <c r="D31" s="43"/>
      <c r="L31" s="49"/>
      <c r="M31" s="49" t="s">
        <v>94</v>
      </c>
      <c r="N31" s="47"/>
      <c r="O31" s="47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33">
        <v>15</v>
      </c>
      <c r="AF31" s="33">
        <v>48</v>
      </c>
      <c r="AG31" s="33">
        <v>1900</v>
      </c>
      <c r="AH31" s="33">
        <v>8</v>
      </c>
      <c r="AI31" s="47"/>
      <c r="AJ31" s="47"/>
      <c r="AK31" s="47"/>
      <c r="AL31" s="47"/>
      <c r="AM31" s="47"/>
      <c r="AN31" s="47"/>
    </row>
    <row r="32" spans="1:40" x14ac:dyDescent="0.25">
      <c r="A32" s="43"/>
      <c r="B32" s="43"/>
      <c r="C32" s="43"/>
      <c r="D32" s="43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33">
        <v>16</v>
      </c>
      <c r="AF32" s="33">
        <v>51.8</v>
      </c>
      <c r="AG32" s="33">
        <v>2100</v>
      </c>
      <c r="AH32" s="33">
        <v>8.8000000000000007</v>
      </c>
      <c r="AI32" s="47"/>
      <c r="AJ32" s="47"/>
      <c r="AK32" s="47"/>
      <c r="AL32" s="47"/>
      <c r="AM32" s="47"/>
      <c r="AN32" s="47"/>
    </row>
    <row r="33" spans="1:40" x14ac:dyDescent="0.25">
      <c r="A33" s="43"/>
      <c r="B33" s="43"/>
      <c r="C33" s="43"/>
      <c r="D33" s="43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33">
        <v>17</v>
      </c>
      <c r="AF33" s="33">
        <v>55.599999999999994</v>
      </c>
      <c r="AG33" s="33">
        <v>2300</v>
      </c>
      <c r="AH33" s="33">
        <v>9.6000000000000014</v>
      </c>
      <c r="AI33" s="47"/>
      <c r="AJ33" s="47"/>
      <c r="AK33" s="47"/>
      <c r="AL33" s="47"/>
      <c r="AM33" s="47"/>
      <c r="AN33" s="47"/>
    </row>
    <row r="34" spans="1:40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33">
        <v>18</v>
      </c>
      <c r="AF34" s="33">
        <v>59.399999999999991</v>
      </c>
      <c r="AG34" s="33">
        <v>2500</v>
      </c>
      <c r="AH34" s="33">
        <v>10.400000000000002</v>
      </c>
      <c r="AI34" s="47"/>
      <c r="AJ34" s="47"/>
      <c r="AK34" s="47"/>
      <c r="AL34" s="47"/>
      <c r="AM34" s="47"/>
      <c r="AN34" s="47"/>
    </row>
    <row r="35" spans="1:40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33">
        <v>19</v>
      </c>
      <c r="AF35" s="33">
        <v>63.199999999999989</v>
      </c>
      <c r="AG35" s="33">
        <v>2700</v>
      </c>
      <c r="AH35" s="33">
        <v>11.200000000000003</v>
      </c>
      <c r="AI35" s="47"/>
      <c r="AJ35" s="47"/>
      <c r="AK35" s="47"/>
      <c r="AL35" s="47"/>
      <c r="AM35" s="47"/>
      <c r="AN35" s="47"/>
    </row>
    <row r="36" spans="1:40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33">
        <v>20</v>
      </c>
      <c r="AF36" s="33">
        <v>66.999999999999986</v>
      </c>
      <c r="AG36" s="33">
        <v>2900</v>
      </c>
      <c r="AH36" s="33">
        <v>12.000000000000004</v>
      </c>
      <c r="AI36" s="47"/>
      <c r="AJ36" s="47"/>
      <c r="AK36" s="47"/>
      <c r="AL36" s="47"/>
      <c r="AM36" s="47"/>
      <c r="AN36" s="47"/>
    </row>
    <row r="37" spans="1:40" x14ac:dyDescent="0.25">
      <c r="L37" s="49"/>
      <c r="M37" s="49" t="s">
        <v>94</v>
      </c>
      <c r="N37" s="47"/>
      <c r="O37" s="63"/>
      <c r="P37" s="47"/>
      <c r="Q37" s="47"/>
      <c r="R37" s="64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33">
        <v>21</v>
      </c>
      <c r="AF37" s="33">
        <v>69.799999999999983</v>
      </c>
      <c r="AG37" s="33">
        <v>3280</v>
      </c>
      <c r="AH37" s="33">
        <v>13.600000000000003</v>
      </c>
      <c r="AI37" s="47"/>
      <c r="AJ37" s="47"/>
      <c r="AK37" s="47"/>
      <c r="AL37" s="47"/>
      <c r="AM37" s="47"/>
      <c r="AN37" s="47"/>
    </row>
    <row r="38" spans="1:40" x14ac:dyDescent="0.25">
      <c r="L38" s="49"/>
      <c r="M38" s="49" t="s">
        <v>94</v>
      </c>
      <c r="N38" s="47"/>
      <c r="O38" s="63"/>
      <c r="P38" s="47"/>
      <c r="Q38" s="47"/>
      <c r="R38" s="64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33">
        <v>22</v>
      </c>
      <c r="AF38" s="33">
        <v>72.59999999999998</v>
      </c>
      <c r="AG38" s="33">
        <v>3660</v>
      </c>
      <c r="AH38" s="33">
        <v>15.200000000000003</v>
      </c>
      <c r="AI38" s="47"/>
      <c r="AJ38" s="47"/>
      <c r="AK38" s="47"/>
      <c r="AL38" s="47"/>
      <c r="AM38" s="47"/>
      <c r="AN38" s="47"/>
    </row>
    <row r="39" spans="1:40" x14ac:dyDescent="0.25">
      <c r="L39" s="49"/>
      <c r="M39" s="49" t="s">
        <v>94</v>
      </c>
      <c r="N39" s="47"/>
      <c r="O39" s="63"/>
      <c r="P39" s="47"/>
      <c r="Q39" s="47"/>
      <c r="R39" s="64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33">
        <v>23</v>
      </c>
      <c r="AF39" s="33">
        <v>75.399999999999977</v>
      </c>
      <c r="AG39" s="33">
        <v>4040</v>
      </c>
      <c r="AH39" s="33">
        <v>16.800000000000004</v>
      </c>
      <c r="AI39" s="47"/>
      <c r="AJ39" s="47"/>
      <c r="AK39" s="47"/>
      <c r="AL39" s="47"/>
      <c r="AM39" s="47"/>
      <c r="AN39" s="47"/>
    </row>
    <row r="40" spans="1:40" x14ac:dyDescent="0.25">
      <c r="L40" s="49"/>
      <c r="AE40" s="33">
        <v>24</v>
      </c>
      <c r="AF40" s="33">
        <v>78.199999999999974</v>
      </c>
      <c r="AG40" s="33">
        <v>4420</v>
      </c>
      <c r="AH40" s="33">
        <v>18.400000000000006</v>
      </c>
    </row>
    <row r="41" spans="1:40" x14ac:dyDescent="0.25">
      <c r="L41" s="49"/>
      <c r="AE41" s="33">
        <v>25</v>
      </c>
      <c r="AF41" s="33">
        <v>80.999999999999972</v>
      </c>
      <c r="AG41" s="33">
        <v>4800</v>
      </c>
      <c r="AH41" s="33">
        <v>20.000000000000007</v>
      </c>
    </row>
    <row r="42" spans="1:40" x14ac:dyDescent="0.25">
      <c r="L42" s="49"/>
      <c r="AE42" s="33">
        <v>26</v>
      </c>
      <c r="AF42" s="33">
        <v>83.999999999999972</v>
      </c>
      <c r="AG42" s="33">
        <v>5760</v>
      </c>
      <c r="AH42" s="33">
        <v>24.000000000000007</v>
      </c>
    </row>
    <row r="43" spans="1:40" x14ac:dyDescent="0.25">
      <c r="L43" s="49"/>
      <c r="AE43" s="33">
        <v>27</v>
      </c>
      <c r="AF43" s="33">
        <v>86.999999999999972</v>
      </c>
      <c r="AG43" s="33">
        <v>6720</v>
      </c>
      <c r="AH43" s="33">
        <v>28.000000000000007</v>
      </c>
    </row>
    <row r="44" spans="1:40" x14ac:dyDescent="0.25">
      <c r="L44" s="49"/>
      <c r="AE44" s="33">
        <v>28</v>
      </c>
      <c r="AF44" s="33">
        <v>89.999999999999972</v>
      </c>
      <c r="AG44" s="33">
        <v>7680</v>
      </c>
      <c r="AH44" s="33">
        <v>32.000000000000007</v>
      </c>
    </row>
    <row r="45" spans="1:40" x14ac:dyDescent="0.25">
      <c r="L45" s="49"/>
      <c r="AE45" s="33">
        <v>29</v>
      </c>
      <c r="AF45" s="33">
        <v>92.999999999999972</v>
      </c>
      <c r="AG45" s="33">
        <v>8640</v>
      </c>
      <c r="AH45" s="33">
        <v>36.000000000000007</v>
      </c>
    </row>
    <row r="46" spans="1:40" x14ac:dyDescent="0.25">
      <c r="L46" s="49"/>
      <c r="AE46" s="33">
        <v>30</v>
      </c>
      <c r="AF46" s="33">
        <v>95.999999999999972</v>
      </c>
      <c r="AG46" s="33">
        <v>9600</v>
      </c>
      <c r="AH46" s="33">
        <v>40.000000000000007</v>
      </c>
    </row>
    <row r="47" spans="1:40" x14ac:dyDescent="0.25">
      <c r="L47" s="49"/>
      <c r="AE47" s="33">
        <v>31</v>
      </c>
      <c r="AF47" s="33">
        <v>99.799999999999969</v>
      </c>
      <c r="AG47" s="33">
        <v>10080</v>
      </c>
      <c r="AH47" s="33">
        <v>42.000000000000007</v>
      </c>
    </row>
    <row r="48" spans="1:40" x14ac:dyDescent="0.25">
      <c r="L48" s="49"/>
      <c r="AE48" s="33">
        <v>32</v>
      </c>
      <c r="AF48" s="33">
        <v>103.59999999999997</v>
      </c>
      <c r="AG48" s="33">
        <v>10560</v>
      </c>
      <c r="AH48" s="33">
        <v>44.000000000000007</v>
      </c>
    </row>
    <row r="49" spans="12:34" x14ac:dyDescent="0.25">
      <c r="L49" s="49"/>
      <c r="AE49" s="33">
        <v>33</v>
      </c>
      <c r="AF49" s="33">
        <v>107.39999999999996</v>
      </c>
      <c r="AG49" s="33">
        <v>11040</v>
      </c>
      <c r="AH49" s="33">
        <v>46.000000000000007</v>
      </c>
    </row>
    <row r="50" spans="12:34" x14ac:dyDescent="0.25">
      <c r="L50" s="49"/>
      <c r="AE50" s="33">
        <v>34</v>
      </c>
      <c r="AF50" s="33">
        <v>111.19999999999996</v>
      </c>
      <c r="AG50" s="33">
        <v>11520</v>
      </c>
      <c r="AH50" s="33">
        <v>48.000000000000007</v>
      </c>
    </row>
    <row r="51" spans="12:34" x14ac:dyDescent="0.25">
      <c r="L51" s="49"/>
      <c r="AE51" s="33">
        <v>35</v>
      </c>
      <c r="AF51" s="33">
        <v>114.99999999999996</v>
      </c>
      <c r="AG51" s="33">
        <v>12000</v>
      </c>
      <c r="AH51" s="33">
        <v>50.000000000000007</v>
      </c>
    </row>
    <row r="52" spans="12:34" x14ac:dyDescent="0.25">
      <c r="L52" s="49"/>
    </row>
    <row r="53" spans="12:34" x14ac:dyDescent="0.25">
      <c r="L53" s="49"/>
    </row>
    <row r="54" spans="12:34" x14ac:dyDescent="0.25">
      <c r="L54" s="49"/>
    </row>
    <row r="55" spans="12:34" x14ac:dyDescent="0.25">
      <c r="L55" s="49"/>
    </row>
    <row r="56" spans="12:34" x14ac:dyDescent="0.25">
      <c r="L56" s="49"/>
    </row>
    <row r="57" spans="12:34" x14ac:dyDescent="0.25">
      <c r="L57" s="49"/>
    </row>
    <row r="58" spans="12:34" x14ac:dyDescent="0.25">
      <c r="L58" s="49"/>
    </row>
    <row r="59" spans="12:34" x14ac:dyDescent="0.25">
      <c r="L59" s="49"/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  <row r="256" spans="12:12" x14ac:dyDescent="0.25">
      <c r="L256" s="49"/>
    </row>
    <row r="257" spans="12:12" x14ac:dyDescent="0.25">
      <c r="L257" s="49"/>
    </row>
    <row r="258" spans="12:12" x14ac:dyDescent="0.25">
      <c r="L258" s="49"/>
    </row>
  </sheetData>
  <mergeCells count="3">
    <mergeCell ref="R3:S3"/>
    <mergeCell ref="U3:V3"/>
    <mergeCell ref="AC3:AI3"/>
  </mergeCells>
  <conditionalFormatting sqref="N6 Q6 R13:AA16 AM8:AN18 Q8:Q18 N8:N18 AE8:AI16 AE6:AI6 AO8:AS12 AM6:AS6 R8:Y12">
    <cfRule type="expression" dxfId="1589" priority="62">
      <formula>$L6="API sand"</formula>
    </cfRule>
  </conditionalFormatting>
  <conditionalFormatting sqref="AJ13:AJ16 N6 AB13:AB16 AK6:AL6 AK8:AL18 N8:N18">
    <cfRule type="expression" dxfId="1588" priority="61">
      <formula>$M6="API sand"</formula>
    </cfRule>
  </conditionalFormatting>
  <conditionalFormatting sqref="AJ13:AJ16 N6 AK6:AL6 AB13:AB16 AK8:AL18 N8:N18">
    <cfRule type="expression" dxfId="1587" priority="60">
      <formula>$M6="API clay"</formula>
    </cfRule>
  </conditionalFormatting>
  <conditionalFormatting sqref="AM6:AN6 N6:P6 AM8:AN18 N8:P15">
    <cfRule type="expression" dxfId="1586" priority="57">
      <formula>$L6="Stiff clay w/o free water"</formula>
    </cfRule>
    <cfRule type="expression" dxfId="1585" priority="59">
      <formula>$L6="API clay"</formula>
    </cfRule>
  </conditionalFormatting>
  <conditionalFormatting sqref="AM6:AN6 N6:P6 AM8:AN18 N8:P15">
    <cfRule type="expression" dxfId="1584" priority="58">
      <formula>$L6="Kirsch soft clay"</formula>
    </cfRule>
  </conditionalFormatting>
  <conditionalFormatting sqref="AM6:AN6 N6:P6 AM8:AN18 N8:P15">
    <cfRule type="expression" dxfId="1583" priority="56">
      <formula>$L6="Kirsch stiff clay"</formula>
    </cfRule>
  </conditionalFormatting>
  <conditionalFormatting sqref="N6 Q6 R13:AA16 AM8:AN18 Q8:Q18 N8:N18 AE8:AI16 AE6:AI6 AO8:AS12 AM6:AS6 R8:Y12">
    <cfRule type="expression" dxfId="1582" priority="55">
      <formula>$L6="Kirsch sand"</formula>
    </cfRule>
  </conditionalFormatting>
  <conditionalFormatting sqref="N6 AC6:AD6 AM6:AN6 AC8:AD18 AM8:AN18 N8:N18">
    <cfRule type="expression" dxfId="1581" priority="54">
      <formula>$L6="Modified Weak rock"</formula>
    </cfRule>
  </conditionalFormatting>
  <conditionalFormatting sqref="AM6:AN6 N6:P6 AM8:AN18 N8:P15">
    <cfRule type="expression" dxfId="1580" priority="53">
      <formula>$L6="Reese stiff clay"</formula>
    </cfRule>
  </conditionalFormatting>
  <conditionalFormatting sqref="N19:N39 Q19:Q39 AM19:AN39">
    <cfRule type="expression" dxfId="1579" priority="52">
      <formula>$L19="API sand"</formula>
    </cfRule>
  </conditionalFormatting>
  <conditionalFormatting sqref="N19:N39 Z19:Z39 AB19:AB39 R19:S39 AJ19:AL39">
    <cfRule type="expression" dxfId="1578" priority="51">
      <formula>$M19="API sand"</formula>
    </cfRule>
  </conditionalFormatting>
  <conditionalFormatting sqref="Z19:AB39 AK19:AL39 R19:T39 N19:N39">
    <cfRule type="expression" dxfId="1577" priority="50">
      <formula>$M19="API clay"</formula>
    </cfRule>
  </conditionalFormatting>
  <conditionalFormatting sqref="U19:W39 AM19:AN39 N32:P39 N19:N31 P19:P31">
    <cfRule type="expression" dxfId="1576" priority="47">
      <formula>$L19="Stiff clay w/o free water"</formula>
    </cfRule>
    <cfRule type="expression" dxfId="1575" priority="49">
      <formula>$L19="API clay"</formula>
    </cfRule>
  </conditionalFormatting>
  <conditionalFormatting sqref="U19:Y39 AM19:AN39 N32:P39 N19:N31 P19:P31">
    <cfRule type="expression" dxfId="1574" priority="48">
      <formula>$L19="Kirsch soft clay"</formula>
    </cfRule>
  </conditionalFormatting>
  <conditionalFormatting sqref="AM19:AN39 U19:Y39 N32:P39 N19:N31 P19:P31">
    <cfRule type="expression" dxfId="1573" priority="46">
      <formula>$L19="Kirsch stiff clay"</formula>
    </cfRule>
  </conditionalFormatting>
  <conditionalFormatting sqref="N19:N39 Q19:Q39 X19:Y39 AM19:AN39">
    <cfRule type="expression" dxfId="1572" priority="45">
      <formula>$L19="Kirsch sand"</formula>
    </cfRule>
  </conditionalFormatting>
  <conditionalFormatting sqref="N19:N39 AC19:AI22 AM19:AN39 AC23:AD39 AI23:AI39">
    <cfRule type="expression" dxfId="1571" priority="44">
      <formula>$L19="Modified Weak rock"</formula>
    </cfRule>
  </conditionalFormatting>
  <conditionalFormatting sqref="U19:V39 AM19:AN39 N32:P39 N19:N31 P19:P31">
    <cfRule type="expression" dxfId="1570" priority="43">
      <formula>$L19="Reese stiff clay"</formula>
    </cfRule>
  </conditionalFormatting>
  <conditionalFormatting sqref="AC6:AD6 AM6:AN6 N6:P6 AC8:AD18 AM8:AN18 N8:P15">
    <cfRule type="expression" dxfId="1569" priority="42">
      <formula>$L6="PISA clay"</formula>
    </cfRule>
  </conditionalFormatting>
  <conditionalFormatting sqref="N6 AC6:AD6 AM6:AN6 AC8:AD18 AM8:AN18 N8:N18">
    <cfRule type="expression" dxfId="1568" priority="41">
      <formula>$L6="PISA sand"</formula>
    </cfRule>
  </conditionalFormatting>
  <conditionalFormatting sqref="R6:Y6">
    <cfRule type="expression" dxfId="1567" priority="40">
      <formula>$L6="API sand"</formula>
    </cfRule>
  </conditionalFormatting>
  <conditionalFormatting sqref="R6:Y6">
    <cfRule type="expression" dxfId="1566" priority="39">
      <formula>$L6="Kirsch sand"</formula>
    </cfRule>
  </conditionalFormatting>
  <conditionalFormatting sqref="N17:N18 N16:O16 P17:P18 O17:O21">
    <cfRule type="expression" dxfId="1565" priority="36">
      <formula>$L16="Stiff clay w/o free water"</formula>
    </cfRule>
    <cfRule type="expression" dxfId="1564" priority="38">
      <formula>$L16="API clay"</formula>
    </cfRule>
  </conditionalFormatting>
  <conditionalFormatting sqref="N17:N18 N16:O16 P17:P18 O17:O21">
    <cfRule type="expression" dxfId="1563" priority="37">
      <formula>$L16="Kirsch soft clay"</formula>
    </cfRule>
  </conditionalFormatting>
  <conditionalFormatting sqref="N17:N18 N16:O16 P17:P18 O17:O21">
    <cfRule type="expression" dxfId="1562" priority="35">
      <formula>$L16="Kirsch stiff clay"</formula>
    </cfRule>
  </conditionalFormatting>
  <conditionalFormatting sqref="N17:N18 N16:O16 P17:P18 O17:O21">
    <cfRule type="expression" dxfId="1561" priority="34">
      <formula>$L16="Reese stiff clay"</formula>
    </cfRule>
  </conditionalFormatting>
  <conditionalFormatting sqref="N17:N18 N16:O16 P17:P18 O17:O21">
    <cfRule type="expression" dxfId="1560" priority="33">
      <formula>$L16="PISA clay"</formula>
    </cfRule>
  </conditionalFormatting>
  <conditionalFormatting sqref="R17:AB18">
    <cfRule type="expression" dxfId="1559" priority="32">
      <formula>$L17="API sand"</formula>
    </cfRule>
  </conditionalFormatting>
  <conditionalFormatting sqref="R17:AB18">
    <cfRule type="expression" dxfId="1558" priority="31">
      <formula>$L17="Kirsch sand"</formula>
    </cfRule>
  </conditionalFormatting>
  <conditionalFormatting sqref="AE17:AJ18">
    <cfRule type="expression" dxfId="1557" priority="30">
      <formula>$L17="API sand"</formula>
    </cfRule>
  </conditionalFormatting>
  <conditionalFormatting sqref="AE17:AJ18">
    <cfRule type="expression" dxfId="1556" priority="29">
      <formula>$L17="Kirsch sand"</formula>
    </cfRule>
  </conditionalFormatting>
  <conditionalFormatting sqref="O22:O24">
    <cfRule type="expression" dxfId="1555" priority="28">
      <formula>$L22="API sand"</formula>
    </cfRule>
  </conditionalFormatting>
  <conditionalFormatting sqref="O22:O24">
    <cfRule type="expression" dxfId="1554" priority="27">
      <formula>$L22="Kirsch sand"</formula>
    </cfRule>
  </conditionalFormatting>
  <conditionalFormatting sqref="O25:O31">
    <cfRule type="expression" dxfId="1553" priority="26">
      <formula>$L25="API sand"</formula>
    </cfRule>
  </conditionalFormatting>
  <conditionalFormatting sqref="O25:O31">
    <cfRule type="expression" dxfId="1552" priority="25">
      <formula>$L25="Kirsch sand"</formula>
    </cfRule>
  </conditionalFormatting>
  <conditionalFormatting sqref="P16">
    <cfRule type="expression" dxfId="1551" priority="22">
      <formula>$L16="Stiff clay w/o free water"</formula>
    </cfRule>
    <cfRule type="expression" dxfId="1550" priority="24">
      <formula>$L16="API clay"</formula>
    </cfRule>
  </conditionalFormatting>
  <conditionalFormatting sqref="P16">
    <cfRule type="expression" dxfId="1549" priority="23">
      <formula>$L16="Kirsch soft clay"</formula>
    </cfRule>
  </conditionalFormatting>
  <conditionalFormatting sqref="P16">
    <cfRule type="expression" dxfId="1548" priority="21">
      <formula>$L16="Kirsch stiff clay"</formula>
    </cfRule>
  </conditionalFormatting>
  <conditionalFormatting sqref="P16">
    <cfRule type="expression" dxfId="1547" priority="20">
      <formula>$L16="Reese stiff clay"</formula>
    </cfRule>
  </conditionalFormatting>
  <conditionalFormatting sqref="P16">
    <cfRule type="expression" dxfId="1546" priority="19">
      <formula>$L16="PISA clay"</formula>
    </cfRule>
  </conditionalFormatting>
  <conditionalFormatting sqref="N7 Q7 AE7:AI7 AM7:AS7">
    <cfRule type="expression" dxfId="1545" priority="18">
      <formula>$L7="API sand"</formula>
    </cfRule>
  </conditionalFormatting>
  <conditionalFormatting sqref="N7 AK7:AL7">
    <cfRule type="expression" dxfId="1544" priority="17">
      <formula>$M7="API sand"</formula>
    </cfRule>
  </conditionalFormatting>
  <conditionalFormatting sqref="N7 AK7:AL7">
    <cfRule type="expression" dxfId="1543" priority="16">
      <formula>$M7="API clay"</formula>
    </cfRule>
  </conditionalFormatting>
  <conditionalFormatting sqref="AM7:AN7 N7:P7">
    <cfRule type="expression" dxfId="1542" priority="13">
      <formula>$L7="Stiff clay w/o free water"</formula>
    </cfRule>
    <cfRule type="expression" dxfId="1541" priority="15">
      <formula>$L7="API clay"</formula>
    </cfRule>
  </conditionalFormatting>
  <conditionalFormatting sqref="AM7:AN7 N7:P7">
    <cfRule type="expression" dxfId="1540" priority="14">
      <formula>$L7="Kirsch soft clay"</formula>
    </cfRule>
  </conditionalFormatting>
  <conditionalFormatting sqref="AM7:AN7 N7:P7">
    <cfRule type="expression" dxfId="1539" priority="12">
      <formula>$L7="Kirsch stiff clay"</formula>
    </cfRule>
  </conditionalFormatting>
  <conditionalFormatting sqref="N7 Q7 AE7:AI7 AM7:AS7">
    <cfRule type="expression" dxfId="1538" priority="11">
      <formula>$L7="Kirsch sand"</formula>
    </cfRule>
  </conditionalFormatting>
  <conditionalFormatting sqref="N7 AC7:AD7 AM7:AN7">
    <cfRule type="expression" dxfId="1537" priority="10">
      <formula>$L7="Modified Weak rock"</formula>
    </cfRule>
  </conditionalFormatting>
  <conditionalFormatting sqref="AM7:AN7 N7:P7">
    <cfRule type="expression" dxfId="1536" priority="9">
      <formula>$L7="Reese stiff clay"</formula>
    </cfRule>
  </conditionalFormatting>
  <conditionalFormatting sqref="AC7:AD7 AM7:AN7 N7:P7">
    <cfRule type="expression" dxfId="1535" priority="8">
      <formula>$L7="PISA clay"</formula>
    </cfRule>
  </conditionalFormatting>
  <conditionalFormatting sqref="N7 AC7:AD7 AM7:AN7">
    <cfRule type="expression" dxfId="1534" priority="7">
      <formula>$L7="PISA sand"</formula>
    </cfRule>
  </conditionalFormatting>
  <conditionalFormatting sqref="R7:Y7">
    <cfRule type="expression" dxfId="1533" priority="6">
      <formula>$L7="API sand"</formula>
    </cfRule>
  </conditionalFormatting>
  <conditionalFormatting sqref="R7:Y7">
    <cfRule type="expression" dxfId="1532" priority="5">
      <formula>$L7="Kirsch sand"</formula>
    </cfRule>
  </conditionalFormatting>
  <conditionalFormatting sqref="Z6:Z12 AB6:AB12">
    <cfRule type="expression" dxfId="1531" priority="4">
      <formula>$M6="API sand"</formula>
    </cfRule>
  </conditionalFormatting>
  <conditionalFormatting sqref="Z6:AB12">
    <cfRule type="expression" dxfId="1530" priority="3">
      <formula>$M6="API clay"</formula>
    </cfRule>
  </conditionalFormatting>
  <conditionalFormatting sqref="AJ6:AJ12">
    <cfRule type="expression" dxfId="1529" priority="2">
      <formula>$L6="API sand"</formula>
    </cfRule>
  </conditionalFormatting>
  <conditionalFormatting sqref="AJ6:AJ12">
    <cfRule type="expression" dxfId="1528" priority="1">
      <formula>$L6="Kirsch sand"</formula>
    </cfRule>
  </conditionalFormatting>
  <dataValidations count="3">
    <dataValidation type="list" showInputMessage="1" showErrorMessage="1" sqref="M6:M18" xr:uid="{7B251A9B-AF65-42B4-8EDD-06AB5C1EDF37}">
      <formula1>"Zero soil,API sand,API clay"</formula1>
    </dataValidation>
    <dataValidation type="list" showInputMessage="1" showErrorMessage="1" sqref="L13:L258" xr:uid="{2DAA4A62-356D-4480-812D-1F074D6FCA95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19:M39" xr:uid="{5043FFC0-A8BF-480F-BA2F-5DA87284E002}">
      <formula1>"',API sand,API clay"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75420-FD4A-4250-A22B-AA86134160D2}">
  <sheetPr>
    <tabColor rgb="FFFFC000"/>
  </sheetPr>
  <dimension ref="A1:AS258"/>
  <sheetViews>
    <sheetView zoomScaleNormal="100" workbookViewId="0">
      <selection activeCell="L14" sqref="L14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9.5703125" style="33" bestFit="1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6.5703125" style="33" bestFit="1" customWidth="1"/>
    <col min="16" max="16" width="8.5703125" style="33" bestFit="1" customWidth="1"/>
    <col min="17" max="18" width="9.5703125" style="33" bestFit="1" customWidth="1"/>
    <col min="19" max="19" width="4" style="33" bestFit="1" customWidth="1"/>
    <col min="20" max="20" width="5.5703125" style="33" bestFit="1" customWidth="1"/>
    <col min="21" max="21" width="9.5703125" style="33" bestFit="1" customWidth="1"/>
    <col min="22" max="22" width="15.28515625" style="33" bestFit="1" customWidth="1"/>
    <col min="23" max="23" width="4" style="33" bestFit="1" customWidth="1"/>
    <col min="24" max="24" width="7" style="33" bestFit="1" customWidth="1"/>
    <col min="25" max="25" width="8.42578125" style="33" bestFit="1" customWidth="1"/>
    <col min="26" max="26" width="9.7109375" style="33" bestFit="1" customWidth="1"/>
    <col min="27" max="27" width="11" style="33" bestFit="1" customWidth="1"/>
    <col min="28" max="28" width="8.5703125" style="33" bestFit="1" customWidth="1"/>
    <col min="29" max="29" width="14.85546875" style="33" customWidth="1"/>
    <col min="30" max="30" width="8.85546875" style="33" bestFit="1" customWidth="1"/>
    <col min="31" max="31" width="7.85546875" style="33" bestFit="1" customWidth="1"/>
    <col min="32" max="32" width="5.5703125" style="33" bestFit="1" customWidth="1"/>
    <col min="33" max="33" width="11" style="33" bestFit="1" customWidth="1"/>
    <col min="34" max="34" width="5.42578125" style="33" bestFit="1" customWidth="1"/>
    <col min="35" max="35" width="4.85546875" style="33" bestFit="1" customWidth="1"/>
    <col min="36" max="36" width="3.5703125" style="33" bestFit="1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16384" width="9.140625" style="33"/>
  </cols>
  <sheetData>
    <row r="1" spans="1:45" x14ac:dyDescent="0.25">
      <c r="A1" s="34" t="str">
        <f ca="1">TRIM(MID(CELL("filename",A1),FIND("]",CELL("filename",A1),1)+1,255))</f>
        <v>EW2 zone 4 UB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106"/>
      <c r="R3" s="155"/>
      <c r="S3" s="155"/>
      <c r="T3" s="106"/>
      <c r="U3" s="155"/>
      <c r="V3" s="155"/>
      <c r="W3" s="106"/>
      <c r="X3" s="106"/>
      <c r="Y3" s="106"/>
      <c r="Z3" s="106"/>
      <c r="AA3" s="106"/>
      <c r="AB3" s="106"/>
      <c r="AC3" s="156"/>
      <c r="AD3" s="156"/>
      <c r="AE3" s="156"/>
      <c r="AF3" s="156"/>
      <c r="AG3" s="156"/>
      <c r="AH3" s="156"/>
      <c r="AI3" s="156"/>
      <c r="AJ3" s="106"/>
      <c r="AK3" s="106"/>
      <c r="AL3" s="106"/>
      <c r="AM3" s="106"/>
      <c r="AN3" s="106"/>
    </row>
    <row r="4" spans="1:45" x14ac:dyDescent="0.25">
      <c r="A4" s="40" t="s">
        <v>60</v>
      </c>
      <c r="B4" s="33">
        <f>COUNTIF(J:J,"&gt;0")</f>
        <v>7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282</v>
      </c>
      <c r="AP4" s="43" t="s">
        <v>283</v>
      </c>
      <c r="AQ4" s="43" t="s">
        <v>284</v>
      </c>
      <c r="AR4" s="43" t="s">
        <v>285</v>
      </c>
      <c r="AS4" s="43" t="s">
        <v>286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107" t="s">
        <v>38</v>
      </c>
      <c r="K5" s="107" t="s">
        <v>30</v>
      </c>
      <c r="L5" s="107" t="s">
        <v>31</v>
      </c>
      <c r="M5" s="107" t="s">
        <v>31</v>
      </c>
      <c r="N5" s="107" t="s">
        <v>32</v>
      </c>
      <c r="O5" s="107" t="s">
        <v>33</v>
      </c>
      <c r="P5" s="107" t="s">
        <v>35</v>
      </c>
      <c r="Q5" s="107" t="s">
        <v>36</v>
      </c>
      <c r="R5" s="107" t="s">
        <v>36</v>
      </c>
      <c r="S5" s="107" t="s">
        <v>34</v>
      </c>
      <c r="T5" s="107" t="s">
        <v>33</v>
      </c>
      <c r="U5" s="107" t="s">
        <v>34</v>
      </c>
      <c r="V5" s="107" t="s">
        <v>62</v>
      </c>
      <c r="W5" s="107" t="s">
        <v>34</v>
      </c>
      <c r="X5" s="107" t="s">
        <v>33</v>
      </c>
      <c r="Y5" s="107" t="s">
        <v>35</v>
      </c>
      <c r="Z5" s="107" t="s">
        <v>33</v>
      </c>
      <c r="AA5" s="107" t="s">
        <v>34</v>
      </c>
      <c r="AB5" s="107" t="s">
        <v>33</v>
      </c>
      <c r="AC5" s="107" t="s">
        <v>33</v>
      </c>
      <c r="AD5" s="107" t="s">
        <v>35</v>
      </c>
      <c r="AE5" s="107" t="s">
        <v>34</v>
      </c>
      <c r="AF5" s="107" t="s">
        <v>33</v>
      </c>
      <c r="AG5" s="107" t="s">
        <v>35</v>
      </c>
      <c r="AH5" s="107" t="s">
        <v>34</v>
      </c>
      <c r="AI5" s="107" t="s">
        <v>34</v>
      </c>
      <c r="AJ5" s="107" t="s">
        <v>34</v>
      </c>
      <c r="AK5" s="107" t="s">
        <v>34</v>
      </c>
      <c r="AL5" s="107" t="s">
        <v>34</v>
      </c>
      <c r="AM5" s="107" t="s">
        <v>34</v>
      </c>
      <c r="AN5" s="107" t="s">
        <v>34</v>
      </c>
      <c r="AO5" s="107" t="s">
        <v>34</v>
      </c>
      <c r="AP5" s="107" t="s">
        <v>33</v>
      </c>
      <c r="AQ5" s="107" t="s">
        <v>34</v>
      </c>
      <c r="AR5" s="107" t="s">
        <v>34</v>
      </c>
    </row>
    <row r="6" spans="1:45" x14ac:dyDescent="0.25">
      <c r="C6" s="45"/>
      <c r="F6" s="33" t="s">
        <v>67</v>
      </c>
      <c r="G6" s="57">
        <v>0</v>
      </c>
      <c r="H6" s="45" t="s">
        <v>28</v>
      </c>
      <c r="J6" s="47">
        <v>1</v>
      </c>
      <c r="K6" s="63">
        <v>0</v>
      </c>
      <c r="L6" s="33" t="s">
        <v>112</v>
      </c>
      <c r="M6" s="49" t="s">
        <v>64</v>
      </c>
      <c r="N6" s="47">
        <v>8.1000000000000014</v>
      </c>
      <c r="O6" s="63">
        <v>0</v>
      </c>
      <c r="P6" s="63">
        <v>0</v>
      </c>
      <c r="Q6" s="47">
        <v>46</v>
      </c>
      <c r="R6" s="47">
        <f>Q6-5</f>
        <v>41</v>
      </c>
      <c r="S6" s="47">
        <v>1.5</v>
      </c>
      <c r="T6" s="47">
        <v>0</v>
      </c>
      <c r="U6" s="47">
        <v>0</v>
      </c>
      <c r="V6" s="47">
        <v>0</v>
      </c>
      <c r="W6" s="47">
        <v>0.5</v>
      </c>
      <c r="X6" s="81">
        <v>2000</v>
      </c>
      <c r="Y6" s="81">
        <v>0</v>
      </c>
      <c r="Z6" s="108">
        <f t="shared" ref="Z6:Z12" si="0">VLOOKUP(R6,$AE$31:$AF$51,2)</f>
        <v>114.99999999999996</v>
      </c>
      <c r="AA6" s="108">
        <v>1</v>
      </c>
      <c r="AB6" s="108">
        <f t="shared" ref="AB6:AB12" si="1">VLOOKUP(R6,$AE$31:$AG$51,3)</f>
        <v>12000</v>
      </c>
      <c r="AC6" s="47">
        <v>60000</v>
      </c>
      <c r="AD6" s="47">
        <v>0</v>
      </c>
      <c r="AE6" s="81">
        <v>0.3</v>
      </c>
      <c r="AF6" s="47">
        <v>0</v>
      </c>
      <c r="AG6" s="47">
        <v>0</v>
      </c>
      <c r="AH6" s="47">
        <v>0</v>
      </c>
      <c r="AI6" s="47">
        <v>0</v>
      </c>
      <c r="AJ6" s="47">
        <f>VLOOKUP(R6,$AE$39:$AH$59,4)</f>
        <v>50.000000000000007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/>
      <c r="J7" s="47">
        <v>2</v>
      </c>
      <c r="K7" s="63">
        <v>-1</v>
      </c>
      <c r="L7" s="33" t="s">
        <v>112</v>
      </c>
      <c r="M7" s="49" t="s">
        <v>64</v>
      </c>
      <c r="N7" s="47">
        <v>8.1000000000000014</v>
      </c>
      <c r="O7" s="63">
        <v>0</v>
      </c>
      <c r="P7" s="63">
        <v>0</v>
      </c>
      <c r="Q7" s="47">
        <v>46</v>
      </c>
      <c r="R7" s="47">
        <f>Q7-5</f>
        <v>41</v>
      </c>
      <c r="S7" s="47">
        <v>1.5</v>
      </c>
      <c r="T7" s="47">
        <v>0</v>
      </c>
      <c r="U7" s="47">
        <v>0</v>
      </c>
      <c r="V7" s="47">
        <v>0</v>
      </c>
      <c r="W7" s="47">
        <v>0.5</v>
      </c>
      <c r="X7" s="81">
        <v>30000</v>
      </c>
      <c r="Y7" s="81">
        <v>0</v>
      </c>
      <c r="Z7" s="108">
        <f t="shared" si="0"/>
        <v>114.99999999999996</v>
      </c>
      <c r="AA7" s="108">
        <v>1</v>
      </c>
      <c r="AB7" s="108">
        <f t="shared" si="1"/>
        <v>12000</v>
      </c>
      <c r="AC7" s="47">
        <v>60000</v>
      </c>
      <c r="AD7" s="47">
        <v>0</v>
      </c>
      <c r="AE7" s="81">
        <v>0.3</v>
      </c>
      <c r="AF7" s="47">
        <v>0</v>
      </c>
      <c r="AG7" s="47">
        <v>0</v>
      </c>
      <c r="AH7" s="47">
        <v>0</v>
      </c>
      <c r="AI7" s="47">
        <v>0</v>
      </c>
      <c r="AJ7" s="47">
        <f t="shared" ref="AJ7:AJ12" si="2">VLOOKUP(R7,$AE$39:$AH$59,4)</f>
        <v>50.000000000000007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0</v>
      </c>
      <c r="AP7" s="47">
        <v>0</v>
      </c>
      <c r="AQ7" s="47">
        <v>0</v>
      </c>
      <c r="AR7" s="47">
        <v>0</v>
      </c>
      <c r="AS7" s="47">
        <v>0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59">
        <v>1000</v>
      </c>
      <c r="H8" s="45" t="s">
        <v>53</v>
      </c>
      <c r="J8" s="47">
        <v>3</v>
      </c>
      <c r="K8" s="63">
        <v>-2.5</v>
      </c>
      <c r="L8" s="33" t="s">
        <v>112</v>
      </c>
      <c r="M8" s="49" t="s">
        <v>64</v>
      </c>
      <c r="N8" s="47">
        <v>8.8999999999999986</v>
      </c>
      <c r="O8" s="63">
        <v>0</v>
      </c>
      <c r="P8" s="63">
        <v>0</v>
      </c>
      <c r="Q8" s="47">
        <v>44</v>
      </c>
      <c r="R8" s="47">
        <f>Q8-5</f>
        <v>39</v>
      </c>
      <c r="S8" s="47">
        <v>1.3</v>
      </c>
      <c r="T8" s="47">
        <v>0</v>
      </c>
      <c r="U8" s="47">
        <v>0</v>
      </c>
      <c r="V8" s="47">
        <v>0</v>
      </c>
      <c r="W8" s="47">
        <v>0.5</v>
      </c>
      <c r="X8" s="81">
        <v>30000</v>
      </c>
      <c r="Y8" s="81">
        <v>5294.1176470588234</v>
      </c>
      <c r="Z8" s="108">
        <f t="shared" si="0"/>
        <v>114.99999999999996</v>
      </c>
      <c r="AA8" s="108">
        <v>1</v>
      </c>
      <c r="AB8" s="108">
        <f t="shared" si="1"/>
        <v>12000</v>
      </c>
      <c r="AC8" s="47">
        <v>70000</v>
      </c>
      <c r="AD8" s="47">
        <v>10588.235294117647</v>
      </c>
      <c r="AE8" s="81">
        <v>0.3</v>
      </c>
      <c r="AF8" s="47">
        <v>0</v>
      </c>
      <c r="AG8" s="47">
        <v>0</v>
      </c>
      <c r="AH8" s="47">
        <v>0</v>
      </c>
      <c r="AI8" s="47">
        <v>0</v>
      </c>
      <c r="AJ8" s="47">
        <f t="shared" si="2"/>
        <v>50.000000000000007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</row>
    <row r="9" spans="1:45" x14ac:dyDescent="0.25">
      <c r="A9" s="33" t="s">
        <v>68</v>
      </c>
      <c r="B9" s="57">
        <v>70</v>
      </c>
      <c r="C9" s="45" t="s">
        <v>28</v>
      </c>
      <c r="F9" s="33" t="s">
        <v>96</v>
      </c>
      <c r="G9" s="59">
        <v>-20000</v>
      </c>
      <c r="H9" s="45" t="s">
        <v>54</v>
      </c>
      <c r="J9" s="47">
        <v>4</v>
      </c>
      <c r="K9" s="63">
        <v>-11</v>
      </c>
      <c r="L9" s="33" t="s">
        <v>112</v>
      </c>
      <c r="M9" s="49" t="s">
        <v>64</v>
      </c>
      <c r="N9" s="47">
        <v>8.8999999999999986</v>
      </c>
      <c r="O9" s="63">
        <v>0</v>
      </c>
      <c r="P9" s="63">
        <v>0</v>
      </c>
      <c r="Q9" s="47">
        <v>35</v>
      </c>
      <c r="R9" s="47">
        <f t="shared" ref="R9:R12" si="3">Q9-5</f>
        <v>30</v>
      </c>
      <c r="S9" s="47">
        <v>0.6</v>
      </c>
      <c r="T9" s="47">
        <v>0</v>
      </c>
      <c r="U9" s="47">
        <v>0</v>
      </c>
      <c r="V9" s="47">
        <v>0</v>
      </c>
      <c r="W9" s="47">
        <v>0.5</v>
      </c>
      <c r="X9" s="81">
        <v>8000</v>
      </c>
      <c r="Y9" s="81">
        <v>0</v>
      </c>
      <c r="Z9" s="108">
        <f t="shared" si="0"/>
        <v>95.999999999999972</v>
      </c>
      <c r="AA9" s="108">
        <v>1</v>
      </c>
      <c r="AB9" s="108">
        <f t="shared" si="1"/>
        <v>9600</v>
      </c>
      <c r="AC9" s="47">
        <v>990000</v>
      </c>
      <c r="AD9" s="47">
        <v>0</v>
      </c>
      <c r="AE9" s="81">
        <v>0.3</v>
      </c>
      <c r="AF9" s="47">
        <v>0</v>
      </c>
      <c r="AG9" s="47">
        <v>0</v>
      </c>
      <c r="AH9" s="47">
        <v>0</v>
      </c>
      <c r="AI9" s="47">
        <v>0</v>
      </c>
      <c r="AJ9" s="47">
        <f t="shared" si="2"/>
        <v>40.000000000000007</v>
      </c>
      <c r="AK9" s="47">
        <v>1</v>
      </c>
      <c r="AL9" s="47">
        <v>1</v>
      </c>
      <c r="AM9" s="47">
        <v>1</v>
      </c>
      <c r="AN9" s="47">
        <v>1</v>
      </c>
      <c r="AO9" s="47">
        <v>0</v>
      </c>
      <c r="AP9" s="47">
        <v>0</v>
      </c>
      <c r="AQ9" s="47">
        <v>0</v>
      </c>
      <c r="AR9" s="47">
        <v>0</v>
      </c>
      <c r="AS9" s="47">
        <v>0</v>
      </c>
    </row>
    <row r="10" spans="1:45" s="56" customFormat="1" x14ac:dyDescent="0.25">
      <c r="A10" s="56" t="s">
        <v>69</v>
      </c>
      <c r="B10" s="58">
        <v>70</v>
      </c>
      <c r="C10" s="45" t="s">
        <v>28</v>
      </c>
      <c r="F10" s="33" t="s">
        <v>51</v>
      </c>
      <c r="G10" s="59">
        <v>1000</v>
      </c>
      <c r="H10" s="45" t="s">
        <v>53</v>
      </c>
      <c r="I10" s="33"/>
      <c r="J10" s="47">
        <v>5</v>
      </c>
      <c r="K10" s="63">
        <v>-15.7</v>
      </c>
      <c r="L10" s="33" t="s">
        <v>112</v>
      </c>
      <c r="M10" s="49" t="s">
        <v>64</v>
      </c>
      <c r="N10" s="47">
        <v>8.3000000000000007</v>
      </c>
      <c r="O10" s="63">
        <v>0</v>
      </c>
      <c r="P10" s="63">
        <v>0</v>
      </c>
      <c r="Q10" s="47">
        <v>45</v>
      </c>
      <c r="R10" s="47">
        <f t="shared" si="3"/>
        <v>40</v>
      </c>
      <c r="S10" s="47">
        <v>1</v>
      </c>
      <c r="T10" s="47">
        <v>0</v>
      </c>
      <c r="U10" s="47">
        <v>0</v>
      </c>
      <c r="V10" s="47">
        <v>0</v>
      </c>
      <c r="W10" s="47">
        <v>0.5</v>
      </c>
      <c r="X10" s="81">
        <v>75000</v>
      </c>
      <c r="Y10" s="81">
        <v>0</v>
      </c>
      <c r="Z10" s="108">
        <f t="shared" si="0"/>
        <v>114.99999999999996</v>
      </c>
      <c r="AA10" s="108">
        <v>1</v>
      </c>
      <c r="AB10" s="108">
        <f t="shared" si="1"/>
        <v>12000</v>
      </c>
      <c r="AC10" s="47">
        <v>150000</v>
      </c>
      <c r="AD10" s="47">
        <v>0</v>
      </c>
      <c r="AE10" s="81">
        <v>0.3</v>
      </c>
      <c r="AF10" s="47">
        <v>0</v>
      </c>
      <c r="AG10" s="47">
        <v>0</v>
      </c>
      <c r="AH10" s="47">
        <v>0</v>
      </c>
      <c r="AI10" s="47">
        <v>0</v>
      </c>
      <c r="AJ10" s="47">
        <f t="shared" si="2"/>
        <v>50.000000000000007</v>
      </c>
      <c r="AK10" s="47">
        <v>1</v>
      </c>
      <c r="AL10" s="47">
        <v>1</v>
      </c>
      <c r="AM10" s="47">
        <v>1</v>
      </c>
      <c r="AN10" s="47">
        <v>1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</row>
    <row r="11" spans="1:45" x14ac:dyDescent="0.25">
      <c r="A11" s="33" t="s">
        <v>70</v>
      </c>
      <c r="B11" s="57">
        <v>1</v>
      </c>
      <c r="C11" s="45" t="s">
        <v>28</v>
      </c>
      <c r="F11" s="33" t="s">
        <v>52</v>
      </c>
      <c r="G11" s="59">
        <v>0</v>
      </c>
      <c r="H11" s="45" t="s">
        <v>53</v>
      </c>
      <c r="J11" s="47">
        <v>6</v>
      </c>
      <c r="K11" s="63">
        <v>-20.2</v>
      </c>
      <c r="L11" s="33" t="s">
        <v>112</v>
      </c>
      <c r="M11" s="49" t="s">
        <v>64</v>
      </c>
      <c r="N11" s="47">
        <v>9.3000000000000007</v>
      </c>
      <c r="O11" s="63">
        <v>0</v>
      </c>
      <c r="P11" s="63">
        <v>0</v>
      </c>
      <c r="Q11" s="47">
        <v>39</v>
      </c>
      <c r="R11" s="47">
        <f t="shared" si="3"/>
        <v>34</v>
      </c>
      <c r="S11" s="47">
        <v>0.7</v>
      </c>
      <c r="T11" s="47">
        <v>0</v>
      </c>
      <c r="U11" s="47">
        <v>0</v>
      </c>
      <c r="V11" s="47">
        <v>0</v>
      </c>
      <c r="W11" s="47">
        <v>0.5</v>
      </c>
      <c r="X11" s="81">
        <v>50000</v>
      </c>
      <c r="Y11" s="81">
        <v>0</v>
      </c>
      <c r="Z11" s="108">
        <f t="shared" si="0"/>
        <v>111.19999999999996</v>
      </c>
      <c r="AA11" s="108">
        <v>1</v>
      </c>
      <c r="AB11" s="108">
        <f t="shared" si="1"/>
        <v>11520</v>
      </c>
      <c r="AC11" s="47">
        <v>170000</v>
      </c>
      <c r="AD11" s="47">
        <v>0</v>
      </c>
      <c r="AE11" s="81">
        <v>0.3</v>
      </c>
      <c r="AF11" s="47">
        <v>0</v>
      </c>
      <c r="AG11" s="47">
        <v>0</v>
      </c>
      <c r="AH11" s="47">
        <v>0</v>
      </c>
      <c r="AI11" s="47">
        <v>0</v>
      </c>
      <c r="AJ11" s="47">
        <f t="shared" si="2"/>
        <v>48.000000000000007</v>
      </c>
      <c r="AK11" s="47">
        <v>1</v>
      </c>
      <c r="AL11" s="47">
        <v>1</v>
      </c>
      <c r="AM11" s="47">
        <v>1</v>
      </c>
      <c r="AN11" s="47">
        <v>1</v>
      </c>
      <c r="AO11" s="47">
        <v>0</v>
      </c>
      <c r="AP11" s="47">
        <v>0</v>
      </c>
      <c r="AQ11" s="47">
        <v>0</v>
      </c>
      <c r="AR11" s="47">
        <v>0</v>
      </c>
      <c r="AS11" s="47">
        <v>0</v>
      </c>
    </row>
    <row r="12" spans="1:45" x14ac:dyDescent="0.25">
      <c r="A12" s="33" t="s">
        <v>74</v>
      </c>
      <c r="B12" s="57">
        <v>8.4</v>
      </c>
      <c r="C12" s="45" t="s">
        <v>28</v>
      </c>
      <c r="E12" s="59"/>
      <c r="F12" s="56" t="s">
        <v>97</v>
      </c>
      <c r="G12" s="58">
        <v>0</v>
      </c>
      <c r="H12" s="45" t="s">
        <v>53</v>
      </c>
      <c r="I12" s="56"/>
      <c r="J12" s="47">
        <v>7</v>
      </c>
      <c r="K12" s="63">
        <v>-22.8</v>
      </c>
      <c r="L12" s="33" t="s">
        <v>112</v>
      </c>
      <c r="M12" s="49" t="s">
        <v>64</v>
      </c>
      <c r="N12" s="47">
        <v>9.8999999999999986</v>
      </c>
      <c r="O12" s="63">
        <v>0</v>
      </c>
      <c r="P12" s="63">
        <v>0</v>
      </c>
      <c r="Q12" s="47">
        <v>42</v>
      </c>
      <c r="R12" s="47">
        <f t="shared" si="3"/>
        <v>37</v>
      </c>
      <c r="S12" s="47">
        <v>1</v>
      </c>
      <c r="T12" s="47">
        <v>0</v>
      </c>
      <c r="U12" s="47">
        <v>0</v>
      </c>
      <c r="V12" s="47">
        <v>0</v>
      </c>
      <c r="W12" s="47">
        <v>0.5</v>
      </c>
      <c r="X12" s="81">
        <v>100000</v>
      </c>
      <c r="Y12" s="81">
        <v>0</v>
      </c>
      <c r="Z12" s="108">
        <f t="shared" si="0"/>
        <v>114.99999999999996</v>
      </c>
      <c r="AA12" s="108">
        <v>1</v>
      </c>
      <c r="AB12" s="108">
        <f t="shared" si="1"/>
        <v>12000</v>
      </c>
      <c r="AC12" s="47">
        <v>200000</v>
      </c>
      <c r="AD12" s="47">
        <v>0</v>
      </c>
      <c r="AE12" s="81">
        <v>0.3</v>
      </c>
      <c r="AF12" s="47">
        <v>0</v>
      </c>
      <c r="AG12" s="47">
        <v>0</v>
      </c>
      <c r="AH12" s="47">
        <v>0</v>
      </c>
      <c r="AI12" s="47">
        <v>0</v>
      </c>
      <c r="AJ12" s="47">
        <f t="shared" si="2"/>
        <v>50.000000000000007</v>
      </c>
      <c r="AK12" s="47">
        <v>1</v>
      </c>
      <c r="AL12" s="47">
        <v>1</v>
      </c>
      <c r="AM12" s="47">
        <v>1</v>
      </c>
      <c r="AN12" s="47">
        <v>1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J13" s="47"/>
      <c r="K13" s="63"/>
      <c r="L13" s="49"/>
      <c r="M13" s="49"/>
      <c r="N13" s="47"/>
      <c r="O13" s="63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J14" s="47"/>
      <c r="K14" s="63"/>
      <c r="L14" s="49"/>
      <c r="M14" s="49"/>
      <c r="N14" s="47"/>
      <c r="O14" s="63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</row>
    <row r="15" spans="1:45" s="56" customFormat="1" x14ac:dyDescent="0.25">
      <c r="A15" s="33" t="s">
        <v>44</v>
      </c>
      <c r="B15" s="61">
        <v>207000000</v>
      </c>
      <c r="C15" s="45" t="s">
        <v>47</v>
      </c>
      <c r="D15" s="33"/>
      <c r="E15" s="33"/>
      <c r="F15" s="33"/>
      <c r="G15" s="33"/>
      <c r="J15" s="47"/>
      <c r="K15" s="63"/>
      <c r="L15" s="49"/>
      <c r="M15" s="49"/>
      <c r="N15" s="47"/>
      <c r="O15" s="63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J16" s="47"/>
      <c r="K16" s="63"/>
      <c r="L16" s="49"/>
      <c r="M16" s="49"/>
      <c r="N16" s="47"/>
      <c r="O16" s="63"/>
      <c r="P16" s="63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</row>
    <row r="17" spans="1:40" x14ac:dyDescent="0.25">
      <c r="A17" s="33" t="s">
        <v>98</v>
      </c>
      <c r="B17" s="57">
        <v>0.53</v>
      </c>
      <c r="C17" s="45"/>
      <c r="D17" s="107"/>
      <c r="E17" s="107"/>
      <c r="F17" s="56"/>
      <c r="G17" s="56"/>
      <c r="J17" s="47"/>
      <c r="K17" s="63"/>
      <c r="L17" s="49"/>
      <c r="M17" s="49"/>
      <c r="N17" s="47"/>
      <c r="O17" s="63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</row>
    <row r="18" spans="1:40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56"/>
      <c r="J18" s="47"/>
      <c r="K18" s="63"/>
      <c r="L18" s="49"/>
      <c r="M18" s="49"/>
      <c r="N18" s="47"/>
      <c r="O18" s="63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</row>
    <row r="19" spans="1:40" s="56" customFormat="1" x14ac:dyDescent="0.25">
      <c r="A19" s="107" t="s">
        <v>38</v>
      </c>
      <c r="B19" s="107" t="s">
        <v>30</v>
      </c>
      <c r="C19" s="107" t="s">
        <v>59</v>
      </c>
      <c r="D19" s="43"/>
      <c r="E19" s="35"/>
      <c r="F19" s="33"/>
      <c r="G19" s="33"/>
      <c r="J19" s="47"/>
      <c r="K19" s="63"/>
      <c r="L19" s="49"/>
      <c r="M19" s="49" t="s">
        <v>94</v>
      </c>
      <c r="N19" s="47"/>
      <c r="O19" s="63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</row>
    <row r="20" spans="1:40" x14ac:dyDescent="0.25">
      <c r="A20" s="66">
        <v>1</v>
      </c>
      <c r="B20" s="66">
        <v>0</v>
      </c>
      <c r="C20" s="66">
        <v>9.0999999999999998E-2</v>
      </c>
      <c r="D20" s="43"/>
      <c r="J20" s="47"/>
      <c r="K20" s="63"/>
      <c r="L20" s="49"/>
      <c r="M20" s="49" t="s">
        <v>94</v>
      </c>
      <c r="N20" s="47"/>
      <c r="O20" s="63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</row>
    <row r="21" spans="1:40" x14ac:dyDescent="0.25">
      <c r="A21" s="66"/>
      <c r="B21" s="66"/>
      <c r="C21" s="66"/>
      <c r="D21" s="43"/>
      <c r="K21" s="79"/>
      <c r="L21" s="49"/>
      <c r="M21" s="49" t="s">
        <v>94</v>
      </c>
      <c r="N21" s="47"/>
      <c r="O21" s="63"/>
      <c r="P21" s="47"/>
      <c r="Q21" s="47"/>
      <c r="R21" s="64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</row>
    <row r="22" spans="1:40" x14ac:dyDescent="0.25">
      <c r="A22" s="47"/>
      <c r="B22" s="47"/>
      <c r="C22" s="47"/>
      <c r="D22" s="35"/>
      <c r="K22" s="79"/>
      <c r="L22" s="49"/>
      <c r="M22" s="49" t="s">
        <v>94</v>
      </c>
      <c r="N22" s="47"/>
      <c r="O22" s="47"/>
      <c r="P22" s="47"/>
      <c r="Q22" s="47"/>
      <c r="R22" s="64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</row>
    <row r="23" spans="1:40" x14ac:dyDescent="0.25">
      <c r="A23" s="47"/>
      <c r="B23" s="47"/>
      <c r="C23" s="47"/>
      <c r="D23" s="35"/>
      <c r="K23" s="79"/>
      <c r="L23" s="49"/>
      <c r="M23" s="49" t="s">
        <v>94</v>
      </c>
      <c r="N23" s="47"/>
      <c r="O23" s="47"/>
      <c r="P23" s="47"/>
      <c r="Q23" s="47"/>
      <c r="R23" s="64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I23" s="47"/>
      <c r="AJ23" s="47"/>
      <c r="AK23" s="47"/>
      <c r="AL23" s="47"/>
      <c r="AM23" s="47"/>
      <c r="AN23" s="47"/>
    </row>
    <row r="24" spans="1:40" x14ac:dyDescent="0.25">
      <c r="A24" s="43"/>
      <c r="B24" s="43"/>
      <c r="C24" s="43"/>
      <c r="D24" s="43"/>
      <c r="K24" s="79"/>
      <c r="L24" s="49"/>
      <c r="M24" s="49" t="s">
        <v>94</v>
      </c>
      <c r="N24" s="47"/>
      <c r="O24" s="47"/>
      <c r="P24" s="47"/>
      <c r="Q24" s="47"/>
      <c r="R24" s="64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I24" s="47"/>
      <c r="AJ24" s="47"/>
      <c r="AK24" s="47"/>
      <c r="AL24" s="47"/>
      <c r="AM24" s="47"/>
      <c r="AN24" s="47"/>
    </row>
    <row r="25" spans="1:40" x14ac:dyDescent="0.25">
      <c r="A25" s="47"/>
      <c r="B25" s="47"/>
      <c r="C25" s="47"/>
      <c r="D25" s="35"/>
      <c r="K25" s="79"/>
      <c r="L25" s="49"/>
      <c r="M25" s="49" t="s">
        <v>94</v>
      </c>
      <c r="N25" s="47"/>
      <c r="O25" s="47"/>
      <c r="P25" s="47"/>
      <c r="Q25" s="47"/>
      <c r="R25" s="64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I25" s="47"/>
      <c r="AJ25" s="47"/>
      <c r="AK25" s="47"/>
      <c r="AL25" s="47"/>
      <c r="AM25" s="47"/>
      <c r="AN25" s="47"/>
    </row>
    <row r="26" spans="1:40" x14ac:dyDescent="0.25">
      <c r="A26" s="43"/>
      <c r="B26" s="43"/>
      <c r="C26" s="43"/>
      <c r="D26" s="43"/>
      <c r="K26" s="79"/>
      <c r="L26" s="49"/>
      <c r="M26" s="49" t="s">
        <v>94</v>
      </c>
      <c r="N26" s="47"/>
      <c r="O26" s="47"/>
      <c r="P26" s="47"/>
      <c r="Q26" s="47"/>
      <c r="R26" s="64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I26" s="47"/>
      <c r="AJ26" s="47"/>
      <c r="AK26" s="47"/>
      <c r="AL26" s="47"/>
      <c r="AM26" s="47"/>
      <c r="AN26" s="47"/>
    </row>
    <row r="27" spans="1:40" x14ac:dyDescent="0.25">
      <c r="A27" s="43"/>
      <c r="B27" s="43"/>
      <c r="C27" s="43"/>
      <c r="D27" s="43"/>
      <c r="L27" s="49"/>
      <c r="M27" s="49" t="s">
        <v>94</v>
      </c>
      <c r="N27" s="47"/>
      <c r="O27" s="47"/>
      <c r="P27" s="47"/>
      <c r="Q27" s="47"/>
      <c r="R27" s="64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I27" s="47"/>
      <c r="AJ27" s="47"/>
      <c r="AK27" s="47"/>
      <c r="AL27" s="47"/>
      <c r="AM27" s="47"/>
      <c r="AN27" s="47"/>
    </row>
    <row r="28" spans="1:40" x14ac:dyDescent="0.25">
      <c r="A28" s="43"/>
      <c r="B28" s="43"/>
      <c r="C28" s="43"/>
      <c r="D28" s="43"/>
      <c r="L28" s="49"/>
      <c r="M28" s="49" t="s">
        <v>94</v>
      </c>
      <c r="N28" s="47"/>
      <c r="O28" s="47"/>
      <c r="P28" s="47"/>
      <c r="Q28" s="47"/>
      <c r="R28" s="64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I28" s="47"/>
      <c r="AJ28" s="47"/>
      <c r="AK28" s="47"/>
      <c r="AL28" s="47"/>
      <c r="AM28" s="47"/>
      <c r="AN28" s="47"/>
    </row>
    <row r="29" spans="1:40" x14ac:dyDescent="0.25">
      <c r="A29" s="43"/>
      <c r="B29" s="43"/>
      <c r="C29" s="43"/>
      <c r="D29" s="43"/>
      <c r="L29" s="49"/>
      <c r="M29" s="49" t="s">
        <v>94</v>
      </c>
      <c r="N29" s="47"/>
      <c r="O29" s="47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</row>
    <row r="30" spans="1:40" x14ac:dyDescent="0.25">
      <c r="A30" s="43"/>
      <c r="B30" s="43"/>
      <c r="C30" s="43"/>
      <c r="D30" s="43"/>
      <c r="L30" s="49"/>
      <c r="M30" s="49" t="s">
        <v>94</v>
      </c>
      <c r="N30" s="47"/>
      <c r="O30" s="47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33" t="s">
        <v>99</v>
      </c>
      <c r="AF30" s="33" t="s">
        <v>100</v>
      </c>
      <c r="AG30" s="33" t="s">
        <v>101</v>
      </c>
      <c r="AI30" s="47"/>
      <c r="AJ30" s="47"/>
      <c r="AK30" s="47"/>
      <c r="AL30" s="47"/>
      <c r="AM30" s="47"/>
      <c r="AN30" s="47"/>
    </row>
    <row r="31" spans="1:40" x14ac:dyDescent="0.25">
      <c r="A31" s="43"/>
      <c r="B31" s="43"/>
      <c r="C31" s="43"/>
      <c r="D31" s="43"/>
      <c r="L31" s="49"/>
      <c r="M31" s="49" t="s">
        <v>94</v>
      </c>
      <c r="N31" s="47"/>
      <c r="O31" s="47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33">
        <v>15</v>
      </c>
      <c r="AF31" s="33">
        <v>48</v>
      </c>
      <c r="AG31" s="33">
        <v>1900</v>
      </c>
      <c r="AH31" s="33">
        <v>8</v>
      </c>
      <c r="AI31" s="47"/>
      <c r="AJ31" s="47"/>
      <c r="AK31" s="47"/>
      <c r="AL31" s="47"/>
      <c r="AM31" s="47"/>
      <c r="AN31" s="47"/>
    </row>
    <row r="32" spans="1:40" x14ac:dyDescent="0.25">
      <c r="A32" s="43"/>
      <c r="B32" s="43"/>
      <c r="C32" s="43"/>
      <c r="D32" s="43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33">
        <v>16</v>
      </c>
      <c r="AF32" s="33">
        <v>51.8</v>
      </c>
      <c r="AG32" s="33">
        <v>2100</v>
      </c>
      <c r="AH32" s="33">
        <v>8.8000000000000007</v>
      </c>
      <c r="AI32" s="47"/>
      <c r="AJ32" s="47"/>
      <c r="AK32" s="47"/>
      <c r="AL32" s="47"/>
      <c r="AM32" s="47"/>
      <c r="AN32" s="47"/>
    </row>
    <row r="33" spans="1:40" x14ac:dyDescent="0.25">
      <c r="A33" s="43"/>
      <c r="B33" s="43"/>
      <c r="C33" s="43"/>
      <c r="D33" s="43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33">
        <v>17</v>
      </c>
      <c r="AF33" s="33">
        <v>55.599999999999994</v>
      </c>
      <c r="AG33" s="33">
        <v>2300</v>
      </c>
      <c r="AH33" s="33">
        <v>9.6000000000000014</v>
      </c>
      <c r="AI33" s="47"/>
      <c r="AJ33" s="47"/>
      <c r="AK33" s="47"/>
      <c r="AL33" s="47"/>
      <c r="AM33" s="47"/>
      <c r="AN33" s="47"/>
    </row>
    <row r="34" spans="1:40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33">
        <v>18</v>
      </c>
      <c r="AF34" s="33">
        <v>59.399999999999991</v>
      </c>
      <c r="AG34" s="33">
        <v>2500</v>
      </c>
      <c r="AH34" s="33">
        <v>10.400000000000002</v>
      </c>
      <c r="AI34" s="47"/>
      <c r="AJ34" s="47"/>
      <c r="AK34" s="47"/>
      <c r="AL34" s="47"/>
      <c r="AM34" s="47"/>
      <c r="AN34" s="47"/>
    </row>
    <row r="35" spans="1:40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33">
        <v>19</v>
      </c>
      <c r="AF35" s="33">
        <v>63.199999999999989</v>
      </c>
      <c r="AG35" s="33">
        <v>2700</v>
      </c>
      <c r="AH35" s="33">
        <v>11.200000000000003</v>
      </c>
      <c r="AI35" s="47"/>
      <c r="AJ35" s="47"/>
      <c r="AK35" s="47"/>
      <c r="AL35" s="47"/>
      <c r="AM35" s="47"/>
      <c r="AN35" s="47"/>
    </row>
    <row r="36" spans="1:40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33">
        <v>20</v>
      </c>
      <c r="AF36" s="33">
        <v>66.999999999999986</v>
      </c>
      <c r="AG36" s="33">
        <v>2900</v>
      </c>
      <c r="AH36" s="33">
        <v>12.000000000000004</v>
      </c>
      <c r="AI36" s="47"/>
      <c r="AJ36" s="47"/>
      <c r="AK36" s="47"/>
      <c r="AL36" s="47"/>
      <c r="AM36" s="47"/>
      <c r="AN36" s="47"/>
    </row>
    <row r="37" spans="1:40" x14ac:dyDescent="0.25">
      <c r="L37" s="49"/>
      <c r="M37" s="49" t="s">
        <v>94</v>
      </c>
      <c r="N37" s="47"/>
      <c r="O37" s="63"/>
      <c r="P37" s="47"/>
      <c r="Q37" s="47"/>
      <c r="R37" s="64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33">
        <v>21</v>
      </c>
      <c r="AF37" s="33">
        <v>69.799999999999983</v>
      </c>
      <c r="AG37" s="33">
        <v>3280</v>
      </c>
      <c r="AH37" s="33">
        <v>13.600000000000003</v>
      </c>
      <c r="AI37" s="47"/>
      <c r="AJ37" s="47"/>
      <c r="AK37" s="47"/>
      <c r="AL37" s="47"/>
      <c r="AM37" s="47"/>
      <c r="AN37" s="47"/>
    </row>
    <row r="38" spans="1:40" x14ac:dyDescent="0.25">
      <c r="L38" s="49"/>
      <c r="M38" s="49" t="s">
        <v>94</v>
      </c>
      <c r="N38" s="47"/>
      <c r="O38" s="63"/>
      <c r="P38" s="47"/>
      <c r="Q38" s="47"/>
      <c r="R38" s="64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33">
        <v>22</v>
      </c>
      <c r="AF38" s="33">
        <v>72.59999999999998</v>
      </c>
      <c r="AG38" s="33">
        <v>3660</v>
      </c>
      <c r="AH38" s="33">
        <v>15.200000000000003</v>
      </c>
      <c r="AI38" s="47"/>
      <c r="AJ38" s="47"/>
      <c r="AK38" s="47"/>
      <c r="AL38" s="47"/>
      <c r="AM38" s="47"/>
      <c r="AN38" s="47"/>
    </row>
    <row r="39" spans="1:40" x14ac:dyDescent="0.25">
      <c r="L39" s="49"/>
      <c r="M39" s="49" t="s">
        <v>94</v>
      </c>
      <c r="N39" s="47"/>
      <c r="O39" s="63"/>
      <c r="P39" s="47"/>
      <c r="Q39" s="47"/>
      <c r="R39" s="64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33">
        <v>23</v>
      </c>
      <c r="AF39" s="33">
        <v>75.399999999999977</v>
      </c>
      <c r="AG39" s="33">
        <v>4040</v>
      </c>
      <c r="AH39" s="33">
        <v>16.800000000000004</v>
      </c>
      <c r="AI39" s="47"/>
      <c r="AJ39" s="47"/>
      <c r="AK39" s="47"/>
      <c r="AL39" s="47"/>
      <c r="AM39" s="47"/>
      <c r="AN39" s="47"/>
    </row>
    <row r="40" spans="1:40" x14ac:dyDescent="0.25">
      <c r="L40" s="49"/>
      <c r="AE40" s="33">
        <v>24</v>
      </c>
      <c r="AF40" s="33">
        <v>78.199999999999974</v>
      </c>
      <c r="AG40" s="33">
        <v>4420</v>
      </c>
      <c r="AH40" s="33">
        <v>18.400000000000006</v>
      </c>
    </row>
    <row r="41" spans="1:40" x14ac:dyDescent="0.25">
      <c r="L41" s="49"/>
      <c r="AE41" s="33">
        <v>25</v>
      </c>
      <c r="AF41" s="33">
        <v>80.999999999999972</v>
      </c>
      <c r="AG41" s="33">
        <v>4800</v>
      </c>
      <c r="AH41" s="33">
        <v>20.000000000000007</v>
      </c>
    </row>
    <row r="42" spans="1:40" x14ac:dyDescent="0.25">
      <c r="L42" s="49"/>
      <c r="AE42" s="33">
        <v>26</v>
      </c>
      <c r="AF42" s="33">
        <v>83.999999999999972</v>
      </c>
      <c r="AG42" s="33">
        <v>5760</v>
      </c>
      <c r="AH42" s="33">
        <v>24.000000000000007</v>
      </c>
    </row>
    <row r="43" spans="1:40" x14ac:dyDescent="0.25">
      <c r="L43" s="49"/>
      <c r="AE43" s="33">
        <v>27</v>
      </c>
      <c r="AF43" s="33">
        <v>86.999999999999972</v>
      </c>
      <c r="AG43" s="33">
        <v>6720</v>
      </c>
      <c r="AH43" s="33">
        <v>28.000000000000007</v>
      </c>
    </row>
    <row r="44" spans="1:40" x14ac:dyDescent="0.25">
      <c r="L44" s="49"/>
      <c r="AE44" s="33">
        <v>28</v>
      </c>
      <c r="AF44" s="33">
        <v>89.999999999999972</v>
      </c>
      <c r="AG44" s="33">
        <v>7680</v>
      </c>
      <c r="AH44" s="33">
        <v>32.000000000000007</v>
      </c>
    </row>
    <row r="45" spans="1:40" x14ac:dyDescent="0.25">
      <c r="L45" s="49"/>
      <c r="AE45" s="33">
        <v>29</v>
      </c>
      <c r="AF45" s="33">
        <v>92.999999999999972</v>
      </c>
      <c r="AG45" s="33">
        <v>8640</v>
      </c>
      <c r="AH45" s="33">
        <v>36.000000000000007</v>
      </c>
    </row>
    <row r="46" spans="1:40" x14ac:dyDescent="0.25">
      <c r="L46" s="49"/>
      <c r="AE46" s="33">
        <v>30</v>
      </c>
      <c r="AF46" s="33">
        <v>95.999999999999972</v>
      </c>
      <c r="AG46" s="33">
        <v>9600</v>
      </c>
      <c r="AH46" s="33">
        <v>40.000000000000007</v>
      </c>
    </row>
    <row r="47" spans="1:40" x14ac:dyDescent="0.25">
      <c r="L47" s="49"/>
      <c r="AE47" s="33">
        <v>31</v>
      </c>
      <c r="AF47" s="33">
        <v>99.799999999999969</v>
      </c>
      <c r="AG47" s="33">
        <v>10080</v>
      </c>
      <c r="AH47" s="33">
        <v>42.000000000000007</v>
      </c>
    </row>
    <row r="48" spans="1:40" x14ac:dyDescent="0.25">
      <c r="L48" s="49"/>
      <c r="AE48" s="33">
        <v>32</v>
      </c>
      <c r="AF48" s="33">
        <v>103.59999999999997</v>
      </c>
      <c r="AG48" s="33">
        <v>10560</v>
      </c>
      <c r="AH48" s="33">
        <v>44.000000000000007</v>
      </c>
    </row>
    <row r="49" spans="12:34" x14ac:dyDescent="0.25">
      <c r="L49" s="49"/>
      <c r="AE49" s="33">
        <v>33</v>
      </c>
      <c r="AF49" s="33">
        <v>107.39999999999996</v>
      </c>
      <c r="AG49" s="33">
        <v>11040</v>
      </c>
      <c r="AH49" s="33">
        <v>46.000000000000007</v>
      </c>
    </row>
    <row r="50" spans="12:34" x14ac:dyDescent="0.25">
      <c r="L50" s="49"/>
      <c r="AE50" s="33">
        <v>34</v>
      </c>
      <c r="AF50" s="33">
        <v>111.19999999999996</v>
      </c>
      <c r="AG50" s="33">
        <v>11520</v>
      </c>
      <c r="AH50" s="33">
        <v>48.000000000000007</v>
      </c>
    </row>
    <row r="51" spans="12:34" x14ac:dyDescent="0.25">
      <c r="L51" s="49"/>
      <c r="AE51" s="33">
        <v>35</v>
      </c>
      <c r="AF51" s="33">
        <v>114.99999999999996</v>
      </c>
      <c r="AG51" s="33">
        <v>12000</v>
      </c>
      <c r="AH51" s="33">
        <v>50.000000000000007</v>
      </c>
    </row>
    <row r="52" spans="12:34" x14ac:dyDescent="0.25">
      <c r="L52" s="49"/>
    </row>
    <row r="53" spans="12:34" x14ac:dyDescent="0.25">
      <c r="L53" s="49"/>
    </row>
    <row r="54" spans="12:34" x14ac:dyDescent="0.25">
      <c r="L54" s="49"/>
    </row>
    <row r="55" spans="12:34" x14ac:dyDescent="0.25">
      <c r="L55" s="49"/>
    </row>
    <row r="56" spans="12:34" x14ac:dyDescent="0.25">
      <c r="L56" s="49"/>
    </row>
    <row r="57" spans="12:34" x14ac:dyDescent="0.25">
      <c r="L57" s="49"/>
    </row>
    <row r="58" spans="12:34" x14ac:dyDescent="0.25">
      <c r="L58" s="49"/>
    </row>
    <row r="59" spans="12:34" x14ac:dyDescent="0.25">
      <c r="L59" s="49"/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  <row r="256" spans="12:12" x14ac:dyDescent="0.25">
      <c r="L256" s="49"/>
    </row>
    <row r="257" spans="12:12" x14ac:dyDescent="0.25">
      <c r="L257" s="49"/>
    </row>
    <row r="258" spans="12:12" x14ac:dyDescent="0.25">
      <c r="L258" s="49"/>
    </row>
  </sheetData>
  <mergeCells count="3">
    <mergeCell ref="R3:S3"/>
    <mergeCell ref="U3:V3"/>
    <mergeCell ref="AC3:AI3"/>
  </mergeCells>
  <conditionalFormatting sqref="N6 Q6 R13:AA16 AM8:AN18 Q8:Q18 N8:N18 AE8:AI16 AE6:AI6 AO8:AS12 AM6:AS6 R8:Y12">
    <cfRule type="expression" dxfId="1527" priority="62">
      <formula>$L6="API sand"</formula>
    </cfRule>
  </conditionalFormatting>
  <conditionalFormatting sqref="AJ13:AJ16 N6 AB13:AB16 AK6:AL6 AK8:AL18 N8:N18">
    <cfRule type="expression" dxfId="1526" priority="61">
      <formula>$M6="API sand"</formula>
    </cfRule>
  </conditionalFormatting>
  <conditionalFormatting sqref="AJ13:AJ16 N6 AK6:AL6 AB13:AB16 AK8:AL18 N8:N18">
    <cfRule type="expression" dxfId="1525" priority="60">
      <formula>$M6="API clay"</formula>
    </cfRule>
  </conditionalFormatting>
  <conditionalFormatting sqref="AM6:AN6 N6:P6 AM8:AN18 N8:P15">
    <cfRule type="expression" dxfId="1524" priority="57">
      <formula>$L6="Stiff clay w/o free water"</formula>
    </cfRule>
    <cfRule type="expression" dxfId="1523" priority="59">
      <formula>$L6="API clay"</formula>
    </cfRule>
  </conditionalFormatting>
  <conditionalFormatting sqref="AM6:AN6 N6:P6 AM8:AN18 N8:P15">
    <cfRule type="expression" dxfId="1522" priority="58">
      <formula>$L6="Kirsch soft clay"</formula>
    </cfRule>
  </conditionalFormatting>
  <conditionalFormatting sqref="AM6:AN6 N6:P6 AM8:AN18 N8:P15">
    <cfRule type="expression" dxfId="1521" priority="56">
      <formula>$L6="Kirsch stiff clay"</formula>
    </cfRule>
  </conditionalFormatting>
  <conditionalFormatting sqref="N6 Q6 R13:AA16 AM8:AN18 Q8:Q18 N8:N18 AE8:AI16 AE6:AI6 AO8:AS12 AM6:AS6 R8:Y12">
    <cfRule type="expression" dxfId="1520" priority="55">
      <formula>$L6="Kirsch sand"</formula>
    </cfRule>
  </conditionalFormatting>
  <conditionalFormatting sqref="N6 AC6:AD6 AM6:AN6 AC8:AD18 AM8:AN18 N8:N18">
    <cfRule type="expression" dxfId="1519" priority="54">
      <formula>$L6="Modified Weak rock"</formula>
    </cfRule>
  </conditionalFormatting>
  <conditionalFormatting sqref="AM6:AN6 N6:P6 AM8:AN18 N8:P15">
    <cfRule type="expression" dxfId="1518" priority="53">
      <formula>$L6="Reese stiff clay"</formula>
    </cfRule>
  </conditionalFormatting>
  <conditionalFormatting sqref="N19:N39 Q19:Q39 AM19:AN39">
    <cfRule type="expression" dxfId="1517" priority="52">
      <formula>$L19="API sand"</formula>
    </cfRule>
  </conditionalFormatting>
  <conditionalFormatting sqref="N19:N39 Z19:Z39 AB19:AB39 R19:S39 AJ19:AL39">
    <cfRule type="expression" dxfId="1516" priority="51">
      <formula>$M19="API sand"</formula>
    </cfRule>
  </conditionalFormatting>
  <conditionalFormatting sqref="Z19:AB39 AK19:AL39 R19:T39 N19:N39">
    <cfRule type="expression" dxfId="1515" priority="50">
      <formula>$M19="API clay"</formula>
    </cfRule>
  </conditionalFormatting>
  <conditionalFormatting sqref="U19:W39 AM19:AN39 N32:P39 N19:N31 P19:P31">
    <cfRule type="expression" dxfId="1514" priority="47">
      <formula>$L19="Stiff clay w/o free water"</formula>
    </cfRule>
    <cfRule type="expression" dxfId="1513" priority="49">
      <formula>$L19="API clay"</formula>
    </cfRule>
  </conditionalFormatting>
  <conditionalFormatting sqref="U19:Y39 AM19:AN39 N32:P39 N19:N31 P19:P31">
    <cfRule type="expression" dxfId="1512" priority="48">
      <formula>$L19="Kirsch soft clay"</formula>
    </cfRule>
  </conditionalFormatting>
  <conditionalFormatting sqref="AM19:AN39 U19:Y39 N32:P39 N19:N31 P19:P31">
    <cfRule type="expression" dxfId="1511" priority="46">
      <formula>$L19="Kirsch stiff clay"</formula>
    </cfRule>
  </conditionalFormatting>
  <conditionalFormatting sqref="N19:N39 Q19:Q39 X19:Y39 AM19:AN39">
    <cfRule type="expression" dxfId="1510" priority="45">
      <formula>$L19="Kirsch sand"</formula>
    </cfRule>
  </conditionalFormatting>
  <conditionalFormatting sqref="N19:N39 AC19:AI22 AM19:AN39 AC23:AD39 AI23:AI39">
    <cfRule type="expression" dxfId="1509" priority="44">
      <formula>$L19="Modified Weak rock"</formula>
    </cfRule>
  </conditionalFormatting>
  <conditionalFormatting sqref="U19:V39 AM19:AN39 N32:P39 N19:N31 P19:P31">
    <cfRule type="expression" dxfId="1508" priority="43">
      <formula>$L19="Reese stiff clay"</formula>
    </cfRule>
  </conditionalFormatting>
  <conditionalFormatting sqref="AC6:AD6 AM6:AN6 N6:P6 AC8:AD18 AM8:AN18 N8:P15">
    <cfRule type="expression" dxfId="1507" priority="42">
      <formula>$L6="PISA clay"</formula>
    </cfRule>
  </conditionalFormatting>
  <conditionalFormatting sqref="N6 AC6:AD6 AM6:AN6 AC8:AD18 AM8:AN18 N8:N18">
    <cfRule type="expression" dxfId="1506" priority="41">
      <formula>$L6="PISA sand"</formula>
    </cfRule>
  </conditionalFormatting>
  <conditionalFormatting sqref="R6:Y6">
    <cfRule type="expression" dxfId="1505" priority="40">
      <formula>$L6="API sand"</formula>
    </cfRule>
  </conditionalFormatting>
  <conditionalFormatting sqref="R6:Y6">
    <cfRule type="expression" dxfId="1504" priority="39">
      <formula>$L6="Kirsch sand"</formula>
    </cfRule>
  </conditionalFormatting>
  <conditionalFormatting sqref="N17:N18 N16:O16 P17:P18 O17:O21">
    <cfRule type="expression" dxfId="1503" priority="36">
      <formula>$L16="Stiff clay w/o free water"</formula>
    </cfRule>
    <cfRule type="expression" dxfId="1502" priority="38">
      <formula>$L16="API clay"</formula>
    </cfRule>
  </conditionalFormatting>
  <conditionalFormatting sqref="N17:N18 N16:O16 P17:P18 O17:O21">
    <cfRule type="expression" dxfId="1501" priority="37">
      <formula>$L16="Kirsch soft clay"</formula>
    </cfRule>
  </conditionalFormatting>
  <conditionalFormatting sqref="N17:N18 N16:O16 P17:P18 O17:O21">
    <cfRule type="expression" dxfId="1500" priority="35">
      <formula>$L16="Kirsch stiff clay"</formula>
    </cfRule>
  </conditionalFormatting>
  <conditionalFormatting sqref="N17:N18 N16:O16 P17:P18 O17:O21">
    <cfRule type="expression" dxfId="1499" priority="34">
      <formula>$L16="Reese stiff clay"</formula>
    </cfRule>
  </conditionalFormatting>
  <conditionalFormatting sqref="N17:N18 N16:O16 P17:P18 O17:O21">
    <cfRule type="expression" dxfId="1498" priority="33">
      <formula>$L16="PISA clay"</formula>
    </cfRule>
  </conditionalFormatting>
  <conditionalFormatting sqref="R17:AB18">
    <cfRule type="expression" dxfId="1497" priority="32">
      <formula>$L17="API sand"</formula>
    </cfRule>
  </conditionalFormatting>
  <conditionalFormatting sqref="R17:AB18">
    <cfRule type="expression" dxfId="1496" priority="31">
      <formula>$L17="Kirsch sand"</formula>
    </cfRule>
  </conditionalFormatting>
  <conditionalFormatting sqref="AE17:AJ18">
    <cfRule type="expression" dxfId="1495" priority="30">
      <formula>$L17="API sand"</formula>
    </cfRule>
  </conditionalFormatting>
  <conditionalFormatting sqref="AE17:AJ18">
    <cfRule type="expression" dxfId="1494" priority="29">
      <formula>$L17="Kirsch sand"</formula>
    </cfRule>
  </conditionalFormatting>
  <conditionalFormatting sqref="O22:O24">
    <cfRule type="expression" dxfId="1493" priority="28">
      <formula>$L22="API sand"</formula>
    </cfRule>
  </conditionalFormatting>
  <conditionalFormatting sqref="O22:O24">
    <cfRule type="expression" dxfId="1492" priority="27">
      <formula>$L22="Kirsch sand"</formula>
    </cfRule>
  </conditionalFormatting>
  <conditionalFormatting sqref="O25:O31">
    <cfRule type="expression" dxfId="1491" priority="26">
      <formula>$L25="API sand"</formula>
    </cfRule>
  </conditionalFormatting>
  <conditionalFormatting sqref="O25:O31">
    <cfRule type="expression" dxfId="1490" priority="25">
      <formula>$L25="Kirsch sand"</formula>
    </cfRule>
  </conditionalFormatting>
  <conditionalFormatting sqref="P16">
    <cfRule type="expression" dxfId="1489" priority="22">
      <formula>$L16="Stiff clay w/o free water"</formula>
    </cfRule>
    <cfRule type="expression" dxfId="1488" priority="24">
      <formula>$L16="API clay"</formula>
    </cfRule>
  </conditionalFormatting>
  <conditionalFormatting sqref="P16">
    <cfRule type="expression" dxfId="1487" priority="23">
      <formula>$L16="Kirsch soft clay"</formula>
    </cfRule>
  </conditionalFormatting>
  <conditionalFormatting sqref="P16">
    <cfRule type="expression" dxfId="1486" priority="21">
      <formula>$L16="Kirsch stiff clay"</formula>
    </cfRule>
  </conditionalFormatting>
  <conditionalFormatting sqref="P16">
    <cfRule type="expression" dxfId="1485" priority="20">
      <formula>$L16="Reese stiff clay"</formula>
    </cfRule>
  </conditionalFormatting>
  <conditionalFormatting sqref="P16">
    <cfRule type="expression" dxfId="1484" priority="19">
      <formula>$L16="PISA clay"</formula>
    </cfRule>
  </conditionalFormatting>
  <conditionalFormatting sqref="N7 Q7 AE7:AI7 AM7:AS7">
    <cfRule type="expression" dxfId="1483" priority="18">
      <formula>$L7="API sand"</formula>
    </cfRule>
  </conditionalFormatting>
  <conditionalFormatting sqref="N7 AK7:AL7">
    <cfRule type="expression" dxfId="1482" priority="17">
      <formula>$M7="API sand"</formula>
    </cfRule>
  </conditionalFormatting>
  <conditionalFormatting sqref="N7 AK7:AL7">
    <cfRule type="expression" dxfId="1481" priority="16">
      <formula>$M7="API clay"</formula>
    </cfRule>
  </conditionalFormatting>
  <conditionalFormatting sqref="AM7:AN7 N7:P7">
    <cfRule type="expression" dxfId="1480" priority="13">
      <formula>$L7="Stiff clay w/o free water"</formula>
    </cfRule>
    <cfRule type="expression" dxfId="1479" priority="15">
      <formula>$L7="API clay"</formula>
    </cfRule>
  </conditionalFormatting>
  <conditionalFormatting sqref="AM7:AN7 N7:P7">
    <cfRule type="expression" dxfId="1478" priority="14">
      <formula>$L7="Kirsch soft clay"</formula>
    </cfRule>
  </conditionalFormatting>
  <conditionalFormatting sqref="AM7:AN7 N7:P7">
    <cfRule type="expression" dxfId="1477" priority="12">
      <formula>$L7="Kirsch stiff clay"</formula>
    </cfRule>
  </conditionalFormatting>
  <conditionalFormatting sqref="N7 Q7 AE7:AI7 AM7:AS7">
    <cfRule type="expression" dxfId="1476" priority="11">
      <formula>$L7="Kirsch sand"</formula>
    </cfRule>
  </conditionalFormatting>
  <conditionalFormatting sqref="N7 AC7:AD7 AM7:AN7">
    <cfRule type="expression" dxfId="1475" priority="10">
      <formula>$L7="Modified Weak rock"</formula>
    </cfRule>
  </conditionalFormatting>
  <conditionalFormatting sqref="AM7:AN7 N7:P7">
    <cfRule type="expression" dxfId="1474" priority="9">
      <formula>$L7="Reese stiff clay"</formula>
    </cfRule>
  </conditionalFormatting>
  <conditionalFormatting sqref="AC7:AD7 AM7:AN7 N7:P7">
    <cfRule type="expression" dxfId="1473" priority="8">
      <formula>$L7="PISA clay"</formula>
    </cfRule>
  </conditionalFormatting>
  <conditionalFormatting sqref="N7 AC7:AD7 AM7:AN7">
    <cfRule type="expression" dxfId="1472" priority="7">
      <formula>$L7="PISA sand"</formula>
    </cfRule>
  </conditionalFormatting>
  <conditionalFormatting sqref="R7:Y7">
    <cfRule type="expression" dxfId="1471" priority="6">
      <formula>$L7="API sand"</formula>
    </cfRule>
  </conditionalFormatting>
  <conditionalFormatting sqref="R7:Y7">
    <cfRule type="expression" dxfId="1470" priority="5">
      <formula>$L7="Kirsch sand"</formula>
    </cfRule>
  </conditionalFormatting>
  <conditionalFormatting sqref="Z6:Z12 AB6:AB12">
    <cfRule type="expression" dxfId="1469" priority="4">
      <formula>$M6="API sand"</formula>
    </cfRule>
  </conditionalFormatting>
  <conditionalFormatting sqref="Z6:AB12">
    <cfRule type="expression" dxfId="1468" priority="3">
      <formula>$M6="API clay"</formula>
    </cfRule>
  </conditionalFormatting>
  <conditionalFormatting sqref="AJ6:AJ12">
    <cfRule type="expression" dxfId="1467" priority="2">
      <formula>$L6="API sand"</formula>
    </cfRule>
  </conditionalFormatting>
  <conditionalFormatting sqref="AJ6:AJ12">
    <cfRule type="expression" dxfId="1466" priority="1">
      <formula>$L6="Kirsch sand"</formula>
    </cfRule>
  </conditionalFormatting>
  <dataValidations count="3">
    <dataValidation type="list" showInputMessage="1" showErrorMessage="1" sqref="L13:L258" xr:uid="{89DDE55D-1F97-4CBF-BA98-8E43B0F8B9A6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8" xr:uid="{232AAEA3-E6D6-4673-ABCD-4C46C38F2B52}">
      <formula1>"Zero soil,API sand,API clay"</formula1>
    </dataValidation>
    <dataValidation type="list" showInputMessage="1" showErrorMessage="1" sqref="M19:M39" xr:uid="{48A44A5C-0551-46EF-9A8D-A018288AC7B0}">
      <formula1>"',API sand,API clay"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614B3-D6E2-45FB-97E1-168149528107}">
  <sheetPr>
    <tabColor theme="6" tint="0.59999389629810485"/>
  </sheetPr>
  <dimension ref="A1:AS255"/>
  <sheetViews>
    <sheetView zoomScaleNormal="100" workbookViewId="0">
      <selection activeCell="J22" sqref="J22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140625" style="33" customWidth="1"/>
    <col min="22" max="22" width="19.42578125" style="33" customWidth="1"/>
    <col min="23" max="23" width="6.5703125" style="33" customWidth="1"/>
    <col min="24" max="24" width="11.855468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85546875" style="33" customWidth="1"/>
    <col min="30" max="30" width="11.85546875" style="33" customWidth="1"/>
    <col min="31" max="31" width="10.28515625" style="33" customWidth="1"/>
    <col min="32" max="32" width="8.140625" style="33" customWidth="1"/>
    <col min="33" max="33" width="13.7109375" style="33" customWidth="1"/>
    <col min="34" max="34" width="8.42578125" style="33" customWidth="1"/>
    <col min="35" max="35" width="7.855468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140625" style="33"/>
  </cols>
  <sheetData>
    <row r="1" spans="1:45" x14ac:dyDescent="0.25">
      <c r="A1" s="34" t="str">
        <f ca="1">TRIM(MID(CELL("filename",A1),FIND("]",CELL("filename",A1),1)+1,255))</f>
        <v>Z1_L08_BE_PISA</v>
      </c>
      <c r="D1" s="34"/>
    </row>
    <row r="3" spans="1:45" s="35" customFormat="1" ht="45" customHeight="1" x14ac:dyDescent="0.25">
      <c r="F3" s="36" t="s">
        <v>39</v>
      </c>
      <c r="J3" s="37" t="s">
        <v>22</v>
      </c>
      <c r="Q3" s="74"/>
      <c r="R3" s="155"/>
      <c r="S3" s="155"/>
      <c r="T3" s="74"/>
      <c r="U3" s="155"/>
      <c r="V3" s="155"/>
      <c r="W3" s="74"/>
      <c r="X3" s="69"/>
      <c r="Y3" s="74"/>
      <c r="Z3" s="74"/>
      <c r="AA3" s="74"/>
      <c r="AB3" s="74"/>
      <c r="AC3" s="69"/>
      <c r="AD3" s="39"/>
      <c r="AE3" s="39"/>
      <c r="AF3" s="39"/>
      <c r="AG3" s="39"/>
      <c r="AH3" s="39"/>
      <c r="AI3" s="39"/>
      <c r="AJ3" s="74"/>
      <c r="AK3" s="74"/>
      <c r="AL3" s="74"/>
      <c r="AM3" s="74"/>
      <c r="AN3" s="74"/>
      <c r="AO3" s="77"/>
      <c r="AP3" s="77"/>
    </row>
    <row r="4" spans="1:45" x14ac:dyDescent="0.25">
      <c r="A4" s="40" t="s">
        <v>60</v>
      </c>
      <c r="B4" s="33">
        <f>COUNTIF(J:J,"&gt;0")</f>
        <v>13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3" t="s">
        <v>213</v>
      </c>
      <c r="AP4" s="43" t="s">
        <v>214</v>
      </c>
      <c r="AQ4" s="70" t="s">
        <v>102</v>
      </c>
      <c r="AR4" s="43" t="s">
        <v>177</v>
      </c>
      <c r="AS4" s="33" t="s">
        <v>276</v>
      </c>
    </row>
    <row r="5" spans="1:45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38" t="s">
        <v>38</v>
      </c>
      <c r="K5" s="38" t="s">
        <v>30</v>
      </c>
      <c r="L5" s="38" t="s">
        <v>31</v>
      </c>
      <c r="M5" s="38" t="s">
        <v>31</v>
      </c>
      <c r="N5" s="38" t="s">
        <v>32</v>
      </c>
      <c r="O5" s="38" t="s">
        <v>33</v>
      </c>
      <c r="P5" s="38" t="s">
        <v>35</v>
      </c>
      <c r="Q5" s="38" t="s">
        <v>36</v>
      </c>
      <c r="R5" s="38" t="s">
        <v>36</v>
      </c>
      <c r="S5" s="38" t="s">
        <v>34</v>
      </c>
      <c r="T5" s="38" t="s">
        <v>33</v>
      </c>
      <c r="U5" s="38" t="s">
        <v>34</v>
      </c>
      <c r="V5" s="38" t="s">
        <v>62</v>
      </c>
      <c r="W5" s="38" t="s">
        <v>34</v>
      </c>
      <c r="X5" s="38" t="s">
        <v>33</v>
      </c>
      <c r="Y5" s="38" t="s">
        <v>35</v>
      </c>
      <c r="Z5" s="38" t="s">
        <v>33</v>
      </c>
      <c r="AA5" s="38" t="s">
        <v>34</v>
      </c>
      <c r="AB5" s="38" t="s">
        <v>33</v>
      </c>
      <c r="AC5" s="38" t="s">
        <v>33</v>
      </c>
      <c r="AD5" s="38" t="s">
        <v>35</v>
      </c>
      <c r="AE5" s="38" t="s">
        <v>34</v>
      </c>
      <c r="AF5" s="38" t="s">
        <v>33</v>
      </c>
      <c r="AG5" s="38" t="s">
        <v>35</v>
      </c>
      <c r="AH5" s="38" t="s">
        <v>34</v>
      </c>
      <c r="AI5" s="38" t="s">
        <v>34</v>
      </c>
      <c r="AJ5" s="38" t="s">
        <v>34</v>
      </c>
      <c r="AK5" s="38" t="s">
        <v>34</v>
      </c>
      <c r="AL5" s="38" t="s">
        <v>34</v>
      </c>
      <c r="AM5" s="38" t="s">
        <v>34</v>
      </c>
      <c r="AN5" s="38" t="s">
        <v>34</v>
      </c>
      <c r="AO5" s="38" t="s">
        <v>34</v>
      </c>
      <c r="AP5" s="38" t="s">
        <v>34</v>
      </c>
      <c r="AQ5" s="38" t="s">
        <v>103</v>
      </c>
      <c r="AR5" s="83" t="s">
        <v>178</v>
      </c>
    </row>
    <row r="6" spans="1:45" x14ac:dyDescent="0.25">
      <c r="C6" s="45"/>
      <c r="F6" s="33" t="s">
        <v>67</v>
      </c>
      <c r="G6" s="57">
        <v>23</v>
      </c>
      <c r="H6" s="45" t="s">
        <v>28</v>
      </c>
      <c r="I6" s="33" t="s">
        <v>215</v>
      </c>
      <c r="J6" s="47">
        <v>1</v>
      </c>
      <c r="K6" s="19">
        <v>0</v>
      </c>
      <c r="L6" t="s">
        <v>207</v>
      </c>
      <c r="M6" s="49" t="s">
        <v>64</v>
      </c>
      <c r="N6" s="47">
        <v>9.6999999999999993</v>
      </c>
      <c r="O6" s="63">
        <v>0</v>
      </c>
      <c r="P6" s="63">
        <v>0</v>
      </c>
      <c r="Q6" s="47">
        <v>38</v>
      </c>
      <c r="R6" s="47">
        <f>Q6-5</f>
        <v>33</v>
      </c>
      <c r="S6" s="47">
        <v>0.5</v>
      </c>
      <c r="T6" s="47">
        <v>0</v>
      </c>
      <c r="U6" s="75">
        <v>0</v>
      </c>
      <c r="V6" s="75">
        <v>0</v>
      </c>
      <c r="W6" s="47">
        <v>0</v>
      </c>
      <c r="X6" s="47">
        <v>12800</v>
      </c>
      <c r="Y6" s="47">
        <v>0</v>
      </c>
      <c r="Z6" s="47">
        <f>VLOOKUP(R6,$AE$39:$AF$59,2)</f>
        <v>107.39999999999996</v>
      </c>
      <c r="AA6" s="47">
        <v>1</v>
      </c>
      <c r="AB6" s="47">
        <f>VLOOKUP(R6,$AE$39:$AG$59,3)</f>
        <v>11040</v>
      </c>
      <c r="AC6" s="63">
        <v>6000</v>
      </c>
      <c r="AD6" s="63">
        <v>33333.300000000003</v>
      </c>
      <c r="AE6" s="63">
        <v>0.3</v>
      </c>
      <c r="AF6" s="63">
        <v>0</v>
      </c>
      <c r="AG6" s="63">
        <v>0</v>
      </c>
      <c r="AH6" s="63">
        <v>0</v>
      </c>
      <c r="AI6" s="63">
        <v>0</v>
      </c>
      <c r="AJ6" s="47">
        <f>VLOOKUP(R6,$AE$39:$AH$59,4)</f>
        <v>46.000000000000007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94</v>
      </c>
      <c r="AS6" s="33">
        <v>0.4</v>
      </c>
    </row>
    <row r="7" spans="1:45" x14ac:dyDescent="0.25">
      <c r="A7" s="54" t="s">
        <v>23</v>
      </c>
      <c r="C7" s="45"/>
      <c r="F7" s="55" t="s">
        <v>48</v>
      </c>
      <c r="G7" s="56"/>
      <c r="H7" s="39"/>
      <c r="I7" s="56" t="s">
        <v>215</v>
      </c>
      <c r="J7" s="47">
        <v>2</v>
      </c>
      <c r="K7" s="19">
        <v>-0.9</v>
      </c>
      <c r="L7" t="s">
        <v>184</v>
      </c>
      <c r="M7" s="49" t="s">
        <v>64</v>
      </c>
      <c r="N7" s="47">
        <v>9.6999999999999993</v>
      </c>
      <c r="O7" s="63">
        <v>0</v>
      </c>
      <c r="P7" s="63">
        <v>0</v>
      </c>
      <c r="Q7" s="47">
        <v>39</v>
      </c>
      <c r="R7" s="47">
        <f t="shared" ref="R7:R18" si="0">Q7-5</f>
        <v>34</v>
      </c>
      <c r="S7" s="47">
        <v>0.5</v>
      </c>
      <c r="T7" s="47">
        <v>0</v>
      </c>
      <c r="U7" s="75">
        <v>0</v>
      </c>
      <c r="V7" s="75">
        <v>0</v>
      </c>
      <c r="W7" s="47">
        <v>0</v>
      </c>
      <c r="X7" s="47">
        <v>26200</v>
      </c>
      <c r="Y7" s="47">
        <v>0</v>
      </c>
      <c r="Z7" s="47">
        <f t="shared" ref="Z7:Z18" si="1">VLOOKUP(R7,$AE$39:$AF$59,2)</f>
        <v>111.19999999999996</v>
      </c>
      <c r="AA7" s="47">
        <v>1</v>
      </c>
      <c r="AB7" s="47">
        <v>0</v>
      </c>
      <c r="AC7" s="63">
        <v>39000</v>
      </c>
      <c r="AD7" s="63">
        <v>1111.0999999999999</v>
      </c>
      <c r="AE7" s="63">
        <v>0.3</v>
      </c>
      <c r="AF7" s="63">
        <v>0</v>
      </c>
      <c r="AG7" s="63">
        <v>0</v>
      </c>
      <c r="AH7" s="63">
        <v>0</v>
      </c>
      <c r="AI7" s="63">
        <v>0</v>
      </c>
      <c r="AJ7" s="47">
        <f t="shared" ref="AJ7:AJ18" si="2">VLOOKUP(R7,$AE$39:$AH$59,4)</f>
        <v>48.000000000000007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77</v>
      </c>
      <c r="AS7" s="33">
        <v>0.4</v>
      </c>
    </row>
    <row r="8" spans="1:45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15778.957475994512</v>
      </c>
      <c r="H8" s="45" t="s">
        <v>53</v>
      </c>
      <c r="I8" s="56" t="s">
        <v>215</v>
      </c>
      <c r="J8" s="47">
        <v>3</v>
      </c>
      <c r="K8" s="19">
        <v>-1.8</v>
      </c>
      <c r="L8" t="s">
        <v>200</v>
      </c>
      <c r="M8" s="49" t="s">
        <v>64</v>
      </c>
      <c r="N8" s="47">
        <v>9.6999999999999993</v>
      </c>
      <c r="O8" s="63">
        <v>0</v>
      </c>
      <c r="P8" s="63">
        <v>0</v>
      </c>
      <c r="Q8" s="47">
        <v>36</v>
      </c>
      <c r="R8" s="47">
        <f t="shared" si="0"/>
        <v>31</v>
      </c>
      <c r="S8" s="47">
        <v>0.5</v>
      </c>
      <c r="T8" s="47">
        <v>0</v>
      </c>
      <c r="U8" s="75">
        <v>0</v>
      </c>
      <c r="V8" s="75">
        <v>0</v>
      </c>
      <c r="W8" s="47">
        <v>0</v>
      </c>
      <c r="X8" s="47">
        <v>15900</v>
      </c>
      <c r="Y8" s="47">
        <v>0</v>
      </c>
      <c r="Z8" s="47">
        <f t="shared" si="1"/>
        <v>99.799999999999969</v>
      </c>
      <c r="AA8" s="47">
        <v>1</v>
      </c>
      <c r="AB8" s="47">
        <f t="shared" ref="AB8:AB11" si="3">VLOOKUP(R8,$AE$39:$AG$59,3)</f>
        <v>10080</v>
      </c>
      <c r="AC8" s="63">
        <v>40000</v>
      </c>
      <c r="AD8" s="63">
        <v>-3333.3</v>
      </c>
      <c r="AE8" s="63">
        <v>0.3</v>
      </c>
      <c r="AF8" s="63">
        <v>0</v>
      </c>
      <c r="AG8" s="63">
        <v>0</v>
      </c>
      <c r="AH8" s="63">
        <v>0</v>
      </c>
      <c r="AI8" s="63">
        <v>0</v>
      </c>
      <c r="AJ8" s="47">
        <f>VLOOKUP(R8,$AE$39:$AH$59,4)</f>
        <v>42.000000000000007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51</v>
      </c>
      <c r="AS8" s="33">
        <v>0.4</v>
      </c>
    </row>
    <row r="9" spans="1:45" x14ac:dyDescent="0.25">
      <c r="A9" s="33" t="s">
        <v>68</v>
      </c>
      <c r="B9" s="57">
        <v>40</v>
      </c>
      <c r="C9" s="45" t="s">
        <v>28</v>
      </c>
      <c r="D9" s="57">
        <v>28</v>
      </c>
      <c r="F9" s="33" t="s">
        <v>96</v>
      </c>
      <c r="G9" s="76">
        <v>-666224.96570644702</v>
      </c>
      <c r="H9" s="45" t="s">
        <v>54</v>
      </c>
      <c r="I9" s="33" t="s">
        <v>216</v>
      </c>
      <c r="J9" s="47">
        <v>4</v>
      </c>
      <c r="K9" s="19">
        <v>-2.4</v>
      </c>
      <c r="L9" s="49" t="s">
        <v>275</v>
      </c>
      <c r="M9" s="49" t="s">
        <v>65</v>
      </c>
      <c r="N9" s="47">
        <v>9.3000000000000007</v>
      </c>
      <c r="O9" s="63">
        <v>20</v>
      </c>
      <c r="P9" s="63">
        <v>25</v>
      </c>
      <c r="Q9" s="47">
        <v>0</v>
      </c>
      <c r="R9" s="47">
        <f t="shared" si="0"/>
        <v>-5</v>
      </c>
      <c r="S9" s="47">
        <v>0.8</v>
      </c>
      <c r="T9" s="47">
        <v>0</v>
      </c>
      <c r="U9" s="75">
        <v>1.7999999999999999E-2</v>
      </c>
      <c r="V9" s="75">
        <v>0</v>
      </c>
      <c r="W9" s="47">
        <v>0.5</v>
      </c>
      <c r="X9" s="47">
        <v>2900</v>
      </c>
      <c r="Y9" s="47">
        <v>0</v>
      </c>
      <c r="Z9" s="47" t="e">
        <f t="shared" si="1"/>
        <v>#N/A</v>
      </c>
      <c r="AA9" s="47">
        <v>1</v>
      </c>
      <c r="AB9" s="47" t="e">
        <f t="shared" si="3"/>
        <v>#N/A</v>
      </c>
      <c r="AC9" s="63">
        <v>18000</v>
      </c>
      <c r="AD9" s="63">
        <v>19000</v>
      </c>
      <c r="AE9" s="63">
        <v>0.3</v>
      </c>
      <c r="AF9" s="63">
        <v>0</v>
      </c>
      <c r="AG9" s="63">
        <v>0</v>
      </c>
      <c r="AH9" s="63">
        <v>0</v>
      </c>
      <c r="AI9" s="63">
        <v>0</v>
      </c>
      <c r="AJ9" s="47" t="e">
        <f t="shared" si="2"/>
        <v>#N/A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33">
        <v>0.4</v>
      </c>
    </row>
    <row r="10" spans="1:45" s="56" customFormat="1" x14ac:dyDescent="0.25">
      <c r="A10" s="56" t="s">
        <v>69</v>
      </c>
      <c r="B10" s="58">
        <v>40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 t="s">
        <v>217</v>
      </c>
      <c r="J10" s="47">
        <v>5</v>
      </c>
      <c r="K10" s="19">
        <v>-3.4</v>
      </c>
      <c r="L10" t="s">
        <v>208</v>
      </c>
      <c r="M10" s="49" t="s">
        <v>64</v>
      </c>
      <c r="N10" s="47">
        <v>10</v>
      </c>
      <c r="O10" s="63">
        <v>0</v>
      </c>
      <c r="P10" s="63">
        <v>0</v>
      </c>
      <c r="Q10" s="47">
        <v>28</v>
      </c>
      <c r="R10" s="47">
        <f t="shared" si="0"/>
        <v>23</v>
      </c>
      <c r="S10" s="47">
        <v>3</v>
      </c>
      <c r="T10" s="47">
        <v>0</v>
      </c>
      <c r="U10" s="75">
        <v>0</v>
      </c>
      <c r="V10" s="75">
        <v>0</v>
      </c>
      <c r="W10" s="47">
        <v>0</v>
      </c>
      <c r="X10" s="47">
        <v>13700</v>
      </c>
      <c r="Y10" s="47">
        <v>0</v>
      </c>
      <c r="Z10" s="47">
        <f t="shared" si="1"/>
        <v>75.399999999999977</v>
      </c>
      <c r="AA10" s="47">
        <v>1</v>
      </c>
      <c r="AB10" s="47">
        <v>0</v>
      </c>
      <c r="AC10" s="63">
        <v>57000</v>
      </c>
      <c r="AD10" s="63">
        <v>6071.4</v>
      </c>
      <c r="AE10" s="63">
        <v>0.3</v>
      </c>
      <c r="AF10" s="63">
        <v>0</v>
      </c>
      <c r="AG10" s="63">
        <v>0</v>
      </c>
      <c r="AH10" s="63">
        <v>0</v>
      </c>
      <c r="AI10" s="63">
        <v>0</v>
      </c>
      <c r="AJ10" s="47">
        <f t="shared" si="2"/>
        <v>16.800000000000004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59</v>
      </c>
      <c r="AS10" s="33">
        <v>0.4</v>
      </c>
    </row>
    <row r="11" spans="1:45" x14ac:dyDescent="0.25">
      <c r="A11" s="33" t="s">
        <v>70</v>
      </c>
      <c r="B11" s="57">
        <v>0.5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217</v>
      </c>
      <c r="J11" s="47">
        <v>6</v>
      </c>
      <c r="K11" s="19">
        <v>-9</v>
      </c>
      <c r="L11" t="s">
        <v>110</v>
      </c>
      <c r="M11" s="49" t="s">
        <v>64</v>
      </c>
      <c r="N11" s="47">
        <v>10</v>
      </c>
      <c r="O11" s="63">
        <v>0</v>
      </c>
      <c r="P11" s="63">
        <v>0</v>
      </c>
      <c r="Q11" s="47">
        <v>28</v>
      </c>
      <c r="R11" s="47">
        <f t="shared" si="0"/>
        <v>23</v>
      </c>
      <c r="S11" s="47">
        <v>1.7</v>
      </c>
      <c r="T11" s="47">
        <v>0</v>
      </c>
      <c r="U11" s="75">
        <v>0</v>
      </c>
      <c r="V11" s="75">
        <v>0</v>
      </c>
      <c r="W11" s="47">
        <v>0</v>
      </c>
      <c r="X11" s="47">
        <v>25400</v>
      </c>
      <c r="Y11" s="47">
        <v>0</v>
      </c>
      <c r="Z11" s="47">
        <f t="shared" si="1"/>
        <v>75.399999999999977</v>
      </c>
      <c r="AA11" s="47">
        <v>1</v>
      </c>
      <c r="AB11" s="47">
        <f t="shared" si="3"/>
        <v>4040</v>
      </c>
      <c r="AC11" s="63">
        <v>96000</v>
      </c>
      <c r="AD11" s="63">
        <v>5689.7</v>
      </c>
      <c r="AE11" s="63">
        <v>0.3</v>
      </c>
      <c r="AF11" s="63">
        <v>0</v>
      </c>
      <c r="AG11" s="63">
        <v>0</v>
      </c>
      <c r="AH11" s="63">
        <v>0</v>
      </c>
      <c r="AI11" s="63">
        <v>0</v>
      </c>
      <c r="AJ11" s="47">
        <f>VLOOKUP(R11,$AE$39:$AH$59,4)</f>
        <v>16.800000000000004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70</v>
      </c>
      <c r="AS11" s="33">
        <v>0.4</v>
      </c>
    </row>
    <row r="12" spans="1:45" x14ac:dyDescent="0.25">
      <c r="A12" s="33" t="s">
        <v>74</v>
      </c>
      <c r="B12" s="57">
        <v>9.6999999999999993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 t="s">
        <v>218</v>
      </c>
      <c r="J12" s="47">
        <v>7</v>
      </c>
      <c r="K12" s="19">
        <v>-14.8</v>
      </c>
      <c r="L12" s="49" t="s">
        <v>275</v>
      </c>
      <c r="M12" s="49" t="s">
        <v>65</v>
      </c>
      <c r="N12" s="47">
        <v>8.3000000000000007</v>
      </c>
      <c r="O12" s="63">
        <v>122</v>
      </c>
      <c r="P12" s="63">
        <v>7.3</v>
      </c>
      <c r="Q12" s="47">
        <v>0</v>
      </c>
      <c r="R12" s="47">
        <f t="shared" si="0"/>
        <v>-5</v>
      </c>
      <c r="S12" s="47">
        <v>1.6</v>
      </c>
      <c r="T12" s="47">
        <v>0</v>
      </c>
      <c r="U12" s="75">
        <v>1.7999999999999999E-2</v>
      </c>
      <c r="V12" s="75">
        <v>0</v>
      </c>
      <c r="W12" s="47">
        <v>0.5</v>
      </c>
      <c r="X12" s="47">
        <v>17300</v>
      </c>
      <c r="Y12" s="47">
        <v>0</v>
      </c>
      <c r="Z12" s="47" t="e">
        <f t="shared" si="1"/>
        <v>#N/A</v>
      </c>
      <c r="AA12" s="47">
        <v>1</v>
      </c>
      <c r="AB12" s="47">
        <v>0</v>
      </c>
      <c r="AC12" s="63">
        <v>159000</v>
      </c>
      <c r="AD12" s="63">
        <v>10000</v>
      </c>
      <c r="AE12" s="63">
        <v>0.3</v>
      </c>
      <c r="AF12" s="63">
        <v>0</v>
      </c>
      <c r="AG12" s="63">
        <v>0</v>
      </c>
      <c r="AH12" s="63">
        <v>0</v>
      </c>
      <c r="AI12" s="63">
        <v>0</v>
      </c>
      <c r="AJ12" s="47" t="e">
        <f t="shared" si="2"/>
        <v>#N/A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33">
        <v>0.4</v>
      </c>
    </row>
    <row r="13" spans="1:45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219</v>
      </c>
      <c r="J13" s="47">
        <v>8</v>
      </c>
      <c r="K13" s="19">
        <v>-32</v>
      </c>
      <c r="L13" s="49" t="s">
        <v>275</v>
      </c>
      <c r="M13" s="49" t="s">
        <v>65</v>
      </c>
      <c r="N13" s="47">
        <v>8.5</v>
      </c>
      <c r="O13" s="63">
        <v>403</v>
      </c>
      <c r="P13" s="63">
        <v>-27.5</v>
      </c>
      <c r="Q13" s="47">
        <v>0</v>
      </c>
      <c r="R13" s="47">
        <f t="shared" si="0"/>
        <v>-5</v>
      </c>
      <c r="S13" s="47">
        <v>2.6</v>
      </c>
      <c r="T13" s="47">
        <v>0</v>
      </c>
      <c r="U13" s="75">
        <v>1.7999999999999999E-2</v>
      </c>
      <c r="V13" s="75">
        <v>0</v>
      </c>
      <c r="W13" s="47">
        <v>0.25</v>
      </c>
      <c r="X13" s="47">
        <v>31000</v>
      </c>
      <c r="Y13" s="47">
        <v>0</v>
      </c>
      <c r="Z13" s="47" t="e">
        <f t="shared" si="1"/>
        <v>#N/A</v>
      </c>
      <c r="AA13" s="47">
        <v>1</v>
      </c>
      <c r="AB13" s="47" t="e">
        <f>VLOOKUP(R13,$AE$39:$AG$59,3)</f>
        <v>#N/A</v>
      </c>
      <c r="AC13" s="63">
        <v>568000</v>
      </c>
      <c r="AD13" s="63">
        <v>-39500</v>
      </c>
      <c r="AE13" s="63">
        <v>0.3</v>
      </c>
      <c r="AF13" s="63">
        <v>0</v>
      </c>
      <c r="AG13" s="63">
        <v>0</v>
      </c>
      <c r="AH13" s="63">
        <v>0</v>
      </c>
      <c r="AI13" s="63">
        <v>0</v>
      </c>
      <c r="AJ13" s="47" t="e">
        <f t="shared" si="2"/>
        <v>#N/A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33">
        <v>0.4</v>
      </c>
    </row>
    <row r="14" spans="1:45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219</v>
      </c>
      <c r="J14" s="47">
        <v>9</v>
      </c>
      <c r="K14" s="19">
        <v>-36</v>
      </c>
      <c r="L14" s="49" t="s">
        <v>275</v>
      </c>
      <c r="M14" s="49" t="s">
        <v>65</v>
      </c>
      <c r="N14" s="47">
        <v>8.8000000000000007</v>
      </c>
      <c r="O14" s="63">
        <v>1118</v>
      </c>
      <c r="P14" s="63">
        <v>-132.30000000000001</v>
      </c>
      <c r="Q14" s="47">
        <v>0</v>
      </c>
      <c r="R14" s="47">
        <f t="shared" si="0"/>
        <v>-5</v>
      </c>
      <c r="S14" s="47">
        <v>3</v>
      </c>
      <c r="T14" s="47">
        <v>0</v>
      </c>
      <c r="U14" s="75">
        <v>1.7999999999999999E-2</v>
      </c>
      <c r="V14" s="75">
        <v>0</v>
      </c>
      <c r="W14" s="47">
        <v>0.25</v>
      </c>
      <c r="X14" s="47">
        <v>69900</v>
      </c>
      <c r="Y14" s="47">
        <v>0</v>
      </c>
      <c r="Z14" s="47" t="e">
        <f t="shared" si="1"/>
        <v>#N/A</v>
      </c>
      <c r="AA14" s="47">
        <v>1</v>
      </c>
      <c r="AB14" s="47">
        <v>1</v>
      </c>
      <c r="AC14" s="63">
        <v>1282000</v>
      </c>
      <c r="AD14" s="63">
        <v>0</v>
      </c>
      <c r="AE14" s="63">
        <v>0.3</v>
      </c>
      <c r="AF14" s="63">
        <v>0</v>
      </c>
      <c r="AG14" s="63">
        <v>0</v>
      </c>
      <c r="AH14" s="63">
        <v>0</v>
      </c>
      <c r="AI14" s="63">
        <v>0</v>
      </c>
      <c r="AJ14" s="47" t="e">
        <f t="shared" si="2"/>
        <v>#N/A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  <c r="AS14" s="33">
        <v>0.4</v>
      </c>
    </row>
    <row r="15" spans="1:45" x14ac:dyDescent="0.25">
      <c r="A15" s="33" t="s">
        <v>44</v>
      </c>
      <c r="B15" s="61">
        <v>207000000</v>
      </c>
      <c r="C15" s="45" t="s">
        <v>47</v>
      </c>
      <c r="I15" s="33" t="s">
        <v>220</v>
      </c>
      <c r="J15" s="47">
        <v>10</v>
      </c>
      <c r="K15" s="19">
        <v>-40</v>
      </c>
      <c r="L15" s="49" t="s">
        <v>275</v>
      </c>
      <c r="M15" s="49" t="s">
        <v>65</v>
      </c>
      <c r="N15" s="47">
        <v>8.8000000000000007</v>
      </c>
      <c r="O15" s="63">
        <v>409</v>
      </c>
      <c r="P15" s="63">
        <v>2.8</v>
      </c>
      <c r="Q15" s="47">
        <v>0</v>
      </c>
      <c r="R15" s="47">
        <f t="shared" si="0"/>
        <v>-5</v>
      </c>
      <c r="S15" s="47">
        <v>3</v>
      </c>
      <c r="T15" s="47">
        <v>0</v>
      </c>
      <c r="U15" s="75">
        <v>1.7999999999999999E-2</v>
      </c>
      <c r="V15" s="75">
        <v>0</v>
      </c>
      <c r="W15" s="47">
        <v>0.25</v>
      </c>
      <c r="X15" s="47">
        <v>40800</v>
      </c>
      <c r="Y15" s="47">
        <v>0</v>
      </c>
      <c r="Z15" s="47" t="e">
        <f t="shared" si="1"/>
        <v>#N/A</v>
      </c>
      <c r="AA15" s="47">
        <v>1</v>
      </c>
      <c r="AB15" s="47" t="e">
        <f t="shared" ref="AB15:AB18" si="4">VLOOKUP(R15,$AE$39:$AG$59,3)</f>
        <v>#N/A</v>
      </c>
      <c r="AC15" s="63">
        <v>596000</v>
      </c>
      <c r="AD15" s="63">
        <v>4536.7</v>
      </c>
      <c r="AE15" s="63">
        <v>0.3</v>
      </c>
      <c r="AF15" s="63">
        <v>0</v>
      </c>
      <c r="AG15" s="63">
        <v>0</v>
      </c>
      <c r="AH15" s="63">
        <v>0</v>
      </c>
      <c r="AI15" s="63">
        <v>0</v>
      </c>
      <c r="AJ15" s="47" t="e">
        <f t="shared" si="2"/>
        <v>#N/A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0.4</v>
      </c>
    </row>
    <row r="16" spans="1:45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 t="s">
        <v>220</v>
      </c>
      <c r="J16" s="47">
        <v>11</v>
      </c>
      <c r="K16" s="19">
        <v>-45</v>
      </c>
      <c r="L16" s="49" t="s">
        <v>275</v>
      </c>
      <c r="M16" s="49" t="s">
        <v>65</v>
      </c>
      <c r="N16" s="47">
        <v>8.8000000000000007</v>
      </c>
      <c r="O16" s="63">
        <v>1214</v>
      </c>
      <c r="P16" s="63">
        <v>-4.8</v>
      </c>
      <c r="Q16" s="47">
        <v>0</v>
      </c>
      <c r="R16" s="47">
        <f t="shared" si="0"/>
        <v>-5</v>
      </c>
      <c r="S16" s="47">
        <v>3</v>
      </c>
      <c r="T16" s="47">
        <v>0</v>
      </c>
      <c r="U16" s="75">
        <v>1.7999999999999999E-2</v>
      </c>
      <c r="V16" s="75">
        <v>0</v>
      </c>
      <c r="W16" s="47">
        <v>0.25</v>
      </c>
      <c r="X16" s="47">
        <v>101700</v>
      </c>
      <c r="Y16" s="47">
        <v>0</v>
      </c>
      <c r="Z16" s="47" t="e">
        <f t="shared" si="1"/>
        <v>#N/A</v>
      </c>
      <c r="AA16" s="47">
        <v>1</v>
      </c>
      <c r="AB16" s="47" t="e">
        <f t="shared" si="4"/>
        <v>#N/A</v>
      </c>
      <c r="AC16" s="63">
        <v>2042000</v>
      </c>
      <c r="AD16" s="63">
        <v>0</v>
      </c>
      <c r="AE16" s="63">
        <v>0.3</v>
      </c>
      <c r="AF16" s="63">
        <v>0</v>
      </c>
      <c r="AG16" s="63">
        <v>0</v>
      </c>
      <c r="AH16" s="63">
        <v>0</v>
      </c>
      <c r="AI16" s="63">
        <v>0</v>
      </c>
      <c r="AJ16" s="47" t="e">
        <f t="shared" si="2"/>
        <v>#N/A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0.4</v>
      </c>
    </row>
    <row r="17" spans="1:45" s="56" customFormat="1" x14ac:dyDescent="0.25">
      <c r="A17" s="33" t="s">
        <v>98</v>
      </c>
      <c r="B17" s="57">
        <v>0.53</v>
      </c>
      <c r="C17" s="45"/>
      <c r="D17" s="38"/>
      <c r="E17" s="38"/>
      <c r="I17" s="56" t="s">
        <v>221</v>
      </c>
      <c r="J17" s="47">
        <v>12</v>
      </c>
      <c r="K17" s="19">
        <v>-50</v>
      </c>
      <c r="L17" s="49" t="s">
        <v>275</v>
      </c>
      <c r="M17" s="49" t="s">
        <v>65</v>
      </c>
      <c r="N17" s="47">
        <v>8.5</v>
      </c>
      <c r="O17" s="63">
        <v>1365</v>
      </c>
      <c r="P17" s="63">
        <v>0</v>
      </c>
      <c r="Q17" s="47">
        <v>0</v>
      </c>
      <c r="R17" s="47">
        <f t="shared" si="0"/>
        <v>-5</v>
      </c>
      <c r="S17" s="47">
        <v>3</v>
      </c>
      <c r="T17" s="47">
        <v>0</v>
      </c>
      <c r="U17" s="75">
        <v>1.7999999999999999E-2</v>
      </c>
      <c r="V17" s="75">
        <v>0</v>
      </c>
      <c r="W17" s="47">
        <v>0.25</v>
      </c>
      <c r="X17" s="47">
        <v>117100</v>
      </c>
      <c r="Y17" s="47">
        <v>0</v>
      </c>
      <c r="Z17" s="47" t="e">
        <f t="shared" si="1"/>
        <v>#N/A</v>
      </c>
      <c r="AA17" s="47">
        <v>1</v>
      </c>
      <c r="AB17" s="47">
        <v>1</v>
      </c>
      <c r="AC17" s="63">
        <v>2396000</v>
      </c>
      <c r="AD17" s="63">
        <v>0</v>
      </c>
      <c r="AE17" s="63">
        <v>0.3</v>
      </c>
      <c r="AF17" s="63">
        <v>0</v>
      </c>
      <c r="AG17" s="63">
        <v>0</v>
      </c>
      <c r="AH17" s="63">
        <v>0</v>
      </c>
      <c r="AI17" s="63">
        <v>0</v>
      </c>
      <c r="AJ17" s="47" t="e">
        <f t="shared" si="2"/>
        <v>#N/A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0.4</v>
      </c>
    </row>
    <row r="18" spans="1:45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221</v>
      </c>
      <c r="J18" s="47">
        <v>13</v>
      </c>
      <c r="K18" s="19">
        <v>-57</v>
      </c>
      <c r="L18" s="49" t="s">
        <v>275</v>
      </c>
      <c r="M18" s="49" t="s">
        <v>65</v>
      </c>
      <c r="N18" s="47">
        <v>8.1</v>
      </c>
      <c r="O18" s="63">
        <v>465</v>
      </c>
      <c r="P18" s="47">
        <v>4.3</v>
      </c>
      <c r="Q18" s="47">
        <v>0</v>
      </c>
      <c r="R18" s="47">
        <f t="shared" si="0"/>
        <v>-5</v>
      </c>
      <c r="S18" s="47">
        <v>2</v>
      </c>
      <c r="T18" s="47">
        <v>0</v>
      </c>
      <c r="U18" s="47">
        <v>1.7999999999999999E-2</v>
      </c>
      <c r="V18" s="75">
        <v>0</v>
      </c>
      <c r="W18" s="47">
        <v>0.25</v>
      </c>
      <c r="X18" s="47">
        <v>45000</v>
      </c>
      <c r="Y18" s="47">
        <v>0</v>
      </c>
      <c r="Z18" s="47" t="e">
        <f t="shared" si="1"/>
        <v>#N/A</v>
      </c>
      <c r="AA18" s="47">
        <v>1</v>
      </c>
      <c r="AB18" s="47" t="e">
        <f t="shared" si="4"/>
        <v>#N/A</v>
      </c>
      <c r="AC18" s="47">
        <v>680000</v>
      </c>
      <c r="AD18" s="47">
        <v>8043.5</v>
      </c>
      <c r="AE18" s="63">
        <v>0.3</v>
      </c>
      <c r="AF18" s="63">
        <v>0</v>
      </c>
      <c r="AG18" s="63">
        <v>0</v>
      </c>
      <c r="AH18" s="63">
        <v>0</v>
      </c>
      <c r="AI18" s="63">
        <v>0</v>
      </c>
      <c r="AJ18" s="47" t="e">
        <f t="shared" si="2"/>
        <v>#N/A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0.4</v>
      </c>
    </row>
    <row r="19" spans="1:45" x14ac:dyDescent="0.25">
      <c r="A19" s="38" t="s">
        <v>38</v>
      </c>
      <c r="B19" s="38" t="s">
        <v>30</v>
      </c>
      <c r="C19" s="38" t="s">
        <v>59</v>
      </c>
      <c r="D19" s="43"/>
      <c r="E19" s="35"/>
      <c r="L19" s="49"/>
      <c r="M19" s="49" t="s">
        <v>94</v>
      </c>
      <c r="N19" s="47"/>
      <c r="O19" s="47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  <c r="AO19" s="47"/>
      <c r="AP19" s="47"/>
    </row>
    <row r="20" spans="1:45" x14ac:dyDescent="0.25">
      <c r="A20" s="66">
        <v>1</v>
      </c>
      <c r="B20" s="66">
        <v>0</v>
      </c>
      <c r="C20" s="67">
        <v>0.09</v>
      </c>
      <c r="D20" s="43"/>
      <c r="L20" s="49"/>
      <c r="M20" s="49" t="s">
        <v>94</v>
      </c>
      <c r="N20" s="47"/>
      <c r="O20" s="47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  <c r="AO20" s="47"/>
      <c r="AP20" s="47"/>
    </row>
    <row r="21" spans="1:45" x14ac:dyDescent="0.25">
      <c r="A21" s="66"/>
      <c r="B21" s="66"/>
      <c r="C21" s="67"/>
      <c r="D21" s="43"/>
      <c r="L21" s="49"/>
      <c r="M21" s="49" t="s">
        <v>94</v>
      </c>
      <c r="N21" s="47"/>
      <c r="O21" s="47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  <c r="AO21" s="47"/>
      <c r="AP21" s="47"/>
    </row>
    <row r="22" spans="1:45" x14ac:dyDescent="0.25">
      <c r="A22" s="66"/>
      <c r="B22" s="66"/>
      <c r="C22" s="67"/>
      <c r="D22" s="35"/>
      <c r="L22" s="49"/>
      <c r="M22" s="49" t="s">
        <v>94</v>
      </c>
      <c r="N22" s="47"/>
      <c r="O22" s="47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  <c r="AO22" s="47"/>
      <c r="AP22" s="47"/>
    </row>
    <row r="23" spans="1:45" x14ac:dyDescent="0.25">
      <c r="A23" s="66"/>
      <c r="B23" s="66"/>
      <c r="C23" s="67"/>
      <c r="D23" s="35"/>
      <c r="L23" s="49"/>
      <c r="M23" s="49" t="s">
        <v>94</v>
      </c>
      <c r="N23" s="47"/>
      <c r="O23" s="47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  <c r="AO23" s="47"/>
      <c r="AP23" s="47"/>
    </row>
    <row r="24" spans="1:45" x14ac:dyDescent="0.25">
      <c r="A24" s="66"/>
      <c r="B24" s="66"/>
      <c r="C24" s="67"/>
      <c r="D24" s="35"/>
      <c r="L24" s="49"/>
      <c r="M24" s="49" t="s">
        <v>94</v>
      </c>
      <c r="N24" s="47"/>
      <c r="O24" s="47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  <c r="AO24" s="47"/>
      <c r="AP24" s="47"/>
    </row>
    <row r="25" spans="1:45" x14ac:dyDescent="0.25">
      <c r="A25" s="66"/>
      <c r="B25" s="66"/>
      <c r="C25" s="67"/>
      <c r="D25" s="35"/>
      <c r="L25" s="49"/>
      <c r="M25" s="49" t="s">
        <v>94</v>
      </c>
      <c r="N25" s="47"/>
      <c r="O25" s="47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  <c r="AO25" s="47"/>
      <c r="AP25" s="47"/>
    </row>
    <row r="26" spans="1:45" x14ac:dyDescent="0.25">
      <c r="A26" s="66"/>
      <c r="B26" s="66"/>
      <c r="C26" s="67"/>
      <c r="D26" s="35"/>
      <c r="L26" s="49"/>
      <c r="M26" s="49" t="s">
        <v>94</v>
      </c>
      <c r="N26" s="47"/>
      <c r="O26" s="47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  <c r="AO26" s="47"/>
      <c r="AP26" s="47"/>
    </row>
    <row r="27" spans="1:45" x14ac:dyDescent="0.25">
      <c r="A27" s="66"/>
      <c r="B27" s="66"/>
      <c r="C27" s="67"/>
      <c r="D27" s="35"/>
      <c r="E27" s="33" t="s">
        <v>181</v>
      </c>
      <c r="L27" s="49"/>
      <c r="M27" s="49" t="s">
        <v>94</v>
      </c>
      <c r="N27" s="47"/>
      <c r="O27" s="47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  <c r="AO27" s="47"/>
      <c r="AP27" s="47"/>
    </row>
    <row r="28" spans="1:45" x14ac:dyDescent="0.25">
      <c r="A28" s="66"/>
      <c r="B28" s="66"/>
      <c r="C28" s="67"/>
      <c r="D28" s="35"/>
      <c r="L28" s="49"/>
      <c r="M28" s="49" t="s">
        <v>94</v>
      </c>
      <c r="N28" s="47"/>
      <c r="O28" s="47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  <c r="AO28" s="47"/>
      <c r="AP28" s="47"/>
    </row>
    <row r="29" spans="1:45" x14ac:dyDescent="0.25">
      <c r="A29" s="66"/>
      <c r="B29" s="66"/>
      <c r="C29" s="67"/>
      <c r="D29" s="35"/>
      <c r="L29" s="49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5" x14ac:dyDescent="0.25">
      <c r="A30" s="66"/>
      <c r="B30" s="66"/>
      <c r="C30" s="67"/>
      <c r="D30" s="35"/>
      <c r="L30" s="49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  <c r="AO30" s="47"/>
      <c r="AP30" s="47"/>
    </row>
    <row r="31" spans="1:45" x14ac:dyDescent="0.25">
      <c r="A31" s="66"/>
      <c r="B31" s="66"/>
      <c r="C31" s="67"/>
      <c r="D31" s="35"/>
      <c r="L31" s="49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  <c r="AO31" s="47"/>
      <c r="AP31" s="47"/>
    </row>
    <row r="32" spans="1:45" x14ac:dyDescent="0.25">
      <c r="A32" s="66"/>
      <c r="B32" s="66"/>
      <c r="C32" s="67"/>
      <c r="D32" s="35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66"/>
      <c r="B33" s="66"/>
      <c r="C33" s="67"/>
      <c r="D33" s="35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AE37" s="47"/>
      <c r="AF37" s="47" t="s">
        <v>104</v>
      </c>
      <c r="AG37" s="47" t="s">
        <v>105</v>
      </c>
      <c r="AH37" s="47" t="s">
        <v>66</v>
      </c>
    </row>
    <row r="38" spans="1:42" x14ac:dyDescent="0.25">
      <c r="L38" s="49"/>
      <c r="AE38" s="33" t="s">
        <v>99</v>
      </c>
      <c r="AF38" s="33" t="s">
        <v>100</v>
      </c>
      <c r="AG38" s="33" t="s">
        <v>101</v>
      </c>
    </row>
    <row r="39" spans="1:42" x14ac:dyDescent="0.25">
      <c r="L39" s="49"/>
      <c r="AE39" s="33">
        <v>15</v>
      </c>
      <c r="AF39" s="33">
        <v>48</v>
      </c>
      <c r="AG39" s="33">
        <v>1900</v>
      </c>
      <c r="AH39" s="33">
        <v>8</v>
      </c>
    </row>
    <row r="40" spans="1:42" x14ac:dyDescent="0.25">
      <c r="L40" s="49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2" x14ac:dyDescent="0.25">
      <c r="L41" s="49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</row>
    <row r="42" spans="1:42" x14ac:dyDescent="0.25">
      <c r="L42" s="49"/>
      <c r="AE42" s="33">
        <v>18</v>
      </c>
      <c r="AF42" s="33">
        <f t="shared" si="5"/>
        <v>59.399999999999991</v>
      </c>
      <c r="AG42" s="33">
        <f t="shared" si="6"/>
        <v>2500</v>
      </c>
      <c r="AH42" s="33">
        <f t="shared" si="7"/>
        <v>10.400000000000002</v>
      </c>
    </row>
    <row r="43" spans="1:42" x14ac:dyDescent="0.25">
      <c r="L43" s="49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</row>
    <row r="44" spans="1:42" x14ac:dyDescent="0.25">
      <c r="L44" s="49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</row>
    <row r="45" spans="1:42" x14ac:dyDescent="0.25">
      <c r="L45" s="49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2" x14ac:dyDescent="0.25">
      <c r="L46" s="49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2" x14ac:dyDescent="0.25">
      <c r="L47" s="49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2" x14ac:dyDescent="0.25">
      <c r="L48" s="49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9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9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9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9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9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9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9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9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9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9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9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</sheetData>
  <mergeCells count="2">
    <mergeCell ref="R3:S3"/>
    <mergeCell ref="U3:V3"/>
  </mergeCells>
  <conditionalFormatting sqref="W10:Y10 N6:N14 S10:T12 Q6:R6 W12:Y12 W11 Y11 Q7:Q14 R7:R18 S13 T17:T18 W13:X13 Y17:Y18 Z6:Z18 AB6:AB18 AJ6:AJ18 AM6:AQ18 AM19:AP36">
    <cfRule type="expression" dxfId="1465" priority="136">
      <formula>$L6="API sand"</formula>
    </cfRule>
  </conditionalFormatting>
  <conditionalFormatting sqref="R19:S20 R29:S36 S21:S28 AD21:AD28 AB19:AB35 N6:N14 S18 AK6:AL18">
    <cfRule type="expression" dxfId="1464" priority="135">
      <formula>$M6="API sand"</formula>
    </cfRule>
  </conditionalFormatting>
  <conditionalFormatting sqref="R19:T20 R29:T36 S21:T28 AD21:AD28 AB19:AB35 N6:N14 S18 AK6:AL18">
    <cfRule type="expression" dxfId="1463" priority="134">
      <formula>$M6="API clay"</formula>
    </cfRule>
  </conditionalFormatting>
  <conditionalFormatting sqref="U19:W36 N6:P14 U6:V12 AC6:AI6 U13:U14 U18 W18 V13:V18 AA6:AA18 AC7:AD13 AE7:AI18 AM6:AP36">
    <cfRule type="expression" dxfId="1462" priority="131">
      <formula>$L6="Stiff clay w/o free water"</formula>
    </cfRule>
    <cfRule type="expression" dxfId="1461" priority="133">
      <formula>$L6="API clay"</formula>
    </cfRule>
  </conditionalFormatting>
  <conditionalFormatting sqref="U19:Y36 N6:P14 U6:V12 AC6:AI6 U13:U14 U18 W18:X18 V13:V18 AA6:AA18 AC7:AD13 AE7:AI18 AM6:AP36">
    <cfRule type="expression" dxfId="1460" priority="132">
      <formula>$L6="Kirsch soft clay"</formula>
    </cfRule>
  </conditionalFormatting>
  <conditionalFormatting sqref="U19:Y36 N6:P14 U6:V12 AC6:AI6 U13:U14 U18 W18:X18 V13:V18 AA6:AA18 AC7:AD13 AE7:AI18 AM6:AP36">
    <cfRule type="expression" dxfId="1459" priority="130">
      <formula>$L6="Kirsch stiff clay"</formula>
    </cfRule>
  </conditionalFormatting>
  <conditionalFormatting sqref="W10:Y10 N6:N14 S10:T12 Q6:R6 W12:Y12 W11 Y11 Q7:Q14 R7:R18 S13 T17:T18 W13:X13 Y17:Y18 Z6:Z18 AB6:AB18 AJ6:AJ18 AM6:AQ18 AM19:AP36">
    <cfRule type="expression" dxfId="1458" priority="129">
      <formula>$L6="Kirsch sand"</formula>
    </cfRule>
  </conditionalFormatting>
  <conditionalFormatting sqref="AC18:AD19 AI19 N6:N14 AM6:AP36">
    <cfRule type="expression" dxfId="1457" priority="128">
      <formula>$L6="Modified Weak rock"</formula>
    </cfRule>
  </conditionalFormatting>
  <conditionalFormatting sqref="U19:V36 N6:P14 U6:V12 AC6:AI6 U13:U14 U18 V13:V18 AA6:AA18 AC7:AD13 AE7:AI18 AM6:AP36">
    <cfRule type="expression" dxfId="1456" priority="127">
      <formula>$L6="Reese stiff clay"</formula>
    </cfRule>
  </conditionalFormatting>
  <conditionalFormatting sqref="N18:N36 Q18:Q36">
    <cfRule type="expression" dxfId="1455" priority="126">
      <formula>$L18="API sand"</formula>
    </cfRule>
  </conditionalFormatting>
  <conditionalFormatting sqref="N18:N36 AB36 AJ19:AL36 Z19:Z36">
    <cfRule type="expression" dxfId="1454" priority="125">
      <formula>$M18="API sand"</formula>
    </cfRule>
  </conditionalFormatting>
  <conditionalFormatting sqref="Z36:AB36 AK19:AL36 N18:N36 Z19:AA35">
    <cfRule type="expression" dxfId="1453" priority="124">
      <formula>$M18="API clay"</formula>
    </cfRule>
  </conditionalFormatting>
  <conditionalFormatting sqref="N18:P18 N29:P36 N19:N28 P19:P28">
    <cfRule type="expression" dxfId="1452" priority="121">
      <formula>$L18="Stiff clay w/o free water"</formula>
    </cfRule>
    <cfRule type="expression" dxfId="1451" priority="123">
      <formula>$L18="API clay"</formula>
    </cfRule>
  </conditionalFormatting>
  <conditionalFormatting sqref="N18:P18 N29:P36 N19:N28 P19:P28">
    <cfRule type="expression" dxfId="1450" priority="122">
      <formula>$L18="Kirsch soft clay"</formula>
    </cfRule>
  </conditionalFormatting>
  <conditionalFormatting sqref="N18:P18 N29:P36 N19:N28 P19:P28">
    <cfRule type="expression" dxfId="1449" priority="120">
      <formula>$L18="Kirsch stiff clay"</formula>
    </cfRule>
  </conditionalFormatting>
  <conditionalFormatting sqref="N18:N36 Q18:Q36 X19:Y36 X18">
    <cfRule type="expression" dxfId="1448" priority="119">
      <formula>$L18="Kirsch sand"</formula>
    </cfRule>
  </conditionalFormatting>
  <conditionalFormatting sqref="N18:N36 AC20:AD36 AI20:AI36">
    <cfRule type="expression" dxfId="1447" priority="118">
      <formula>$L18="Modified Weak rock"</formula>
    </cfRule>
  </conditionalFormatting>
  <conditionalFormatting sqref="N18:P18 N29:P36 N19:N28 P19:P28">
    <cfRule type="expression" dxfId="1446" priority="117">
      <formula>$L18="Reese stiff clay"</formula>
    </cfRule>
  </conditionalFormatting>
  <conditionalFormatting sqref="N6:P14 U6:V12 AC6:AI6 U13:U14 V13:V18 AA6:AA18 AC7:AD13 AE7:AI18 AM6:AP18">
    <cfRule type="expression" dxfId="1445" priority="116">
      <formula>$L6="PISA clay"</formula>
    </cfRule>
  </conditionalFormatting>
  <conditionalFormatting sqref="N6:N14 AM6:AP18">
    <cfRule type="expression" dxfId="1444" priority="115">
      <formula>$L6="PISA sand"</formula>
    </cfRule>
  </conditionalFormatting>
  <conditionalFormatting sqref="O19:O21">
    <cfRule type="expression" dxfId="1443" priority="114">
      <formula>$L19="API sand"</formula>
    </cfRule>
  </conditionalFormatting>
  <conditionalFormatting sqref="O19:O21">
    <cfRule type="expression" dxfId="1442" priority="113">
      <formula>$L19="Kirsch sand"</formula>
    </cfRule>
  </conditionalFormatting>
  <conditionalFormatting sqref="O22:O28">
    <cfRule type="expression" dxfId="1441" priority="112">
      <formula>$L22="API sand"</formula>
    </cfRule>
  </conditionalFormatting>
  <conditionalFormatting sqref="O22:O28">
    <cfRule type="expression" dxfId="1440" priority="111">
      <formula>$L22="Kirsch sand"</formula>
    </cfRule>
  </conditionalFormatting>
  <conditionalFormatting sqref="S6:T9 W6:Y9 T13:T16 Y13:Y16">
    <cfRule type="expression" dxfId="1439" priority="110">
      <formula>$L6="API sand"</formula>
    </cfRule>
  </conditionalFormatting>
  <conditionalFormatting sqref="S6:T9 W6:Y9 T13:T16 Y13:Y16">
    <cfRule type="expression" dxfId="1438" priority="109">
      <formula>$L6="Kirsch sand"</formula>
    </cfRule>
  </conditionalFormatting>
  <conditionalFormatting sqref="AE37:AH37">
    <cfRule type="expression" dxfId="1437" priority="137">
      <formula>$L19="Modified Weak rock"</formula>
    </cfRule>
  </conditionalFormatting>
  <conditionalFormatting sqref="S14 W14:X14">
    <cfRule type="expression" dxfId="1436" priority="108">
      <formula>$L14="API sand"</formula>
    </cfRule>
  </conditionalFormatting>
  <conditionalFormatting sqref="S14 W14:X14">
    <cfRule type="expression" dxfId="1435" priority="107">
      <formula>$L14="Kirsch sand"</formula>
    </cfRule>
  </conditionalFormatting>
  <conditionalFormatting sqref="AD14">
    <cfRule type="expression" dxfId="1434" priority="104">
      <formula>$L14="Stiff clay w/o free water"</formula>
    </cfRule>
    <cfRule type="expression" dxfId="1433" priority="106">
      <formula>$L14="API clay"</formula>
    </cfRule>
  </conditionalFormatting>
  <conditionalFormatting sqref="AD14">
    <cfRule type="expression" dxfId="1432" priority="105">
      <formula>$L14="Kirsch soft clay"</formula>
    </cfRule>
  </conditionalFormatting>
  <conditionalFormatting sqref="AD14">
    <cfRule type="expression" dxfId="1431" priority="103">
      <formula>$L14="Kirsch stiff clay"</formula>
    </cfRule>
  </conditionalFormatting>
  <conditionalFormatting sqref="AD14">
    <cfRule type="expression" dxfId="1430" priority="102">
      <formula>$L14="Reese stiff clay"</formula>
    </cfRule>
  </conditionalFormatting>
  <conditionalFormatting sqref="AD14">
    <cfRule type="expression" dxfId="1429" priority="101">
      <formula>$L14="PISA clay"</formula>
    </cfRule>
  </conditionalFormatting>
  <conditionalFormatting sqref="N15 Q15 S15 W15">
    <cfRule type="expression" dxfId="1428" priority="100">
      <formula>$L15="API sand"</formula>
    </cfRule>
  </conditionalFormatting>
  <conditionalFormatting sqref="N15">
    <cfRule type="expression" dxfId="1427" priority="99">
      <formula>$M15="API sand"</formula>
    </cfRule>
  </conditionalFormatting>
  <conditionalFormatting sqref="N15">
    <cfRule type="expression" dxfId="1426" priority="98">
      <formula>$M15="API clay"</formula>
    </cfRule>
  </conditionalFormatting>
  <conditionalFormatting sqref="N15:P15">
    <cfRule type="expression" dxfId="1425" priority="95">
      <formula>$L15="Stiff clay w/o free water"</formula>
    </cfRule>
    <cfRule type="expression" dxfId="1424" priority="97">
      <formula>$L15="API clay"</formula>
    </cfRule>
  </conditionalFormatting>
  <conditionalFormatting sqref="N15:P15">
    <cfRule type="expression" dxfId="1423" priority="96">
      <formula>$L15="Kirsch soft clay"</formula>
    </cfRule>
  </conditionalFormatting>
  <conditionalFormatting sqref="N15:P15">
    <cfRule type="expression" dxfId="1422" priority="94">
      <formula>$L15="Kirsch stiff clay"</formula>
    </cfRule>
  </conditionalFormatting>
  <conditionalFormatting sqref="N15 Q15 S15 W15">
    <cfRule type="expression" dxfId="1421" priority="93">
      <formula>$L15="Kirsch sand"</formula>
    </cfRule>
  </conditionalFormatting>
  <conditionalFormatting sqref="N15">
    <cfRule type="expression" dxfId="1420" priority="92">
      <formula>$L15="Modified Weak rock"</formula>
    </cfRule>
  </conditionalFormatting>
  <conditionalFormatting sqref="N15:P15">
    <cfRule type="expression" dxfId="1419" priority="91">
      <formula>$L15="Reese stiff clay"</formula>
    </cfRule>
  </conditionalFormatting>
  <conditionalFormatting sqref="N15:P15">
    <cfRule type="expression" dxfId="1418" priority="90">
      <formula>$L15="PISA clay"</formula>
    </cfRule>
  </conditionalFormatting>
  <conditionalFormatting sqref="N15">
    <cfRule type="expression" dxfId="1417" priority="89">
      <formula>$L15="PISA sand"</formula>
    </cfRule>
  </conditionalFormatting>
  <conditionalFormatting sqref="AD15">
    <cfRule type="expression" dxfId="1416" priority="86">
      <formula>$L15="Stiff clay w/o free water"</formula>
    </cfRule>
    <cfRule type="expression" dxfId="1415" priority="88">
      <formula>$L15="API clay"</formula>
    </cfRule>
  </conditionalFormatting>
  <conditionalFormatting sqref="AD15">
    <cfRule type="expression" dxfId="1414" priority="87">
      <formula>$L15="Kirsch soft clay"</formula>
    </cfRule>
  </conditionalFormatting>
  <conditionalFormatting sqref="AD15">
    <cfRule type="expression" dxfId="1413" priority="85">
      <formula>$L15="Kirsch stiff clay"</formula>
    </cfRule>
  </conditionalFormatting>
  <conditionalFormatting sqref="AD15">
    <cfRule type="expression" dxfId="1412" priority="84">
      <formula>$L15="Reese stiff clay"</formula>
    </cfRule>
  </conditionalFormatting>
  <conditionalFormatting sqref="AD15">
    <cfRule type="expression" dxfId="1411" priority="83">
      <formula>$L15="PISA clay"</formula>
    </cfRule>
  </conditionalFormatting>
  <conditionalFormatting sqref="AC15">
    <cfRule type="expression" dxfId="1410" priority="80">
      <formula>$L15="Stiff clay w/o free water"</formula>
    </cfRule>
    <cfRule type="expression" dxfId="1409" priority="82">
      <formula>$L15="API clay"</formula>
    </cfRule>
  </conditionalFormatting>
  <conditionalFormatting sqref="AC15">
    <cfRule type="expression" dxfId="1408" priority="81">
      <formula>$L15="Kirsch soft clay"</formula>
    </cfRule>
  </conditionalFormatting>
  <conditionalFormatting sqref="AC15">
    <cfRule type="expression" dxfId="1407" priority="79">
      <formula>$L15="Kirsch stiff clay"</formula>
    </cfRule>
  </conditionalFormatting>
  <conditionalFormatting sqref="AC15">
    <cfRule type="expression" dxfId="1406" priority="78">
      <formula>$L15="Reese stiff clay"</formula>
    </cfRule>
  </conditionalFormatting>
  <conditionalFormatting sqref="AC15">
    <cfRule type="expression" dxfId="1405" priority="77">
      <formula>$L15="PISA clay"</formula>
    </cfRule>
  </conditionalFormatting>
  <conditionalFormatting sqref="X15">
    <cfRule type="expression" dxfId="1404" priority="76">
      <formula>$L15="API sand"</formula>
    </cfRule>
  </conditionalFormatting>
  <conditionalFormatting sqref="X15">
    <cfRule type="expression" dxfId="1403" priority="75">
      <formula>$L15="Kirsch sand"</formula>
    </cfRule>
  </conditionalFormatting>
  <conditionalFormatting sqref="N16 Q16 S16 W16:X16">
    <cfRule type="expression" dxfId="1402" priority="74">
      <formula>$L16="API sand"</formula>
    </cfRule>
  </conditionalFormatting>
  <conditionalFormatting sqref="N16">
    <cfRule type="expression" dxfId="1401" priority="73">
      <formula>$M16="API sand"</formula>
    </cfRule>
  </conditionalFormatting>
  <conditionalFormatting sqref="N16">
    <cfRule type="expression" dxfId="1400" priority="72">
      <formula>$M16="API clay"</formula>
    </cfRule>
  </conditionalFormatting>
  <conditionalFormatting sqref="N16:P16">
    <cfRule type="expression" dxfId="1399" priority="69">
      <formula>$L16="Stiff clay w/o free water"</formula>
    </cfRule>
    <cfRule type="expression" dxfId="1398" priority="71">
      <formula>$L16="API clay"</formula>
    </cfRule>
  </conditionalFormatting>
  <conditionalFormatting sqref="N16:P16">
    <cfRule type="expression" dxfId="1397" priority="70">
      <formula>$L16="Kirsch soft clay"</formula>
    </cfRule>
  </conditionalFormatting>
  <conditionalFormatting sqref="N16:P16">
    <cfRule type="expression" dxfId="1396" priority="68">
      <formula>$L16="Kirsch stiff clay"</formula>
    </cfRule>
  </conditionalFormatting>
  <conditionalFormatting sqref="N16 Q16 S16 W16:X16">
    <cfRule type="expression" dxfId="1395" priority="67">
      <formula>$L16="Kirsch sand"</formula>
    </cfRule>
  </conditionalFormatting>
  <conditionalFormatting sqref="N16">
    <cfRule type="expression" dxfId="1394" priority="66">
      <formula>$L16="Modified Weak rock"</formula>
    </cfRule>
  </conditionalFormatting>
  <conditionalFormatting sqref="N16:P16">
    <cfRule type="expression" dxfId="1393" priority="65">
      <formula>$L16="Reese stiff clay"</formula>
    </cfRule>
  </conditionalFormatting>
  <conditionalFormatting sqref="N16:P16">
    <cfRule type="expression" dxfId="1392" priority="64">
      <formula>$L16="PISA clay"</formula>
    </cfRule>
  </conditionalFormatting>
  <conditionalFormatting sqref="N16">
    <cfRule type="expression" dxfId="1391" priority="63">
      <formula>$L16="PISA sand"</formula>
    </cfRule>
  </conditionalFormatting>
  <conditionalFormatting sqref="AC16:AD16">
    <cfRule type="expression" dxfId="1390" priority="60">
      <formula>$L16="Stiff clay w/o free water"</formula>
    </cfRule>
    <cfRule type="expression" dxfId="1389" priority="62">
      <formula>$L16="API clay"</formula>
    </cfRule>
  </conditionalFormatting>
  <conditionalFormatting sqref="AC16:AD16">
    <cfRule type="expression" dxfId="1388" priority="61">
      <formula>$L16="Kirsch soft clay"</formula>
    </cfRule>
  </conditionalFormatting>
  <conditionalFormatting sqref="AC16:AD16">
    <cfRule type="expression" dxfId="1387" priority="59">
      <formula>$L16="Kirsch stiff clay"</formula>
    </cfRule>
  </conditionalFormatting>
  <conditionalFormatting sqref="AC16:AD16">
    <cfRule type="expression" dxfId="1386" priority="58">
      <formula>$L16="Reese stiff clay"</formula>
    </cfRule>
  </conditionalFormatting>
  <conditionalFormatting sqref="AC16:AD16">
    <cfRule type="expression" dxfId="1385" priority="57">
      <formula>$L16="PISA clay"</formula>
    </cfRule>
  </conditionalFormatting>
  <conditionalFormatting sqref="N17 Q17 S17 W17">
    <cfRule type="expression" dxfId="1384" priority="56">
      <formula>$L17="API sand"</formula>
    </cfRule>
  </conditionalFormatting>
  <conditionalFormatting sqref="N17">
    <cfRule type="expression" dxfId="1383" priority="55">
      <formula>$M17="API sand"</formula>
    </cfRule>
  </conditionalFormatting>
  <conditionalFormatting sqref="N17">
    <cfRule type="expression" dxfId="1382" priority="54">
      <formula>$M17="API clay"</formula>
    </cfRule>
  </conditionalFormatting>
  <conditionalFormatting sqref="N17:P17">
    <cfRule type="expression" dxfId="1381" priority="51">
      <formula>$L17="Stiff clay w/o free water"</formula>
    </cfRule>
    <cfRule type="expression" dxfId="1380" priority="53">
      <formula>$L17="API clay"</formula>
    </cfRule>
  </conditionalFormatting>
  <conditionalFormatting sqref="N17:P17">
    <cfRule type="expression" dxfId="1379" priority="52">
      <formula>$L17="Kirsch soft clay"</formula>
    </cfRule>
  </conditionalFormatting>
  <conditionalFormatting sqref="N17:P17">
    <cfRule type="expression" dxfId="1378" priority="50">
      <formula>$L17="Kirsch stiff clay"</formula>
    </cfRule>
  </conditionalFormatting>
  <conditionalFormatting sqref="N17 Q17 S17 W17">
    <cfRule type="expression" dxfId="1377" priority="49">
      <formula>$L17="Kirsch sand"</formula>
    </cfRule>
  </conditionalFormatting>
  <conditionalFormatting sqref="N17">
    <cfRule type="expression" dxfId="1376" priority="48">
      <formula>$L17="Modified Weak rock"</formula>
    </cfRule>
  </conditionalFormatting>
  <conditionalFormatting sqref="N17:P17">
    <cfRule type="expression" dxfId="1375" priority="47">
      <formula>$L17="Reese stiff clay"</formula>
    </cfRule>
  </conditionalFormatting>
  <conditionalFormatting sqref="N17:P17">
    <cfRule type="expression" dxfId="1374" priority="46">
      <formula>$L17="PISA clay"</formula>
    </cfRule>
  </conditionalFormatting>
  <conditionalFormatting sqref="N17">
    <cfRule type="expression" dxfId="1373" priority="45">
      <formula>$L17="PISA sand"</formula>
    </cfRule>
  </conditionalFormatting>
  <conditionalFormatting sqref="AD17">
    <cfRule type="expression" dxfId="1372" priority="42">
      <formula>$L17="Stiff clay w/o free water"</formula>
    </cfRule>
    <cfRule type="expression" dxfId="1371" priority="44">
      <formula>$L17="API clay"</formula>
    </cfRule>
  </conditionalFormatting>
  <conditionalFormatting sqref="AD17">
    <cfRule type="expression" dxfId="1370" priority="43">
      <formula>$L17="Kirsch soft clay"</formula>
    </cfRule>
  </conditionalFormatting>
  <conditionalFormatting sqref="AD17">
    <cfRule type="expression" dxfId="1369" priority="41">
      <formula>$L17="Kirsch stiff clay"</formula>
    </cfRule>
  </conditionalFormatting>
  <conditionalFormatting sqref="AD17">
    <cfRule type="expression" dxfId="1368" priority="40">
      <formula>$L17="Reese stiff clay"</formula>
    </cfRule>
  </conditionalFormatting>
  <conditionalFormatting sqref="AD17">
    <cfRule type="expression" dxfId="1367" priority="39">
      <formula>$L17="PISA clay"</formula>
    </cfRule>
  </conditionalFormatting>
  <conditionalFormatting sqref="AC17">
    <cfRule type="expression" dxfId="1366" priority="36">
      <formula>$L17="Stiff clay w/o free water"</formula>
    </cfRule>
    <cfRule type="expression" dxfId="1365" priority="38">
      <formula>$L17="API clay"</formula>
    </cfRule>
  </conditionalFormatting>
  <conditionalFormatting sqref="AC17">
    <cfRule type="expression" dxfId="1364" priority="37">
      <formula>$L17="Kirsch soft clay"</formula>
    </cfRule>
  </conditionalFormatting>
  <conditionalFormatting sqref="AC17">
    <cfRule type="expression" dxfId="1363" priority="35">
      <formula>$L17="Kirsch stiff clay"</formula>
    </cfRule>
  </conditionalFormatting>
  <conditionalFormatting sqref="AC17">
    <cfRule type="expression" dxfId="1362" priority="34">
      <formula>$L17="Reese stiff clay"</formula>
    </cfRule>
  </conditionalFormatting>
  <conditionalFormatting sqref="AC17">
    <cfRule type="expression" dxfId="1361" priority="33">
      <formula>$L17="PISA clay"</formula>
    </cfRule>
  </conditionalFormatting>
  <conditionalFormatting sqref="X17">
    <cfRule type="expression" dxfId="1360" priority="32">
      <formula>$L17="API sand"</formula>
    </cfRule>
  </conditionalFormatting>
  <conditionalFormatting sqref="X17">
    <cfRule type="expression" dxfId="1359" priority="31">
      <formula>$L17="Kirsch sand"</formula>
    </cfRule>
  </conditionalFormatting>
  <conditionalFormatting sqref="U15">
    <cfRule type="expression" dxfId="1358" priority="28">
      <formula>$L15="Stiff clay w/o free water"</formula>
    </cfRule>
    <cfRule type="expression" dxfId="1357" priority="30">
      <formula>$L15="API clay"</formula>
    </cfRule>
  </conditionalFormatting>
  <conditionalFormatting sqref="U15">
    <cfRule type="expression" dxfId="1356" priority="29">
      <formula>$L15="Kirsch soft clay"</formula>
    </cfRule>
  </conditionalFormatting>
  <conditionalFormatting sqref="U15">
    <cfRule type="expression" dxfId="1355" priority="27">
      <formula>$L15="Kirsch stiff clay"</formula>
    </cfRule>
  </conditionalFormatting>
  <conditionalFormatting sqref="U15">
    <cfRule type="expression" dxfId="1354" priority="26">
      <formula>$L15="Reese stiff clay"</formula>
    </cfRule>
  </conditionalFormatting>
  <conditionalFormatting sqref="U15">
    <cfRule type="expression" dxfId="1353" priority="25">
      <formula>$L15="PISA clay"</formula>
    </cfRule>
  </conditionalFormatting>
  <conditionalFormatting sqref="U16">
    <cfRule type="expression" dxfId="1352" priority="22">
      <formula>$L16="Stiff clay w/o free water"</formula>
    </cfRule>
    <cfRule type="expression" dxfId="1351" priority="24">
      <formula>$L16="API clay"</formula>
    </cfRule>
  </conditionalFormatting>
  <conditionalFormatting sqref="U16">
    <cfRule type="expression" dxfId="1350" priority="23">
      <formula>$L16="Kirsch soft clay"</formula>
    </cfRule>
  </conditionalFormatting>
  <conditionalFormatting sqref="U16">
    <cfRule type="expression" dxfId="1349" priority="21">
      <formula>$L16="Kirsch stiff clay"</formula>
    </cfRule>
  </conditionalFormatting>
  <conditionalFormatting sqref="U16">
    <cfRule type="expression" dxfId="1348" priority="20">
      <formula>$L16="Reese stiff clay"</formula>
    </cfRule>
  </conditionalFormatting>
  <conditionalFormatting sqref="U16">
    <cfRule type="expression" dxfId="1347" priority="19">
      <formula>$L16="PISA clay"</formula>
    </cfRule>
  </conditionalFormatting>
  <conditionalFormatting sqref="U17">
    <cfRule type="expression" dxfId="1346" priority="16">
      <formula>$L17="Stiff clay w/o free water"</formula>
    </cfRule>
    <cfRule type="expression" dxfId="1345" priority="18">
      <formula>$L17="API clay"</formula>
    </cfRule>
  </conditionalFormatting>
  <conditionalFormatting sqref="U17">
    <cfRule type="expression" dxfId="1344" priority="17">
      <formula>$L17="Kirsch soft clay"</formula>
    </cfRule>
  </conditionalFormatting>
  <conditionalFormatting sqref="U17">
    <cfRule type="expression" dxfId="1343" priority="15">
      <formula>$L17="Kirsch stiff clay"</formula>
    </cfRule>
  </conditionalFormatting>
  <conditionalFormatting sqref="U17">
    <cfRule type="expression" dxfId="1342" priority="14">
      <formula>$L17="Reese stiff clay"</formula>
    </cfRule>
  </conditionalFormatting>
  <conditionalFormatting sqref="U17">
    <cfRule type="expression" dxfId="1341" priority="13">
      <formula>$L17="PISA clay"</formula>
    </cfRule>
  </conditionalFormatting>
  <conditionalFormatting sqref="AC14">
    <cfRule type="expression" dxfId="1340" priority="10">
      <formula>$L14="Stiff clay w/o free water"</formula>
    </cfRule>
    <cfRule type="expression" dxfId="1339" priority="12">
      <formula>$L14="API clay"</formula>
    </cfRule>
  </conditionalFormatting>
  <conditionalFormatting sqref="AC14">
    <cfRule type="expression" dxfId="1338" priority="11">
      <formula>$L14="Kirsch soft clay"</formula>
    </cfRule>
  </conditionalFormatting>
  <conditionalFormatting sqref="AC14">
    <cfRule type="expression" dxfId="1337" priority="9">
      <formula>$L14="Kirsch stiff clay"</formula>
    </cfRule>
  </conditionalFormatting>
  <conditionalFormatting sqref="AC14">
    <cfRule type="expression" dxfId="1336" priority="8">
      <formula>$L14="Reese stiff clay"</formula>
    </cfRule>
  </conditionalFormatting>
  <conditionalFormatting sqref="AC14">
    <cfRule type="expression" dxfId="1335" priority="7">
      <formula>$L14="PISA clay"</formula>
    </cfRule>
  </conditionalFormatting>
  <conditionalFormatting sqref="X11">
    <cfRule type="expression" dxfId="1334" priority="6">
      <formula>$L11="API sand"</formula>
    </cfRule>
  </conditionalFormatting>
  <conditionalFormatting sqref="X11">
    <cfRule type="expression" dxfId="1333" priority="5">
      <formula>$L11="Kirsch sand"</formula>
    </cfRule>
  </conditionalFormatting>
  <conditionalFormatting sqref="AR6:AR18">
    <cfRule type="expression" dxfId="1332" priority="4">
      <formula>$L6="API sand"</formula>
    </cfRule>
  </conditionalFormatting>
  <conditionalFormatting sqref="AR6:AR18">
    <cfRule type="expression" dxfId="1331" priority="3">
      <formula>$L6="Kirsch sand"</formula>
    </cfRule>
  </conditionalFormatting>
  <dataValidations count="3">
    <dataValidation type="list" showInputMessage="1" showErrorMessage="1" sqref="M6:M17" xr:uid="{683C3441-B73A-4ACB-9B82-016EFF9EDEB2}">
      <formula1>"Zero soil,API sand,API clay"</formula1>
    </dataValidation>
    <dataValidation type="list" showInputMessage="1" showErrorMessage="1" sqref="L9 L12:L255" xr:uid="{9D5A88D8-D9DE-469C-A34A-6B59E663CC5B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18:M36" xr:uid="{3FF4A7D3-9EC4-4F6D-9999-D5DBA1BA9F8C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1082D-BF16-4426-A23C-2D187F9B02C7}">
  <sheetPr>
    <tabColor theme="6" tint="0.59999389629810485"/>
  </sheetPr>
  <dimension ref="A1:AV258"/>
  <sheetViews>
    <sheetView topLeftCell="Q1" zoomScaleNormal="100" workbookViewId="0">
      <selection activeCell="AS20" sqref="AS20:AS22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9.5703125" style="33" bestFit="1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7.5703125" style="33" customWidth="1"/>
    <col min="16" max="16" width="8.5703125" style="33" bestFit="1" customWidth="1"/>
    <col min="17" max="18" width="9.5703125" style="33" bestFit="1" customWidth="1"/>
    <col min="19" max="19" width="4" style="33" bestFit="1" customWidth="1"/>
    <col min="20" max="20" width="5.5703125" style="33" bestFit="1" customWidth="1"/>
    <col min="21" max="21" width="9.5703125" style="33" bestFit="1" customWidth="1"/>
    <col min="22" max="22" width="15.28515625" style="33" bestFit="1" customWidth="1"/>
    <col min="23" max="23" width="4" style="33" bestFit="1" customWidth="1"/>
    <col min="24" max="24" width="7" style="33" bestFit="1" customWidth="1"/>
    <col min="25" max="25" width="8.42578125" style="33" bestFit="1" customWidth="1"/>
    <col min="26" max="26" width="9.7109375" style="33" bestFit="1" customWidth="1"/>
    <col min="27" max="27" width="11" style="33" bestFit="1" customWidth="1"/>
    <col min="28" max="28" width="8.5703125" style="33" bestFit="1" customWidth="1"/>
    <col min="29" max="29" width="14.85546875" style="33" customWidth="1"/>
    <col min="30" max="30" width="8.85546875" style="33" bestFit="1" customWidth="1"/>
    <col min="31" max="31" width="7.85546875" style="33" bestFit="1" customWidth="1"/>
    <col min="32" max="32" width="5.5703125" style="33" bestFit="1" customWidth="1"/>
    <col min="33" max="33" width="11" style="33" bestFit="1" customWidth="1"/>
    <col min="34" max="34" width="5.42578125" style="33" bestFit="1" customWidth="1"/>
    <col min="35" max="35" width="4.85546875" style="33" bestFit="1" customWidth="1"/>
    <col min="36" max="36" width="3.5703125" style="33" bestFit="1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140625" style="33"/>
  </cols>
  <sheetData>
    <row r="1" spans="1:48" x14ac:dyDescent="0.25">
      <c r="A1" s="34" t="str">
        <f ca="1">TRIM(MID(CELL("filename",A1),FIND("]",CELL("filename",A1),1)+1,255))</f>
        <v>Z2_L12_BE_PISA</v>
      </c>
      <c r="D1" s="34"/>
    </row>
    <row r="3" spans="1:48" s="35" customFormat="1" ht="45" customHeight="1" x14ac:dyDescent="0.25">
      <c r="F3" s="36" t="s">
        <v>39</v>
      </c>
      <c r="J3" s="37" t="s">
        <v>22</v>
      </c>
      <c r="Q3" s="77"/>
      <c r="R3" s="155"/>
      <c r="S3" s="155"/>
      <c r="T3" s="77"/>
      <c r="U3" s="155"/>
      <c r="V3" s="155"/>
      <c r="W3" s="77"/>
      <c r="X3" s="77"/>
      <c r="Y3" s="77"/>
      <c r="Z3" s="77"/>
      <c r="AA3" s="77"/>
      <c r="AB3" s="77"/>
      <c r="AC3" s="156"/>
      <c r="AD3" s="156"/>
      <c r="AE3" s="156"/>
      <c r="AF3" s="156"/>
      <c r="AG3" s="156"/>
      <c r="AH3" s="156"/>
      <c r="AI3" s="156"/>
      <c r="AJ3" s="77"/>
      <c r="AK3" s="77"/>
      <c r="AL3" s="77"/>
      <c r="AM3" s="77"/>
      <c r="AN3" s="77"/>
      <c r="AO3" s="77"/>
      <c r="AP3" s="77"/>
    </row>
    <row r="4" spans="1:48" x14ac:dyDescent="0.25">
      <c r="A4" s="40" t="s">
        <v>60</v>
      </c>
      <c r="B4" s="33">
        <f>COUNTIF(J:J,"&gt;0")</f>
        <v>14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0" t="s">
        <v>108</v>
      </c>
      <c r="AP4" s="40" t="s">
        <v>109</v>
      </c>
      <c r="AQ4" s="70" t="s">
        <v>102</v>
      </c>
      <c r="AR4" s="43" t="s">
        <v>177</v>
      </c>
      <c r="AS4" s="33" t="s">
        <v>276</v>
      </c>
      <c r="AT4" s="43"/>
      <c r="AU4" s="43"/>
      <c r="AV4" s="43"/>
    </row>
    <row r="5" spans="1:48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38" t="s">
        <v>38</v>
      </c>
      <c r="K5" s="38" t="s">
        <v>30</v>
      </c>
      <c r="L5" s="38" t="s">
        <v>31</v>
      </c>
      <c r="M5" s="38" t="s">
        <v>31</v>
      </c>
      <c r="N5" s="38" t="s">
        <v>32</v>
      </c>
      <c r="O5" s="38" t="s">
        <v>33</v>
      </c>
      <c r="P5" s="38" t="s">
        <v>35</v>
      </c>
      <c r="Q5" s="38" t="s">
        <v>36</v>
      </c>
      <c r="R5" s="38" t="s">
        <v>36</v>
      </c>
      <c r="S5" s="38" t="s">
        <v>34</v>
      </c>
      <c r="T5" s="38" t="s">
        <v>33</v>
      </c>
      <c r="U5" s="38" t="s">
        <v>34</v>
      </c>
      <c r="V5" s="38" t="s">
        <v>62</v>
      </c>
      <c r="W5" s="38" t="s">
        <v>34</v>
      </c>
      <c r="X5" s="38" t="s">
        <v>33</v>
      </c>
      <c r="Y5" s="38" t="s">
        <v>35</v>
      </c>
      <c r="Z5" s="38" t="s">
        <v>33</v>
      </c>
      <c r="AA5" s="38" t="s">
        <v>34</v>
      </c>
      <c r="AB5" s="38" t="s">
        <v>33</v>
      </c>
      <c r="AC5" s="38" t="s">
        <v>33</v>
      </c>
      <c r="AD5" s="38" t="s">
        <v>35</v>
      </c>
      <c r="AE5" s="38" t="s">
        <v>34</v>
      </c>
      <c r="AF5" s="38" t="s">
        <v>33</v>
      </c>
      <c r="AG5" s="38" t="s">
        <v>35</v>
      </c>
      <c r="AH5" s="38" t="s">
        <v>34</v>
      </c>
      <c r="AI5" s="38" t="s">
        <v>34</v>
      </c>
      <c r="AJ5" s="38" t="s">
        <v>34</v>
      </c>
      <c r="AK5" s="38" t="s">
        <v>34</v>
      </c>
      <c r="AL5" s="38" t="s">
        <v>34</v>
      </c>
      <c r="AM5" s="38" t="s">
        <v>34</v>
      </c>
      <c r="AN5" s="38" t="s">
        <v>34</v>
      </c>
      <c r="AO5" s="38" t="s">
        <v>34</v>
      </c>
      <c r="AP5" s="38" t="s">
        <v>34</v>
      </c>
      <c r="AQ5" s="83" t="s">
        <v>103</v>
      </c>
      <c r="AR5" s="38" t="s">
        <v>178</v>
      </c>
      <c r="AT5" s="38"/>
      <c r="AU5" s="38"/>
    </row>
    <row r="6" spans="1:48" x14ac:dyDescent="0.25">
      <c r="C6" s="45"/>
      <c r="F6" s="33" t="s">
        <v>67</v>
      </c>
      <c r="G6" s="57">
        <v>0</v>
      </c>
      <c r="H6" s="45" t="s">
        <v>28</v>
      </c>
      <c r="I6" s="33">
        <v>81</v>
      </c>
      <c r="J6" s="47">
        <v>1</v>
      </c>
      <c r="K6" s="63">
        <v>0</v>
      </c>
      <c r="L6" t="s">
        <v>202</v>
      </c>
      <c r="M6" s="49" t="s">
        <v>64</v>
      </c>
      <c r="N6" s="47">
        <v>9.6999999999999993</v>
      </c>
      <c r="O6" s="63">
        <v>0</v>
      </c>
      <c r="P6" s="63">
        <v>0</v>
      </c>
      <c r="Q6" s="47">
        <v>40</v>
      </c>
      <c r="R6" s="47">
        <f t="shared" ref="R6:R19" si="0">Q6-5</f>
        <v>35</v>
      </c>
      <c r="S6" s="47">
        <v>0.5</v>
      </c>
      <c r="T6" s="47">
        <v>0</v>
      </c>
      <c r="U6" s="47">
        <v>0</v>
      </c>
      <c r="V6" s="47">
        <v>0</v>
      </c>
      <c r="W6" s="47">
        <v>0</v>
      </c>
      <c r="X6" s="81">
        <v>8400</v>
      </c>
      <c r="Y6" s="81">
        <v>0</v>
      </c>
      <c r="Z6" s="80">
        <v>115</v>
      </c>
      <c r="AA6" s="80">
        <v>1</v>
      </c>
      <c r="AB6" s="80">
        <v>12000</v>
      </c>
      <c r="AC6" s="47">
        <v>5000</v>
      </c>
      <c r="AD6" s="47">
        <v>1043.5</v>
      </c>
      <c r="AE6" s="81">
        <v>0.2</v>
      </c>
      <c r="AF6" s="47">
        <v>0</v>
      </c>
      <c r="AG6" s="47">
        <v>0</v>
      </c>
      <c r="AH6" s="47">
        <v>0</v>
      </c>
      <c r="AI6" s="47">
        <v>0</v>
      </c>
      <c r="AJ6" s="47">
        <v>50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81</v>
      </c>
      <c r="AS6" s="33">
        <v>0.7</v>
      </c>
      <c r="AT6" s="47"/>
      <c r="AU6" s="47"/>
      <c r="AV6" s="47"/>
    </row>
    <row r="7" spans="1:48" x14ac:dyDescent="0.25">
      <c r="A7" s="54" t="s">
        <v>23</v>
      </c>
      <c r="C7" s="45"/>
      <c r="F7" s="55" t="s">
        <v>48</v>
      </c>
      <c r="G7" s="56"/>
      <c r="H7" s="39"/>
      <c r="I7" s="56">
        <v>65</v>
      </c>
      <c r="J7" s="47">
        <v>2</v>
      </c>
      <c r="K7" s="63">
        <v>-0.9</v>
      </c>
      <c r="L7" t="s">
        <v>203</v>
      </c>
      <c r="M7" s="49" t="s">
        <v>64</v>
      </c>
      <c r="N7" s="47">
        <v>9.6999999999999993</v>
      </c>
      <c r="O7" s="63">
        <v>0</v>
      </c>
      <c r="P7" s="63">
        <v>0</v>
      </c>
      <c r="Q7" s="47">
        <v>41</v>
      </c>
      <c r="R7" s="47">
        <f t="shared" si="0"/>
        <v>36</v>
      </c>
      <c r="S7" s="47">
        <v>0.5</v>
      </c>
      <c r="T7" s="47">
        <v>0</v>
      </c>
      <c r="U7" s="47">
        <v>0</v>
      </c>
      <c r="V7" s="47">
        <v>0</v>
      </c>
      <c r="W7" s="47">
        <v>0</v>
      </c>
      <c r="X7" s="81">
        <v>17900</v>
      </c>
      <c r="Y7" s="81">
        <v>0</v>
      </c>
      <c r="Z7" s="80">
        <v>118.8</v>
      </c>
      <c r="AA7" s="80">
        <v>1</v>
      </c>
      <c r="AB7" s="80">
        <v>12480</v>
      </c>
      <c r="AC7" s="47">
        <v>30000</v>
      </c>
      <c r="AD7" s="47">
        <v>217.4</v>
      </c>
      <c r="AE7" s="81">
        <v>0.2</v>
      </c>
      <c r="AF7" s="47">
        <v>0</v>
      </c>
      <c r="AG7" s="47">
        <v>0</v>
      </c>
      <c r="AH7" s="47">
        <v>0</v>
      </c>
      <c r="AI7" s="47">
        <v>0</v>
      </c>
      <c r="AJ7" s="47">
        <v>52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65</v>
      </c>
      <c r="AS7" s="33">
        <v>0.7</v>
      </c>
      <c r="AT7" s="47"/>
      <c r="AU7" s="47"/>
      <c r="AV7" s="47"/>
    </row>
    <row r="8" spans="1:48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2278.1</v>
      </c>
      <c r="H8" s="45" t="s">
        <v>53</v>
      </c>
      <c r="I8" s="33">
        <v>0</v>
      </c>
      <c r="J8" s="47">
        <v>3</v>
      </c>
      <c r="K8" s="63">
        <v>-1.5</v>
      </c>
      <c r="L8"/>
      <c r="M8" s="49" t="s">
        <v>65</v>
      </c>
      <c r="N8" s="47">
        <v>9.3000000000000007</v>
      </c>
      <c r="O8" s="63">
        <v>162</v>
      </c>
      <c r="P8" s="63">
        <v>-34</v>
      </c>
      <c r="Q8" s="47">
        <v>0</v>
      </c>
      <c r="R8" s="47">
        <f t="shared" si="0"/>
        <v>-5</v>
      </c>
      <c r="S8" s="47">
        <v>3</v>
      </c>
      <c r="T8" s="47">
        <v>0</v>
      </c>
      <c r="U8" s="47">
        <v>1.7999999999999999E-2</v>
      </c>
      <c r="V8" s="47">
        <v>0</v>
      </c>
      <c r="W8" s="47">
        <v>0.5</v>
      </c>
      <c r="X8" s="81">
        <v>11100</v>
      </c>
      <c r="Y8" s="81">
        <v>0</v>
      </c>
      <c r="Z8" s="80">
        <v>0</v>
      </c>
      <c r="AA8" s="80">
        <v>1</v>
      </c>
      <c r="AB8" s="80">
        <v>0</v>
      </c>
      <c r="AC8" s="47">
        <v>135000</v>
      </c>
      <c r="AD8" s="47">
        <v>-695.7</v>
      </c>
      <c r="AE8" s="81">
        <v>0.49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0</v>
      </c>
      <c r="AS8" s="33">
        <v>0.7</v>
      </c>
      <c r="AT8" s="47"/>
      <c r="AU8" s="47"/>
      <c r="AV8" s="47"/>
    </row>
    <row r="9" spans="1:48" x14ac:dyDescent="0.25">
      <c r="A9" s="33" t="s">
        <v>68</v>
      </c>
      <c r="B9" s="57">
        <v>50</v>
      </c>
      <c r="C9" s="45" t="s">
        <v>28</v>
      </c>
      <c r="F9" s="33" t="s">
        <v>96</v>
      </c>
      <c r="G9" s="71">
        <v>-122786</v>
      </c>
      <c r="H9" s="45" t="s">
        <v>54</v>
      </c>
      <c r="I9" s="33">
        <v>66</v>
      </c>
      <c r="J9" s="47">
        <v>4</v>
      </c>
      <c r="K9" s="63">
        <v>-2</v>
      </c>
      <c r="L9" t="s">
        <v>196</v>
      </c>
      <c r="M9" s="49" t="s">
        <v>64</v>
      </c>
      <c r="N9" s="47">
        <v>10</v>
      </c>
      <c r="O9" s="63">
        <v>0</v>
      </c>
      <c r="P9" s="63">
        <v>0</v>
      </c>
      <c r="Q9" s="47">
        <v>31</v>
      </c>
      <c r="R9" s="47">
        <f t="shared" si="0"/>
        <v>26</v>
      </c>
      <c r="S9" s="47">
        <v>2.8</v>
      </c>
      <c r="T9" s="47">
        <v>0</v>
      </c>
      <c r="U9" s="47">
        <v>0</v>
      </c>
      <c r="V9" s="47">
        <v>0</v>
      </c>
      <c r="W9" s="47">
        <v>0</v>
      </c>
      <c r="X9" s="81">
        <v>14500</v>
      </c>
      <c r="Y9" s="81">
        <v>0</v>
      </c>
      <c r="Z9" s="80">
        <v>84</v>
      </c>
      <c r="AA9" s="80">
        <v>1</v>
      </c>
      <c r="AB9" s="80">
        <v>5760</v>
      </c>
      <c r="AC9" s="47">
        <v>53000</v>
      </c>
      <c r="AD9" s="47">
        <v>347.8</v>
      </c>
      <c r="AE9" s="81">
        <v>0.2</v>
      </c>
      <c r="AF9" s="47">
        <v>0</v>
      </c>
      <c r="AG9" s="47">
        <v>0</v>
      </c>
      <c r="AH9" s="47">
        <v>0</v>
      </c>
      <c r="AI9" s="47">
        <v>0</v>
      </c>
      <c r="AJ9" s="47">
        <v>24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66</v>
      </c>
      <c r="AS9" s="33">
        <v>0.7</v>
      </c>
      <c r="AT9" s="47"/>
      <c r="AU9" s="47"/>
      <c r="AV9" s="47"/>
    </row>
    <row r="10" spans="1:48" s="56" customFormat="1" x14ac:dyDescent="0.25">
      <c r="A10" s="56" t="s">
        <v>69</v>
      </c>
      <c r="B10" s="58">
        <v>50</v>
      </c>
      <c r="C10" s="45" t="s">
        <v>28</v>
      </c>
      <c r="F10" s="33" t="s">
        <v>51</v>
      </c>
      <c r="G10" s="71">
        <v>7357</v>
      </c>
      <c r="H10" s="45" t="s">
        <v>53</v>
      </c>
      <c r="I10" s="33">
        <v>57</v>
      </c>
      <c r="J10" s="47">
        <v>5</v>
      </c>
      <c r="K10" s="63">
        <v>-4</v>
      </c>
      <c r="L10" t="s">
        <v>204</v>
      </c>
      <c r="M10" s="49" t="s">
        <v>64</v>
      </c>
      <c r="N10" s="47">
        <v>10</v>
      </c>
      <c r="O10" s="63">
        <v>0</v>
      </c>
      <c r="P10" s="63">
        <v>0</v>
      </c>
      <c r="Q10" s="47">
        <v>30</v>
      </c>
      <c r="R10" s="47">
        <f t="shared" si="0"/>
        <v>25</v>
      </c>
      <c r="S10" s="47">
        <v>1.6</v>
      </c>
      <c r="T10" s="47">
        <v>0</v>
      </c>
      <c r="U10" s="47">
        <v>0</v>
      </c>
      <c r="V10" s="47">
        <v>0</v>
      </c>
      <c r="W10" s="47">
        <v>0</v>
      </c>
      <c r="X10" s="81">
        <v>12600</v>
      </c>
      <c r="Y10" s="81">
        <v>0</v>
      </c>
      <c r="Z10" s="80">
        <v>81</v>
      </c>
      <c r="AA10" s="80">
        <v>1</v>
      </c>
      <c r="AB10" s="80">
        <v>4800</v>
      </c>
      <c r="AC10" s="47">
        <v>57000</v>
      </c>
      <c r="AD10" s="47">
        <v>1782.6</v>
      </c>
      <c r="AE10" s="81">
        <v>0.2</v>
      </c>
      <c r="AF10" s="47">
        <v>0</v>
      </c>
      <c r="AG10" s="47">
        <v>0</v>
      </c>
      <c r="AH10" s="47">
        <v>0</v>
      </c>
      <c r="AI10" s="47">
        <v>0</v>
      </c>
      <c r="AJ10" s="47">
        <v>20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57</v>
      </c>
      <c r="AS10" s="33">
        <v>0.7</v>
      </c>
      <c r="AT10" s="47"/>
      <c r="AU10" s="47"/>
      <c r="AV10" s="47"/>
    </row>
    <row r="11" spans="1:48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>
        <v>0</v>
      </c>
      <c r="J11" s="47">
        <v>6</v>
      </c>
      <c r="K11" s="63">
        <v>-9.6</v>
      </c>
      <c r="L11"/>
      <c r="M11" s="49" t="s">
        <v>65</v>
      </c>
      <c r="N11" s="47">
        <v>8.9</v>
      </c>
      <c r="O11" s="63">
        <v>133</v>
      </c>
      <c r="P11" s="63">
        <v>-2.4</v>
      </c>
      <c r="Q11" s="47">
        <v>0</v>
      </c>
      <c r="R11" s="47">
        <f t="shared" si="0"/>
        <v>-5</v>
      </c>
      <c r="S11" s="47">
        <v>2.5</v>
      </c>
      <c r="T11" s="47">
        <v>0</v>
      </c>
      <c r="U11" s="47">
        <v>1.7999999999999999E-2</v>
      </c>
      <c r="V11" s="47">
        <v>0</v>
      </c>
      <c r="W11" s="47">
        <v>0.5</v>
      </c>
      <c r="X11" s="81">
        <v>9500</v>
      </c>
      <c r="Y11" s="81">
        <v>0</v>
      </c>
      <c r="Z11" s="80">
        <v>0</v>
      </c>
      <c r="AA11" s="80">
        <v>1</v>
      </c>
      <c r="AB11" s="80">
        <v>0</v>
      </c>
      <c r="AC11" s="47">
        <v>115000</v>
      </c>
      <c r="AD11" s="47">
        <v>-434.8</v>
      </c>
      <c r="AE11" s="81">
        <v>0.49</v>
      </c>
      <c r="AF11" s="47">
        <v>0</v>
      </c>
      <c r="AG11" s="47">
        <v>0</v>
      </c>
      <c r="AH11" s="47">
        <v>0</v>
      </c>
      <c r="AI11" s="47">
        <v>0</v>
      </c>
      <c r="AJ11" s="47">
        <v>0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33">
        <v>0.7</v>
      </c>
      <c r="AT11" s="47"/>
      <c r="AU11" s="47"/>
      <c r="AV11" s="47"/>
    </row>
    <row r="12" spans="1:48" x14ac:dyDescent="0.25">
      <c r="A12" s="33" t="s">
        <v>74</v>
      </c>
      <c r="B12" s="57">
        <v>9.6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>
        <v>67</v>
      </c>
      <c r="J12" s="47">
        <v>7</v>
      </c>
      <c r="K12" s="63">
        <v>-15</v>
      </c>
      <c r="L12" t="s">
        <v>195</v>
      </c>
      <c r="M12" s="49" t="s">
        <v>64</v>
      </c>
      <c r="N12" s="47">
        <v>9</v>
      </c>
      <c r="O12" s="63">
        <v>0</v>
      </c>
      <c r="P12" s="47">
        <v>0</v>
      </c>
      <c r="Q12" s="47">
        <v>31</v>
      </c>
      <c r="R12" s="47">
        <f t="shared" si="0"/>
        <v>26</v>
      </c>
      <c r="S12" s="47">
        <v>1.3</v>
      </c>
      <c r="T12" s="47">
        <v>0</v>
      </c>
      <c r="U12" s="47">
        <v>0</v>
      </c>
      <c r="V12" s="47">
        <v>0</v>
      </c>
      <c r="W12" s="47">
        <v>0</v>
      </c>
      <c r="X12" s="47">
        <v>31100</v>
      </c>
      <c r="Y12" s="47">
        <v>0</v>
      </c>
      <c r="Z12" s="80">
        <v>84</v>
      </c>
      <c r="AA12" s="80">
        <v>1</v>
      </c>
      <c r="AB12" s="80">
        <v>5760</v>
      </c>
      <c r="AC12" s="47">
        <v>125000</v>
      </c>
      <c r="AD12" s="47">
        <v>1304.3</v>
      </c>
      <c r="AE12" s="47">
        <v>0.49</v>
      </c>
      <c r="AF12" s="47">
        <v>0</v>
      </c>
      <c r="AG12" s="47">
        <v>0</v>
      </c>
      <c r="AH12" s="47">
        <v>0</v>
      </c>
      <c r="AI12" s="47">
        <v>0</v>
      </c>
      <c r="AJ12" s="47">
        <v>24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67</v>
      </c>
      <c r="AS12" s="33">
        <v>0.7</v>
      </c>
      <c r="AT12" s="47"/>
      <c r="AU12" s="47"/>
      <c r="AV12" s="47"/>
    </row>
    <row r="13" spans="1:48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>
        <v>74</v>
      </c>
      <c r="J13" s="47">
        <v>8</v>
      </c>
      <c r="K13" s="63">
        <v>-25</v>
      </c>
      <c r="L13" t="s">
        <v>205</v>
      </c>
      <c r="M13" s="49" t="s">
        <v>64</v>
      </c>
      <c r="N13" s="47">
        <v>9</v>
      </c>
      <c r="O13" s="63">
        <v>0</v>
      </c>
      <c r="P13" s="47">
        <v>0</v>
      </c>
      <c r="Q13" s="47">
        <v>31</v>
      </c>
      <c r="R13" s="47">
        <f t="shared" si="0"/>
        <v>26</v>
      </c>
      <c r="S13" s="47">
        <v>1.2</v>
      </c>
      <c r="T13" s="47">
        <v>0</v>
      </c>
      <c r="U13" s="47">
        <v>0</v>
      </c>
      <c r="V13" s="47">
        <v>0</v>
      </c>
      <c r="W13" s="47">
        <v>0</v>
      </c>
      <c r="X13" s="47">
        <v>43100</v>
      </c>
      <c r="Y13" s="47">
        <v>0</v>
      </c>
      <c r="Z13" s="80">
        <v>84</v>
      </c>
      <c r="AA13" s="80">
        <v>1</v>
      </c>
      <c r="AB13" s="80">
        <v>5760</v>
      </c>
      <c r="AC13" s="47">
        <v>162000</v>
      </c>
      <c r="AD13" s="47">
        <v>869.6</v>
      </c>
      <c r="AE13" s="47">
        <v>0.49</v>
      </c>
      <c r="AF13" s="47">
        <v>0</v>
      </c>
      <c r="AG13" s="47">
        <v>0</v>
      </c>
      <c r="AH13" s="47">
        <v>0</v>
      </c>
      <c r="AI13" s="47">
        <v>0</v>
      </c>
      <c r="AJ13" s="47">
        <v>24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74</v>
      </c>
      <c r="AS13" s="33">
        <v>0.2</v>
      </c>
      <c r="AT13" s="47"/>
      <c r="AU13" s="47"/>
      <c r="AV13" s="47"/>
    </row>
    <row r="14" spans="1:48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>
        <v>62</v>
      </c>
      <c r="J14" s="47">
        <v>9</v>
      </c>
      <c r="K14" s="63">
        <v>-32</v>
      </c>
      <c r="L14" t="s">
        <v>206</v>
      </c>
      <c r="M14" s="49" t="s">
        <v>64</v>
      </c>
      <c r="N14" s="47">
        <v>9</v>
      </c>
      <c r="O14" s="63">
        <v>0</v>
      </c>
      <c r="P14" s="47">
        <v>0</v>
      </c>
      <c r="Q14" s="47">
        <v>30</v>
      </c>
      <c r="R14" s="47">
        <f t="shared" si="0"/>
        <v>25</v>
      </c>
      <c r="S14" s="47">
        <v>1</v>
      </c>
      <c r="T14" s="47">
        <v>0</v>
      </c>
      <c r="U14" s="47">
        <v>0</v>
      </c>
      <c r="V14" s="47">
        <v>0</v>
      </c>
      <c r="W14" s="47">
        <v>0</v>
      </c>
      <c r="X14" s="47">
        <v>30000</v>
      </c>
      <c r="Y14" s="47">
        <v>0</v>
      </c>
      <c r="Z14" s="80">
        <v>81</v>
      </c>
      <c r="AA14" s="80">
        <v>1</v>
      </c>
      <c r="AB14" s="80">
        <v>4800</v>
      </c>
      <c r="AC14" s="47">
        <v>180000</v>
      </c>
      <c r="AD14" s="47">
        <v>-1000</v>
      </c>
      <c r="AE14" s="47">
        <v>0.49</v>
      </c>
      <c r="AF14" s="47">
        <v>0</v>
      </c>
      <c r="AG14" s="47">
        <v>0</v>
      </c>
      <c r="AH14" s="47">
        <v>0</v>
      </c>
      <c r="AI14" s="47">
        <v>0</v>
      </c>
      <c r="AJ14" s="47">
        <v>20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62</v>
      </c>
      <c r="AS14" s="33">
        <v>0.2</v>
      </c>
      <c r="AT14" s="47"/>
      <c r="AU14" s="47"/>
      <c r="AV14" s="47"/>
    </row>
    <row r="15" spans="1:48" s="56" customFormat="1" x14ac:dyDescent="0.25">
      <c r="A15" s="33" t="s">
        <v>44</v>
      </c>
      <c r="B15" s="61">
        <v>207000000</v>
      </c>
      <c r="C15" s="45" t="s">
        <v>47</v>
      </c>
      <c r="D15" s="33"/>
      <c r="E15" s="33"/>
      <c r="F15" s="33"/>
      <c r="G15" s="33"/>
      <c r="I15" s="56">
        <v>0</v>
      </c>
      <c r="J15" s="47">
        <v>10</v>
      </c>
      <c r="K15" s="63">
        <v>-34.5</v>
      </c>
      <c r="L15"/>
      <c r="M15" s="49" t="s">
        <v>65</v>
      </c>
      <c r="N15" s="47">
        <v>8.3000000000000007</v>
      </c>
      <c r="O15" s="63">
        <v>268</v>
      </c>
      <c r="P15" s="47">
        <v>9.4</v>
      </c>
      <c r="Q15" s="47">
        <v>0</v>
      </c>
      <c r="R15" s="47">
        <f t="shared" si="0"/>
        <v>-5</v>
      </c>
      <c r="S15" s="47">
        <v>1.9</v>
      </c>
      <c r="T15" s="47">
        <v>0</v>
      </c>
      <c r="U15" s="47">
        <v>1.7999999999999999E-2</v>
      </c>
      <c r="V15" s="47">
        <v>0</v>
      </c>
      <c r="W15" s="47">
        <v>0.25</v>
      </c>
      <c r="X15" s="47">
        <v>25500</v>
      </c>
      <c r="Y15" s="47">
        <v>0</v>
      </c>
      <c r="Z15" s="47">
        <v>0</v>
      </c>
      <c r="AA15" s="47">
        <v>1</v>
      </c>
      <c r="AB15" s="47">
        <v>0</v>
      </c>
      <c r="AC15" s="47">
        <v>313000</v>
      </c>
      <c r="AD15" s="47">
        <v>8260.9</v>
      </c>
      <c r="AE15" s="47">
        <v>0.49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33">
        <v>0.2</v>
      </c>
      <c r="AT15" s="47"/>
      <c r="AU15" s="47"/>
      <c r="AV15" s="47"/>
    </row>
    <row r="16" spans="1:48" x14ac:dyDescent="0.25">
      <c r="A16" s="33" t="s">
        <v>45</v>
      </c>
      <c r="B16" s="61">
        <v>79000000</v>
      </c>
      <c r="C16" s="45" t="s">
        <v>47</v>
      </c>
      <c r="D16" s="62"/>
      <c r="E16" s="62"/>
      <c r="I16" s="33">
        <v>0</v>
      </c>
      <c r="J16" s="47">
        <v>11</v>
      </c>
      <c r="K16" s="63">
        <v>-48</v>
      </c>
      <c r="L16"/>
      <c r="M16" s="49" t="s">
        <v>65</v>
      </c>
      <c r="N16" s="47">
        <v>8.8000000000000007</v>
      </c>
      <c r="O16" s="63">
        <v>1093</v>
      </c>
      <c r="P16" s="63">
        <v>-51.3</v>
      </c>
      <c r="Q16" s="47">
        <v>0</v>
      </c>
      <c r="R16" s="47">
        <f t="shared" si="0"/>
        <v>-5</v>
      </c>
      <c r="S16" s="47">
        <v>3</v>
      </c>
      <c r="T16" s="47">
        <v>0</v>
      </c>
      <c r="U16" s="47">
        <v>1.7999999999999999E-2</v>
      </c>
      <c r="V16" s="47">
        <v>0</v>
      </c>
      <c r="W16" s="47">
        <v>0.25</v>
      </c>
      <c r="X16" s="47">
        <v>64900</v>
      </c>
      <c r="Y16" s="47">
        <v>0</v>
      </c>
      <c r="Z16" s="47">
        <v>0</v>
      </c>
      <c r="AA16" s="47">
        <v>1</v>
      </c>
      <c r="AB16" s="47">
        <v>0</v>
      </c>
      <c r="AC16" s="47">
        <v>1192000</v>
      </c>
      <c r="AD16" s="47">
        <v>0</v>
      </c>
      <c r="AE16" s="47">
        <v>0.49</v>
      </c>
      <c r="AF16" s="47">
        <v>0</v>
      </c>
      <c r="AG16" s="47">
        <v>0</v>
      </c>
      <c r="AH16" s="47">
        <v>0</v>
      </c>
      <c r="AI16" s="47">
        <v>0</v>
      </c>
      <c r="AJ16" s="47">
        <v>0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33">
        <v>0.2</v>
      </c>
      <c r="AT16" s="47"/>
      <c r="AU16" s="47"/>
      <c r="AV16" s="47"/>
    </row>
    <row r="17" spans="1:48" x14ac:dyDescent="0.25">
      <c r="A17" s="33" t="s">
        <v>98</v>
      </c>
      <c r="B17" s="57">
        <v>0.53</v>
      </c>
      <c r="C17" s="45"/>
      <c r="D17" s="38"/>
      <c r="E17" s="38"/>
      <c r="F17" s="56"/>
      <c r="G17" s="56"/>
      <c r="I17" s="33">
        <v>0</v>
      </c>
      <c r="J17" s="47">
        <v>12</v>
      </c>
      <c r="K17" s="63">
        <v>-57</v>
      </c>
      <c r="L17"/>
      <c r="M17" s="49" t="s">
        <v>65</v>
      </c>
      <c r="N17" s="47">
        <v>8.8000000000000007</v>
      </c>
      <c r="O17" s="63">
        <v>1050</v>
      </c>
      <c r="P17" s="47">
        <v>0</v>
      </c>
      <c r="Q17" s="47">
        <v>0</v>
      </c>
      <c r="R17" s="47">
        <f t="shared" si="0"/>
        <v>-5</v>
      </c>
      <c r="S17" s="47">
        <v>3</v>
      </c>
      <c r="T17" s="47">
        <v>0</v>
      </c>
      <c r="U17" s="47">
        <v>1.7999999999999999E-2</v>
      </c>
      <c r="V17" s="47">
        <v>0</v>
      </c>
      <c r="W17" s="47">
        <v>0.25</v>
      </c>
      <c r="X17" s="47">
        <v>84200</v>
      </c>
      <c r="Y17" s="47">
        <v>0</v>
      </c>
      <c r="Z17" s="47">
        <v>0</v>
      </c>
      <c r="AA17" s="47">
        <v>1</v>
      </c>
      <c r="AB17" s="47">
        <v>0</v>
      </c>
      <c r="AC17" s="47">
        <v>1652000</v>
      </c>
      <c r="AD17" s="47">
        <v>0</v>
      </c>
      <c r="AE17" s="47">
        <v>0.49</v>
      </c>
      <c r="AF17" s="47">
        <v>0</v>
      </c>
      <c r="AG17" s="47">
        <v>0</v>
      </c>
      <c r="AH17" s="47">
        <v>0</v>
      </c>
      <c r="AI17" s="47">
        <v>0</v>
      </c>
      <c r="AJ17" s="47">
        <v>0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0</v>
      </c>
      <c r="AS17" s="33">
        <v>0.2</v>
      </c>
      <c r="AT17" s="47"/>
      <c r="AU17" s="47"/>
      <c r="AV17" s="47"/>
    </row>
    <row r="18" spans="1:48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56">
        <v>0</v>
      </c>
      <c r="J18" s="47">
        <v>13</v>
      </c>
      <c r="K18" s="63">
        <v>-65</v>
      </c>
      <c r="L18"/>
      <c r="M18" s="49" t="s">
        <v>65</v>
      </c>
      <c r="N18" s="47">
        <v>8.5</v>
      </c>
      <c r="O18" s="63">
        <v>1094</v>
      </c>
      <c r="P18" s="47">
        <v>-41.3</v>
      </c>
      <c r="Q18" s="47">
        <v>0</v>
      </c>
      <c r="R18" s="47">
        <f t="shared" si="0"/>
        <v>-5</v>
      </c>
      <c r="S18" s="47">
        <v>3</v>
      </c>
      <c r="T18" s="47">
        <v>0</v>
      </c>
      <c r="U18" s="47">
        <v>1.7999999999999999E-2</v>
      </c>
      <c r="V18" s="47">
        <v>0</v>
      </c>
      <c r="W18" s="47">
        <v>0.25</v>
      </c>
      <c r="X18" s="47">
        <v>77300</v>
      </c>
      <c r="Y18" s="47">
        <v>0</v>
      </c>
      <c r="Z18" s="47">
        <v>0</v>
      </c>
      <c r="AA18" s="47">
        <v>1</v>
      </c>
      <c r="AB18" s="47">
        <v>0</v>
      </c>
      <c r="AC18" s="47">
        <v>1715000</v>
      </c>
      <c r="AD18" s="47">
        <v>-9782.6</v>
      </c>
      <c r="AE18" s="47">
        <v>0.49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0</v>
      </c>
      <c r="AS18" s="33">
        <v>0.2</v>
      </c>
      <c r="AT18" s="47"/>
      <c r="AU18" s="47"/>
      <c r="AV18" s="47"/>
    </row>
    <row r="19" spans="1:48" s="56" customFormat="1" x14ac:dyDescent="0.25">
      <c r="A19" s="38" t="s">
        <v>38</v>
      </c>
      <c r="B19" s="38" t="s">
        <v>30</v>
      </c>
      <c r="C19" s="38" t="s">
        <v>59</v>
      </c>
      <c r="D19" s="43"/>
      <c r="E19" s="35"/>
      <c r="F19" s="33"/>
      <c r="G19" s="33"/>
      <c r="I19" s="56">
        <v>0</v>
      </c>
      <c r="J19" s="47">
        <v>14</v>
      </c>
      <c r="K19" s="63">
        <v>-68</v>
      </c>
      <c r="L19"/>
      <c r="M19" s="49" t="s">
        <v>65</v>
      </c>
      <c r="N19" s="47">
        <v>8.6999999999999993</v>
      </c>
      <c r="O19" s="63">
        <v>1020</v>
      </c>
      <c r="P19" s="47">
        <v>11</v>
      </c>
      <c r="Q19" s="47">
        <v>0</v>
      </c>
      <c r="R19" s="47">
        <f t="shared" si="0"/>
        <v>-5</v>
      </c>
      <c r="S19" s="47">
        <v>3</v>
      </c>
      <c r="T19" s="47">
        <v>0</v>
      </c>
      <c r="U19" s="47">
        <v>1.7999999999999999E-2</v>
      </c>
      <c r="V19" s="47">
        <v>0</v>
      </c>
      <c r="W19" s="47">
        <v>0.25</v>
      </c>
      <c r="X19" s="47">
        <v>87100</v>
      </c>
      <c r="Y19" s="47">
        <v>0</v>
      </c>
      <c r="Z19" s="47">
        <v>0</v>
      </c>
      <c r="AA19" s="47">
        <v>1</v>
      </c>
      <c r="AB19" s="47">
        <v>0</v>
      </c>
      <c r="AC19" s="47">
        <v>1601000</v>
      </c>
      <c r="AD19" s="47">
        <v>11565.2</v>
      </c>
      <c r="AE19" s="47">
        <v>0.49</v>
      </c>
      <c r="AF19" s="47">
        <v>0</v>
      </c>
      <c r="AG19" s="47">
        <v>0</v>
      </c>
      <c r="AH19" s="47">
        <v>0</v>
      </c>
      <c r="AI19" s="47">
        <v>0</v>
      </c>
      <c r="AJ19" s="47">
        <v>0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0</v>
      </c>
      <c r="AS19" s="33">
        <v>0.2</v>
      </c>
      <c r="AT19" s="47"/>
      <c r="AU19" s="47"/>
      <c r="AV19" s="47"/>
    </row>
    <row r="20" spans="1:48" x14ac:dyDescent="0.25">
      <c r="A20" s="66">
        <v>1</v>
      </c>
      <c r="B20" s="66">
        <v>0</v>
      </c>
      <c r="C20" s="66">
        <v>0.09</v>
      </c>
      <c r="D20" s="43"/>
      <c r="J20" s="47"/>
      <c r="K20" s="63"/>
      <c r="L20" s="49"/>
      <c r="M20" s="49"/>
      <c r="N20" s="47"/>
      <c r="O20" s="63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</row>
    <row r="21" spans="1:48" x14ac:dyDescent="0.25">
      <c r="A21" s="66"/>
      <c r="B21" s="66"/>
      <c r="C21" s="66"/>
      <c r="D21" s="43"/>
      <c r="K21" s="79"/>
      <c r="L21" s="49"/>
      <c r="M21" s="49" t="s">
        <v>94</v>
      </c>
      <c r="N21" s="47"/>
      <c r="O21" s="63"/>
      <c r="P21" s="47"/>
      <c r="Q21" s="47"/>
      <c r="R21" s="64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</row>
    <row r="22" spans="1:48" x14ac:dyDescent="0.25">
      <c r="A22" s="47"/>
      <c r="B22" s="47"/>
      <c r="C22" s="47"/>
      <c r="D22" s="35"/>
      <c r="K22" s="79"/>
      <c r="L22" s="49"/>
      <c r="M22" s="49" t="s">
        <v>94</v>
      </c>
      <c r="N22" s="47"/>
      <c r="O22" s="47"/>
      <c r="P22" s="47"/>
      <c r="Q22" s="47"/>
      <c r="R22" s="64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</row>
    <row r="23" spans="1:48" x14ac:dyDescent="0.25">
      <c r="A23" s="47"/>
      <c r="B23" s="47"/>
      <c r="C23" s="47"/>
      <c r="D23" s="35"/>
      <c r="K23" s="79"/>
      <c r="L23" s="49"/>
      <c r="M23" s="49" t="s">
        <v>94</v>
      </c>
      <c r="N23" s="47"/>
      <c r="O23" s="47"/>
      <c r="P23" s="47"/>
      <c r="Q23" s="47"/>
      <c r="R23" s="64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I23" s="47"/>
      <c r="AJ23" s="47"/>
      <c r="AK23" s="47"/>
      <c r="AL23" s="47"/>
      <c r="AM23" s="47"/>
      <c r="AN23" s="47"/>
      <c r="AO23" s="47"/>
      <c r="AP23" s="47"/>
    </row>
    <row r="24" spans="1:48" x14ac:dyDescent="0.25">
      <c r="A24" s="43"/>
      <c r="B24" s="43"/>
      <c r="C24" s="43"/>
      <c r="D24" s="43"/>
      <c r="K24" s="79"/>
      <c r="L24" s="49"/>
      <c r="M24" s="49" t="s">
        <v>94</v>
      </c>
      <c r="N24" s="47"/>
      <c r="O24" s="47"/>
      <c r="P24" s="47"/>
      <c r="Q24" s="47"/>
      <c r="R24" s="64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I24" s="47"/>
      <c r="AJ24" s="47"/>
      <c r="AK24" s="47"/>
      <c r="AL24" s="47"/>
      <c r="AM24" s="47"/>
      <c r="AN24" s="47"/>
      <c r="AO24" s="47"/>
      <c r="AP24" s="47"/>
    </row>
    <row r="25" spans="1:48" x14ac:dyDescent="0.25">
      <c r="A25" s="47"/>
      <c r="B25" s="47"/>
      <c r="C25" s="47"/>
      <c r="D25" s="35"/>
      <c r="E25" s="33" t="s">
        <v>180</v>
      </c>
      <c r="K25" s="79"/>
      <c r="L25" s="49"/>
      <c r="M25" s="49" t="s">
        <v>94</v>
      </c>
      <c r="N25" s="47"/>
      <c r="O25" s="47"/>
      <c r="P25" s="47"/>
      <c r="Q25" s="47"/>
      <c r="R25" s="64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I25" s="47"/>
      <c r="AJ25" s="47"/>
      <c r="AK25" s="47"/>
      <c r="AL25" s="47"/>
      <c r="AM25" s="47"/>
      <c r="AN25" s="47"/>
      <c r="AO25" s="47"/>
      <c r="AP25" s="47"/>
    </row>
    <row r="26" spans="1:48" x14ac:dyDescent="0.25">
      <c r="A26" s="43"/>
      <c r="B26" s="43"/>
      <c r="C26" s="43"/>
      <c r="D26" s="43"/>
      <c r="K26" s="79"/>
      <c r="L26" s="49"/>
      <c r="M26" s="49" t="s">
        <v>94</v>
      </c>
      <c r="N26" s="47"/>
      <c r="O26" s="47"/>
      <c r="P26" s="47"/>
      <c r="Q26" s="47"/>
      <c r="R26" s="64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I26" s="47"/>
      <c r="AJ26" s="47"/>
      <c r="AK26" s="47"/>
      <c r="AL26" s="47"/>
      <c r="AM26" s="47"/>
      <c r="AN26" s="47"/>
      <c r="AO26" s="47"/>
      <c r="AP26" s="47"/>
    </row>
    <row r="27" spans="1:48" x14ac:dyDescent="0.25">
      <c r="A27" s="43"/>
      <c r="B27" s="43"/>
      <c r="C27" s="43"/>
      <c r="D27" s="43"/>
      <c r="L27" s="49"/>
      <c r="M27" s="49" t="s">
        <v>94</v>
      </c>
      <c r="N27" s="47"/>
      <c r="O27" s="47"/>
      <c r="P27" s="47"/>
      <c r="Q27" s="47"/>
      <c r="R27" s="64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I27" s="47"/>
      <c r="AJ27" s="47"/>
      <c r="AK27" s="47"/>
      <c r="AL27" s="47"/>
      <c r="AM27" s="47"/>
      <c r="AN27" s="47"/>
      <c r="AO27" s="47"/>
      <c r="AP27" s="47"/>
    </row>
    <row r="28" spans="1:48" x14ac:dyDescent="0.25">
      <c r="A28" s="43"/>
      <c r="B28" s="43"/>
      <c r="C28" s="43"/>
      <c r="D28" s="43"/>
      <c r="L28" s="49"/>
      <c r="M28" s="49" t="s">
        <v>94</v>
      </c>
      <c r="N28" s="47"/>
      <c r="O28" s="47"/>
      <c r="P28" s="47"/>
      <c r="Q28" s="47"/>
      <c r="R28" s="64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I28" s="47"/>
      <c r="AJ28" s="47"/>
      <c r="AK28" s="47"/>
      <c r="AL28" s="47"/>
      <c r="AM28" s="47"/>
      <c r="AN28" s="47"/>
      <c r="AO28" s="47"/>
      <c r="AP28" s="47"/>
    </row>
    <row r="29" spans="1:48" x14ac:dyDescent="0.25">
      <c r="A29" s="43"/>
      <c r="B29" s="43"/>
      <c r="C29" s="43"/>
      <c r="D29" s="43"/>
      <c r="L29" s="49"/>
      <c r="M29" s="49" t="s">
        <v>94</v>
      </c>
      <c r="N29" s="47"/>
      <c r="O29" s="47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8" x14ac:dyDescent="0.25">
      <c r="A30" s="43"/>
      <c r="B30" s="43"/>
      <c r="C30" s="43"/>
      <c r="D30" s="43"/>
      <c r="L30" s="49"/>
      <c r="M30" s="49" t="s">
        <v>94</v>
      </c>
      <c r="N30" s="47"/>
      <c r="O30" s="47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33" t="s">
        <v>99</v>
      </c>
      <c r="AF30" s="33" t="s">
        <v>100</v>
      </c>
      <c r="AG30" s="33" t="s">
        <v>101</v>
      </c>
      <c r="AI30" s="47"/>
      <c r="AJ30" s="47"/>
      <c r="AK30" s="47"/>
      <c r="AL30" s="47"/>
      <c r="AM30" s="47"/>
      <c r="AN30" s="47"/>
      <c r="AO30" s="47"/>
      <c r="AP30" s="47"/>
    </row>
    <row r="31" spans="1:48" x14ac:dyDescent="0.25">
      <c r="A31" s="43"/>
      <c r="B31" s="43"/>
      <c r="C31" s="43"/>
      <c r="D31" s="43"/>
      <c r="L31" s="49"/>
      <c r="M31" s="49" t="s">
        <v>94</v>
      </c>
      <c r="N31" s="47"/>
      <c r="O31" s="47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33">
        <v>15</v>
      </c>
      <c r="AF31" s="33">
        <v>48</v>
      </c>
      <c r="AG31" s="33">
        <v>1900</v>
      </c>
      <c r="AH31" s="33">
        <v>8</v>
      </c>
      <c r="AI31" s="47"/>
      <c r="AJ31" s="47"/>
      <c r="AK31" s="47"/>
      <c r="AL31" s="47"/>
      <c r="AM31" s="47"/>
      <c r="AN31" s="47"/>
      <c r="AO31" s="47"/>
      <c r="AP31" s="47"/>
    </row>
    <row r="32" spans="1:48" x14ac:dyDescent="0.25">
      <c r="A32" s="43"/>
      <c r="B32" s="43"/>
      <c r="C32" s="43"/>
      <c r="D32" s="43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33">
        <v>16</v>
      </c>
      <c r="AF32" s="33">
        <v>51.8</v>
      </c>
      <c r="AG32" s="33">
        <v>2100</v>
      </c>
      <c r="AH32" s="33">
        <v>8.8000000000000007</v>
      </c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43"/>
      <c r="B33" s="43"/>
      <c r="C33" s="43"/>
      <c r="D33" s="43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33">
        <v>17</v>
      </c>
      <c r="AF33" s="33">
        <v>55.599999999999994</v>
      </c>
      <c r="AG33" s="33">
        <v>2300</v>
      </c>
      <c r="AH33" s="33">
        <v>9.6000000000000014</v>
      </c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33">
        <v>18</v>
      </c>
      <c r="AF34" s="33">
        <v>59.399999999999991</v>
      </c>
      <c r="AG34" s="33">
        <v>2500</v>
      </c>
      <c r="AH34" s="33">
        <v>10.400000000000002</v>
      </c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33">
        <v>19</v>
      </c>
      <c r="AF35" s="33">
        <v>63.199999999999989</v>
      </c>
      <c r="AG35" s="33">
        <v>2700</v>
      </c>
      <c r="AH35" s="33">
        <v>11.200000000000003</v>
      </c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33">
        <v>20</v>
      </c>
      <c r="AF36" s="33">
        <v>66.999999999999986</v>
      </c>
      <c r="AG36" s="33">
        <v>2900</v>
      </c>
      <c r="AH36" s="33">
        <v>12.000000000000004</v>
      </c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M37" s="49" t="s">
        <v>94</v>
      </c>
      <c r="N37" s="47"/>
      <c r="O37" s="63"/>
      <c r="P37" s="47"/>
      <c r="Q37" s="47"/>
      <c r="R37" s="64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33">
        <v>21</v>
      </c>
      <c r="AF37" s="33">
        <v>69.799999999999983</v>
      </c>
      <c r="AG37" s="33">
        <v>3280</v>
      </c>
      <c r="AH37" s="33">
        <v>13.600000000000003</v>
      </c>
      <c r="AI37" s="47"/>
      <c r="AJ37" s="47"/>
      <c r="AK37" s="47"/>
      <c r="AL37" s="47"/>
      <c r="AM37" s="47"/>
      <c r="AN37" s="47"/>
    </row>
    <row r="38" spans="1:42" x14ac:dyDescent="0.25">
      <c r="L38" s="49"/>
      <c r="M38" s="49" t="s">
        <v>94</v>
      </c>
      <c r="N38" s="47"/>
      <c r="O38" s="63"/>
      <c r="P38" s="47"/>
      <c r="Q38" s="47"/>
      <c r="R38" s="64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33">
        <v>22</v>
      </c>
      <c r="AF38" s="33">
        <v>72.59999999999998</v>
      </c>
      <c r="AG38" s="33">
        <v>3660</v>
      </c>
      <c r="AH38" s="33">
        <v>15.200000000000003</v>
      </c>
      <c r="AI38" s="47"/>
      <c r="AJ38" s="47"/>
      <c r="AK38" s="47"/>
      <c r="AL38" s="47"/>
      <c r="AM38" s="47"/>
      <c r="AN38" s="47"/>
    </row>
    <row r="39" spans="1:42" x14ac:dyDescent="0.25">
      <c r="L39" s="49"/>
      <c r="M39" s="49" t="s">
        <v>94</v>
      </c>
      <c r="N39" s="47"/>
      <c r="O39" s="63"/>
      <c r="P39" s="47"/>
      <c r="Q39" s="47"/>
      <c r="R39" s="64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33">
        <v>23</v>
      </c>
      <c r="AF39" s="33">
        <v>75.399999999999977</v>
      </c>
      <c r="AG39" s="33">
        <v>4040</v>
      </c>
      <c r="AH39" s="33">
        <v>16.800000000000004</v>
      </c>
      <c r="AI39" s="47"/>
      <c r="AJ39" s="47"/>
      <c r="AK39" s="47"/>
      <c r="AL39" s="47"/>
      <c r="AM39" s="47"/>
      <c r="AN39" s="47"/>
    </row>
    <row r="40" spans="1:42" x14ac:dyDescent="0.25">
      <c r="L40" s="49"/>
      <c r="AE40" s="33">
        <v>24</v>
      </c>
      <c r="AF40" s="33">
        <v>78.199999999999974</v>
      </c>
      <c r="AG40" s="33">
        <v>4420</v>
      </c>
      <c r="AH40" s="33">
        <v>18.400000000000006</v>
      </c>
    </row>
    <row r="41" spans="1:42" x14ac:dyDescent="0.25">
      <c r="L41" s="49"/>
      <c r="AE41" s="33">
        <v>25</v>
      </c>
      <c r="AF41" s="33">
        <v>80.999999999999972</v>
      </c>
      <c r="AG41" s="33">
        <v>4800</v>
      </c>
      <c r="AH41" s="33">
        <v>20.000000000000007</v>
      </c>
    </row>
    <row r="42" spans="1:42" x14ac:dyDescent="0.25">
      <c r="L42" s="49"/>
      <c r="AE42" s="33">
        <v>26</v>
      </c>
      <c r="AF42" s="33">
        <v>83.999999999999972</v>
      </c>
      <c r="AG42" s="33">
        <v>5760</v>
      </c>
      <c r="AH42" s="33">
        <v>24.000000000000007</v>
      </c>
    </row>
    <row r="43" spans="1:42" x14ac:dyDescent="0.25">
      <c r="L43" s="49"/>
      <c r="AE43" s="33">
        <v>27</v>
      </c>
      <c r="AF43" s="33">
        <v>86.999999999999972</v>
      </c>
      <c r="AG43" s="33">
        <v>6720</v>
      </c>
      <c r="AH43" s="33">
        <v>28.000000000000007</v>
      </c>
    </row>
    <row r="44" spans="1:42" x14ac:dyDescent="0.25">
      <c r="L44" s="49"/>
      <c r="AE44" s="33">
        <v>28</v>
      </c>
      <c r="AF44" s="33">
        <v>89.999999999999972</v>
      </c>
      <c r="AG44" s="33">
        <v>7680</v>
      </c>
      <c r="AH44" s="33">
        <v>32.000000000000007</v>
      </c>
    </row>
    <row r="45" spans="1:42" x14ac:dyDescent="0.25">
      <c r="L45" s="49"/>
      <c r="AE45" s="33">
        <v>29</v>
      </c>
      <c r="AF45" s="33">
        <v>92.999999999999972</v>
      </c>
      <c r="AG45" s="33">
        <v>8640</v>
      </c>
      <c r="AH45" s="33">
        <v>36.000000000000007</v>
      </c>
    </row>
    <row r="46" spans="1:42" x14ac:dyDescent="0.25">
      <c r="L46" s="49"/>
      <c r="AE46" s="33">
        <v>30</v>
      </c>
      <c r="AF46" s="33">
        <v>95.999999999999972</v>
      </c>
      <c r="AG46" s="33">
        <v>9600</v>
      </c>
      <c r="AH46" s="33">
        <v>40.000000000000007</v>
      </c>
    </row>
    <row r="47" spans="1:42" x14ac:dyDescent="0.25">
      <c r="L47" s="49"/>
      <c r="AE47" s="33">
        <v>31</v>
      </c>
      <c r="AF47" s="33">
        <v>99.799999999999969</v>
      </c>
      <c r="AG47" s="33">
        <v>10080</v>
      </c>
      <c r="AH47" s="33">
        <v>42.000000000000007</v>
      </c>
    </row>
    <row r="48" spans="1:42" x14ac:dyDescent="0.25">
      <c r="L48" s="49"/>
      <c r="AE48" s="33">
        <v>32</v>
      </c>
      <c r="AF48" s="33">
        <v>103.59999999999997</v>
      </c>
      <c r="AG48" s="33">
        <v>10560</v>
      </c>
      <c r="AH48" s="33">
        <v>44.000000000000007</v>
      </c>
    </row>
    <row r="49" spans="12:34" x14ac:dyDescent="0.25">
      <c r="L49" s="49"/>
      <c r="AE49" s="33">
        <v>33</v>
      </c>
      <c r="AF49" s="33">
        <v>107.39999999999996</v>
      </c>
      <c r="AG49" s="33">
        <v>11040</v>
      </c>
      <c r="AH49" s="33">
        <v>46.000000000000007</v>
      </c>
    </row>
    <row r="50" spans="12:34" x14ac:dyDescent="0.25">
      <c r="L50" s="49"/>
      <c r="AE50" s="33">
        <v>34</v>
      </c>
      <c r="AF50" s="33">
        <v>111.19999999999996</v>
      </c>
      <c r="AG50" s="33">
        <v>11520</v>
      </c>
      <c r="AH50" s="33">
        <v>48.000000000000007</v>
      </c>
    </row>
    <row r="51" spans="12:34" x14ac:dyDescent="0.25">
      <c r="L51" s="49"/>
      <c r="AE51" s="33">
        <v>35</v>
      </c>
      <c r="AF51" s="33">
        <v>114.99999999999996</v>
      </c>
      <c r="AG51" s="33">
        <v>12000</v>
      </c>
      <c r="AH51" s="33">
        <v>50.000000000000007</v>
      </c>
    </row>
    <row r="52" spans="12:34" x14ac:dyDescent="0.25">
      <c r="L52" s="49"/>
    </row>
    <row r="53" spans="12:34" x14ac:dyDescent="0.25">
      <c r="L53" s="49"/>
    </row>
    <row r="54" spans="12:34" x14ac:dyDescent="0.25">
      <c r="L54" s="49"/>
    </row>
    <row r="55" spans="12:34" x14ac:dyDescent="0.25">
      <c r="L55" s="49"/>
    </row>
    <row r="56" spans="12:34" x14ac:dyDescent="0.25">
      <c r="L56" s="49"/>
    </row>
    <row r="57" spans="12:34" x14ac:dyDescent="0.25">
      <c r="L57" s="49"/>
    </row>
    <row r="58" spans="12:34" x14ac:dyDescent="0.25">
      <c r="L58" s="49"/>
    </row>
    <row r="59" spans="12:34" x14ac:dyDescent="0.25">
      <c r="L59" s="49"/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  <row r="256" spans="12:12" x14ac:dyDescent="0.25">
      <c r="L256" s="49"/>
    </row>
    <row r="257" spans="12:12" x14ac:dyDescent="0.25">
      <c r="L257" s="49"/>
    </row>
    <row r="258" spans="12:12" x14ac:dyDescent="0.25">
      <c r="L258" s="49"/>
    </row>
  </sheetData>
  <mergeCells count="3">
    <mergeCell ref="R3:S3"/>
    <mergeCell ref="U3:V3"/>
    <mergeCell ref="AC3:AI3"/>
  </mergeCells>
  <conditionalFormatting sqref="N6 Q6 S15:AA16 AM8:AN18 Q8:Q18 N8:N20 AE8:AJ11 AE6:AJ6 AM6:AN6 R8:Y11 AR6 S12:Y14 R14:R17 AG13:AG16 AG18:AG19 AR8:AR12 AR14:AR18 AT14:AV18 AT8:AV12 AT6:AV6">
    <cfRule type="expression" dxfId="1330" priority="80">
      <formula>$L6="API sand"</formula>
    </cfRule>
  </conditionalFormatting>
  <conditionalFormatting sqref="AJ12:AJ16 N6 AB15:AB16 AK6:AL6 AK8:AL18 N8:N20">
    <cfRule type="expression" dxfId="1329" priority="79">
      <formula>$M6="API sand"</formula>
    </cfRule>
  </conditionalFormatting>
  <conditionalFormatting sqref="AJ12:AJ16 N6 AK6:AL6 AB15:AB16 AK8:AL18 N8:N20">
    <cfRule type="expression" dxfId="1328" priority="78">
      <formula>$M6="API clay"</formula>
    </cfRule>
  </conditionalFormatting>
  <conditionalFormatting sqref="AM6:AN6 N6:P6 AM8:AN18 N8:P11">
    <cfRule type="expression" dxfId="1327" priority="75">
      <formula>$L6="Stiff clay w/o free water"</formula>
    </cfRule>
    <cfRule type="expression" dxfId="1326" priority="77">
      <formula>$L6="API clay"</formula>
    </cfRule>
  </conditionalFormatting>
  <conditionalFormatting sqref="AM6:AN6 N6:P6 AM8:AN18 N8:P11">
    <cfRule type="expression" dxfId="1325" priority="76">
      <formula>$L6="Kirsch soft clay"</formula>
    </cfRule>
  </conditionalFormatting>
  <conditionalFormatting sqref="AM6:AN6 N6:P6 AM8:AN18 N8:P11">
    <cfRule type="expression" dxfId="1324" priority="74">
      <formula>$L6="Kirsch stiff clay"</formula>
    </cfRule>
  </conditionalFormatting>
  <conditionalFormatting sqref="N6 Q6 S15:AA16 AM8:AN18 Q8:Q18 N8:N20 AE8:AJ11 AE6:AJ6 AM6:AN6 R8:Y11 AR6 S12:Y14 R14:R17 AG13:AG16 AG18:AG19 AR8:AR12 AR14:AR18 AT14:AV18 AT8:AV12 AT6:AV6">
    <cfRule type="expression" dxfId="1323" priority="73">
      <formula>$L6="Kirsch sand"</formula>
    </cfRule>
  </conditionalFormatting>
  <conditionalFormatting sqref="N6 AC6:AD6 AM6:AN6 AC8:AD18 AM8:AN18 N8:N20">
    <cfRule type="expression" dxfId="1322" priority="72">
      <formula>$L6="Modified Weak rock"</formula>
    </cfRule>
  </conditionalFormatting>
  <conditionalFormatting sqref="AM6:AN6 N6:P6 AM8:AN18 N8:P11">
    <cfRule type="expression" dxfId="1321" priority="71">
      <formula>$L6="Reese stiff clay"</formula>
    </cfRule>
  </conditionalFormatting>
  <conditionalFormatting sqref="N21:N39 Q19:Q39 AM19:AN39">
    <cfRule type="expression" dxfId="1320" priority="70">
      <formula>$L19="API sand"</formula>
    </cfRule>
  </conditionalFormatting>
  <conditionalFormatting sqref="N21:N39 Z19:Z39 AB19:AB39 R20:S39 AJ19:AL39 S19">
    <cfRule type="expression" dxfId="1319" priority="69">
      <formula>$M19="API sand"</formula>
    </cfRule>
  </conditionalFormatting>
  <conditionalFormatting sqref="Z19:AB39 AK19:AL39 R20:T39 N21:N39 S19:T19">
    <cfRule type="expression" dxfId="1318" priority="68">
      <formula>$M19="API clay"</formula>
    </cfRule>
  </conditionalFormatting>
  <conditionalFormatting sqref="U19:W39 AM19:AN39 N32:P39 N21:N31 P19:P31">
    <cfRule type="expression" dxfId="1317" priority="65">
      <formula>$L19="Stiff clay w/o free water"</formula>
    </cfRule>
    <cfRule type="expression" dxfId="1316" priority="67">
      <formula>$L19="API clay"</formula>
    </cfRule>
  </conditionalFormatting>
  <conditionalFormatting sqref="U19:Y39 AM19:AN39 N32:P39 N21:N31 P19:P31">
    <cfRule type="expression" dxfId="1315" priority="66">
      <formula>$L19="Kirsch soft clay"</formula>
    </cfRule>
  </conditionalFormatting>
  <conditionalFormatting sqref="AM19:AN39 U19:Y39 N32:P39 N21:N31 P19:P31">
    <cfRule type="expression" dxfId="1314" priority="64">
      <formula>$L19="Kirsch stiff clay"</formula>
    </cfRule>
  </conditionalFormatting>
  <conditionalFormatting sqref="N21:N39 Q19:Q39 X19:Y39 AM19:AN39">
    <cfRule type="expression" dxfId="1313" priority="63">
      <formula>$L19="Kirsch sand"</formula>
    </cfRule>
  </conditionalFormatting>
  <conditionalFormatting sqref="N21:N39 AC20:AI22 AM19:AN39 AC23:AD39 AI23:AI39 AC19:AF19 AH19:AI19">
    <cfRule type="expression" dxfId="1312" priority="62">
      <formula>$L19="Modified Weak rock"</formula>
    </cfRule>
  </conditionalFormatting>
  <conditionalFormatting sqref="U19:V39 AM19:AN39 N32:P39 N21:N31 P19:P31">
    <cfRule type="expression" dxfId="1311" priority="61">
      <formula>$L19="Reese stiff clay"</formula>
    </cfRule>
  </conditionalFormatting>
  <conditionalFormatting sqref="AC6:AD6 AM6:AN6 N6:P6 AC8:AD18 AM8:AN18 N8:P11">
    <cfRule type="expression" dxfId="1310" priority="60">
      <formula>$L6="PISA clay"</formula>
    </cfRule>
  </conditionalFormatting>
  <conditionalFormatting sqref="N6 AC6:AD6 AM6:AN6 AC8:AD18 AM8:AN18 N8:N20">
    <cfRule type="expression" dxfId="1309" priority="59">
      <formula>$L6="PISA sand"</formula>
    </cfRule>
  </conditionalFormatting>
  <conditionalFormatting sqref="R6:Y6 R12 R18">
    <cfRule type="expression" dxfId="1308" priority="58">
      <formula>$L6="API sand"</formula>
    </cfRule>
  </conditionalFormatting>
  <conditionalFormatting sqref="R6:Y6 R12 R18">
    <cfRule type="expression" dxfId="1307" priority="57">
      <formula>$L6="Kirsch sand"</formula>
    </cfRule>
  </conditionalFormatting>
  <conditionalFormatting sqref="N12:P15 N16:O16 P17:P18 O17:O21 N17:N20">
    <cfRule type="expression" dxfId="1306" priority="54">
      <formula>$L12="Stiff clay w/o free water"</formula>
    </cfRule>
    <cfRule type="expression" dxfId="1305" priority="56">
      <formula>$L12="API clay"</formula>
    </cfRule>
  </conditionalFormatting>
  <conditionalFormatting sqref="N12:P15 N16:O16 P17:P18 O17:O21 N17:N20">
    <cfRule type="expression" dxfId="1304" priority="55">
      <formula>$L12="Kirsch soft clay"</formula>
    </cfRule>
  </conditionalFormatting>
  <conditionalFormatting sqref="N12:P15 N16:O16 P17:P18 O17:O21 N17:N20">
    <cfRule type="expression" dxfId="1303" priority="53">
      <formula>$L12="Kirsch stiff clay"</formula>
    </cfRule>
  </conditionalFormatting>
  <conditionalFormatting sqref="N12:P15 N16:O16 P17:P18 O17:O21 N17:N20">
    <cfRule type="expression" dxfId="1302" priority="52">
      <formula>$L12="Reese stiff clay"</formula>
    </cfRule>
  </conditionalFormatting>
  <conditionalFormatting sqref="N12:P15 N16:O16 P17:P18 O17:O21 N17:N20">
    <cfRule type="expression" dxfId="1301" priority="51">
      <formula>$L12="PISA clay"</formula>
    </cfRule>
  </conditionalFormatting>
  <conditionalFormatting sqref="S17:AB18">
    <cfRule type="expression" dxfId="1300" priority="50">
      <formula>$L17="API sand"</formula>
    </cfRule>
  </conditionalFormatting>
  <conditionalFormatting sqref="S17:AB18">
    <cfRule type="expression" dxfId="1299" priority="49">
      <formula>$L17="Kirsch sand"</formula>
    </cfRule>
  </conditionalFormatting>
  <conditionalFormatting sqref="AE12:AF18 AH12:AI16 AH17:AJ18">
    <cfRule type="expression" dxfId="1298" priority="48">
      <formula>$L12="API sand"</formula>
    </cfRule>
  </conditionalFormatting>
  <conditionalFormatting sqref="AE12:AF18 AH12:AI16 AH17:AJ18">
    <cfRule type="expression" dxfId="1297" priority="47">
      <formula>$L12="Kirsch sand"</formula>
    </cfRule>
  </conditionalFormatting>
  <conditionalFormatting sqref="O22:O24">
    <cfRule type="expression" dxfId="1296" priority="46">
      <formula>$L22="API sand"</formula>
    </cfRule>
  </conditionalFormatting>
  <conditionalFormatting sqref="O22:O24">
    <cfRule type="expression" dxfId="1295" priority="45">
      <formula>$L22="Kirsch sand"</formula>
    </cfRule>
  </conditionalFormatting>
  <conditionalFormatting sqref="O25:O31">
    <cfRule type="expression" dxfId="1294" priority="44">
      <formula>$L25="API sand"</formula>
    </cfRule>
  </conditionalFormatting>
  <conditionalFormatting sqref="O25:O31">
    <cfRule type="expression" dxfId="1293" priority="43">
      <formula>$L25="Kirsch sand"</formula>
    </cfRule>
  </conditionalFormatting>
  <conditionalFormatting sqref="P16">
    <cfRule type="expression" dxfId="1292" priority="40">
      <formula>$L16="Stiff clay w/o free water"</formula>
    </cfRule>
    <cfRule type="expression" dxfId="1291" priority="42">
      <formula>$L16="API clay"</formula>
    </cfRule>
  </conditionalFormatting>
  <conditionalFormatting sqref="P16">
    <cfRule type="expression" dxfId="1290" priority="41">
      <formula>$L16="Kirsch soft clay"</formula>
    </cfRule>
  </conditionalFormatting>
  <conditionalFormatting sqref="P16">
    <cfRule type="expression" dxfId="1289" priority="39">
      <formula>$L16="Kirsch stiff clay"</formula>
    </cfRule>
  </conditionalFormatting>
  <conditionalFormatting sqref="P16">
    <cfRule type="expression" dxfId="1288" priority="38">
      <formula>$L16="Reese stiff clay"</formula>
    </cfRule>
  </conditionalFormatting>
  <conditionalFormatting sqref="P16">
    <cfRule type="expression" dxfId="1287" priority="37">
      <formula>$L16="PISA clay"</formula>
    </cfRule>
  </conditionalFormatting>
  <conditionalFormatting sqref="N7 Q7 AE7:AJ7 AM7:AN7 AR7 AG12 AG17 AR13 AR19 AT19:AV19 AT13:AV13 AT7:AV7">
    <cfRule type="expression" dxfId="1286" priority="36">
      <formula>$L7="API sand"</formula>
    </cfRule>
  </conditionalFormatting>
  <conditionalFormatting sqref="N7 AK7:AL7">
    <cfRule type="expression" dxfId="1285" priority="35">
      <formula>$M7="API sand"</formula>
    </cfRule>
  </conditionalFormatting>
  <conditionalFormatting sqref="N7 AK7:AL7">
    <cfRule type="expression" dxfId="1284" priority="34">
      <formula>$M7="API clay"</formula>
    </cfRule>
  </conditionalFormatting>
  <conditionalFormatting sqref="AM7:AN7 N7:P7">
    <cfRule type="expression" dxfId="1283" priority="31">
      <formula>$L7="Stiff clay w/o free water"</formula>
    </cfRule>
    <cfRule type="expression" dxfId="1282" priority="33">
      <formula>$L7="API clay"</formula>
    </cfRule>
  </conditionalFormatting>
  <conditionalFormatting sqref="AM7:AN7 N7:P7">
    <cfRule type="expression" dxfId="1281" priority="32">
      <formula>$L7="Kirsch soft clay"</formula>
    </cfRule>
  </conditionalFormatting>
  <conditionalFormatting sqref="AM7:AN7 N7:P7">
    <cfRule type="expression" dxfId="1280" priority="30">
      <formula>$L7="Kirsch stiff clay"</formula>
    </cfRule>
  </conditionalFormatting>
  <conditionalFormatting sqref="N7 Q7 AE7:AJ7 AM7:AN7 AR7 AG12 AG17 AR13 AR19 AT19:AV19 AT13:AV13 AT7:AV7">
    <cfRule type="expression" dxfId="1279" priority="29">
      <formula>$L7="Kirsch sand"</formula>
    </cfRule>
  </conditionalFormatting>
  <conditionalFormatting sqref="N7 AC7:AD7 AM7:AN7">
    <cfRule type="expression" dxfId="1278" priority="28">
      <formula>$L7="Modified Weak rock"</formula>
    </cfRule>
  </conditionalFormatting>
  <conditionalFormatting sqref="AM7:AN7 N7:P7">
    <cfRule type="expression" dxfId="1277" priority="27">
      <formula>$L7="Reese stiff clay"</formula>
    </cfRule>
  </conditionalFormatting>
  <conditionalFormatting sqref="AC7:AD7 AM7:AN7 N7:P7">
    <cfRule type="expression" dxfId="1276" priority="26">
      <formula>$L7="PISA clay"</formula>
    </cfRule>
  </conditionalFormatting>
  <conditionalFormatting sqref="N7 AC7:AD7 AM7:AN7">
    <cfRule type="expression" dxfId="1275" priority="25">
      <formula>$L7="PISA sand"</formula>
    </cfRule>
  </conditionalFormatting>
  <conditionalFormatting sqref="R7:Y7 R13 R19">
    <cfRule type="expression" dxfId="1274" priority="24">
      <formula>$L7="API sand"</formula>
    </cfRule>
  </conditionalFormatting>
  <conditionalFormatting sqref="R7:Y7 R13 R19">
    <cfRule type="expression" dxfId="1273" priority="23">
      <formula>$L7="Kirsch sand"</formula>
    </cfRule>
  </conditionalFormatting>
  <conditionalFormatting sqref="Z6:Z14 AB6:AB14">
    <cfRule type="expression" dxfId="1272" priority="22">
      <formula>$M6="API sand"</formula>
    </cfRule>
  </conditionalFormatting>
  <conditionalFormatting sqref="Z6:AB14">
    <cfRule type="expression" dxfId="1271" priority="21">
      <formula>$M6="API clay"</formula>
    </cfRule>
  </conditionalFormatting>
  <conditionalFormatting sqref="AO6:AP19">
    <cfRule type="expression" dxfId="1270" priority="20">
      <formula>$L6="API sand"</formula>
    </cfRule>
  </conditionalFormatting>
  <conditionalFormatting sqref="AO6:AP19">
    <cfRule type="expression" dxfId="1269" priority="17">
      <formula>$L6="Stiff clay w/o free water"</formula>
    </cfRule>
    <cfRule type="expression" dxfId="1268" priority="19">
      <formula>$L6="API clay"</formula>
    </cfRule>
  </conditionalFormatting>
  <conditionalFormatting sqref="AO6:AP19">
    <cfRule type="expression" dxfId="1267" priority="18">
      <formula>$L6="Kirsch soft clay"</formula>
    </cfRule>
  </conditionalFormatting>
  <conditionalFormatting sqref="AO6:AP19">
    <cfRule type="expression" dxfId="1266" priority="16">
      <formula>$L6="Kirsch stiff clay"</formula>
    </cfRule>
  </conditionalFormatting>
  <conditionalFormatting sqref="AO6:AP19">
    <cfRule type="expression" dxfId="1265" priority="15">
      <formula>$L6="Kirsch sand"</formula>
    </cfRule>
  </conditionalFormatting>
  <conditionalFormatting sqref="AO6:AP19">
    <cfRule type="expression" dxfId="1264" priority="14">
      <formula>$L6="Modified Weak rock"</formula>
    </cfRule>
  </conditionalFormatting>
  <conditionalFormatting sqref="AO6:AP19">
    <cfRule type="expression" dxfId="1263" priority="13">
      <formula>$L6="Reese stiff clay"</formula>
    </cfRule>
  </conditionalFormatting>
  <conditionalFormatting sqref="AO20:AP36">
    <cfRule type="expression" dxfId="1262" priority="12">
      <formula>$L20="API sand"</formula>
    </cfRule>
  </conditionalFormatting>
  <conditionalFormatting sqref="AO20:AP36">
    <cfRule type="expression" dxfId="1261" priority="9">
      <formula>$L20="Stiff clay w/o free water"</formula>
    </cfRule>
    <cfRule type="expression" dxfId="1260" priority="11">
      <formula>$L20="API clay"</formula>
    </cfRule>
  </conditionalFormatting>
  <conditionalFormatting sqref="AO20:AP36">
    <cfRule type="expression" dxfId="1259" priority="10">
      <formula>$L20="Kirsch soft clay"</formula>
    </cfRule>
  </conditionalFormatting>
  <conditionalFormatting sqref="AO20:AP36">
    <cfRule type="expression" dxfId="1258" priority="8">
      <formula>$L20="Kirsch stiff clay"</formula>
    </cfRule>
  </conditionalFormatting>
  <conditionalFormatting sqref="AO20:AP36">
    <cfRule type="expression" dxfId="1257" priority="7">
      <formula>$L20="Kirsch sand"</formula>
    </cfRule>
  </conditionalFormatting>
  <conditionalFormatting sqref="AO20:AP36">
    <cfRule type="expression" dxfId="1256" priority="6">
      <formula>$L20="Modified Weak rock"</formula>
    </cfRule>
  </conditionalFormatting>
  <conditionalFormatting sqref="AO20:AP36">
    <cfRule type="expression" dxfId="1255" priority="5">
      <formula>$L20="Reese stiff clay"</formula>
    </cfRule>
  </conditionalFormatting>
  <conditionalFormatting sqref="AO6:AP19">
    <cfRule type="expression" dxfId="1254" priority="4">
      <formula>$L6="PISA clay"</formula>
    </cfRule>
  </conditionalFormatting>
  <conditionalFormatting sqref="AO6:AP19">
    <cfRule type="expression" dxfId="1253" priority="3">
      <formula>$L6="PISA sand"</formula>
    </cfRule>
  </conditionalFormatting>
  <conditionalFormatting sqref="AQ6:AQ19">
    <cfRule type="expression" dxfId="1252" priority="2">
      <formula>$L6="API sand"</formula>
    </cfRule>
  </conditionalFormatting>
  <conditionalFormatting sqref="AQ6:AQ19">
    <cfRule type="expression" dxfId="1251" priority="1">
      <formula>$L6="Kirsch sand"</formula>
    </cfRule>
  </conditionalFormatting>
  <dataValidations count="3">
    <dataValidation type="list" showInputMessage="1" showErrorMessage="1" sqref="M6:M19" xr:uid="{7B35E89E-03EF-4B44-A8F7-981C9B89A1E5}">
      <formula1>"Zero soil,API sand,API clay"</formula1>
    </dataValidation>
    <dataValidation type="list" showInputMessage="1" showErrorMessage="1" sqref="L20:L258" xr:uid="{E66C844A-3AD7-4C34-929A-989E7022A29B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20:M39" xr:uid="{5862A8CC-42A3-4BD6-A61C-C02EEB46DA43}">
      <formula1>"',API sand,API clay"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E7061-C811-411B-A271-A18DDA2B77CD}">
  <sheetPr>
    <tabColor theme="6" tint="0.59999389629810485"/>
  </sheetPr>
  <dimension ref="A1:AV258"/>
  <sheetViews>
    <sheetView topLeftCell="U4" zoomScale="85" zoomScaleNormal="85" workbookViewId="0">
      <selection activeCell="AE30" sqref="AE30:AH51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9.5703125" style="33" bestFit="1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6.5703125" style="33" bestFit="1" customWidth="1"/>
    <col min="16" max="16" width="8.5703125" style="33" bestFit="1" customWidth="1"/>
    <col min="17" max="18" width="9.5703125" style="33" bestFit="1" customWidth="1"/>
    <col min="19" max="19" width="4" style="33" bestFit="1" customWidth="1"/>
    <col min="20" max="20" width="5.5703125" style="33" bestFit="1" customWidth="1"/>
    <col min="21" max="21" width="9.5703125" style="33" bestFit="1" customWidth="1"/>
    <col min="22" max="22" width="15.28515625" style="33" bestFit="1" customWidth="1"/>
    <col min="23" max="23" width="4" style="33" bestFit="1" customWidth="1"/>
    <col min="24" max="24" width="7" style="33" bestFit="1" customWidth="1"/>
    <col min="25" max="25" width="8.42578125" style="33" bestFit="1" customWidth="1"/>
    <col min="26" max="26" width="9.7109375" style="33" bestFit="1" customWidth="1"/>
    <col min="27" max="27" width="11" style="33" bestFit="1" customWidth="1"/>
    <col min="28" max="28" width="8.5703125" style="33" bestFit="1" customWidth="1"/>
    <col min="29" max="29" width="14.85546875" style="33" customWidth="1"/>
    <col min="30" max="30" width="8.85546875" style="33" bestFit="1" customWidth="1"/>
    <col min="31" max="31" width="7.85546875" style="33" bestFit="1" customWidth="1"/>
    <col min="32" max="32" width="5.5703125" style="33" bestFit="1" customWidth="1"/>
    <col min="33" max="33" width="11" style="33" bestFit="1" customWidth="1"/>
    <col min="34" max="34" width="5.42578125" style="33" bestFit="1" customWidth="1"/>
    <col min="35" max="35" width="4.85546875" style="33" bestFit="1" customWidth="1"/>
    <col min="36" max="36" width="3.5703125" style="33" bestFit="1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140625" style="33"/>
  </cols>
  <sheetData>
    <row r="1" spans="1:48" x14ac:dyDescent="0.25">
      <c r="A1" s="34" t="str">
        <f ca="1">TRIM(MID(CELL("filename",A1),FIND("]",CELL("filename",A1),1)+1,255))</f>
        <v>Z3_L32_BE_PISA</v>
      </c>
      <c r="D1" s="34"/>
    </row>
    <row r="3" spans="1:48" s="35" customFormat="1" ht="45" customHeight="1" x14ac:dyDescent="0.25">
      <c r="F3" s="36" t="s">
        <v>39</v>
      </c>
      <c r="J3" s="37" t="s">
        <v>22</v>
      </c>
      <c r="Q3" s="78"/>
      <c r="R3" s="155"/>
      <c r="S3" s="155"/>
      <c r="T3" s="78"/>
      <c r="U3" s="155"/>
      <c r="V3" s="155"/>
      <c r="W3" s="78"/>
      <c r="X3" s="78"/>
      <c r="Y3" s="78"/>
      <c r="Z3" s="78"/>
      <c r="AA3" s="78"/>
      <c r="AB3" s="78"/>
      <c r="AC3" s="156"/>
      <c r="AD3" s="156"/>
      <c r="AE3" s="156"/>
      <c r="AF3" s="156"/>
      <c r="AG3" s="156"/>
      <c r="AH3" s="156"/>
      <c r="AI3" s="156"/>
      <c r="AJ3" s="78"/>
      <c r="AK3" s="78"/>
      <c r="AL3" s="78"/>
      <c r="AM3" s="78"/>
      <c r="AN3" s="78"/>
      <c r="AO3" s="78"/>
      <c r="AP3" s="78"/>
    </row>
    <row r="4" spans="1:48" x14ac:dyDescent="0.25">
      <c r="A4" s="40" t="s">
        <v>60</v>
      </c>
      <c r="B4" s="33">
        <f>COUNTIF(J:J,"&gt;0")</f>
        <v>16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0" t="s">
        <v>108</v>
      </c>
      <c r="AP4" s="40" t="s">
        <v>109</v>
      </c>
      <c r="AQ4" s="70" t="s">
        <v>102</v>
      </c>
      <c r="AR4" s="43" t="s">
        <v>177</v>
      </c>
      <c r="AS4" s="33" t="s">
        <v>276</v>
      </c>
      <c r="AT4" s="43"/>
      <c r="AU4" s="43"/>
      <c r="AV4" s="43"/>
    </row>
    <row r="5" spans="1:48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82" t="s">
        <v>38</v>
      </c>
      <c r="K5" s="82" t="s">
        <v>30</v>
      </c>
      <c r="L5" s="82" t="s">
        <v>31</v>
      </c>
      <c r="M5" s="82" t="s">
        <v>31</v>
      </c>
      <c r="N5" s="82" t="s">
        <v>32</v>
      </c>
      <c r="O5" s="82" t="s">
        <v>33</v>
      </c>
      <c r="P5" s="82" t="s">
        <v>35</v>
      </c>
      <c r="Q5" s="82" t="s">
        <v>36</v>
      </c>
      <c r="R5" s="82" t="s">
        <v>36</v>
      </c>
      <c r="S5" s="82" t="s">
        <v>34</v>
      </c>
      <c r="T5" s="82" t="s">
        <v>33</v>
      </c>
      <c r="U5" s="82" t="s">
        <v>34</v>
      </c>
      <c r="V5" s="82" t="s">
        <v>62</v>
      </c>
      <c r="W5" s="82" t="s">
        <v>34</v>
      </c>
      <c r="X5" s="82" t="s">
        <v>33</v>
      </c>
      <c r="Y5" s="82" t="s">
        <v>35</v>
      </c>
      <c r="Z5" s="82" t="s">
        <v>33</v>
      </c>
      <c r="AA5" s="82" t="s">
        <v>34</v>
      </c>
      <c r="AB5" s="82" t="s">
        <v>33</v>
      </c>
      <c r="AC5" s="82" t="s">
        <v>33</v>
      </c>
      <c r="AD5" s="82" t="s">
        <v>35</v>
      </c>
      <c r="AE5" s="82" t="s">
        <v>34</v>
      </c>
      <c r="AF5" s="82" t="s">
        <v>33</v>
      </c>
      <c r="AG5" s="82" t="s">
        <v>35</v>
      </c>
      <c r="AH5" s="82" t="s">
        <v>34</v>
      </c>
      <c r="AI5" s="82" t="s">
        <v>34</v>
      </c>
      <c r="AJ5" s="82" t="s">
        <v>34</v>
      </c>
      <c r="AK5" s="82" t="s">
        <v>34</v>
      </c>
      <c r="AL5" s="82" t="s">
        <v>34</v>
      </c>
      <c r="AM5" s="82" t="s">
        <v>34</v>
      </c>
      <c r="AN5" s="82" t="s">
        <v>34</v>
      </c>
      <c r="AO5" s="82" t="s">
        <v>34</v>
      </c>
      <c r="AP5" s="82" t="s">
        <v>34</v>
      </c>
      <c r="AQ5" s="83" t="s">
        <v>103</v>
      </c>
      <c r="AR5" s="83" t="s">
        <v>178</v>
      </c>
      <c r="AT5" s="82"/>
      <c r="AU5" s="82"/>
    </row>
    <row r="6" spans="1:48" x14ac:dyDescent="0.25">
      <c r="C6" s="45"/>
      <c r="F6" s="33" t="s">
        <v>67</v>
      </c>
      <c r="G6" s="57">
        <v>0</v>
      </c>
      <c r="H6" s="45" t="s">
        <v>28</v>
      </c>
      <c r="I6" s="33" t="s">
        <v>215</v>
      </c>
      <c r="J6" s="47">
        <v>1</v>
      </c>
      <c r="K6" s="63">
        <v>0</v>
      </c>
      <c r="L6" t="s">
        <v>191</v>
      </c>
      <c r="M6" s="49" t="s">
        <v>64</v>
      </c>
      <c r="N6" s="47">
        <v>9.6999999999999993</v>
      </c>
      <c r="O6" s="63">
        <v>0</v>
      </c>
      <c r="P6" s="63">
        <v>0</v>
      </c>
      <c r="Q6" s="47">
        <v>40</v>
      </c>
      <c r="R6" s="47">
        <f t="shared" ref="R6:R21" si="0">Q6-5</f>
        <v>35</v>
      </c>
      <c r="S6" s="47">
        <v>0.5</v>
      </c>
      <c r="T6" s="47">
        <v>0</v>
      </c>
      <c r="U6" s="47">
        <v>0</v>
      </c>
      <c r="V6" s="47">
        <v>0</v>
      </c>
      <c r="W6" s="47">
        <v>0</v>
      </c>
      <c r="X6" s="81">
        <v>9100</v>
      </c>
      <c r="Y6" s="81">
        <v>0</v>
      </c>
      <c r="Z6" s="80">
        <v>115</v>
      </c>
      <c r="AA6" s="80">
        <v>1</v>
      </c>
      <c r="AB6" s="80">
        <v>12000</v>
      </c>
      <c r="AC6" s="47">
        <v>5000</v>
      </c>
      <c r="AD6" s="47">
        <v>1087</v>
      </c>
      <c r="AE6" s="81">
        <v>0.2</v>
      </c>
      <c r="AF6" s="47">
        <v>0</v>
      </c>
      <c r="AG6" s="47">
        <v>0</v>
      </c>
      <c r="AH6" s="47">
        <v>0</v>
      </c>
      <c r="AI6" s="47">
        <v>0</v>
      </c>
      <c r="AJ6" s="47">
        <v>50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89</v>
      </c>
      <c r="AS6" s="33">
        <v>0.7</v>
      </c>
      <c r="AT6" s="47"/>
      <c r="AU6" s="47"/>
      <c r="AV6" s="47"/>
    </row>
    <row r="7" spans="1:48" x14ac:dyDescent="0.25">
      <c r="A7" s="54" t="s">
        <v>23</v>
      </c>
      <c r="C7" s="45"/>
      <c r="F7" s="55" t="s">
        <v>48</v>
      </c>
      <c r="G7" s="56"/>
      <c r="H7" s="39"/>
      <c r="I7" s="56" t="s">
        <v>277</v>
      </c>
      <c r="J7" s="47">
        <v>2</v>
      </c>
      <c r="K7" s="63">
        <v>-0.8</v>
      </c>
      <c r="L7" s="49" t="s">
        <v>275</v>
      </c>
      <c r="M7" s="49" t="s">
        <v>65</v>
      </c>
      <c r="N7" s="47">
        <v>10.199999999999999</v>
      </c>
      <c r="O7" s="63">
        <v>95</v>
      </c>
      <c r="P7" s="63">
        <v>1510</v>
      </c>
      <c r="Q7" s="47">
        <v>0</v>
      </c>
      <c r="R7" s="47">
        <f t="shared" si="0"/>
        <v>-5</v>
      </c>
      <c r="S7" s="47">
        <v>3</v>
      </c>
      <c r="T7" s="47">
        <v>0</v>
      </c>
      <c r="U7" s="47">
        <v>1.7999999999999999E-2</v>
      </c>
      <c r="V7" s="47">
        <v>0</v>
      </c>
      <c r="W7" s="47">
        <v>0.5</v>
      </c>
      <c r="X7" s="81">
        <v>13500</v>
      </c>
      <c r="Y7" s="81">
        <v>0</v>
      </c>
      <c r="Z7" s="80">
        <v>0</v>
      </c>
      <c r="AA7" s="80">
        <v>1</v>
      </c>
      <c r="AB7" s="80">
        <v>0</v>
      </c>
      <c r="AC7" s="47">
        <v>72000</v>
      </c>
      <c r="AD7" s="47">
        <v>478.3</v>
      </c>
      <c r="AE7" s="81">
        <v>0.49</v>
      </c>
      <c r="AF7" s="47">
        <v>0</v>
      </c>
      <c r="AG7" s="47">
        <v>0</v>
      </c>
      <c r="AH7" s="47">
        <v>0</v>
      </c>
      <c r="AI7" s="47">
        <v>0</v>
      </c>
      <c r="AJ7" s="47">
        <v>0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0</v>
      </c>
      <c r="AS7" s="33">
        <v>0.7</v>
      </c>
      <c r="AT7" s="47"/>
      <c r="AU7" s="47"/>
      <c r="AV7" s="47"/>
    </row>
    <row r="8" spans="1:48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2278.1</v>
      </c>
      <c r="H8" s="45" t="s">
        <v>53</v>
      </c>
      <c r="I8" s="33" t="s">
        <v>259</v>
      </c>
      <c r="J8" s="47">
        <v>3</v>
      </c>
      <c r="K8" s="63">
        <v>-1.5</v>
      </c>
      <c r="L8" t="s">
        <v>192</v>
      </c>
      <c r="M8" s="49" t="s">
        <v>64</v>
      </c>
      <c r="N8" s="47">
        <v>10</v>
      </c>
      <c r="O8" s="63">
        <v>0</v>
      </c>
      <c r="P8" s="63">
        <v>0</v>
      </c>
      <c r="Q8" s="47">
        <v>44</v>
      </c>
      <c r="R8" s="47">
        <f t="shared" si="0"/>
        <v>39</v>
      </c>
      <c r="S8" s="47">
        <v>2.1</v>
      </c>
      <c r="T8" s="47">
        <v>0</v>
      </c>
      <c r="U8" s="47">
        <v>0</v>
      </c>
      <c r="V8" s="47">
        <v>0</v>
      </c>
      <c r="W8" s="47">
        <v>0</v>
      </c>
      <c r="X8" s="81">
        <v>62600</v>
      </c>
      <c r="Y8" s="81">
        <v>0</v>
      </c>
      <c r="Z8" s="80">
        <v>122.6</v>
      </c>
      <c r="AA8" s="80">
        <v>1</v>
      </c>
      <c r="AB8" s="80">
        <v>12960</v>
      </c>
      <c r="AC8" s="47">
        <v>57000</v>
      </c>
      <c r="AD8" s="47">
        <v>913</v>
      </c>
      <c r="AE8" s="81">
        <v>0.2</v>
      </c>
      <c r="AF8" s="47">
        <v>0</v>
      </c>
      <c r="AG8" s="47">
        <v>0</v>
      </c>
      <c r="AH8" s="47">
        <v>0</v>
      </c>
      <c r="AI8" s="47">
        <v>0</v>
      </c>
      <c r="AJ8" s="47">
        <v>54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82</v>
      </c>
      <c r="AS8" s="33">
        <v>0.7</v>
      </c>
      <c r="AT8" s="47"/>
      <c r="AU8" s="47"/>
      <c r="AV8" s="47"/>
    </row>
    <row r="9" spans="1:48" x14ac:dyDescent="0.25">
      <c r="A9" s="33" t="s">
        <v>68</v>
      </c>
      <c r="B9" s="57">
        <v>50</v>
      </c>
      <c r="C9" s="45" t="s">
        <v>28</v>
      </c>
      <c r="F9" s="33" t="s">
        <v>96</v>
      </c>
      <c r="G9" s="71">
        <v>-122786</v>
      </c>
      <c r="H9" s="45" t="s">
        <v>54</v>
      </c>
      <c r="I9" s="33" t="s">
        <v>261</v>
      </c>
      <c r="J9" s="47">
        <v>4</v>
      </c>
      <c r="K9" s="63">
        <v>-5</v>
      </c>
      <c r="L9" t="s">
        <v>190</v>
      </c>
      <c r="M9" s="49" t="s">
        <v>64</v>
      </c>
      <c r="N9" s="47">
        <v>9.9</v>
      </c>
      <c r="O9" s="63">
        <v>0</v>
      </c>
      <c r="P9" s="63">
        <v>0</v>
      </c>
      <c r="Q9" s="47">
        <v>41</v>
      </c>
      <c r="R9" s="47">
        <f t="shared" si="0"/>
        <v>36</v>
      </c>
      <c r="S9" s="47">
        <v>1.2</v>
      </c>
      <c r="T9" s="47">
        <v>0</v>
      </c>
      <c r="U9" s="47">
        <v>0</v>
      </c>
      <c r="V9" s="47">
        <v>0</v>
      </c>
      <c r="W9" s="47">
        <v>0</v>
      </c>
      <c r="X9" s="81">
        <v>49700</v>
      </c>
      <c r="Y9" s="81">
        <v>0</v>
      </c>
      <c r="Z9" s="80">
        <v>118.8</v>
      </c>
      <c r="AA9" s="80">
        <v>1</v>
      </c>
      <c r="AB9" s="80">
        <v>12480</v>
      </c>
      <c r="AC9" s="47">
        <v>77000</v>
      </c>
      <c r="AD9" s="47">
        <v>652.20000000000005</v>
      </c>
      <c r="AE9" s="81">
        <v>0.2</v>
      </c>
      <c r="AF9" s="47">
        <v>0</v>
      </c>
      <c r="AG9" s="47">
        <v>0</v>
      </c>
      <c r="AH9" s="47">
        <v>0</v>
      </c>
      <c r="AI9" s="47">
        <v>0</v>
      </c>
      <c r="AJ9" s="47">
        <v>52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64</v>
      </c>
      <c r="AS9" s="33">
        <v>0.7</v>
      </c>
      <c r="AT9" s="47"/>
      <c r="AU9" s="47"/>
      <c r="AV9" s="47"/>
    </row>
    <row r="10" spans="1:48" s="56" customFormat="1" x14ac:dyDescent="0.25">
      <c r="A10" s="56" t="s">
        <v>69</v>
      </c>
      <c r="B10" s="58">
        <v>50</v>
      </c>
      <c r="C10" s="45" t="s">
        <v>28</v>
      </c>
      <c r="F10" s="33" t="s">
        <v>51</v>
      </c>
      <c r="G10" s="71">
        <v>7357</v>
      </c>
      <c r="H10" s="45" t="s">
        <v>53</v>
      </c>
      <c r="I10" s="33" t="s">
        <v>261</v>
      </c>
      <c r="J10" s="47">
        <v>5</v>
      </c>
      <c r="K10" s="63">
        <v>-9</v>
      </c>
      <c r="L10" t="s">
        <v>193</v>
      </c>
      <c r="M10" s="49" t="s">
        <v>64</v>
      </c>
      <c r="N10" s="47">
        <v>9.9</v>
      </c>
      <c r="O10" s="63">
        <v>0</v>
      </c>
      <c r="P10" s="63">
        <v>0</v>
      </c>
      <c r="Q10" s="47">
        <v>44</v>
      </c>
      <c r="R10" s="47">
        <f t="shared" si="0"/>
        <v>39</v>
      </c>
      <c r="S10" s="47">
        <v>1.4</v>
      </c>
      <c r="T10" s="47">
        <v>0</v>
      </c>
      <c r="U10" s="47">
        <v>0</v>
      </c>
      <c r="V10" s="47">
        <v>0</v>
      </c>
      <c r="W10" s="47">
        <v>0</v>
      </c>
      <c r="X10" s="81">
        <v>99900</v>
      </c>
      <c r="Y10" s="81">
        <v>0</v>
      </c>
      <c r="Z10" s="80">
        <v>122.6</v>
      </c>
      <c r="AA10" s="80">
        <v>1</v>
      </c>
      <c r="AB10" s="80">
        <v>12960</v>
      </c>
      <c r="AC10" s="47">
        <v>104000</v>
      </c>
      <c r="AD10" s="47">
        <v>739.1</v>
      </c>
      <c r="AE10" s="81">
        <v>0.2</v>
      </c>
      <c r="AF10" s="47">
        <v>0</v>
      </c>
      <c r="AG10" s="47">
        <v>0</v>
      </c>
      <c r="AH10" s="47">
        <v>0</v>
      </c>
      <c r="AI10" s="47">
        <v>0</v>
      </c>
      <c r="AJ10" s="47">
        <v>54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84</v>
      </c>
      <c r="AS10" s="33">
        <v>0.7</v>
      </c>
      <c r="AT10" s="47"/>
      <c r="AU10" s="47"/>
      <c r="AV10" s="47"/>
    </row>
    <row r="11" spans="1:48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 t="s">
        <v>261</v>
      </c>
      <c r="J11" s="47">
        <v>6</v>
      </c>
      <c r="K11" s="63">
        <v>-9.5</v>
      </c>
      <c r="L11" t="s">
        <v>194</v>
      </c>
      <c r="M11" s="49" t="s">
        <v>64</v>
      </c>
      <c r="N11" s="47">
        <v>10</v>
      </c>
      <c r="O11" s="63">
        <v>0</v>
      </c>
      <c r="P11" s="63">
        <v>0</v>
      </c>
      <c r="Q11" s="47">
        <v>32</v>
      </c>
      <c r="R11" s="47">
        <f t="shared" si="0"/>
        <v>27</v>
      </c>
      <c r="S11" s="47">
        <v>2</v>
      </c>
      <c r="T11" s="47">
        <v>0</v>
      </c>
      <c r="U11" s="47">
        <v>0</v>
      </c>
      <c r="V11" s="47">
        <v>0</v>
      </c>
      <c r="W11" s="47">
        <v>0</v>
      </c>
      <c r="X11" s="81">
        <v>32800</v>
      </c>
      <c r="Y11" s="81">
        <v>0</v>
      </c>
      <c r="Z11" s="80">
        <v>87</v>
      </c>
      <c r="AA11" s="80">
        <v>1</v>
      </c>
      <c r="AB11" s="80">
        <v>6720</v>
      </c>
      <c r="AC11" s="47">
        <v>120000</v>
      </c>
      <c r="AD11" s="47">
        <v>-608.70000000000005</v>
      </c>
      <c r="AE11" s="81">
        <v>0.2</v>
      </c>
      <c r="AF11" s="47">
        <v>0</v>
      </c>
      <c r="AG11" s="47">
        <v>0</v>
      </c>
      <c r="AH11" s="47">
        <v>0</v>
      </c>
      <c r="AI11" s="47">
        <v>0</v>
      </c>
      <c r="AJ11" s="47">
        <v>28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79</v>
      </c>
      <c r="AS11" s="33">
        <v>0.7</v>
      </c>
      <c r="AT11" s="47"/>
      <c r="AU11" s="47"/>
      <c r="AV11" s="47"/>
    </row>
    <row r="12" spans="1:48" x14ac:dyDescent="0.25">
      <c r="A12" s="33" t="s">
        <v>74</v>
      </c>
      <c r="B12" s="57">
        <v>9.6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 t="s">
        <v>278</v>
      </c>
      <c r="J12" s="47">
        <v>7</v>
      </c>
      <c r="K12" s="63">
        <v>-10.5</v>
      </c>
      <c r="L12" t="s">
        <v>195</v>
      </c>
      <c r="M12" s="49" t="s">
        <v>64</v>
      </c>
      <c r="N12" s="47">
        <v>10</v>
      </c>
      <c r="O12" s="63">
        <v>0</v>
      </c>
      <c r="P12" s="47">
        <v>0</v>
      </c>
      <c r="Q12" s="47">
        <v>30</v>
      </c>
      <c r="R12" s="47">
        <f t="shared" si="0"/>
        <v>25</v>
      </c>
      <c r="S12" s="47">
        <v>1.4</v>
      </c>
      <c r="T12" s="47">
        <v>0</v>
      </c>
      <c r="U12" s="47">
        <v>0</v>
      </c>
      <c r="V12" s="47">
        <v>0</v>
      </c>
      <c r="W12" s="47">
        <v>0</v>
      </c>
      <c r="X12" s="47">
        <v>22200</v>
      </c>
      <c r="Y12" s="47">
        <v>0</v>
      </c>
      <c r="Z12" s="80">
        <v>81</v>
      </c>
      <c r="AA12" s="80">
        <v>1</v>
      </c>
      <c r="AB12" s="80">
        <v>4800</v>
      </c>
      <c r="AC12" s="47">
        <v>98000</v>
      </c>
      <c r="AD12" s="47">
        <v>913</v>
      </c>
      <c r="AE12" s="47">
        <v>0.2</v>
      </c>
      <c r="AF12" s="47">
        <v>0</v>
      </c>
      <c r="AG12" s="47">
        <v>0</v>
      </c>
      <c r="AH12" s="47">
        <v>0</v>
      </c>
      <c r="AI12" s="47">
        <v>0</v>
      </c>
      <c r="AJ12" s="47">
        <v>20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67</v>
      </c>
      <c r="AS12" s="33">
        <v>0.7</v>
      </c>
      <c r="AT12" s="47"/>
      <c r="AU12" s="47"/>
      <c r="AV12" s="47"/>
    </row>
    <row r="13" spans="1:48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 t="s">
        <v>278</v>
      </c>
      <c r="J13" s="47">
        <v>8</v>
      </c>
      <c r="K13" s="63">
        <v>-14.5</v>
      </c>
      <c r="L13" t="s">
        <v>196</v>
      </c>
      <c r="M13" s="49" t="s">
        <v>64</v>
      </c>
      <c r="N13" s="47">
        <v>10</v>
      </c>
      <c r="O13" s="63">
        <v>0</v>
      </c>
      <c r="P13" s="47">
        <v>0</v>
      </c>
      <c r="Q13" s="47">
        <v>30</v>
      </c>
      <c r="R13" s="47">
        <f t="shared" si="0"/>
        <v>25</v>
      </c>
      <c r="S13" s="47">
        <v>1.2</v>
      </c>
      <c r="T13" s="47">
        <v>0</v>
      </c>
      <c r="U13" s="47">
        <v>0</v>
      </c>
      <c r="V13" s="47">
        <v>0</v>
      </c>
      <c r="W13" s="47">
        <v>0</v>
      </c>
      <c r="X13" s="47">
        <v>40000</v>
      </c>
      <c r="Y13" s="47">
        <v>0</v>
      </c>
      <c r="Z13" s="80">
        <v>81</v>
      </c>
      <c r="AA13" s="80">
        <v>1</v>
      </c>
      <c r="AB13" s="80">
        <v>4800</v>
      </c>
      <c r="AC13" s="47">
        <v>151000</v>
      </c>
      <c r="AD13" s="47">
        <v>-1565.2</v>
      </c>
      <c r="AE13" s="47">
        <v>0.2</v>
      </c>
      <c r="AF13" s="47">
        <v>0</v>
      </c>
      <c r="AG13" s="47">
        <v>0</v>
      </c>
      <c r="AH13" s="47">
        <v>0</v>
      </c>
      <c r="AI13" s="47">
        <v>0</v>
      </c>
      <c r="AJ13" s="47">
        <v>20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66</v>
      </c>
      <c r="AS13" s="33">
        <v>0.2</v>
      </c>
      <c r="AT13" s="47"/>
      <c r="AU13" s="47"/>
      <c r="AV13" s="47"/>
    </row>
    <row r="14" spans="1:48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 t="s">
        <v>278</v>
      </c>
      <c r="J14" s="47">
        <v>9</v>
      </c>
      <c r="K14" s="63">
        <v>-19</v>
      </c>
      <c r="L14" t="s">
        <v>197</v>
      </c>
      <c r="M14" s="49" t="s">
        <v>64</v>
      </c>
      <c r="N14" s="47">
        <v>10</v>
      </c>
      <c r="O14" s="63">
        <v>0</v>
      </c>
      <c r="P14" s="47">
        <v>0</v>
      </c>
      <c r="Q14" s="47">
        <v>30</v>
      </c>
      <c r="R14" s="47">
        <f t="shared" si="0"/>
        <v>25</v>
      </c>
      <c r="S14" s="47">
        <v>1.1000000000000001</v>
      </c>
      <c r="T14" s="47">
        <v>0</v>
      </c>
      <c r="U14" s="47">
        <v>0</v>
      </c>
      <c r="V14" s="47">
        <v>0</v>
      </c>
      <c r="W14" s="47">
        <v>0</v>
      </c>
      <c r="X14" s="47">
        <v>25000</v>
      </c>
      <c r="Y14" s="47">
        <v>0</v>
      </c>
      <c r="Z14" s="80">
        <v>81</v>
      </c>
      <c r="AA14" s="80">
        <v>1</v>
      </c>
      <c r="AB14" s="80">
        <v>4800</v>
      </c>
      <c r="AC14" s="47">
        <v>128000</v>
      </c>
      <c r="AD14" s="47">
        <v>739.1</v>
      </c>
      <c r="AE14" s="47">
        <v>0.2</v>
      </c>
      <c r="AF14" s="47">
        <v>0</v>
      </c>
      <c r="AG14" s="47">
        <v>0</v>
      </c>
      <c r="AH14" s="47">
        <v>0</v>
      </c>
      <c r="AI14" s="47">
        <v>0</v>
      </c>
      <c r="AJ14" s="47">
        <v>20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68</v>
      </c>
      <c r="AS14" s="33">
        <v>0.2</v>
      </c>
      <c r="AT14" s="47"/>
      <c r="AU14" s="47"/>
      <c r="AV14" s="47"/>
    </row>
    <row r="15" spans="1:48" s="56" customFormat="1" x14ac:dyDescent="0.25">
      <c r="A15" s="33" t="s">
        <v>44</v>
      </c>
      <c r="B15" s="61">
        <v>207000000</v>
      </c>
      <c r="C15" s="45" t="s">
        <v>47</v>
      </c>
      <c r="D15" s="33"/>
      <c r="E15" s="33"/>
      <c r="F15" s="33"/>
      <c r="G15" s="33"/>
      <c r="I15" s="56" t="s">
        <v>271</v>
      </c>
      <c r="J15" s="47">
        <v>10</v>
      </c>
      <c r="K15" s="63">
        <v>-23</v>
      </c>
      <c r="L15" t="s">
        <v>198</v>
      </c>
      <c r="M15" s="49" t="s">
        <v>64</v>
      </c>
      <c r="N15" s="47">
        <v>9.8000000000000007</v>
      </c>
      <c r="O15" s="63">
        <v>0</v>
      </c>
      <c r="P15" s="47">
        <v>0</v>
      </c>
      <c r="Q15" s="47">
        <v>29</v>
      </c>
      <c r="R15" s="47">
        <f t="shared" si="0"/>
        <v>24</v>
      </c>
      <c r="S15" s="47">
        <v>0.9</v>
      </c>
      <c r="T15" s="47">
        <v>0</v>
      </c>
      <c r="U15" s="47">
        <v>0</v>
      </c>
      <c r="V15" s="47">
        <v>0</v>
      </c>
      <c r="W15" s="47">
        <v>0</v>
      </c>
      <c r="X15" s="47">
        <v>24700</v>
      </c>
      <c r="Y15" s="47">
        <v>0</v>
      </c>
      <c r="Z15" s="47">
        <v>78.2</v>
      </c>
      <c r="AA15" s="47">
        <v>1</v>
      </c>
      <c r="AB15" s="47">
        <v>4420</v>
      </c>
      <c r="AC15" s="47">
        <v>128000</v>
      </c>
      <c r="AD15" s="47">
        <v>608.70000000000005</v>
      </c>
      <c r="AE15" s="47">
        <v>0.2</v>
      </c>
      <c r="AF15" s="47">
        <v>0</v>
      </c>
      <c r="AG15" s="47">
        <v>0</v>
      </c>
      <c r="AH15" s="47">
        <v>0</v>
      </c>
      <c r="AI15" s="47">
        <v>0</v>
      </c>
      <c r="AJ15" s="47">
        <v>18.399999999999999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50</v>
      </c>
      <c r="AS15" s="33">
        <v>0.2</v>
      </c>
      <c r="AT15" s="47"/>
      <c r="AU15" s="47"/>
      <c r="AV15" s="47"/>
    </row>
    <row r="16" spans="1:48" x14ac:dyDescent="0.25">
      <c r="A16" s="33" t="s">
        <v>45</v>
      </c>
      <c r="B16" s="61">
        <v>79000000</v>
      </c>
      <c r="C16" s="45" t="s">
        <v>47</v>
      </c>
      <c r="D16" s="62"/>
      <c r="E16" s="62"/>
      <c r="I16" s="33" t="s">
        <v>271</v>
      </c>
      <c r="J16" s="47">
        <v>11</v>
      </c>
      <c r="K16" s="63">
        <v>-26</v>
      </c>
      <c r="L16" t="s">
        <v>199</v>
      </c>
      <c r="M16" s="49" t="s">
        <v>64</v>
      </c>
      <c r="N16" s="47">
        <v>9.8000000000000007</v>
      </c>
      <c r="O16" s="63">
        <v>0</v>
      </c>
      <c r="P16" s="63">
        <v>0</v>
      </c>
      <c r="Q16" s="47">
        <v>30</v>
      </c>
      <c r="R16" s="47">
        <f t="shared" si="0"/>
        <v>25</v>
      </c>
      <c r="S16" s="47">
        <v>1</v>
      </c>
      <c r="T16" s="47">
        <v>0</v>
      </c>
      <c r="U16" s="47">
        <v>0</v>
      </c>
      <c r="V16" s="47">
        <v>0</v>
      </c>
      <c r="W16" s="47">
        <v>0</v>
      </c>
      <c r="X16" s="47">
        <v>34100</v>
      </c>
      <c r="Y16" s="47">
        <v>0</v>
      </c>
      <c r="Z16" s="47">
        <v>81</v>
      </c>
      <c r="AA16" s="47">
        <v>1</v>
      </c>
      <c r="AB16" s="47">
        <v>4800</v>
      </c>
      <c r="AC16" s="47">
        <v>130000</v>
      </c>
      <c r="AD16" s="47">
        <v>1608.7</v>
      </c>
      <c r="AE16" s="47">
        <v>0.2</v>
      </c>
      <c r="AF16" s="47">
        <v>0</v>
      </c>
      <c r="AG16" s="47">
        <v>0</v>
      </c>
      <c r="AH16" s="47">
        <v>0</v>
      </c>
      <c r="AI16" s="47">
        <v>0</v>
      </c>
      <c r="AJ16" s="47">
        <v>20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60</v>
      </c>
      <c r="AS16" s="33">
        <v>0.2</v>
      </c>
      <c r="AT16" s="47"/>
      <c r="AU16" s="47"/>
      <c r="AV16" s="47"/>
    </row>
    <row r="17" spans="1:48" x14ac:dyDescent="0.25">
      <c r="A17" s="33" t="s">
        <v>98</v>
      </c>
      <c r="B17" s="57">
        <v>0.53</v>
      </c>
      <c r="C17" s="45"/>
      <c r="D17" s="82"/>
      <c r="E17" s="82"/>
      <c r="F17" s="56"/>
      <c r="G17" s="56"/>
      <c r="I17" s="56" t="s">
        <v>271</v>
      </c>
      <c r="J17" s="47">
        <v>12</v>
      </c>
      <c r="K17" s="63">
        <v>-27.5</v>
      </c>
      <c r="L17" t="s">
        <v>199</v>
      </c>
      <c r="M17" s="49" t="s">
        <v>64</v>
      </c>
      <c r="N17" s="47">
        <v>9.8000000000000007</v>
      </c>
      <c r="O17" s="63">
        <v>0</v>
      </c>
      <c r="P17" s="47">
        <v>0</v>
      </c>
      <c r="Q17" s="47">
        <v>30</v>
      </c>
      <c r="R17" s="47">
        <f t="shared" si="0"/>
        <v>25</v>
      </c>
      <c r="S17" s="47">
        <v>0.9</v>
      </c>
      <c r="T17" s="47">
        <v>0</v>
      </c>
      <c r="U17" s="47">
        <v>0</v>
      </c>
      <c r="V17" s="47">
        <v>0</v>
      </c>
      <c r="W17" s="47">
        <v>0</v>
      </c>
      <c r="X17" s="47">
        <v>29100</v>
      </c>
      <c r="Y17" s="47">
        <v>0</v>
      </c>
      <c r="Z17" s="47">
        <v>81</v>
      </c>
      <c r="AA17" s="47">
        <v>1</v>
      </c>
      <c r="AB17" s="47">
        <v>4800</v>
      </c>
      <c r="AC17" s="47">
        <v>172000</v>
      </c>
      <c r="AD17" s="47">
        <v>-1000</v>
      </c>
      <c r="AE17" s="47">
        <v>0.2</v>
      </c>
      <c r="AF17" s="47">
        <v>0</v>
      </c>
      <c r="AG17" s="47">
        <v>0</v>
      </c>
      <c r="AH17" s="47">
        <v>0</v>
      </c>
      <c r="AI17" s="47">
        <v>0</v>
      </c>
      <c r="AJ17" s="47">
        <v>20</v>
      </c>
      <c r="AK17" s="47">
        <v>1</v>
      </c>
      <c r="AL17" s="47">
        <v>1</v>
      </c>
      <c r="AM17" s="47">
        <v>1</v>
      </c>
      <c r="AN17" s="47">
        <v>1</v>
      </c>
      <c r="AO17" s="47">
        <v>1</v>
      </c>
      <c r="AP17" s="47">
        <v>1</v>
      </c>
      <c r="AQ17" s="47">
        <v>0</v>
      </c>
      <c r="AR17" s="47">
        <v>60</v>
      </c>
      <c r="AS17" s="33">
        <v>0.2</v>
      </c>
      <c r="AT17" s="47"/>
      <c r="AU17" s="47"/>
      <c r="AV17" s="47"/>
    </row>
    <row r="18" spans="1:48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33" t="s">
        <v>271</v>
      </c>
      <c r="J18" s="47">
        <v>13</v>
      </c>
      <c r="K18" s="63">
        <v>-30</v>
      </c>
      <c r="L18" t="s">
        <v>200</v>
      </c>
      <c r="M18" s="49" t="s">
        <v>64</v>
      </c>
      <c r="N18" s="47">
        <v>9.8000000000000007</v>
      </c>
      <c r="O18" s="63">
        <v>0</v>
      </c>
      <c r="P18" s="47">
        <v>0</v>
      </c>
      <c r="Q18" s="47">
        <v>29</v>
      </c>
      <c r="R18" s="47">
        <f t="shared" si="0"/>
        <v>24</v>
      </c>
      <c r="S18" s="47">
        <v>0.7</v>
      </c>
      <c r="T18" s="47">
        <v>0</v>
      </c>
      <c r="U18" s="47">
        <v>0</v>
      </c>
      <c r="V18" s="47">
        <v>0</v>
      </c>
      <c r="W18" s="47">
        <v>0</v>
      </c>
      <c r="X18" s="47">
        <v>41900</v>
      </c>
      <c r="Y18" s="47">
        <v>0</v>
      </c>
      <c r="Z18" s="47">
        <v>78.2</v>
      </c>
      <c r="AA18" s="47">
        <v>1</v>
      </c>
      <c r="AB18" s="47">
        <v>4420</v>
      </c>
      <c r="AC18" s="47">
        <v>146000</v>
      </c>
      <c r="AD18" s="47">
        <v>1173.9000000000001</v>
      </c>
      <c r="AE18" s="47">
        <v>0.2</v>
      </c>
      <c r="AF18" s="47">
        <v>0</v>
      </c>
      <c r="AG18" s="47">
        <v>0</v>
      </c>
      <c r="AH18" s="47">
        <v>0</v>
      </c>
      <c r="AI18" s="47">
        <v>0</v>
      </c>
      <c r="AJ18" s="47">
        <v>18.399999999999999</v>
      </c>
      <c r="AK18" s="47">
        <v>1</v>
      </c>
      <c r="AL18" s="47">
        <v>1</v>
      </c>
      <c r="AM18" s="47">
        <v>1</v>
      </c>
      <c r="AN18" s="47">
        <v>1</v>
      </c>
      <c r="AO18" s="47">
        <v>1</v>
      </c>
      <c r="AP18" s="47">
        <v>1</v>
      </c>
      <c r="AQ18" s="47">
        <v>0</v>
      </c>
      <c r="AR18" s="47">
        <v>51</v>
      </c>
      <c r="AS18" s="33">
        <v>0.2</v>
      </c>
      <c r="AT18" s="47"/>
      <c r="AU18" s="47"/>
      <c r="AV18" s="47"/>
    </row>
    <row r="19" spans="1:48" s="56" customFormat="1" x14ac:dyDescent="0.25">
      <c r="A19" s="82" t="s">
        <v>38</v>
      </c>
      <c r="B19" s="82" t="s">
        <v>30</v>
      </c>
      <c r="C19" s="82" t="s">
        <v>59</v>
      </c>
      <c r="D19" s="43"/>
      <c r="E19" s="35"/>
      <c r="F19" s="33"/>
      <c r="G19" s="33"/>
      <c r="I19" s="56" t="s">
        <v>271</v>
      </c>
      <c r="J19" s="47">
        <v>14</v>
      </c>
      <c r="K19" s="63">
        <v>-40</v>
      </c>
      <c r="L19" t="s">
        <v>201</v>
      </c>
      <c r="M19" s="49" t="s">
        <v>64</v>
      </c>
      <c r="N19" s="47">
        <v>9.8000000000000007</v>
      </c>
      <c r="O19" s="63">
        <v>0</v>
      </c>
      <c r="P19" s="47">
        <v>0</v>
      </c>
      <c r="Q19" s="47">
        <v>28</v>
      </c>
      <c r="R19" s="47">
        <f t="shared" si="0"/>
        <v>23</v>
      </c>
      <c r="S19" s="47">
        <v>0.6</v>
      </c>
      <c r="T19" s="47">
        <v>0</v>
      </c>
      <c r="U19" s="47">
        <v>0</v>
      </c>
      <c r="V19" s="47">
        <v>0</v>
      </c>
      <c r="W19" s="47">
        <v>0</v>
      </c>
      <c r="X19" s="47">
        <v>42000</v>
      </c>
      <c r="Y19" s="47">
        <v>0</v>
      </c>
      <c r="Z19" s="47">
        <v>75.400000000000006</v>
      </c>
      <c r="AA19" s="47">
        <v>1</v>
      </c>
      <c r="AB19" s="47">
        <v>4040</v>
      </c>
      <c r="AC19" s="47">
        <v>156000</v>
      </c>
      <c r="AD19" s="47">
        <v>521.70000000000005</v>
      </c>
      <c r="AE19" s="47">
        <v>0.2</v>
      </c>
      <c r="AF19" s="47">
        <v>0</v>
      </c>
      <c r="AG19" s="47">
        <v>0</v>
      </c>
      <c r="AH19" s="47">
        <v>0</v>
      </c>
      <c r="AI19" s="47">
        <v>0</v>
      </c>
      <c r="AJ19" s="47">
        <v>16.8</v>
      </c>
      <c r="AK19" s="47">
        <v>1</v>
      </c>
      <c r="AL19" s="47">
        <v>1</v>
      </c>
      <c r="AM19" s="47">
        <v>1</v>
      </c>
      <c r="AN19" s="47">
        <v>1</v>
      </c>
      <c r="AO19" s="47">
        <v>1</v>
      </c>
      <c r="AP19" s="47">
        <v>1</v>
      </c>
      <c r="AQ19" s="47">
        <v>0</v>
      </c>
      <c r="AR19" s="47">
        <v>42</v>
      </c>
      <c r="AS19" s="33">
        <v>0.2</v>
      </c>
      <c r="AT19" s="47"/>
      <c r="AU19" s="47"/>
      <c r="AV19" s="47"/>
    </row>
    <row r="20" spans="1:48" x14ac:dyDescent="0.25">
      <c r="A20" s="66">
        <v>1</v>
      </c>
      <c r="B20" s="66">
        <v>0</v>
      </c>
      <c r="C20" s="66">
        <v>0.09</v>
      </c>
      <c r="D20" s="43"/>
      <c r="I20" s="33" t="s">
        <v>271</v>
      </c>
      <c r="J20" s="47">
        <v>15</v>
      </c>
      <c r="K20" s="63">
        <v>-46</v>
      </c>
      <c r="L20" s="49" t="s">
        <v>275</v>
      </c>
      <c r="M20" s="49" t="s">
        <v>65</v>
      </c>
      <c r="N20" s="47">
        <v>8.9</v>
      </c>
      <c r="O20" s="63">
        <v>304</v>
      </c>
      <c r="P20" s="47">
        <v>60.6</v>
      </c>
      <c r="Q20" s="47">
        <v>0</v>
      </c>
      <c r="R20" s="47">
        <f t="shared" si="0"/>
        <v>-5</v>
      </c>
      <c r="S20" s="47">
        <v>1.6</v>
      </c>
      <c r="T20" s="47">
        <v>0</v>
      </c>
      <c r="U20" s="47">
        <v>1.7999999999999999E-2</v>
      </c>
      <c r="V20" s="47">
        <v>0</v>
      </c>
      <c r="W20" s="47">
        <v>0.25</v>
      </c>
      <c r="X20" s="47">
        <v>27600</v>
      </c>
      <c r="Y20" s="47">
        <v>0</v>
      </c>
      <c r="Z20" s="47">
        <v>0</v>
      </c>
      <c r="AA20" s="47">
        <v>1</v>
      </c>
      <c r="AB20" s="47">
        <v>0</v>
      </c>
      <c r="AC20" s="47">
        <v>391000</v>
      </c>
      <c r="AD20" s="47">
        <v>4956.5</v>
      </c>
      <c r="AE20" s="47">
        <v>0.49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1</v>
      </c>
      <c r="AL20" s="47">
        <v>1</v>
      </c>
      <c r="AM20" s="47">
        <v>1</v>
      </c>
      <c r="AN20" s="47">
        <v>1</v>
      </c>
      <c r="AO20" s="47">
        <v>1</v>
      </c>
      <c r="AP20" s="47">
        <v>1</v>
      </c>
      <c r="AQ20" s="47">
        <v>0</v>
      </c>
      <c r="AR20" s="47">
        <v>0</v>
      </c>
      <c r="AS20" s="33">
        <v>0.2</v>
      </c>
      <c r="AT20" s="47"/>
      <c r="AU20" s="47"/>
      <c r="AV20" s="47"/>
    </row>
    <row r="21" spans="1:48" x14ac:dyDescent="0.25">
      <c r="A21" s="66"/>
      <c r="B21" s="66"/>
      <c r="C21" s="66"/>
      <c r="D21" s="43"/>
      <c r="I21" s="33" t="s">
        <v>273</v>
      </c>
      <c r="J21" s="47">
        <v>16</v>
      </c>
      <c r="K21" s="63">
        <v>-60</v>
      </c>
      <c r="L21" s="49" t="s">
        <v>275</v>
      </c>
      <c r="M21" s="49" t="s">
        <v>65</v>
      </c>
      <c r="N21" s="47">
        <v>8.9</v>
      </c>
      <c r="O21" s="63">
        <v>535</v>
      </c>
      <c r="P21" s="47">
        <v>30.9</v>
      </c>
      <c r="Q21" s="47">
        <v>0</v>
      </c>
      <c r="R21" s="47">
        <f t="shared" si="0"/>
        <v>-5</v>
      </c>
      <c r="S21" s="47">
        <v>2</v>
      </c>
      <c r="T21" s="47">
        <v>0</v>
      </c>
      <c r="U21" s="47">
        <v>1.7999999999999999E-2</v>
      </c>
      <c r="V21" s="47">
        <v>0</v>
      </c>
      <c r="W21" s="47">
        <v>0.25</v>
      </c>
      <c r="X21" s="47">
        <v>50200</v>
      </c>
      <c r="Y21" s="47">
        <v>0</v>
      </c>
      <c r="Z21" s="47">
        <v>0</v>
      </c>
      <c r="AA21" s="47">
        <v>1</v>
      </c>
      <c r="AB21" s="47">
        <v>0</v>
      </c>
      <c r="AC21" s="47">
        <v>760000</v>
      </c>
      <c r="AD21" s="47">
        <v>14087</v>
      </c>
      <c r="AE21" s="47">
        <v>0.49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1</v>
      </c>
      <c r="AL21" s="47">
        <v>1</v>
      </c>
      <c r="AM21" s="47">
        <v>1</v>
      </c>
      <c r="AN21" s="47">
        <v>1</v>
      </c>
      <c r="AO21" s="47">
        <v>1</v>
      </c>
      <c r="AP21" s="47">
        <v>1</v>
      </c>
      <c r="AQ21" s="47">
        <v>0</v>
      </c>
      <c r="AR21" s="47">
        <v>0</v>
      </c>
      <c r="AS21" s="33">
        <v>0.7</v>
      </c>
      <c r="AT21" s="47"/>
      <c r="AU21" s="47"/>
      <c r="AV21" s="47"/>
    </row>
    <row r="22" spans="1:48" x14ac:dyDescent="0.25">
      <c r="A22" s="47"/>
      <c r="B22" s="47"/>
      <c r="C22" s="47"/>
      <c r="D22" s="35"/>
      <c r="K22" s="63"/>
      <c r="L22" s="49"/>
      <c r="M22" s="49" t="s">
        <v>94</v>
      </c>
      <c r="N22" s="47"/>
      <c r="O22" s="47"/>
      <c r="P22" s="47"/>
      <c r="Q22" s="47"/>
      <c r="R22" s="64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</row>
    <row r="23" spans="1:48" x14ac:dyDescent="0.25">
      <c r="A23" s="47"/>
      <c r="B23" s="47"/>
      <c r="C23" s="47"/>
      <c r="D23" s="35"/>
      <c r="K23" s="79"/>
      <c r="L23" s="49"/>
      <c r="M23" s="49" t="s">
        <v>94</v>
      </c>
      <c r="N23" s="47"/>
      <c r="O23" s="47"/>
      <c r="P23" s="47"/>
      <c r="Q23" s="47"/>
      <c r="R23" s="64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I23" s="47"/>
      <c r="AJ23" s="47"/>
      <c r="AK23" s="47"/>
      <c r="AL23" s="47"/>
      <c r="AM23" s="47"/>
      <c r="AN23" s="47"/>
      <c r="AO23" s="47"/>
      <c r="AP23" s="47"/>
    </row>
    <row r="24" spans="1:48" x14ac:dyDescent="0.25">
      <c r="A24" s="43"/>
      <c r="B24" s="43"/>
      <c r="C24" s="43"/>
      <c r="D24" s="43"/>
      <c r="K24" s="79"/>
      <c r="L24" s="49"/>
      <c r="M24" s="49" t="s">
        <v>94</v>
      </c>
      <c r="N24" s="47"/>
      <c r="O24" s="47"/>
      <c r="P24" s="47"/>
      <c r="Q24" s="47"/>
      <c r="R24" s="64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I24" s="47"/>
      <c r="AJ24" s="47"/>
      <c r="AK24" s="47"/>
      <c r="AL24" s="47"/>
      <c r="AM24" s="47"/>
      <c r="AN24" s="47"/>
      <c r="AO24" s="47"/>
      <c r="AP24" s="47"/>
    </row>
    <row r="25" spans="1:48" x14ac:dyDescent="0.25">
      <c r="A25" s="47"/>
      <c r="B25" s="47"/>
      <c r="C25" s="47"/>
      <c r="D25" s="35"/>
      <c r="K25" s="79"/>
      <c r="L25" s="49"/>
      <c r="M25" s="49" t="s">
        <v>94</v>
      </c>
      <c r="N25" s="47"/>
      <c r="O25" s="47"/>
      <c r="P25" s="47"/>
      <c r="Q25" s="47"/>
      <c r="R25" s="64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I25" s="47"/>
      <c r="AJ25" s="47"/>
      <c r="AK25" s="47"/>
      <c r="AL25" s="47"/>
      <c r="AM25" s="47"/>
      <c r="AN25" s="47"/>
      <c r="AO25" s="47"/>
      <c r="AP25" s="47"/>
    </row>
    <row r="26" spans="1:48" x14ac:dyDescent="0.25">
      <c r="A26" s="43"/>
      <c r="B26" s="43"/>
      <c r="C26" s="43"/>
      <c r="D26" s="43"/>
      <c r="K26" s="79"/>
      <c r="L26" s="49"/>
      <c r="M26" s="49" t="s">
        <v>94</v>
      </c>
      <c r="N26" s="47"/>
      <c r="O26" s="47"/>
      <c r="P26" s="47"/>
      <c r="Q26" s="47"/>
      <c r="R26" s="64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I26" s="47"/>
      <c r="AJ26" s="47"/>
      <c r="AK26" s="47"/>
      <c r="AL26" s="47"/>
      <c r="AM26" s="47"/>
      <c r="AN26" s="47"/>
      <c r="AO26" s="47"/>
      <c r="AP26" s="47"/>
    </row>
    <row r="27" spans="1:48" x14ac:dyDescent="0.25">
      <c r="A27" s="43"/>
      <c r="B27" s="43"/>
      <c r="C27" s="43"/>
      <c r="D27" s="43"/>
      <c r="L27" s="49"/>
      <c r="M27" s="49" t="s">
        <v>94</v>
      </c>
      <c r="N27" s="47"/>
      <c r="O27" s="47"/>
      <c r="P27" s="47"/>
      <c r="Q27" s="47"/>
      <c r="R27" s="64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I27" s="47"/>
      <c r="AJ27" s="47"/>
      <c r="AK27" s="47"/>
      <c r="AL27" s="47"/>
      <c r="AM27" s="47"/>
      <c r="AN27" s="47"/>
      <c r="AO27" s="47"/>
      <c r="AP27" s="47"/>
    </row>
    <row r="28" spans="1:48" x14ac:dyDescent="0.25">
      <c r="A28" s="43"/>
      <c r="B28" s="43"/>
      <c r="C28" s="43"/>
      <c r="D28" s="43"/>
      <c r="E28" s="33" t="s">
        <v>182</v>
      </c>
      <c r="L28" s="49"/>
      <c r="M28" s="49" t="s">
        <v>94</v>
      </c>
      <c r="N28" s="47"/>
      <c r="O28" s="47"/>
      <c r="P28" s="47"/>
      <c r="Q28" s="47"/>
      <c r="R28" s="64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I28" s="47"/>
      <c r="AJ28" s="47"/>
      <c r="AK28" s="47"/>
      <c r="AL28" s="47"/>
      <c r="AM28" s="47"/>
      <c r="AN28" s="47"/>
      <c r="AO28" s="47"/>
      <c r="AP28" s="47"/>
    </row>
    <row r="29" spans="1:48" x14ac:dyDescent="0.25">
      <c r="A29" s="43"/>
      <c r="B29" s="43"/>
      <c r="C29" s="43"/>
      <c r="D29" s="43"/>
      <c r="L29" s="49"/>
      <c r="M29" s="49" t="s">
        <v>94</v>
      </c>
      <c r="N29" s="47"/>
      <c r="O29" s="47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8" x14ac:dyDescent="0.25">
      <c r="A30" s="43"/>
      <c r="B30" s="43"/>
      <c r="C30" s="43"/>
      <c r="D30" s="43"/>
      <c r="L30" s="49"/>
      <c r="M30" s="49" t="s">
        <v>94</v>
      </c>
      <c r="N30" s="47"/>
      <c r="O30" s="47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33" t="s">
        <v>99</v>
      </c>
      <c r="AF30" s="33" t="s">
        <v>100</v>
      </c>
      <c r="AG30" s="33" t="s">
        <v>101</v>
      </c>
      <c r="AI30" s="47"/>
      <c r="AJ30" s="47"/>
      <c r="AK30" s="47"/>
      <c r="AL30" s="47"/>
      <c r="AM30" s="47"/>
      <c r="AN30" s="47"/>
      <c r="AO30" s="47"/>
      <c r="AP30" s="47"/>
    </row>
    <row r="31" spans="1:48" x14ac:dyDescent="0.25">
      <c r="A31" s="43"/>
      <c r="B31" s="43"/>
      <c r="C31" s="43"/>
      <c r="D31" s="43"/>
      <c r="L31" s="49"/>
      <c r="M31" s="49" t="s">
        <v>94</v>
      </c>
      <c r="N31" s="47"/>
      <c r="O31" s="47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33">
        <v>15</v>
      </c>
      <c r="AF31" s="33">
        <v>48</v>
      </c>
      <c r="AG31" s="33">
        <v>1900</v>
      </c>
      <c r="AH31" s="33">
        <v>8</v>
      </c>
      <c r="AI31" s="47"/>
      <c r="AJ31" s="47"/>
      <c r="AK31" s="47"/>
      <c r="AL31" s="47"/>
      <c r="AM31" s="47"/>
      <c r="AN31" s="47"/>
      <c r="AO31" s="47"/>
      <c r="AP31" s="47"/>
    </row>
    <row r="32" spans="1:48" x14ac:dyDescent="0.25">
      <c r="A32" s="43"/>
      <c r="B32" s="43"/>
      <c r="C32" s="43"/>
      <c r="D32" s="43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33">
        <v>16</v>
      </c>
      <c r="AF32" s="33">
        <v>51.8</v>
      </c>
      <c r="AG32" s="33">
        <v>2100</v>
      </c>
      <c r="AH32" s="33">
        <v>8.8000000000000007</v>
      </c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43"/>
      <c r="B33" s="43"/>
      <c r="C33" s="43"/>
      <c r="D33" s="43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33">
        <v>17</v>
      </c>
      <c r="AF33" s="33">
        <v>55.599999999999994</v>
      </c>
      <c r="AG33" s="33">
        <v>2300</v>
      </c>
      <c r="AH33" s="33">
        <v>9.6000000000000014</v>
      </c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33">
        <v>18</v>
      </c>
      <c r="AF34" s="33">
        <v>59.399999999999991</v>
      </c>
      <c r="AG34" s="33">
        <v>2500</v>
      </c>
      <c r="AH34" s="33">
        <v>10.400000000000002</v>
      </c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33">
        <v>19</v>
      </c>
      <c r="AF35" s="33">
        <v>63.199999999999989</v>
      </c>
      <c r="AG35" s="33">
        <v>2700</v>
      </c>
      <c r="AH35" s="33">
        <v>11.200000000000003</v>
      </c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33">
        <v>20</v>
      </c>
      <c r="AF36" s="33">
        <v>66.999999999999986</v>
      </c>
      <c r="AG36" s="33">
        <v>2900</v>
      </c>
      <c r="AH36" s="33">
        <v>12.000000000000004</v>
      </c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M37" s="49" t="s">
        <v>94</v>
      </c>
      <c r="N37" s="47"/>
      <c r="O37" s="63"/>
      <c r="P37" s="47"/>
      <c r="Q37" s="47"/>
      <c r="R37" s="64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33">
        <v>21</v>
      </c>
      <c r="AF37" s="33">
        <v>69.799999999999983</v>
      </c>
      <c r="AG37" s="33">
        <v>3280</v>
      </c>
      <c r="AH37" s="33">
        <v>13.600000000000003</v>
      </c>
      <c r="AI37" s="47"/>
      <c r="AJ37" s="47"/>
      <c r="AK37" s="47"/>
      <c r="AL37" s="47"/>
      <c r="AM37" s="47"/>
      <c r="AN37" s="47"/>
    </row>
    <row r="38" spans="1:42" x14ac:dyDescent="0.25">
      <c r="L38" s="49"/>
      <c r="M38" s="49" t="s">
        <v>94</v>
      </c>
      <c r="N38" s="47"/>
      <c r="O38" s="63"/>
      <c r="P38" s="47"/>
      <c r="Q38" s="47"/>
      <c r="R38" s="64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33">
        <v>22</v>
      </c>
      <c r="AF38" s="33">
        <v>72.59999999999998</v>
      </c>
      <c r="AG38" s="33">
        <v>3660</v>
      </c>
      <c r="AH38" s="33">
        <v>15.200000000000003</v>
      </c>
      <c r="AI38" s="47"/>
      <c r="AJ38" s="47"/>
      <c r="AK38" s="47"/>
      <c r="AL38" s="47"/>
      <c r="AM38" s="47"/>
      <c r="AN38" s="47"/>
    </row>
    <row r="39" spans="1:42" x14ac:dyDescent="0.25">
      <c r="L39" s="49"/>
      <c r="M39" s="49" t="s">
        <v>94</v>
      </c>
      <c r="N39" s="47"/>
      <c r="O39" s="63"/>
      <c r="P39" s="47"/>
      <c r="Q39" s="47"/>
      <c r="R39" s="64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33">
        <v>23</v>
      </c>
      <c r="AF39" s="33">
        <v>75.399999999999977</v>
      </c>
      <c r="AG39" s="33">
        <v>4040</v>
      </c>
      <c r="AH39" s="33">
        <v>16.800000000000004</v>
      </c>
      <c r="AI39" s="47"/>
      <c r="AJ39" s="47"/>
      <c r="AK39" s="47"/>
      <c r="AL39" s="47"/>
      <c r="AM39" s="47"/>
      <c r="AN39" s="47"/>
    </row>
    <row r="40" spans="1:42" x14ac:dyDescent="0.25">
      <c r="L40" s="49"/>
      <c r="AE40" s="33">
        <v>24</v>
      </c>
      <c r="AF40" s="33">
        <v>78.199999999999974</v>
      </c>
      <c r="AG40" s="33">
        <v>4420</v>
      </c>
      <c r="AH40" s="33">
        <v>18.400000000000006</v>
      </c>
    </row>
    <row r="41" spans="1:42" x14ac:dyDescent="0.25">
      <c r="L41" s="49"/>
      <c r="AE41" s="33">
        <v>25</v>
      </c>
      <c r="AF41" s="33">
        <v>80.999999999999972</v>
      </c>
      <c r="AG41" s="33">
        <v>4800</v>
      </c>
      <c r="AH41" s="33">
        <v>20.000000000000007</v>
      </c>
    </row>
    <row r="42" spans="1:42" x14ac:dyDescent="0.25">
      <c r="L42" s="49"/>
      <c r="AE42" s="33">
        <v>26</v>
      </c>
      <c r="AF42" s="33">
        <v>83.999999999999972</v>
      </c>
      <c r="AG42" s="33">
        <v>5760</v>
      </c>
      <c r="AH42" s="33">
        <v>24.000000000000007</v>
      </c>
    </row>
    <row r="43" spans="1:42" x14ac:dyDescent="0.25">
      <c r="L43" s="49"/>
      <c r="AE43" s="33">
        <v>27</v>
      </c>
      <c r="AF43" s="33">
        <v>86.999999999999972</v>
      </c>
      <c r="AG43" s="33">
        <v>6720</v>
      </c>
      <c r="AH43" s="33">
        <v>28.000000000000007</v>
      </c>
    </row>
    <row r="44" spans="1:42" x14ac:dyDescent="0.25">
      <c r="L44" s="49"/>
      <c r="AE44" s="33">
        <v>28</v>
      </c>
      <c r="AF44" s="33">
        <v>89.999999999999972</v>
      </c>
      <c r="AG44" s="33">
        <v>7680</v>
      </c>
      <c r="AH44" s="33">
        <v>32.000000000000007</v>
      </c>
    </row>
    <row r="45" spans="1:42" x14ac:dyDescent="0.25">
      <c r="L45" s="49"/>
      <c r="AE45" s="33">
        <v>29</v>
      </c>
      <c r="AF45" s="33">
        <v>92.999999999999972</v>
      </c>
      <c r="AG45" s="33">
        <v>8640</v>
      </c>
      <c r="AH45" s="33">
        <v>36.000000000000007</v>
      </c>
    </row>
    <row r="46" spans="1:42" x14ac:dyDescent="0.25">
      <c r="L46" s="49"/>
      <c r="AE46" s="33">
        <v>30</v>
      </c>
      <c r="AF46" s="33">
        <v>95.999999999999972</v>
      </c>
      <c r="AG46" s="33">
        <v>9600</v>
      </c>
      <c r="AH46" s="33">
        <v>40.000000000000007</v>
      </c>
    </row>
    <row r="47" spans="1:42" x14ac:dyDescent="0.25">
      <c r="L47" s="49"/>
      <c r="AE47" s="33">
        <v>31</v>
      </c>
      <c r="AF47" s="33">
        <v>99.799999999999969</v>
      </c>
      <c r="AG47" s="33">
        <v>10080</v>
      </c>
      <c r="AH47" s="33">
        <v>42.000000000000007</v>
      </c>
    </row>
    <row r="48" spans="1:42" x14ac:dyDescent="0.25">
      <c r="L48" s="49"/>
      <c r="AE48" s="33">
        <v>32</v>
      </c>
      <c r="AF48" s="33">
        <v>103.59999999999997</v>
      </c>
      <c r="AG48" s="33">
        <v>10560</v>
      </c>
      <c r="AH48" s="33">
        <v>44.000000000000007</v>
      </c>
    </row>
    <row r="49" spans="12:34" x14ac:dyDescent="0.25">
      <c r="L49" s="49"/>
      <c r="AE49" s="33">
        <v>33</v>
      </c>
      <c r="AF49" s="33">
        <v>107.39999999999996</v>
      </c>
      <c r="AG49" s="33">
        <v>11040</v>
      </c>
      <c r="AH49" s="33">
        <v>46.000000000000007</v>
      </c>
    </row>
    <row r="50" spans="12:34" x14ac:dyDescent="0.25">
      <c r="L50" s="49"/>
      <c r="AE50" s="33">
        <v>34</v>
      </c>
      <c r="AF50" s="33">
        <v>111.19999999999996</v>
      </c>
      <c r="AG50" s="33">
        <v>11520</v>
      </c>
      <c r="AH50" s="33">
        <v>48.000000000000007</v>
      </c>
    </row>
    <row r="51" spans="12:34" x14ac:dyDescent="0.25">
      <c r="L51" s="49"/>
      <c r="AE51" s="33">
        <v>35</v>
      </c>
      <c r="AF51" s="33">
        <v>114.99999999999996</v>
      </c>
      <c r="AG51" s="33">
        <v>12000</v>
      </c>
      <c r="AH51" s="33">
        <v>50.000000000000007</v>
      </c>
    </row>
    <row r="52" spans="12:34" x14ac:dyDescent="0.25">
      <c r="L52" s="49"/>
    </row>
    <row r="53" spans="12:34" x14ac:dyDescent="0.25">
      <c r="L53" s="49"/>
    </row>
    <row r="54" spans="12:34" x14ac:dyDescent="0.25">
      <c r="L54" s="49"/>
    </row>
    <row r="55" spans="12:34" x14ac:dyDescent="0.25">
      <c r="L55" s="49"/>
    </row>
    <row r="56" spans="12:34" x14ac:dyDescent="0.25">
      <c r="L56" s="49"/>
    </row>
    <row r="57" spans="12:34" x14ac:dyDescent="0.25">
      <c r="L57" s="49"/>
    </row>
    <row r="58" spans="12:34" x14ac:dyDescent="0.25">
      <c r="L58" s="49"/>
    </row>
    <row r="59" spans="12:34" x14ac:dyDescent="0.25">
      <c r="L59" s="49"/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  <row r="256" spans="12:12" x14ac:dyDescent="0.25">
      <c r="L256" s="49"/>
    </row>
    <row r="257" spans="12:12" x14ac:dyDescent="0.25">
      <c r="L257" s="49"/>
    </row>
    <row r="258" spans="12:12" x14ac:dyDescent="0.25">
      <c r="L258" s="49"/>
    </row>
  </sheetData>
  <mergeCells count="3">
    <mergeCell ref="R3:S3"/>
    <mergeCell ref="U3:V3"/>
    <mergeCell ref="AC3:AI3"/>
  </mergeCells>
  <conditionalFormatting sqref="N6 Q6 S15:AA16 Q8:Q18 N8:N20 AE8:AJ11 AE6:AJ6 AM6:AN6 R8:Y11 AR6 S12:Y14 R14:R17 R20:R21 AG20:AG21 AG12 AG14:AG18 AM20:AN21 AM8:AN12 AM14:AN18 AR20:AR21 AR8:AR12 AR14:AR18 AT14:AV18 AT8:AV12 AT6:AV6 AT20:AV21">
    <cfRule type="expression" dxfId="1250" priority="80">
      <formula>$L6="API sand"</formula>
    </cfRule>
  </conditionalFormatting>
  <conditionalFormatting sqref="AJ12:AJ16 N6 AB15:AB16 AK6:AL6 N8:N20 AK8:AL12 AK14:AL18 AK20:AL21">
    <cfRule type="expression" dxfId="1249" priority="79">
      <formula>$M6="API sand"</formula>
    </cfRule>
  </conditionalFormatting>
  <conditionalFormatting sqref="AJ12:AJ16 N6 AK6:AL6 AB15:AB16 N8:N20 AK8:AL12 AK14:AL18 AK20:AL21">
    <cfRule type="expression" dxfId="1248" priority="78">
      <formula>$M6="API clay"</formula>
    </cfRule>
  </conditionalFormatting>
  <conditionalFormatting sqref="AM6:AN6 N6:P6 N8:P11 AM8:AN12 AM14:AN18 AM20:AN21">
    <cfRule type="expression" dxfId="1247" priority="75">
      <formula>$L6="Stiff clay w/o free water"</formula>
    </cfRule>
    <cfRule type="expression" dxfId="1246" priority="77">
      <formula>$L6="API clay"</formula>
    </cfRule>
  </conditionalFormatting>
  <conditionalFormatting sqref="AM6:AN6 N6:P6 N8:P11 AM8:AN12 AM14:AN18 AM20:AN21">
    <cfRule type="expression" dxfId="1245" priority="76">
      <formula>$L6="Kirsch soft clay"</formula>
    </cfRule>
  </conditionalFormatting>
  <conditionalFormatting sqref="AM6:AN6 N6:P6 N8:P11 AM8:AN12 AM14:AN18 AM20:AN21">
    <cfRule type="expression" dxfId="1244" priority="74">
      <formula>$L6="Kirsch stiff clay"</formula>
    </cfRule>
  </conditionalFormatting>
  <conditionalFormatting sqref="N6 Q6 S15:AA16 Q8:Q18 N8:N20 AE8:AJ11 AE6:AJ6 AM6:AN6 R8:Y11 AR6 S12:Y14 R14:R17 R20:R21 AG20:AG21 AG12 AG14:AG18 AM20:AN21 AM8:AN12 AM14:AN18 AR20:AR21 AR8:AR12 AR14:AR18 AT14:AV18 AT8:AV12 AT6:AV6 AT20:AV21">
    <cfRule type="expression" dxfId="1243" priority="73">
      <formula>$L6="Kirsch sand"</formula>
    </cfRule>
  </conditionalFormatting>
  <conditionalFormatting sqref="N6 AC6:AD6 AM6:AN6 AC8:AD18 N8:N20 AM8:AN12 AM14:AN18 AM20:AN21">
    <cfRule type="expression" dxfId="1242" priority="72">
      <formula>$L6="Modified Weak rock"</formula>
    </cfRule>
  </conditionalFormatting>
  <conditionalFormatting sqref="AM6:AN6 N6:P6 N8:P11 AM8:AN12 AM14:AN18 AM20:AN21">
    <cfRule type="expression" dxfId="1241" priority="71">
      <formula>$L6="Reese stiff clay"</formula>
    </cfRule>
  </conditionalFormatting>
  <conditionalFormatting sqref="N21:N39 Q19:Q39 AM22:AN39">
    <cfRule type="expression" dxfId="1240" priority="70">
      <formula>$L19="API sand"</formula>
    </cfRule>
  </conditionalFormatting>
  <conditionalFormatting sqref="N21:N39 Z19:Z39 AB19:AB39 R22:S39 AJ22:AL39 S19:S21 AJ19:AJ21">
    <cfRule type="expression" dxfId="1239" priority="69">
      <formula>$M19="API sand"</formula>
    </cfRule>
  </conditionalFormatting>
  <conditionalFormatting sqref="Z19:AB39 AK22:AL39 R22:T39 N21:N39 S19:T21">
    <cfRule type="expression" dxfId="1238" priority="68">
      <formula>$M19="API clay"</formula>
    </cfRule>
  </conditionalFormatting>
  <conditionalFormatting sqref="U19:W39 AM22:AN39 N32:P39 N21:N31 P19:P31">
    <cfRule type="expression" dxfId="1237" priority="65">
      <formula>$L19="Stiff clay w/o free water"</formula>
    </cfRule>
    <cfRule type="expression" dxfId="1236" priority="67">
      <formula>$L19="API clay"</formula>
    </cfRule>
  </conditionalFormatting>
  <conditionalFormatting sqref="U19:Y39 AM22:AN39 N32:P39 N21:N31 P19:P31">
    <cfRule type="expression" dxfId="1235" priority="66">
      <formula>$L19="Kirsch soft clay"</formula>
    </cfRule>
  </conditionalFormatting>
  <conditionalFormatting sqref="AM22:AN39 U19:Y39 N32:P39 N21:N31 P19:P31">
    <cfRule type="expression" dxfId="1234" priority="64">
      <formula>$L19="Kirsch stiff clay"</formula>
    </cfRule>
  </conditionalFormatting>
  <conditionalFormatting sqref="N21:N39 Q19:Q39 X19:Y39 AM22:AN39">
    <cfRule type="expression" dxfId="1233" priority="63">
      <formula>$L19="Kirsch sand"</formula>
    </cfRule>
  </conditionalFormatting>
  <conditionalFormatting sqref="N21:N39 AC22:AI22 AM22:AN39 AC23:AD39 AI23:AI39 AC19:AF21 AH19:AI21">
    <cfRule type="expression" dxfId="1232" priority="62">
      <formula>$L19="Modified Weak rock"</formula>
    </cfRule>
  </conditionalFormatting>
  <conditionalFormatting sqref="U19:V39 AM22:AN39 N32:P39 N21:N31 P19:P31">
    <cfRule type="expression" dxfId="1231" priority="61">
      <formula>$L19="Reese stiff clay"</formula>
    </cfRule>
  </conditionalFormatting>
  <conditionalFormatting sqref="AC6:AD6 AM6:AN6 N6:P6 AC8:AD18 N8:P11 AM8:AN12 AM14:AN18 AM20:AN21">
    <cfRule type="expression" dxfId="1230" priority="60">
      <formula>$L6="PISA clay"</formula>
    </cfRule>
  </conditionalFormatting>
  <conditionalFormatting sqref="N6 AC6:AD6 AM6:AN6 AC8:AD18 N8:N20 AM8:AN12 AM14:AN18 AM20:AN21">
    <cfRule type="expression" dxfId="1229" priority="59">
      <formula>$L6="PISA sand"</formula>
    </cfRule>
  </conditionalFormatting>
  <conditionalFormatting sqref="R6:Y6 R12 R18">
    <cfRule type="expression" dxfId="1228" priority="58">
      <formula>$L6="API sand"</formula>
    </cfRule>
  </conditionalFormatting>
  <conditionalFormatting sqref="R6:Y6 R12 R18">
    <cfRule type="expression" dxfId="1227" priority="57">
      <formula>$L6="Kirsch sand"</formula>
    </cfRule>
  </conditionalFormatting>
  <conditionalFormatting sqref="N12:P15 N16:O16 P17:P18 O17:O21 N17:N20">
    <cfRule type="expression" dxfId="1226" priority="54">
      <formula>$L12="Stiff clay w/o free water"</formula>
    </cfRule>
    <cfRule type="expression" dxfId="1225" priority="56">
      <formula>$L12="API clay"</formula>
    </cfRule>
  </conditionalFormatting>
  <conditionalFormatting sqref="N12:P15 N16:O16 P17:P18 O17:O21 N17:N20">
    <cfRule type="expression" dxfId="1224" priority="55">
      <formula>$L12="Kirsch soft clay"</formula>
    </cfRule>
  </conditionalFormatting>
  <conditionalFormatting sqref="N12:P15 N16:O16 P17:P18 O17:O21 N17:N20">
    <cfRule type="expression" dxfId="1223" priority="53">
      <formula>$L12="Kirsch stiff clay"</formula>
    </cfRule>
  </conditionalFormatting>
  <conditionalFormatting sqref="N12:P15 N16:O16 P17:P18 O17:O21 N17:N20">
    <cfRule type="expression" dxfId="1222" priority="52">
      <formula>$L12="Reese stiff clay"</formula>
    </cfRule>
  </conditionalFormatting>
  <conditionalFormatting sqref="N12:P15 N16:O16 P17:P18 O17:O21 N17:N20">
    <cfRule type="expression" dxfId="1221" priority="51">
      <formula>$L12="PISA clay"</formula>
    </cfRule>
  </conditionalFormatting>
  <conditionalFormatting sqref="S17:AB18">
    <cfRule type="expression" dxfId="1220" priority="50">
      <formula>$L17="API sand"</formula>
    </cfRule>
  </conditionalFormatting>
  <conditionalFormatting sqref="S17:AB18">
    <cfRule type="expression" dxfId="1219" priority="49">
      <formula>$L17="Kirsch sand"</formula>
    </cfRule>
  </conditionalFormatting>
  <conditionalFormatting sqref="AE12:AF18 AH12:AI16 AH17:AJ18">
    <cfRule type="expression" dxfId="1218" priority="48">
      <formula>$L12="API sand"</formula>
    </cfRule>
  </conditionalFormatting>
  <conditionalFormatting sqref="AE12:AF18 AH12:AI16 AH17:AJ18">
    <cfRule type="expression" dxfId="1217" priority="47">
      <formula>$L12="Kirsch sand"</formula>
    </cfRule>
  </conditionalFormatting>
  <conditionalFormatting sqref="O22:O24">
    <cfRule type="expression" dxfId="1216" priority="46">
      <formula>$L22="API sand"</formula>
    </cfRule>
  </conditionalFormatting>
  <conditionalFormatting sqref="O22:O24">
    <cfRule type="expression" dxfId="1215" priority="45">
      <formula>$L22="Kirsch sand"</formula>
    </cfRule>
  </conditionalFormatting>
  <conditionalFormatting sqref="O25:O31">
    <cfRule type="expression" dxfId="1214" priority="44">
      <formula>$L25="API sand"</formula>
    </cfRule>
  </conditionalFormatting>
  <conditionalFormatting sqref="O25:O31">
    <cfRule type="expression" dxfId="1213" priority="43">
      <formula>$L25="Kirsch sand"</formula>
    </cfRule>
  </conditionalFormatting>
  <conditionalFormatting sqref="P16">
    <cfRule type="expression" dxfId="1212" priority="40">
      <formula>$L16="Stiff clay w/o free water"</formula>
    </cfRule>
    <cfRule type="expression" dxfId="1211" priority="42">
      <formula>$L16="API clay"</formula>
    </cfRule>
  </conditionalFormatting>
  <conditionalFormatting sqref="P16">
    <cfRule type="expression" dxfId="1210" priority="41">
      <formula>$L16="Kirsch soft clay"</formula>
    </cfRule>
  </conditionalFormatting>
  <conditionalFormatting sqref="P16">
    <cfRule type="expression" dxfId="1209" priority="39">
      <formula>$L16="Kirsch stiff clay"</formula>
    </cfRule>
  </conditionalFormatting>
  <conditionalFormatting sqref="P16">
    <cfRule type="expression" dxfId="1208" priority="38">
      <formula>$L16="Reese stiff clay"</formula>
    </cfRule>
  </conditionalFormatting>
  <conditionalFormatting sqref="P16">
    <cfRule type="expression" dxfId="1207" priority="37">
      <formula>$L16="PISA clay"</formula>
    </cfRule>
  </conditionalFormatting>
  <conditionalFormatting sqref="N7 Q7 AE7:AJ7 AM7:AN7 AR7 AG13 AG19 AM13:AN13 AM19:AN19 AR13 AR19 AT13:AV13 AT7:AV7 AT19:AV19">
    <cfRule type="expression" dxfId="1206" priority="36">
      <formula>$L7="API sand"</formula>
    </cfRule>
  </conditionalFormatting>
  <conditionalFormatting sqref="N7 AK7:AL7 AK13:AL13 AK19:AL19">
    <cfRule type="expression" dxfId="1205" priority="35">
      <formula>$M7="API sand"</formula>
    </cfRule>
  </conditionalFormatting>
  <conditionalFormatting sqref="N7 AK7:AL7 AK13:AL13 AK19:AL19">
    <cfRule type="expression" dxfId="1204" priority="34">
      <formula>$M7="API clay"</formula>
    </cfRule>
  </conditionalFormatting>
  <conditionalFormatting sqref="AM7:AN7 N7:P7 AM13:AN13 AM19:AN19">
    <cfRule type="expression" dxfId="1203" priority="31">
      <formula>$L7="Stiff clay w/o free water"</formula>
    </cfRule>
    <cfRule type="expression" dxfId="1202" priority="33">
      <formula>$L7="API clay"</formula>
    </cfRule>
  </conditionalFormatting>
  <conditionalFormatting sqref="AM7:AN7 N7:P7 AM13:AN13 AM19:AN19">
    <cfRule type="expression" dxfId="1201" priority="32">
      <formula>$L7="Kirsch soft clay"</formula>
    </cfRule>
  </conditionalFormatting>
  <conditionalFormatting sqref="AM7:AN7 N7:P7 AM13:AN13 AM19:AN19">
    <cfRule type="expression" dxfId="1200" priority="30">
      <formula>$L7="Kirsch stiff clay"</formula>
    </cfRule>
  </conditionalFormatting>
  <conditionalFormatting sqref="N7 Q7 AE7:AJ7 AM7:AN7 AR7 AG13 AG19 AM13:AN13 AM19:AN19 AR13 AR19 AT13:AV13 AT7:AV7 AT19:AV19">
    <cfRule type="expression" dxfId="1199" priority="29">
      <formula>$L7="Kirsch sand"</formula>
    </cfRule>
  </conditionalFormatting>
  <conditionalFormatting sqref="N7 AC7:AD7 AM7:AN7 AM13:AN13 AM19:AN19">
    <cfRule type="expression" dxfId="1198" priority="28">
      <formula>$L7="Modified Weak rock"</formula>
    </cfRule>
  </conditionalFormatting>
  <conditionalFormatting sqref="AM7:AN7 N7:P7 AM13:AN13 AM19:AN19">
    <cfRule type="expression" dxfId="1197" priority="27">
      <formula>$L7="Reese stiff clay"</formula>
    </cfRule>
  </conditionalFormatting>
  <conditionalFormatting sqref="AC7:AD7 AM7:AN7 N7:P7 AM13:AN13 AM19:AN19">
    <cfRule type="expression" dxfId="1196" priority="26">
      <formula>$L7="PISA clay"</formula>
    </cfRule>
  </conditionalFormatting>
  <conditionalFormatting sqref="N7 AC7:AD7 AM7:AN7 AM13:AN13 AM19:AN19">
    <cfRule type="expression" dxfId="1195" priority="25">
      <formula>$L7="PISA sand"</formula>
    </cfRule>
  </conditionalFormatting>
  <conditionalFormatting sqref="R7:Y7 R13 R19">
    <cfRule type="expression" dxfId="1194" priority="24">
      <formula>$L7="API sand"</formula>
    </cfRule>
  </conditionalFormatting>
  <conditionalFormatting sqref="R7:Y7 R13 R19">
    <cfRule type="expression" dxfId="1193" priority="23">
      <formula>$L7="Kirsch sand"</formula>
    </cfRule>
  </conditionalFormatting>
  <conditionalFormatting sqref="Z6:Z14 AB6:AB14">
    <cfRule type="expression" dxfId="1192" priority="22">
      <formula>$M6="API sand"</formula>
    </cfRule>
  </conditionalFormatting>
  <conditionalFormatting sqref="Z6:AB14">
    <cfRule type="expression" dxfId="1191" priority="21">
      <formula>$M6="API clay"</formula>
    </cfRule>
  </conditionalFormatting>
  <conditionalFormatting sqref="AO6:AP21">
    <cfRule type="expression" dxfId="1190" priority="20">
      <formula>$L6="API sand"</formula>
    </cfRule>
  </conditionalFormatting>
  <conditionalFormatting sqref="AO6:AP21">
    <cfRule type="expression" dxfId="1189" priority="17">
      <formula>$L6="Stiff clay w/o free water"</formula>
    </cfRule>
    <cfRule type="expression" dxfId="1188" priority="19">
      <formula>$L6="API clay"</formula>
    </cfRule>
  </conditionalFormatting>
  <conditionalFormatting sqref="AO6:AP21">
    <cfRule type="expression" dxfId="1187" priority="18">
      <formula>$L6="Kirsch soft clay"</formula>
    </cfRule>
  </conditionalFormatting>
  <conditionalFormatting sqref="AO6:AP21">
    <cfRule type="expression" dxfId="1186" priority="16">
      <formula>$L6="Kirsch stiff clay"</formula>
    </cfRule>
  </conditionalFormatting>
  <conditionalFormatting sqref="AO6:AP21">
    <cfRule type="expression" dxfId="1185" priority="15">
      <formula>$L6="Kirsch sand"</formula>
    </cfRule>
  </conditionalFormatting>
  <conditionalFormatting sqref="AO6:AP21">
    <cfRule type="expression" dxfId="1184" priority="14">
      <formula>$L6="Modified Weak rock"</formula>
    </cfRule>
  </conditionalFormatting>
  <conditionalFormatting sqref="AO6:AP21">
    <cfRule type="expression" dxfId="1183" priority="13">
      <formula>$L6="Reese stiff clay"</formula>
    </cfRule>
  </conditionalFormatting>
  <conditionalFormatting sqref="AO22:AP36">
    <cfRule type="expression" dxfId="1182" priority="12">
      <formula>$L22="API sand"</formula>
    </cfRule>
  </conditionalFormatting>
  <conditionalFormatting sqref="AO22:AP36">
    <cfRule type="expression" dxfId="1181" priority="9">
      <formula>$L22="Stiff clay w/o free water"</formula>
    </cfRule>
    <cfRule type="expression" dxfId="1180" priority="11">
      <formula>$L22="API clay"</formula>
    </cfRule>
  </conditionalFormatting>
  <conditionalFormatting sqref="AO22:AP36">
    <cfRule type="expression" dxfId="1179" priority="10">
      <formula>$L22="Kirsch soft clay"</formula>
    </cfRule>
  </conditionalFormatting>
  <conditionalFormatting sqref="AO22:AP36">
    <cfRule type="expression" dxfId="1178" priority="8">
      <formula>$L22="Kirsch stiff clay"</formula>
    </cfRule>
  </conditionalFormatting>
  <conditionalFormatting sqref="AO22:AP36">
    <cfRule type="expression" dxfId="1177" priority="7">
      <formula>$L22="Kirsch sand"</formula>
    </cfRule>
  </conditionalFormatting>
  <conditionalFormatting sqref="AO22:AP36">
    <cfRule type="expression" dxfId="1176" priority="6">
      <formula>$L22="Modified Weak rock"</formula>
    </cfRule>
  </conditionalFormatting>
  <conditionalFormatting sqref="AO22:AP36">
    <cfRule type="expression" dxfId="1175" priority="5">
      <formula>$L22="Reese stiff clay"</formula>
    </cfRule>
  </conditionalFormatting>
  <conditionalFormatting sqref="AO6:AP21">
    <cfRule type="expression" dxfId="1174" priority="4">
      <formula>$L6="PISA clay"</formula>
    </cfRule>
  </conditionalFormatting>
  <conditionalFormatting sqref="AO6:AP21">
    <cfRule type="expression" dxfId="1173" priority="3">
      <formula>$L6="PISA sand"</formula>
    </cfRule>
  </conditionalFormatting>
  <conditionalFormatting sqref="AQ6:AQ21">
    <cfRule type="expression" dxfId="1172" priority="2">
      <formula>$L6="API sand"</formula>
    </cfRule>
  </conditionalFormatting>
  <conditionalFormatting sqref="AQ6:AQ21">
    <cfRule type="expression" dxfId="1171" priority="1">
      <formula>$L6="Kirsch sand"</formula>
    </cfRule>
  </conditionalFormatting>
  <dataValidations count="3">
    <dataValidation type="list" showInputMessage="1" showErrorMessage="1" sqref="M19:M39" xr:uid="{A2B633DF-8252-4686-90CD-B795C194E9EB}">
      <formula1>"',API sand,API clay"</formula1>
    </dataValidation>
    <dataValidation type="list" showInputMessage="1" showErrorMessage="1" sqref="L7 L20:L258" xr:uid="{116F8F64-E98A-4498-8EEB-3431138B0416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8" xr:uid="{782766C6-96C3-49A7-AE2F-944C4E3F94D7}">
      <formula1>"Zero soil,API sand,API clay"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33ECB-6B86-409B-B757-F91B39FADAC2}">
  <sheetPr>
    <tabColor theme="6" tint="0.59999389629810485"/>
  </sheetPr>
  <dimension ref="A1:AV258"/>
  <sheetViews>
    <sheetView topLeftCell="X1" zoomScaleNormal="100" workbookViewId="0">
      <selection activeCell="L13" sqref="L13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9.5703125" style="33" bestFit="1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6.5703125" style="33" bestFit="1" customWidth="1"/>
    <col min="16" max="16" width="8.5703125" style="33" bestFit="1" customWidth="1"/>
    <col min="17" max="18" width="9.5703125" style="33" bestFit="1" customWidth="1"/>
    <col min="19" max="19" width="4" style="33" bestFit="1" customWidth="1"/>
    <col min="20" max="20" width="5.5703125" style="33" bestFit="1" customWidth="1"/>
    <col min="21" max="21" width="9.5703125" style="33" bestFit="1" customWidth="1"/>
    <col min="22" max="22" width="15.28515625" style="33" bestFit="1" customWidth="1"/>
    <col min="23" max="23" width="4" style="33" bestFit="1" customWidth="1"/>
    <col min="24" max="24" width="7" style="33" bestFit="1" customWidth="1"/>
    <col min="25" max="25" width="8.42578125" style="33" bestFit="1" customWidth="1"/>
    <col min="26" max="26" width="9.7109375" style="33" bestFit="1" customWidth="1"/>
    <col min="27" max="27" width="11" style="33" bestFit="1" customWidth="1"/>
    <col min="28" max="28" width="8.5703125" style="33" bestFit="1" customWidth="1"/>
    <col min="29" max="29" width="14.85546875" style="33" customWidth="1"/>
    <col min="30" max="30" width="8.85546875" style="33" bestFit="1" customWidth="1"/>
    <col min="31" max="31" width="7.85546875" style="33" bestFit="1" customWidth="1"/>
    <col min="32" max="32" width="5.5703125" style="33" bestFit="1" customWidth="1"/>
    <col min="33" max="33" width="11" style="33" bestFit="1" customWidth="1"/>
    <col min="34" max="34" width="5.42578125" style="33" bestFit="1" customWidth="1"/>
    <col min="35" max="35" width="4.85546875" style="33" bestFit="1" customWidth="1"/>
    <col min="36" max="36" width="3.5703125" style="33" bestFit="1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140625" style="33"/>
  </cols>
  <sheetData>
    <row r="1" spans="1:48" x14ac:dyDescent="0.25">
      <c r="A1" s="34" t="str">
        <f ca="1">TRIM(MID(CELL("filename",A1),FIND("]",CELL("filename",A1),1)+1,255))</f>
        <v>Z4_L11_BE_PISA</v>
      </c>
      <c r="D1" s="34"/>
    </row>
    <row r="3" spans="1:48" s="35" customFormat="1" ht="45" customHeight="1" x14ac:dyDescent="0.25">
      <c r="F3" s="36" t="s">
        <v>39</v>
      </c>
      <c r="J3" s="37" t="s">
        <v>22</v>
      </c>
      <c r="Q3" s="78"/>
      <c r="R3" s="155"/>
      <c r="S3" s="155"/>
      <c r="T3" s="78"/>
      <c r="U3" s="155"/>
      <c r="V3" s="155"/>
      <c r="W3" s="78"/>
      <c r="X3" s="78"/>
      <c r="Y3" s="78"/>
      <c r="Z3" s="78"/>
      <c r="AA3" s="78"/>
      <c r="AB3" s="78"/>
      <c r="AC3" s="156"/>
      <c r="AD3" s="156"/>
      <c r="AE3" s="156"/>
      <c r="AF3" s="156"/>
      <c r="AG3" s="156"/>
      <c r="AH3" s="156"/>
      <c r="AI3" s="156"/>
      <c r="AJ3" s="78"/>
      <c r="AK3" s="78"/>
      <c r="AL3" s="78"/>
      <c r="AM3" s="78"/>
      <c r="AN3" s="78"/>
      <c r="AO3" s="78"/>
      <c r="AP3" s="78"/>
    </row>
    <row r="4" spans="1:48" x14ac:dyDescent="0.25">
      <c r="A4" s="40" t="s">
        <v>60</v>
      </c>
      <c r="B4" s="33">
        <f>COUNTIF(J:J,"&gt;0")</f>
        <v>10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0" t="s">
        <v>108</v>
      </c>
      <c r="AP4" s="40" t="s">
        <v>109</v>
      </c>
      <c r="AQ4" s="70" t="s">
        <v>102</v>
      </c>
      <c r="AR4" s="43" t="s">
        <v>177</v>
      </c>
      <c r="AS4" s="43"/>
      <c r="AT4" s="43"/>
      <c r="AU4" s="43"/>
      <c r="AV4" s="43"/>
    </row>
    <row r="5" spans="1:48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82" t="s">
        <v>38</v>
      </c>
      <c r="K5" s="82" t="s">
        <v>30</v>
      </c>
      <c r="L5" s="82" t="s">
        <v>31</v>
      </c>
      <c r="M5" s="82" t="s">
        <v>31</v>
      </c>
      <c r="N5" s="82" t="s">
        <v>32</v>
      </c>
      <c r="O5" s="82" t="s">
        <v>33</v>
      </c>
      <c r="P5" s="82" t="s">
        <v>35</v>
      </c>
      <c r="Q5" s="82" t="s">
        <v>36</v>
      </c>
      <c r="R5" s="82" t="s">
        <v>36</v>
      </c>
      <c r="S5" s="82" t="s">
        <v>34</v>
      </c>
      <c r="T5" s="82" t="s">
        <v>33</v>
      </c>
      <c r="U5" s="82" t="s">
        <v>34</v>
      </c>
      <c r="V5" s="82" t="s">
        <v>62</v>
      </c>
      <c r="W5" s="82" t="s">
        <v>34</v>
      </c>
      <c r="X5" s="82" t="s">
        <v>33</v>
      </c>
      <c r="Y5" s="82" t="s">
        <v>35</v>
      </c>
      <c r="Z5" s="82" t="s">
        <v>33</v>
      </c>
      <c r="AA5" s="82" t="s">
        <v>34</v>
      </c>
      <c r="AB5" s="82" t="s">
        <v>33</v>
      </c>
      <c r="AC5" s="82" t="s">
        <v>33</v>
      </c>
      <c r="AD5" s="82" t="s">
        <v>35</v>
      </c>
      <c r="AE5" s="82" t="s">
        <v>34</v>
      </c>
      <c r="AF5" s="82" t="s">
        <v>33</v>
      </c>
      <c r="AG5" s="82" t="s">
        <v>35</v>
      </c>
      <c r="AH5" s="82" t="s">
        <v>34</v>
      </c>
      <c r="AI5" s="82" t="s">
        <v>34</v>
      </c>
      <c r="AJ5" s="82" t="s">
        <v>34</v>
      </c>
      <c r="AK5" s="82" t="s">
        <v>34</v>
      </c>
      <c r="AL5" s="82" t="s">
        <v>34</v>
      </c>
      <c r="AM5" s="82" t="s">
        <v>34</v>
      </c>
      <c r="AN5" s="82" t="s">
        <v>34</v>
      </c>
      <c r="AO5" s="82" t="s">
        <v>34</v>
      </c>
      <c r="AP5" s="82" t="s">
        <v>34</v>
      </c>
      <c r="AQ5" s="83" t="s">
        <v>103</v>
      </c>
      <c r="AR5" s="83" t="s">
        <v>178</v>
      </c>
      <c r="AS5" s="82"/>
      <c r="AT5" s="82"/>
      <c r="AU5" s="82"/>
    </row>
    <row r="6" spans="1:48" x14ac:dyDescent="0.25">
      <c r="C6" s="45"/>
      <c r="F6" s="33" t="s">
        <v>67</v>
      </c>
      <c r="G6" s="57">
        <v>0</v>
      </c>
      <c r="H6" s="45" t="s">
        <v>28</v>
      </c>
      <c r="I6" s="33">
        <v>32</v>
      </c>
      <c r="J6" s="47">
        <v>1</v>
      </c>
      <c r="K6" s="63">
        <v>0</v>
      </c>
      <c r="L6" t="s">
        <v>187</v>
      </c>
      <c r="M6" s="49" t="s">
        <v>64</v>
      </c>
      <c r="N6" s="47">
        <v>9.6999999999999993</v>
      </c>
      <c r="O6" s="63">
        <v>0</v>
      </c>
      <c r="P6" s="63">
        <v>0</v>
      </c>
      <c r="Q6" s="47">
        <v>34</v>
      </c>
      <c r="R6" s="47">
        <f t="shared" ref="R6:R15" si="0">Q6-5</f>
        <v>29</v>
      </c>
      <c r="S6" s="47">
        <v>0.5</v>
      </c>
      <c r="T6" s="47">
        <v>0</v>
      </c>
      <c r="U6" s="47">
        <v>0</v>
      </c>
      <c r="V6" s="47">
        <v>0</v>
      </c>
      <c r="W6" s="47">
        <v>0</v>
      </c>
      <c r="X6" s="81">
        <v>2800</v>
      </c>
      <c r="Y6" s="81">
        <v>0</v>
      </c>
      <c r="Z6" s="80">
        <v>93</v>
      </c>
      <c r="AA6" s="80">
        <v>1</v>
      </c>
      <c r="AB6" s="80">
        <v>8640</v>
      </c>
      <c r="AC6" s="47">
        <v>7000</v>
      </c>
      <c r="AD6" s="47">
        <v>652.20000000000005</v>
      </c>
      <c r="AE6" s="81">
        <v>0.2</v>
      </c>
      <c r="AF6" s="47">
        <v>0</v>
      </c>
      <c r="AG6" s="47">
        <v>0</v>
      </c>
      <c r="AH6" s="47">
        <v>0</v>
      </c>
      <c r="AI6" s="47">
        <v>0</v>
      </c>
      <c r="AJ6" s="47">
        <v>36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32</v>
      </c>
      <c r="AS6" s="47"/>
      <c r="AT6" s="47"/>
      <c r="AU6" s="47"/>
      <c r="AV6" s="47"/>
    </row>
    <row r="7" spans="1:48" x14ac:dyDescent="0.25">
      <c r="A7" s="54" t="s">
        <v>23</v>
      </c>
      <c r="C7" s="45"/>
      <c r="F7" s="55" t="s">
        <v>48</v>
      </c>
      <c r="G7" s="56"/>
      <c r="H7" s="39"/>
      <c r="I7" s="56">
        <v>99</v>
      </c>
      <c r="J7" s="47">
        <v>2</v>
      </c>
      <c r="K7" s="63">
        <v>-1.1000000000000001</v>
      </c>
      <c r="L7" t="s">
        <v>188</v>
      </c>
      <c r="M7" s="49" t="s">
        <v>64</v>
      </c>
      <c r="N7" s="47">
        <v>9.8000000000000007</v>
      </c>
      <c r="O7" s="63">
        <v>0</v>
      </c>
      <c r="P7" s="63">
        <v>0</v>
      </c>
      <c r="Q7" s="47">
        <v>34</v>
      </c>
      <c r="R7" s="47">
        <f t="shared" si="0"/>
        <v>29</v>
      </c>
      <c r="S7" s="47">
        <v>3</v>
      </c>
      <c r="T7" s="47">
        <v>0</v>
      </c>
      <c r="U7" s="47">
        <v>0</v>
      </c>
      <c r="V7" s="47">
        <v>0</v>
      </c>
      <c r="W7" s="47">
        <v>0</v>
      </c>
      <c r="X7" s="81">
        <v>32900</v>
      </c>
      <c r="Y7" s="81">
        <v>0</v>
      </c>
      <c r="Z7" s="80">
        <v>93</v>
      </c>
      <c r="AA7" s="80">
        <v>1</v>
      </c>
      <c r="AB7" s="80">
        <v>8640</v>
      </c>
      <c r="AC7" s="47">
        <v>45000</v>
      </c>
      <c r="AD7" s="47">
        <v>1347.8</v>
      </c>
      <c r="AE7" s="81">
        <v>0.2</v>
      </c>
      <c r="AF7" s="47">
        <v>0</v>
      </c>
      <c r="AG7" s="47">
        <v>0</v>
      </c>
      <c r="AH7" s="47">
        <v>0</v>
      </c>
      <c r="AI7" s="47">
        <v>0</v>
      </c>
      <c r="AJ7" s="47">
        <v>36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99</v>
      </c>
      <c r="AS7" s="47"/>
      <c r="AT7" s="47"/>
      <c r="AU7" s="47"/>
      <c r="AV7" s="47"/>
    </row>
    <row r="8" spans="1:48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2278.1</v>
      </c>
      <c r="H8" s="45" t="s">
        <v>53</v>
      </c>
      <c r="I8" s="33">
        <v>100</v>
      </c>
      <c r="J8" s="47">
        <v>3</v>
      </c>
      <c r="K8" s="63">
        <v>-3</v>
      </c>
      <c r="L8" t="s">
        <v>189</v>
      </c>
      <c r="M8" s="49" t="s">
        <v>64</v>
      </c>
      <c r="N8" s="47">
        <v>9.8000000000000007</v>
      </c>
      <c r="O8" s="63">
        <v>0</v>
      </c>
      <c r="P8" s="63">
        <v>0</v>
      </c>
      <c r="Q8" s="47">
        <v>34</v>
      </c>
      <c r="R8" s="47">
        <f t="shared" si="0"/>
        <v>29</v>
      </c>
      <c r="S8" s="47">
        <v>3</v>
      </c>
      <c r="T8" s="47">
        <v>0</v>
      </c>
      <c r="U8" s="47">
        <v>0</v>
      </c>
      <c r="V8" s="47">
        <v>0</v>
      </c>
      <c r="W8" s="47">
        <v>0</v>
      </c>
      <c r="X8" s="81">
        <v>59400</v>
      </c>
      <c r="Y8" s="81">
        <v>0</v>
      </c>
      <c r="Z8" s="80">
        <v>93</v>
      </c>
      <c r="AA8" s="80">
        <v>1</v>
      </c>
      <c r="AB8" s="80">
        <v>8640</v>
      </c>
      <c r="AC8" s="47">
        <v>83000</v>
      </c>
      <c r="AD8" s="47">
        <v>869.6</v>
      </c>
      <c r="AE8" s="81">
        <v>0.2</v>
      </c>
      <c r="AF8" s="47">
        <v>0</v>
      </c>
      <c r="AG8" s="47">
        <v>0</v>
      </c>
      <c r="AH8" s="47">
        <v>0</v>
      </c>
      <c r="AI8" s="47">
        <v>0</v>
      </c>
      <c r="AJ8" s="47">
        <v>36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100</v>
      </c>
      <c r="AS8" s="47"/>
      <c r="AT8" s="47"/>
      <c r="AU8" s="47"/>
      <c r="AV8" s="47"/>
    </row>
    <row r="9" spans="1:48" x14ac:dyDescent="0.25">
      <c r="A9" s="33" t="s">
        <v>68</v>
      </c>
      <c r="B9" s="57">
        <v>50</v>
      </c>
      <c r="C9" s="45" t="s">
        <v>28</v>
      </c>
      <c r="F9" s="33" t="s">
        <v>96</v>
      </c>
      <c r="G9" s="71">
        <v>-122786</v>
      </c>
      <c r="H9" s="45" t="s">
        <v>54</v>
      </c>
      <c r="I9" s="33">
        <v>0</v>
      </c>
      <c r="J9" s="47">
        <v>4</v>
      </c>
      <c r="K9" s="63">
        <v>-5.3</v>
      </c>
      <c r="L9" t="s">
        <v>275</v>
      </c>
      <c r="M9" s="49" t="s">
        <v>65</v>
      </c>
      <c r="N9" s="47">
        <v>9.3000000000000007</v>
      </c>
      <c r="O9" s="63">
        <v>205</v>
      </c>
      <c r="P9" s="63">
        <v>77.599999999999994</v>
      </c>
      <c r="Q9" s="47">
        <v>0</v>
      </c>
      <c r="R9" s="47">
        <f t="shared" si="0"/>
        <v>-5</v>
      </c>
      <c r="S9" s="47">
        <v>3</v>
      </c>
      <c r="T9" s="47">
        <v>0</v>
      </c>
      <c r="U9" s="47">
        <v>1.7999999999999999E-2</v>
      </c>
      <c r="V9" s="47">
        <v>0</v>
      </c>
      <c r="W9" s="47">
        <v>0.25</v>
      </c>
      <c r="X9" s="81">
        <v>21400</v>
      </c>
      <c r="Y9" s="81">
        <v>0</v>
      </c>
      <c r="Z9" s="80">
        <v>0</v>
      </c>
      <c r="AA9" s="80">
        <v>1</v>
      </c>
      <c r="AB9" s="80">
        <v>0</v>
      </c>
      <c r="AC9" s="47">
        <v>185000</v>
      </c>
      <c r="AD9" s="47">
        <v>6869.6</v>
      </c>
      <c r="AE9" s="81">
        <v>0.49</v>
      </c>
      <c r="AF9" s="47">
        <v>0</v>
      </c>
      <c r="AG9" s="47">
        <v>0</v>
      </c>
      <c r="AH9" s="47">
        <v>0</v>
      </c>
      <c r="AI9" s="47">
        <v>0</v>
      </c>
      <c r="AJ9" s="47">
        <v>0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0</v>
      </c>
      <c r="AS9" s="47"/>
      <c r="AT9" s="47"/>
      <c r="AU9" s="47"/>
      <c r="AV9" s="47"/>
    </row>
    <row r="10" spans="1:48" s="56" customFormat="1" x14ac:dyDescent="0.25">
      <c r="A10" s="56" t="s">
        <v>69</v>
      </c>
      <c r="B10" s="58">
        <v>50</v>
      </c>
      <c r="C10" s="45" t="s">
        <v>28</v>
      </c>
      <c r="F10" s="33" t="s">
        <v>51</v>
      </c>
      <c r="G10" s="71">
        <v>7357</v>
      </c>
      <c r="H10" s="45" t="s">
        <v>53</v>
      </c>
      <c r="I10" s="33">
        <v>0</v>
      </c>
      <c r="J10" s="47">
        <v>5</v>
      </c>
      <c r="K10" s="63">
        <v>-7</v>
      </c>
      <c r="L10" t="s">
        <v>275</v>
      </c>
      <c r="M10" s="49" t="s">
        <v>65</v>
      </c>
      <c r="N10" s="47">
        <v>8.3000000000000007</v>
      </c>
      <c r="O10" s="63">
        <v>281</v>
      </c>
      <c r="P10" s="63">
        <v>-92</v>
      </c>
      <c r="Q10" s="47">
        <v>0</v>
      </c>
      <c r="R10" s="47">
        <f t="shared" si="0"/>
        <v>-5</v>
      </c>
      <c r="S10" s="47">
        <v>3</v>
      </c>
      <c r="T10" s="47">
        <v>0</v>
      </c>
      <c r="U10" s="47">
        <v>1.7999999999999999E-2</v>
      </c>
      <c r="V10" s="47">
        <v>0</v>
      </c>
      <c r="W10" s="47">
        <v>0.25</v>
      </c>
      <c r="X10" s="81">
        <v>20000</v>
      </c>
      <c r="Y10" s="81">
        <v>0</v>
      </c>
      <c r="Z10" s="80">
        <v>0</v>
      </c>
      <c r="AA10" s="80">
        <v>1</v>
      </c>
      <c r="AB10" s="80">
        <v>0</v>
      </c>
      <c r="AC10" s="47">
        <v>297000</v>
      </c>
      <c r="AD10" s="47">
        <v>-4956.5</v>
      </c>
      <c r="AE10" s="81">
        <v>0.49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47"/>
      <c r="AT10" s="47"/>
      <c r="AU10" s="47"/>
      <c r="AV10" s="47"/>
    </row>
    <row r="11" spans="1:48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>
        <v>0</v>
      </c>
      <c r="J11" s="47">
        <v>6</v>
      </c>
      <c r="K11" s="63">
        <v>-8</v>
      </c>
      <c r="L11" t="s">
        <v>275</v>
      </c>
      <c r="M11" s="49" t="s">
        <v>65</v>
      </c>
      <c r="N11" s="47">
        <v>8.3000000000000007</v>
      </c>
      <c r="O11" s="63">
        <v>140</v>
      </c>
      <c r="P11" s="63">
        <v>10.199999999999999</v>
      </c>
      <c r="Q11" s="47">
        <v>0</v>
      </c>
      <c r="R11" s="47">
        <f t="shared" si="0"/>
        <v>-5</v>
      </c>
      <c r="S11" s="47">
        <v>3</v>
      </c>
      <c r="T11" s="47">
        <v>0</v>
      </c>
      <c r="U11" s="47">
        <v>1.7999999999999999E-2</v>
      </c>
      <c r="V11" s="47">
        <v>0</v>
      </c>
      <c r="W11" s="47">
        <v>0.5</v>
      </c>
      <c r="X11" s="81">
        <v>17600</v>
      </c>
      <c r="Y11" s="81">
        <v>0</v>
      </c>
      <c r="Z11" s="80">
        <v>0</v>
      </c>
      <c r="AA11" s="80">
        <v>1</v>
      </c>
      <c r="AB11" s="80">
        <v>0</v>
      </c>
      <c r="AC11" s="47">
        <v>126000</v>
      </c>
      <c r="AD11" s="47">
        <v>9652.2000000000007</v>
      </c>
      <c r="AE11" s="81">
        <v>0.49</v>
      </c>
      <c r="AF11" s="47">
        <v>0</v>
      </c>
      <c r="AG11" s="47">
        <v>0</v>
      </c>
      <c r="AH11" s="47">
        <v>0</v>
      </c>
      <c r="AI11" s="47">
        <v>0</v>
      </c>
      <c r="AJ11" s="47">
        <v>0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47"/>
      <c r="AT11" s="47"/>
      <c r="AU11" s="47"/>
      <c r="AV11" s="47"/>
    </row>
    <row r="12" spans="1:48" x14ac:dyDescent="0.25">
      <c r="A12" s="33" t="s">
        <v>74</v>
      </c>
      <c r="B12" s="57">
        <v>9.6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>
        <v>64</v>
      </c>
      <c r="J12" s="47">
        <v>7</v>
      </c>
      <c r="K12" s="63">
        <v>-24.5</v>
      </c>
      <c r="L12" t="s">
        <v>190</v>
      </c>
      <c r="M12" s="49" t="s">
        <v>64</v>
      </c>
      <c r="N12" s="47">
        <v>9.1</v>
      </c>
      <c r="O12" s="63">
        <v>0</v>
      </c>
      <c r="P12" s="47">
        <v>0</v>
      </c>
      <c r="Q12" s="47">
        <v>29</v>
      </c>
      <c r="R12" s="47">
        <f t="shared" si="0"/>
        <v>24</v>
      </c>
      <c r="S12" s="47">
        <v>0.8</v>
      </c>
      <c r="T12" s="47">
        <v>0</v>
      </c>
      <c r="U12" s="47">
        <v>0</v>
      </c>
      <c r="V12" s="47">
        <v>0</v>
      </c>
      <c r="W12" s="47">
        <v>0</v>
      </c>
      <c r="X12" s="47">
        <v>20000</v>
      </c>
      <c r="Y12" s="47">
        <v>0</v>
      </c>
      <c r="Z12" s="80">
        <v>78.2</v>
      </c>
      <c r="AA12" s="80">
        <v>1</v>
      </c>
      <c r="AB12" s="80">
        <v>4420</v>
      </c>
      <c r="AC12" s="47">
        <v>133000</v>
      </c>
      <c r="AD12" s="47">
        <v>-217.4</v>
      </c>
      <c r="AE12" s="47">
        <v>0.2</v>
      </c>
      <c r="AF12" s="47">
        <v>0</v>
      </c>
      <c r="AG12" s="47">
        <v>0</v>
      </c>
      <c r="AH12" s="47">
        <v>0</v>
      </c>
      <c r="AI12" s="47">
        <v>0</v>
      </c>
      <c r="AJ12" s="47">
        <v>18.399999999999999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64</v>
      </c>
      <c r="AS12" s="47"/>
      <c r="AT12" s="47"/>
      <c r="AU12" s="47"/>
      <c r="AV12" s="47"/>
    </row>
    <row r="13" spans="1:48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>
        <v>0</v>
      </c>
      <c r="J13" s="47">
        <v>8</v>
      </c>
      <c r="K13" s="63">
        <v>-27.3</v>
      </c>
      <c r="L13" s="49" t="s">
        <v>275</v>
      </c>
      <c r="M13" s="49" t="s">
        <v>65</v>
      </c>
      <c r="N13" s="47">
        <v>8.8000000000000007</v>
      </c>
      <c r="O13" s="63">
        <v>144</v>
      </c>
      <c r="P13" s="47">
        <v>24.4</v>
      </c>
      <c r="Q13" s="47">
        <v>0</v>
      </c>
      <c r="R13" s="47">
        <f t="shared" si="0"/>
        <v>-5</v>
      </c>
      <c r="S13" s="47">
        <v>2.7</v>
      </c>
      <c r="T13" s="47">
        <v>0</v>
      </c>
      <c r="U13" s="47">
        <v>1.7999999999999999E-2</v>
      </c>
      <c r="V13" s="47">
        <v>0</v>
      </c>
      <c r="W13" s="47">
        <v>0.5</v>
      </c>
      <c r="X13" s="47">
        <v>27400</v>
      </c>
      <c r="Y13" s="47">
        <v>0</v>
      </c>
      <c r="Z13" s="80">
        <v>0</v>
      </c>
      <c r="AA13" s="80">
        <v>1</v>
      </c>
      <c r="AB13" s="80">
        <v>0</v>
      </c>
      <c r="AC13" s="47">
        <v>146000</v>
      </c>
      <c r="AD13" s="47">
        <v>22521.7</v>
      </c>
      <c r="AE13" s="47">
        <v>0.49</v>
      </c>
      <c r="AF13" s="47">
        <v>0</v>
      </c>
      <c r="AG13" s="47">
        <v>0</v>
      </c>
      <c r="AH13" s="47">
        <v>0</v>
      </c>
      <c r="AI13" s="47">
        <v>0</v>
      </c>
      <c r="AJ13" s="47">
        <v>0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0</v>
      </c>
      <c r="AS13" s="47"/>
      <c r="AT13" s="47"/>
      <c r="AU13" s="47"/>
      <c r="AV13" s="47"/>
    </row>
    <row r="14" spans="1:48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>
        <v>0</v>
      </c>
      <c r="J14" s="47">
        <v>9</v>
      </c>
      <c r="K14" s="63">
        <v>-42</v>
      </c>
      <c r="L14" s="49" t="s">
        <v>275</v>
      </c>
      <c r="M14" s="49" t="s">
        <v>65</v>
      </c>
      <c r="N14" s="47">
        <v>8.5</v>
      </c>
      <c r="O14" s="63">
        <v>110</v>
      </c>
      <c r="P14" s="47">
        <v>1.8</v>
      </c>
      <c r="Q14" s="47">
        <v>0</v>
      </c>
      <c r="R14" s="47">
        <f t="shared" si="0"/>
        <v>-5</v>
      </c>
      <c r="S14" s="47">
        <v>0.7</v>
      </c>
      <c r="T14" s="47">
        <v>0</v>
      </c>
      <c r="U14" s="47">
        <v>1.7999999999999999E-2</v>
      </c>
      <c r="V14" s="47">
        <v>0</v>
      </c>
      <c r="W14" s="47">
        <v>0.5</v>
      </c>
      <c r="X14" s="47">
        <v>9700</v>
      </c>
      <c r="Y14" s="47">
        <v>0</v>
      </c>
      <c r="Z14" s="80">
        <v>0</v>
      </c>
      <c r="AA14" s="80">
        <v>1</v>
      </c>
      <c r="AB14" s="80">
        <v>0</v>
      </c>
      <c r="AC14" s="47">
        <v>134000</v>
      </c>
      <c r="AD14" s="47">
        <v>695.7</v>
      </c>
      <c r="AE14" s="47">
        <v>0.49</v>
      </c>
      <c r="AF14" s="47">
        <v>0</v>
      </c>
      <c r="AG14" s="47">
        <v>0</v>
      </c>
      <c r="AH14" s="47">
        <v>0</v>
      </c>
      <c r="AI14" s="47">
        <v>0</v>
      </c>
      <c r="AJ14" s="47">
        <v>0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0</v>
      </c>
      <c r="AS14" s="47"/>
      <c r="AT14" s="47"/>
      <c r="AU14" s="47"/>
      <c r="AV14" s="47"/>
    </row>
    <row r="15" spans="1:48" s="56" customFormat="1" x14ac:dyDescent="0.25">
      <c r="A15" s="33" t="s">
        <v>44</v>
      </c>
      <c r="B15" s="61">
        <v>207000000</v>
      </c>
      <c r="C15" s="45" t="s">
        <v>47</v>
      </c>
      <c r="D15" s="33"/>
      <c r="E15" s="33"/>
      <c r="F15" s="33"/>
      <c r="G15" s="33"/>
      <c r="I15" s="56">
        <v>0</v>
      </c>
      <c r="J15" s="47">
        <v>10</v>
      </c>
      <c r="K15" s="63">
        <v>-48</v>
      </c>
      <c r="L15" s="49" t="s">
        <v>275</v>
      </c>
      <c r="M15" s="49" t="s">
        <v>65</v>
      </c>
      <c r="N15" s="47">
        <v>8.6999999999999993</v>
      </c>
      <c r="O15" s="63">
        <v>602</v>
      </c>
      <c r="P15" s="47">
        <v>2.2000000000000002</v>
      </c>
      <c r="Q15" s="47">
        <v>0</v>
      </c>
      <c r="R15" s="47">
        <f t="shared" si="0"/>
        <v>-5</v>
      </c>
      <c r="S15" s="47">
        <v>2.5</v>
      </c>
      <c r="T15" s="47">
        <v>0</v>
      </c>
      <c r="U15" s="47">
        <v>1.7999999999999999E-2</v>
      </c>
      <c r="V15" s="47">
        <v>0</v>
      </c>
      <c r="W15" s="47">
        <v>0.25</v>
      </c>
      <c r="X15" s="47">
        <v>51400</v>
      </c>
      <c r="Y15" s="47">
        <v>0</v>
      </c>
      <c r="Z15" s="47">
        <v>0</v>
      </c>
      <c r="AA15" s="47">
        <v>1</v>
      </c>
      <c r="AB15" s="47">
        <v>0</v>
      </c>
      <c r="AC15" s="47">
        <v>839000</v>
      </c>
      <c r="AD15" s="47">
        <v>6956.5</v>
      </c>
      <c r="AE15" s="47">
        <v>0.49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0</v>
      </c>
      <c r="AS15" s="47"/>
      <c r="AT15" s="47"/>
      <c r="AU15" s="47"/>
      <c r="AV15" s="47"/>
    </row>
    <row r="16" spans="1:48" x14ac:dyDescent="0.25">
      <c r="A16" s="33" t="s">
        <v>45</v>
      </c>
      <c r="B16" s="61">
        <v>79000000</v>
      </c>
      <c r="C16" s="45" t="s">
        <v>47</v>
      </c>
      <c r="D16" s="62"/>
      <c r="E16" s="62"/>
      <c r="J16" s="47"/>
      <c r="K16" s="63"/>
      <c r="L16" s="49"/>
      <c r="M16" s="49"/>
      <c r="N16" s="47"/>
      <c r="O16" s="63"/>
      <c r="P16" s="63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</row>
    <row r="17" spans="1:43" x14ac:dyDescent="0.25">
      <c r="A17" s="33" t="s">
        <v>98</v>
      </c>
      <c r="B17" s="57">
        <v>0.53</v>
      </c>
      <c r="C17" s="45"/>
      <c r="D17" s="82"/>
      <c r="E17" s="82"/>
      <c r="F17" s="56"/>
      <c r="G17" s="56"/>
      <c r="J17" s="47"/>
      <c r="K17" s="63"/>
      <c r="L17" s="49"/>
      <c r="M17" s="49"/>
      <c r="N17" s="47"/>
      <c r="O17" s="63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</row>
    <row r="18" spans="1:43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56"/>
      <c r="J18" s="47"/>
      <c r="K18" s="63"/>
      <c r="L18" s="49"/>
      <c r="M18" s="49"/>
      <c r="N18" s="47"/>
      <c r="O18" s="63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</row>
    <row r="19" spans="1:43" s="56" customFormat="1" x14ac:dyDescent="0.25">
      <c r="A19" s="82" t="s">
        <v>38</v>
      </c>
      <c r="B19" s="82" t="s">
        <v>30</v>
      </c>
      <c r="C19" s="82" t="s">
        <v>59</v>
      </c>
      <c r="D19" s="43"/>
      <c r="E19" s="35"/>
      <c r="F19" s="33"/>
      <c r="G19" s="33"/>
      <c r="J19" s="47"/>
      <c r="K19" s="63"/>
      <c r="L19" s="49"/>
      <c r="M19" s="49"/>
      <c r="N19" s="47"/>
      <c r="O19" s="63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</row>
    <row r="20" spans="1:43" x14ac:dyDescent="0.25">
      <c r="A20" s="66">
        <v>1</v>
      </c>
      <c r="B20" s="66">
        <v>0</v>
      </c>
      <c r="C20" s="66">
        <v>0.09</v>
      </c>
      <c r="D20" s="43"/>
      <c r="J20" s="47"/>
      <c r="K20" s="63"/>
      <c r="L20" s="49"/>
      <c r="M20" s="49"/>
      <c r="N20" s="47"/>
      <c r="O20" s="63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</row>
    <row r="21" spans="1:43" x14ac:dyDescent="0.25">
      <c r="A21" s="66"/>
      <c r="B21" s="66"/>
      <c r="C21" s="66"/>
      <c r="D21" s="43"/>
      <c r="K21" s="79"/>
      <c r="L21" s="49"/>
      <c r="M21" s="49" t="s">
        <v>94</v>
      </c>
      <c r="N21" s="47"/>
      <c r="O21" s="63"/>
      <c r="P21" s="47"/>
      <c r="Q21" s="47"/>
      <c r="R21" s="64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</row>
    <row r="22" spans="1:43" x14ac:dyDescent="0.25">
      <c r="A22" s="47"/>
      <c r="B22" s="47"/>
      <c r="C22" s="47"/>
      <c r="D22" s="35"/>
      <c r="K22" s="79"/>
      <c r="L22" s="49"/>
      <c r="M22" s="49" t="s">
        <v>94</v>
      </c>
      <c r="N22" s="47"/>
      <c r="O22" s="47"/>
      <c r="P22" s="47"/>
      <c r="Q22" s="47"/>
      <c r="R22" s="64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</row>
    <row r="23" spans="1:43" x14ac:dyDescent="0.25">
      <c r="A23" s="47"/>
      <c r="B23" s="47"/>
      <c r="C23" s="47"/>
      <c r="D23" s="35"/>
      <c r="K23" s="79"/>
      <c r="L23" s="49"/>
      <c r="M23" s="49" t="s">
        <v>94</v>
      </c>
      <c r="N23" s="47"/>
      <c r="O23" s="47"/>
      <c r="P23" s="47"/>
      <c r="Q23" s="47"/>
      <c r="R23" s="64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I23" s="47"/>
      <c r="AJ23" s="47"/>
      <c r="AK23" s="47"/>
      <c r="AL23" s="47"/>
      <c r="AM23" s="47"/>
      <c r="AN23" s="47"/>
      <c r="AO23" s="47"/>
      <c r="AP23" s="47"/>
    </row>
    <row r="24" spans="1:43" x14ac:dyDescent="0.25">
      <c r="A24" s="43"/>
      <c r="B24" s="43"/>
      <c r="C24" s="43"/>
      <c r="D24" s="43"/>
      <c r="K24" s="79"/>
      <c r="L24" s="49"/>
      <c r="M24" s="49" t="s">
        <v>94</v>
      </c>
      <c r="N24" s="47"/>
      <c r="O24" s="47"/>
      <c r="P24" s="47"/>
      <c r="Q24" s="47"/>
      <c r="R24" s="64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I24" s="47"/>
      <c r="AJ24" s="47"/>
      <c r="AK24" s="47"/>
      <c r="AL24" s="47"/>
      <c r="AM24" s="47"/>
      <c r="AN24" s="47"/>
      <c r="AO24" s="47"/>
      <c r="AP24" s="47"/>
    </row>
    <row r="25" spans="1:43" x14ac:dyDescent="0.25">
      <c r="A25" s="47"/>
      <c r="B25" s="47"/>
      <c r="D25" s="35"/>
      <c r="E25" s="47" t="s">
        <v>179</v>
      </c>
      <c r="K25" s="79"/>
      <c r="L25" s="49"/>
      <c r="M25" s="49" t="s">
        <v>94</v>
      </c>
      <c r="N25" s="47"/>
      <c r="O25" s="47"/>
      <c r="P25" s="47"/>
      <c r="Q25" s="47"/>
      <c r="R25" s="64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I25" s="47"/>
      <c r="AJ25" s="47"/>
      <c r="AK25" s="47"/>
      <c r="AL25" s="47"/>
      <c r="AM25" s="47"/>
      <c r="AN25" s="47"/>
      <c r="AO25" s="47"/>
      <c r="AP25" s="47"/>
    </row>
    <row r="26" spans="1:43" x14ac:dyDescent="0.25">
      <c r="A26" s="43"/>
      <c r="B26" s="43"/>
      <c r="C26" s="43"/>
      <c r="D26" s="43"/>
      <c r="K26" s="79"/>
      <c r="L26" s="49"/>
      <c r="M26" s="49" t="s">
        <v>94</v>
      </c>
      <c r="N26" s="47"/>
      <c r="O26" s="47"/>
      <c r="P26" s="47"/>
      <c r="Q26" s="47"/>
      <c r="R26" s="64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I26" s="47"/>
      <c r="AJ26" s="47"/>
      <c r="AK26" s="47"/>
      <c r="AL26" s="47"/>
      <c r="AM26" s="47"/>
      <c r="AN26" s="47"/>
      <c r="AO26" s="47"/>
      <c r="AP26" s="47"/>
    </row>
    <row r="27" spans="1:43" x14ac:dyDescent="0.25">
      <c r="A27" s="43"/>
      <c r="B27" s="43"/>
      <c r="C27" s="43"/>
      <c r="D27" s="43"/>
      <c r="L27" s="49"/>
      <c r="M27" s="49" t="s">
        <v>94</v>
      </c>
      <c r="N27" s="47"/>
      <c r="O27" s="47"/>
      <c r="P27" s="47"/>
      <c r="Q27" s="47"/>
      <c r="R27" s="64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I27" s="47"/>
      <c r="AJ27" s="47"/>
      <c r="AK27" s="47"/>
      <c r="AL27" s="47"/>
      <c r="AM27" s="47"/>
      <c r="AN27" s="47"/>
      <c r="AO27" s="47"/>
      <c r="AP27" s="47"/>
    </row>
    <row r="28" spans="1:43" x14ac:dyDescent="0.25">
      <c r="A28" s="43"/>
      <c r="B28" s="43"/>
      <c r="C28" s="43"/>
      <c r="D28" s="43"/>
      <c r="L28" s="49"/>
      <c r="M28" s="49" t="s">
        <v>94</v>
      </c>
      <c r="N28" s="47"/>
      <c r="O28" s="47"/>
      <c r="P28" s="47"/>
      <c r="Q28" s="47"/>
      <c r="R28" s="64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I28" s="47"/>
      <c r="AJ28" s="47"/>
      <c r="AK28" s="47"/>
      <c r="AL28" s="47"/>
      <c r="AM28" s="47"/>
      <c r="AN28" s="47"/>
      <c r="AO28" s="47"/>
      <c r="AP28" s="47"/>
    </row>
    <row r="29" spans="1:43" x14ac:dyDescent="0.25">
      <c r="A29" s="43"/>
      <c r="B29" s="43"/>
      <c r="C29" s="43"/>
      <c r="D29" s="43"/>
      <c r="L29" s="49"/>
      <c r="M29" s="49" t="s">
        <v>94</v>
      </c>
      <c r="N29" s="47"/>
      <c r="O29" s="47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3" x14ac:dyDescent="0.25">
      <c r="A30" s="43"/>
      <c r="B30" s="43"/>
      <c r="C30" s="43"/>
      <c r="D30" s="43"/>
      <c r="L30" s="49"/>
      <c r="M30" s="49" t="s">
        <v>94</v>
      </c>
      <c r="N30" s="47"/>
      <c r="O30" s="47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33" t="s">
        <v>99</v>
      </c>
      <c r="AF30" s="33" t="s">
        <v>100</v>
      </c>
      <c r="AG30" s="33" t="s">
        <v>101</v>
      </c>
      <c r="AI30" s="47"/>
      <c r="AJ30" s="47"/>
      <c r="AK30" s="47"/>
      <c r="AL30" s="47"/>
      <c r="AM30" s="47"/>
      <c r="AN30" s="47"/>
      <c r="AO30" s="47"/>
      <c r="AP30" s="47"/>
    </row>
    <row r="31" spans="1:43" x14ac:dyDescent="0.25">
      <c r="A31" s="43"/>
      <c r="B31" s="43"/>
      <c r="C31" s="43"/>
      <c r="D31" s="43"/>
      <c r="L31" s="49"/>
      <c r="M31" s="49" t="s">
        <v>94</v>
      </c>
      <c r="N31" s="47"/>
      <c r="O31" s="47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33">
        <v>15</v>
      </c>
      <c r="AF31" s="33">
        <v>48</v>
      </c>
      <c r="AG31" s="33">
        <v>1900</v>
      </c>
      <c r="AH31" s="33">
        <v>8</v>
      </c>
      <c r="AI31" s="47"/>
      <c r="AJ31" s="47"/>
      <c r="AK31" s="47"/>
      <c r="AL31" s="47"/>
      <c r="AM31" s="47"/>
      <c r="AN31" s="47"/>
      <c r="AO31" s="47"/>
      <c r="AP31" s="47"/>
    </row>
    <row r="32" spans="1:43" x14ac:dyDescent="0.25">
      <c r="A32" s="43"/>
      <c r="B32" s="43"/>
      <c r="C32" s="43"/>
      <c r="D32" s="43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33">
        <v>16</v>
      </c>
      <c r="AF32" s="33">
        <v>51.8</v>
      </c>
      <c r="AG32" s="33">
        <v>2100</v>
      </c>
      <c r="AH32" s="33">
        <v>8.8000000000000007</v>
      </c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43"/>
      <c r="B33" s="43"/>
      <c r="C33" s="43"/>
      <c r="D33" s="43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33">
        <v>17</v>
      </c>
      <c r="AF33" s="33">
        <v>55.599999999999994</v>
      </c>
      <c r="AG33" s="33">
        <v>2300</v>
      </c>
      <c r="AH33" s="33">
        <v>9.6000000000000014</v>
      </c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33">
        <v>18</v>
      </c>
      <c r="AF34" s="33">
        <v>59.399999999999991</v>
      </c>
      <c r="AG34" s="33">
        <v>2500</v>
      </c>
      <c r="AH34" s="33">
        <v>10.400000000000002</v>
      </c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33">
        <v>19</v>
      </c>
      <c r="AF35" s="33">
        <v>63.199999999999989</v>
      </c>
      <c r="AG35" s="33">
        <v>2700</v>
      </c>
      <c r="AH35" s="33">
        <v>11.200000000000003</v>
      </c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33">
        <v>20</v>
      </c>
      <c r="AF36" s="33">
        <v>66.999999999999986</v>
      </c>
      <c r="AG36" s="33">
        <v>2900</v>
      </c>
      <c r="AH36" s="33">
        <v>12.000000000000004</v>
      </c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M37" s="49" t="s">
        <v>94</v>
      </c>
      <c r="N37" s="47"/>
      <c r="O37" s="63"/>
      <c r="P37" s="47"/>
      <c r="Q37" s="47"/>
      <c r="R37" s="64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33">
        <v>21</v>
      </c>
      <c r="AF37" s="33">
        <v>69.799999999999983</v>
      </c>
      <c r="AG37" s="33">
        <v>3280</v>
      </c>
      <c r="AH37" s="33">
        <v>13.600000000000003</v>
      </c>
      <c r="AI37" s="47"/>
      <c r="AJ37" s="47"/>
      <c r="AK37" s="47"/>
      <c r="AL37" s="47"/>
      <c r="AM37" s="47"/>
      <c r="AN37" s="47"/>
    </row>
    <row r="38" spans="1:42" x14ac:dyDescent="0.25">
      <c r="L38" s="49"/>
      <c r="M38" s="49" t="s">
        <v>94</v>
      </c>
      <c r="N38" s="47"/>
      <c r="O38" s="63"/>
      <c r="P38" s="47"/>
      <c r="Q38" s="47"/>
      <c r="R38" s="64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33">
        <v>22</v>
      </c>
      <c r="AF38" s="33">
        <v>72.59999999999998</v>
      </c>
      <c r="AG38" s="33">
        <v>3660</v>
      </c>
      <c r="AH38" s="33">
        <v>15.200000000000003</v>
      </c>
      <c r="AI38" s="47"/>
      <c r="AJ38" s="47"/>
      <c r="AK38" s="47"/>
      <c r="AL38" s="47"/>
      <c r="AM38" s="47"/>
      <c r="AN38" s="47"/>
    </row>
    <row r="39" spans="1:42" x14ac:dyDescent="0.25">
      <c r="L39" s="49"/>
      <c r="M39" s="49" t="s">
        <v>94</v>
      </c>
      <c r="N39" s="47"/>
      <c r="O39" s="63"/>
      <c r="P39" s="47"/>
      <c r="Q39" s="47"/>
      <c r="R39" s="64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33">
        <v>23</v>
      </c>
      <c r="AF39" s="33">
        <v>75.399999999999977</v>
      </c>
      <c r="AG39" s="33">
        <v>4040</v>
      </c>
      <c r="AH39" s="33">
        <v>16.800000000000004</v>
      </c>
      <c r="AI39" s="47"/>
      <c r="AJ39" s="47"/>
      <c r="AK39" s="47"/>
      <c r="AL39" s="47"/>
      <c r="AM39" s="47"/>
      <c r="AN39" s="47"/>
    </row>
    <row r="40" spans="1:42" x14ac:dyDescent="0.25">
      <c r="L40" s="49"/>
      <c r="AE40" s="33">
        <v>24</v>
      </c>
      <c r="AF40" s="33">
        <v>78.199999999999974</v>
      </c>
      <c r="AG40" s="33">
        <v>4420</v>
      </c>
      <c r="AH40" s="33">
        <v>18.400000000000006</v>
      </c>
    </row>
    <row r="41" spans="1:42" x14ac:dyDescent="0.25">
      <c r="L41" s="49"/>
      <c r="AE41" s="33">
        <v>25</v>
      </c>
      <c r="AF41" s="33">
        <v>80.999999999999972</v>
      </c>
      <c r="AG41" s="33">
        <v>4800</v>
      </c>
      <c r="AH41" s="33">
        <v>20.000000000000007</v>
      </c>
    </row>
    <row r="42" spans="1:42" x14ac:dyDescent="0.25">
      <c r="L42" s="49"/>
      <c r="AE42" s="33">
        <v>26</v>
      </c>
      <c r="AF42" s="33">
        <v>83.999999999999972</v>
      </c>
      <c r="AG42" s="33">
        <v>5760</v>
      </c>
      <c r="AH42" s="33">
        <v>24.000000000000007</v>
      </c>
    </row>
    <row r="43" spans="1:42" x14ac:dyDescent="0.25">
      <c r="L43" s="49"/>
      <c r="AE43" s="33">
        <v>27</v>
      </c>
      <c r="AF43" s="33">
        <v>86.999999999999972</v>
      </c>
      <c r="AG43" s="33">
        <v>6720</v>
      </c>
      <c r="AH43" s="33">
        <v>28.000000000000007</v>
      </c>
    </row>
    <row r="44" spans="1:42" x14ac:dyDescent="0.25">
      <c r="L44" s="49"/>
      <c r="AE44" s="33">
        <v>28</v>
      </c>
      <c r="AF44" s="33">
        <v>89.999999999999972</v>
      </c>
      <c r="AG44" s="33">
        <v>7680</v>
      </c>
      <c r="AH44" s="33">
        <v>32.000000000000007</v>
      </c>
    </row>
    <row r="45" spans="1:42" x14ac:dyDescent="0.25">
      <c r="L45" s="49"/>
      <c r="AE45" s="33">
        <v>29</v>
      </c>
      <c r="AF45" s="33">
        <v>92.999999999999972</v>
      </c>
      <c r="AG45" s="33">
        <v>8640</v>
      </c>
      <c r="AH45" s="33">
        <v>36.000000000000007</v>
      </c>
    </row>
    <row r="46" spans="1:42" x14ac:dyDescent="0.25">
      <c r="L46" s="49"/>
      <c r="AE46" s="33">
        <v>30</v>
      </c>
      <c r="AF46" s="33">
        <v>95.999999999999972</v>
      </c>
      <c r="AG46" s="33">
        <v>9600</v>
      </c>
      <c r="AH46" s="33">
        <v>40.000000000000007</v>
      </c>
    </row>
    <row r="47" spans="1:42" x14ac:dyDescent="0.25">
      <c r="L47" s="49"/>
      <c r="AE47" s="33">
        <v>31</v>
      </c>
      <c r="AF47" s="33">
        <v>99.799999999999969</v>
      </c>
      <c r="AG47" s="33">
        <v>10080</v>
      </c>
      <c r="AH47" s="33">
        <v>42.000000000000007</v>
      </c>
    </row>
    <row r="48" spans="1:42" x14ac:dyDescent="0.25">
      <c r="L48" s="49"/>
      <c r="AE48" s="33">
        <v>32</v>
      </c>
      <c r="AF48" s="33">
        <v>103.59999999999997</v>
      </c>
      <c r="AG48" s="33">
        <v>10560</v>
      </c>
      <c r="AH48" s="33">
        <v>44.000000000000007</v>
      </c>
    </row>
    <row r="49" spans="12:34" x14ac:dyDescent="0.25">
      <c r="L49" s="49"/>
      <c r="AE49" s="33">
        <v>33</v>
      </c>
      <c r="AF49" s="33">
        <v>107.39999999999996</v>
      </c>
      <c r="AG49" s="33">
        <v>11040</v>
      </c>
      <c r="AH49" s="33">
        <v>46.000000000000007</v>
      </c>
    </row>
    <row r="50" spans="12:34" x14ac:dyDescent="0.25">
      <c r="L50" s="49"/>
      <c r="AE50" s="33">
        <v>34</v>
      </c>
      <c r="AF50" s="33">
        <v>111.19999999999996</v>
      </c>
      <c r="AG50" s="33">
        <v>11520</v>
      </c>
      <c r="AH50" s="33">
        <v>48.000000000000007</v>
      </c>
    </row>
    <row r="51" spans="12:34" x14ac:dyDescent="0.25">
      <c r="L51" s="49"/>
      <c r="AE51" s="33">
        <v>35</v>
      </c>
      <c r="AF51" s="33">
        <v>114.99999999999996</v>
      </c>
      <c r="AG51" s="33">
        <v>12000</v>
      </c>
      <c r="AH51" s="33">
        <v>50.000000000000007</v>
      </c>
    </row>
    <row r="52" spans="12:34" x14ac:dyDescent="0.25">
      <c r="L52" s="49"/>
    </row>
    <row r="53" spans="12:34" x14ac:dyDescent="0.25">
      <c r="L53" s="49"/>
    </row>
    <row r="54" spans="12:34" x14ac:dyDescent="0.25">
      <c r="L54" s="49"/>
    </row>
    <row r="55" spans="12:34" x14ac:dyDescent="0.25">
      <c r="L55" s="49"/>
    </row>
    <row r="56" spans="12:34" x14ac:dyDescent="0.25">
      <c r="L56" s="49"/>
    </row>
    <row r="57" spans="12:34" x14ac:dyDescent="0.25">
      <c r="L57" s="49"/>
    </row>
    <row r="58" spans="12:34" x14ac:dyDescent="0.25">
      <c r="L58" s="49"/>
    </row>
    <row r="59" spans="12:34" x14ac:dyDescent="0.25">
      <c r="L59" s="49"/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  <row r="256" spans="12:12" x14ac:dyDescent="0.25">
      <c r="L256" s="49"/>
    </row>
    <row r="257" spans="12:12" x14ac:dyDescent="0.25">
      <c r="L257" s="49"/>
    </row>
    <row r="258" spans="12:12" x14ac:dyDescent="0.25">
      <c r="L258" s="49"/>
    </row>
  </sheetData>
  <mergeCells count="3">
    <mergeCell ref="R3:S3"/>
    <mergeCell ref="U3:V3"/>
    <mergeCell ref="AC3:AI3"/>
  </mergeCells>
  <conditionalFormatting sqref="N6 Q6 R16:AA16 Q8:Q18 N8:N20 AE8:AJ11 AE6:AJ6 AM6:AN6 R8:Y11 AR6:AV6 S12:Y14 R14 S15:AA15 AG14:AG15 AG12 AM14:AN18 AR14:AV15 AM8:AN12 AR8:AV12">
    <cfRule type="expression" dxfId="1170" priority="80">
      <formula>$L6="API sand"</formula>
    </cfRule>
  </conditionalFormatting>
  <conditionalFormatting sqref="AJ12:AJ16 N6 AB15:AB16 AK6:AL6 N8:N20 AK8:AL12 AK14:AL18">
    <cfRule type="expression" dxfId="1169" priority="79">
      <formula>$M6="API sand"</formula>
    </cfRule>
  </conditionalFormatting>
  <conditionalFormatting sqref="AJ12:AJ16 N6 AK6:AL6 AB15:AB16 N8:N20 AK8:AL12 AK14:AL18">
    <cfRule type="expression" dxfId="1168" priority="78">
      <formula>$M6="API clay"</formula>
    </cfRule>
  </conditionalFormatting>
  <conditionalFormatting sqref="AM6:AN6 N6:P6 N8:P11 AM8:AN12 AM14:AN18">
    <cfRule type="expression" dxfId="1167" priority="75">
      <formula>$L6="Stiff clay w/o free water"</formula>
    </cfRule>
    <cfRule type="expression" dxfId="1166" priority="77">
      <formula>$L6="API clay"</formula>
    </cfRule>
  </conditionalFormatting>
  <conditionalFormatting sqref="AM6:AN6 N6:P6 N8:P11 AM8:AN12 AM14:AN18">
    <cfRule type="expression" dxfId="1165" priority="76">
      <formula>$L6="Kirsch soft clay"</formula>
    </cfRule>
  </conditionalFormatting>
  <conditionalFormatting sqref="AM6:AN6 N6:P6 N8:P11 AM8:AN12 AM14:AN18">
    <cfRule type="expression" dxfId="1164" priority="74">
      <formula>$L6="Kirsch stiff clay"</formula>
    </cfRule>
  </conditionalFormatting>
  <conditionalFormatting sqref="N6 Q6 R16:AA16 Q8:Q18 N8:N20 AE8:AJ11 AE6:AJ6 AM6:AN6 R8:Y11 AR6:AV6 S12:Y14 R14 S15:AA15 AG14:AG15 AG12 AM14:AN18 AR14:AV15 AM8:AN12 AR8:AV12">
    <cfRule type="expression" dxfId="1163" priority="73">
      <formula>$L6="Kirsch sand"</formula>
    </cfRule>
  </conditionalFormatting>
  <conditionalFormatting sqref="N6 AC6:AD6 AM6:AN6 AC8:AD18 N8:N20 AM8:AN12 AM14:AN18">
    <cfRule type="expression" dxfId="1162" priority="72">
      <formula>$L6="Modified Weak rock"</formula>
    </cfRule>
  </conditionalFormatting>
  <conditionalFormatting sqref="AM6:AN6 N6:P6 N8:P11 AM8:AN12 AM14:AN18">
    <cfRule type="expression" dxfId="1161" priority="71">
      <formula>$L6="Reese stiff clay"</formula>
    </cfRule>
  </conditionalFormatting>
  <conditionalFormatting sqref="N21:N39 Q19:Q39 AM19:AN39">
    <cfRule type="expression" dxfId="1160" priority="70">
      <formula>$L19="API sand"</formula>
    </cfRule>
  </conditionalFormatting>
  <conditionalFormatting sqref="N21:N39 Z19:Z39 AB19:AB39 R19:S39 AJ19:AL39">
    <cfRule type="expression" dxfId="1159" priority="69">
      <formula>$M19="API sand"</formula>
    </cfRule>
  </conditionalFormatting>
  <conditionalFormatting sqref="Z19:AB39 AK19:AL39 R19:T39 N21:N39">
    <cfRule type="expression" dxfId="1158" priority="68">
      <formula>$M19="API clay"</formula>
    </cfRule>
  </conditionalFormatting>
  <conditionalFormatting sqref="U19:W39 AM19:AN39 N32:P39 N21:N31 P19:P31">
    <cfRule type="expression" dxfId="1157" priority="65">
      <formula>$L19="Stiff clay w/o free water"</formula>
    </cfRule>
    <cfRule type="expression" dxfId="1156" priority="67">
      <formula>$L19="API clay"</formula>
    </cfRule>
  </conditionalFormatting>
  <conditionalFormatting sqref="U19:Y39 AM19:AN39 N32:P39 N21:N31 P19:P31">
    <cfRule type="expression" dxfId="1155" priority="66">
      <formula>$L19="Kirsch soft clay"</formula>
    </cfRule>
  </conditionalFormatting>
  <conditionalFormatting sqref="AM19:AN39 U19:Y39 N32:P39 N21:N31 P19:P31">
    <cfRule type="expression" dxfId="1154" priority="64">
      <formula>$L19="Kirsch stiff clay"</formula>
    </cfRule>
  </conditionalFormatting>
  <conditionalFormatting sqref="N21:N39 Q19:Q39 X19:Y39 AM19:AN39">
    <cfRule type="expression" dxfId="1153" priority="63">
      <formula>$L19="Kirsch sand"</formula>
    </cfRule>
  </conditionalFormatting>
  <conditionalFormatting sqref="N21:N39 AC19:AI22 AM19:AN39 AC23:AD39 AI23:AI39">
    <cfRule type="expression" dxfId="1152" priority="62">
      <formula>$L19="Modified Weak rock"</formula>
    </cfRule>
  </conditionalFormatting>
  <conditionalFormatting sqref="U19:V39 AM19:AN39 N32:P39 N21:N31 P19:P31">
    <cfRule type="expression" dxfId="1151" priority="61">
      <formula>$L19="Reese stiff clay"</formula>
    </cfRule>
  </conditionalFormatting>
  <conditionalFormatting sqref="AC6:AD6 AM6:AN6 N6:P6 AC8:AD18 N8:P11 AM8:AN12 AM14:AN18">
    <cfRule type="expression" dxfId="1150" priority="60">
      <formula>$L6="PISA clay"</formula>
    </cfRule>
  </conditionalFormatting>
  <conditionalFormatting sqref="N6 AC6:AD6 AM6:AN6 AC8:AD18 N8:N20 AM8:AN12 AM14:AN18">
    <cfRule type="expression" dxfId="1149" priority="59">
      <formula>$L6="PISA sand"</formula>
    </cfRule>
  </conditionalFormatting>
  <conditionalFormatting sqref="R6:Y6 R12 R15">
    <cfRule type="expression" dxfId="1148" priority="58">
      <formula>$L6="API sand"</formula>
    </cfRule>
  </conditionalFormatting>
  <conditionalFormatting sqref="R6:Y6 R12 R15">
    <cfRule type="expression" dxfId="1147" priority="57">
      <formula>$L6="Kirsch sand"</formula>
    </cfRule>
  </conditionalFormatting>
  <conditionalFormatting sqref="N12:P15 N16:O16 P17:P18 O17:O21 N17:N20">
    <cfRule type="expression" dxfId="1146" priority="54">
      <formula>$L12="Stiff clay w/o free water"</formula>
    </cfRule>
    <cfRule type="expression" dxfId="1145" priority="56">
      <formula>$L12="API clay"</formula>
    </cfRule>
  </conditionalFormatting>
  <conditionalFormatting sqref="N12:P15 N16:O16 P17:P18 O17:O21 N17:N20">
    <cfRule type="expression" dxfId="1144" priority="55">
      <formula>$L12="Kirsch soft clay"</formula>
    </cfRule>
  </conditionalFormatting>
  <conditionalFormatting sqref="N12:P15 N16:O16 P17:P18 O17:O21 N17:N20">
    <cfRule type="expression" dxfId="1143" priority="53">
      <formula>$L12="Kirsch stiff clay"</formula>
    </cfRule>
  </conditionalFormatting>
  <conditionalFormatting sqref="N12:P15 N16:O16 P17:P18 O17:O21 N17:N20">
    <cfRule type="expression" dxfId="1142" priority="52">
      <formula>$L12="Reese stiff clay"</formula>
    </cfRule>
  </conditionalFormatting>
  <conditionalFormatting sqref="N12:P15 N16:O16 P17:P18 O17:O21 N17:N20">
    <cfRule type="expression" dxfId="1141" priority="51">
      <formula>$L12="PISA clay"</formula>
    </cfRule>
  </conditionalFormatting>
  <conditionalFormatting sqref="R17:AB18">
    <cfRule type="expression" dxfId="1140" priority="50">
      <formula>$L17="API sand"</formula>
    </cfRule>
  </conditionalFormatting>
  <conditionalFormatting sqref="R17:AB18">
    <cfRule type="expression" dxfId="1139" priority="49">
      <formula>$L17="Kirsch sand"</formula>
    </cfRule>
  </conditionalFormatting>
  <conditionalFormatting sqref="AE17:AJ18 AE16:AI16 AE12:AF15 AH12:AI15">
    <cfRule type="expression" dxfId="1138" priority="48">
      <formula>$L12="API sand"</formula>
    </cfRule>
  </conditionalFormatting>
  <conditionalFormatting sqref="AE17:AJ18 AE16:AI16 AE12:AF15 AH12:AI15">
    <cfRule type="expression" dxfId="1137" priority="47">
      <formula>$L12="Kirsch sand"</formula>
    </cfRule>
  </conditionalFormatting>
  <conditionalFormatting sqref="O22:O24">
    <cfRule type="expression" dxfId="1136" priority="46">
      <formula>$L22="API sand"</formula>
    </cfRule>
  </conditionalFormatting>
  <conditionalFormatting sqref="O22:O24">
    <cfRule type="expression" dxfId="1135" priority="45">
      <formula>$L22="Kirsch sand"</formula>
    </cfRule>
  </conditionalFormatting>
  <conditionalFormatting sqref="O25:O31">
    <cfRule type="expression" dxfId="1134" priority="44">
      <formula>$L25="API sand"</formula>
    </cfRule>
  </conditionalFormatting>
  <conditionalFormatting sqref="O25:O31">
    <cfRule type="expression" dxfId="1133" priority="43">
      <formula>$L25="Kirsch sand"</formula>
    </cfRule>
  </conditionalFormatting>
  <conditionalFormatting sqref="P16">
    <cfRule type="expression" dxfId="1132" priority="40">
      <formula>$L16="Stiff clay w/o free water"</formula>
    </cfRule>
    <cfRule type="expression" dxfId="1131" priority="42">
      <formula>$L16="API clay"</formula>
    </cfRule>
  </conditionalFormatting>
  <conditionalFormatting sqref="P16">
    <cfRule type="expression" dxfId="1130" priority="41">
      <formula>$L16="Kirsch soft clay"</formula>
    </cfRule>
  </conditionalFormatting>
  <conditionalFormatting sqref="P16">
    <cfRule type="expression" dxfId="1129" priority="39">
      <formula>$L16="Kirsch stiff clay"</formula>
    </cfRule>
  </conditionalFormatting>
  <conditionalFormatting sqref="P16">
    <cfRule type="expression" dxfId="1128" priority="38">
      <formula>$L16="Reese stiff clay"</formula>
    </cfRule>
  </conditionalFormatting>
  <conditionalFormatting sqref="P16">
    <cfRule type="expression" dxfId="1127" priority="37">
      <formula>$L16="PISA clay"</formula>
    </cfRule>
  </conditionalFormatting>
  <conditionalFormatting sqref="N7 Q7 AE7:AJ7 AM7:AN7 AR7:AV7 AG13 AM13:AN13 AR13:AV13">
    <cfRule type="expression" dxfId="1126" priority="36">
      <formula>$L7="API sand"</formula>
    </cfRule>
  </conditionalFormatting>
  <conditionalFormatting sqref="N7 AK7:AL7 AK13:AL13">
    <cfRule type="expression" dxfId="1125" priority="35">
      <formula>$M7="API sand"</formula>
    </cfRule>
  </conditionalFormatting>
  <conditionalFormatting sqref="N7 AK7:AL7 AK13:AL13">
    <cfRule type="expression" dxfId="1124" priority="34">
      <formula>$M7="API clay"</formula>
    </cfRule>
  </conditionalFormatting>
  <conditionalFormatting sqref="AM7:AN7 N7:P7 AM13:AN13">
    <cfRule type="expression" dxfId="1123" priority="31">
      <formula>$L7="Stiff clay w/o free water"</formula>
    </cfRule>
    <cfRule type="expression" dxfId="1122" priority="33">
      <formula>$L7="API clay"</formula>
    </cfRule>
  </conditionalFormatting>
  <conditionalFormatting sqref="AM7:AN7 N7:P7 AM13:AN13">
    <cfRule type="expression" dxfId="1121" priority="32">
      <formula>$L7="Kirsch soft clay"</formula>
    </cfRule>
  </conditionalFormatting>
  <conditionalFormatting sqref="AM7:AN7 N7:P7 AM13:AN13">
    <cfRule type="expression" dxfId="1120" priority="30">
      <formula>$L7="Kirsch stiff clay"</formula>
    </cfRule>
  </conditionalFormatting>
  <conditionalFormatting sqref="N7 Q7 AE7:AJ7 AM7:AN7 AR7:AV7 AG13 AM13:AN13 AR13:AV13">
    <cfRule type="expression" dxfId="1119" priority="29">
      <formula>$L7="Kirsch sand"</formula>
    </cfRule>
  </conditionalFormatting>
  <conditionalFormatting sqref="N7 AC7:AD7 AM7:AN7 AM13:AN13">
    <cfRule type="expression" dxfId="1118" priority="28">
      <formula>$L7="Modified Weak rock"</formula>
    </cfRule>
  </conditionalFormatting>
  <conditionalFormatting sqref="AM7:AN7 N7:P7 AM13:AN13">
    <cfRule type="expression" dxfId="1117" priority="27">
      <formula>$L7="Reese stiff clay"</formula>
    </cfRule>
  </conditionalFormatting>
  <conditionalFormatting sqref="AC7:AD7 AM7:AN7 N7:P7 AM13:AN13">
    <cfRule type="expression" dxfId="1116" priority="26">
      <formula>$L7="PISA clay"</formula>
    </cfRule>
  </conditionalFormatting>
  <conditionalFormatting sqref="N7 AC7:AD7 AM7:AN7 AM13:AN13">
    <cfRule type="expression" dxfId="1115" priority="25">
      <formula>$L7="PISA sand"</formula>
    </cfRule>
  </conditionalFormatting>
  <conditionalFormatting sqref="R7:Y7 R13">
    <cfRule type="expression" dxfId="1114" priority="24">
      <formula>$L7="API sand"</formula>
    </cfRule>
  </conditionalFormatting>
  <conditionalFormatting sqref="R7:Y7 R13">
    <cfRule type="expression" dxfId="1113" priority="23">
      <formula>$L7="Kirsch sand"</formula>
    </cfRule>
  </conditionalFormatting>
  <conditionalFormatting sqref="Z6:Z14 AB6:AB14">
    <cfRule type="expression" dxfId="1112" priority="22">
      <formula>$M6="API sand"</formula>
    </cfRule>
  </conditionalFormatting>
  <conditionalFormatting sqref="Z6:AB14">
    <cfRule type="expression" dxfId="1111" priority="21">
      <formula>$M6="API clay"</formula>
    </cfRule>
  </conditionalFormatting>
  <conditionalFormatting sqref="AO6:AP18">
    <cfRule type="expression" dxfId="1110" priority="20">
      <formula>$L6="API sand"</formula>
    </cfRule>
  </conditionalFormatting>
  <conditionalFormatting sqref="AO6:AP18">
    <cfRule type="expression" dxfId="1109" priority="17">
      <formula>$L6="Stiff clay w/o free water"</formula>
    </cfRule>
    <cfRule type="expression" dxfId="1108" priority="19">
      <formula>$L6="API clay"</formula>
    </cfRule>
  </conditionalFormatting>
  <conditionalFormatting sqref="AO6:AP18">
    <cfRule type="expression" dxfId="1107" priority="18">
      <formula>$L6="Kirsch soft clay"</formula>
    </cfRule>
  </conditionalFormatting>
  <conditionalFormatting sqref="AO6:AP18">
    <cfRule type="expression" dxfId="1106" priority="16">
      <formula>$L6="Kirsch stiff clay"</formula>
    </cfRule>
  </conditionalFormatting>
  <conditionalFormatting sqref="AO6:AP18">
    <cfRule type="expression" dxfId="1105" priority="15">
      <formula>$L6="Kirsch sand"</formula>
    </cfRule>
  </conditionalFormatting>
  <conditionalFormatting sqref="AO6:AP18">
    <cfRule type="expression" dxfId="1104" priority="14">
      <formula>$L6="Modified Weak rock"</formula>
    </cfRule>
  </conditionalFormatting>
  <conditionalFormatting sqref="AO6:AP18">
    <cfRule type="expression" dxfId="1103" priority="13">
      <formula>$L6="Reese stiff clay"</formula>
    </cfRule>
  </conditionalFormatting>
  <conditionalFormatting sqref="AO19:AP36">
    <cfRule type="expression" dxfId="1102" priority="12">
      <formula>$L19="API sand"</formula>
    </cfRule>
  </conditionalFormatting>
  <conditionalFormatting sqref="AO19:AP36">
    <cfRule type="expression" dxfId="1101" priority="9">
      <formula>$L19="Stiff clay w/o free water"</formula>
    </cfRule>
    <cfRule type="expression" dxfId="1100" priority="11">
      <formula>$L19="API clay"</formula>
    </cfRule>
  </conditionalFormatting>
  <conditionalFormatting sqref="AO19:AP36">
    <cfRule type="expression" dxfId="1099" priority="10">
      <formula>$L19="Kirsch soft clay"</formula>
    </cfRule>
  </conditionalFormatting>
  <conditionalFormatting sqref="AO19:AP36">
    <cfRule type="expression" dxfId="1098" priority="8">
      <formula>$L19="Kirsch stiff clay"</formula>
    </cfRule>
  </conditionalFormatting>
  <conditionalFormatting sqref="AO19:AP36">
    <cfRule type="expression" dxfId="1097" priority="7">
      <formula>$L19="Kirsch sand"</formula>
    </cfRule>
  </conditionalFormatting>
  <conditionalFormatting sqref="AO19:AP36">
    <cfRule type="expression" dxfId="1096" priority="6">
      <formula>$L19="Modified Weak rock"</formula>
    </cfRule>
  </conditionalFormatting>
  <conditionalFormatting sqref="AO19:AP36">
    <cfRule type="expression" dxfId="1095" priority="5">
      <formula>$L19="Reese stiff clay"</formula>
    </cfRule>
  </conditionalFormatting>
  <conditionalFormatting sqref="AO6:AP18">
    <cfRule type="expression" dxfId="1094" priority="4">
      <formula>$L6="PISA clay"</formula>
    </cfRule>
  </conditionalFormatting>
  <conditionalFormatting sqref="AO6:AP18">
    <cfRule type="expression" dxfId="1093" priority="3">
      <formula>$L6="PISA sand"</formula>
    </cfRule>
  </conditionalFormatting>
  <conditionalFormatting sqref="AQ6:AQ19">
    <cfRule type="expression" dxfId="1092" priority="2">
      <formula>$L6="API sand"</formula>
    </cfRule>
  </conditionalFormatting>
  <conditionalFormatting sqref="AQ6:AQ19">
    <cfRule type="expression" dxfId="1091" priority="1">
      <formula>$L6="Kirsch sand"</formula>
    </cfRule>
  </conditionalFormatting>
  <dataValidations count="3">
    <dataValidation type="list" showInputMessage="1" showErrorMessage="1" sqref="M6:M18" xr:uid="{429AED14-EB6C-4D28-9203-55705E2E4358}">
      <formula1>"Zero soil,API sand,API clay"</formula1>
    </dataValidation>
    <dataValidation type="list" showInputMessage="1" showErrorMessage="1" sqref="L13:L258" xr:uid="{729D2D5B-D229-44F6-81DD-A2F3A86086A7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19:M39" xr:uid="{AF10ACC4-2EB5-4E2F-8800-E1D02E187BC6}">
      <formula1>"',API sand,API clay"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65E68-A4CE-4BD5-8C7F-0E210D40D36E}">
  <sheetPr>
    <tabColor theme="6" tint="0.59999389629810485"/>
  </sheetPr>
  <dimension ref="A1:AV258"/>
  <sheetViews>
    <sheetView topLeftCell="T1" zoomScaleNormal="100" workbookViewId="0">
      <selection activeCell="M24" sqref="M24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9.5703125" style="33" bestFit="1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6.5703125" style="33" bestFit="1" customWidth="1"/>
    <col min="16" max="16" width="8.5703125" style="33" bestFit="1" customWidth="1"/>
    <col min="17" max="18" width="9.5703125" style="33" bestFit="1" customWidth="1"/>
    <col min="19" max="19" width="4" style="33" bestFit="1" customWidth="1"/>
    <col min="20" max="20" width="5.5703125" style="33" bestFit="1" customWidth="1"/>
    <col min="21" max="21" width="9.5703125" style="33" bestFit="1" customWidth="1"/>
    <col min="22" max="22" width="15.28515625" style="33" bestFit="1" customWidth="1"/>
    <col min="23" max="23" width="4" style="33" bestFit="1" customWidth="1"/>
    <col min="24" max="24" width="7" style="33" bestFit="1" customWidth="1"/>
    <col min="25" max="25" width="8.42578125" style="33" bestFit="1" customWidth="1"/>
    <col min="26" max="26" width="9.7109375" style="33" bestFit="1" customWidth="1"/>
    <col min="27" max="27" width="11" style="33" bestFit="1" customWidth="1"/>
    <col min="28" max="28" width="8.5703125" style="33" bestFit="1" customWidth="1"/>
    <col min="29" max="29" width="14.85546875" style="33" customWidth="1"/>
    <col min="30" max="30" width="8.85546875" style="33" bestFit="1" customWidth="1"/>
    <col min="31" max="31" width="7.85546875" style="33" bestFit="1" customWidth="1"/>
    <col min="32" max="32" width="5.5703125" style="33" bestFit="1" customWidth="1"/>
    <col min="33" max="33" width="11" style="33" bestFit="1" customWidth="1"/>
    <col min="34" max="34" width="5.42578125" style="33" bestFit="1" customWidth="1"/>
    <col min="35" max="35" width="4.85546875" style="33" bestFit="1" customWidth="1"/>
    <col min="36" max="36" width="3.5703125" style="33" bestFit="1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42" width="11.5703125" style="33" customWidth="1"/>
    <col min="43" max="16384" width="9.140625" style="33"/>
  </cols>
  <sheetData>
    <row r="1" spans="1:48" x14ac:dyDescent="0.25">
      <c r="A1" s="34" t="str">
        <f ca="1">TRIM(MID(CELL("filename",A1),FIND("]",CELL("filename",A1),1)+1,255))</f>
        <v>Z5_L57_BE_PISA</v>
      </c>
      <c r="D1" s="34"/>
    </row>
    <row r="3" spans="1:48" s="35" customFormat="1" ht="45" customHeight="1" x14ac:dyDescent="0.25">
      <c r="F3" s="36" t="s">
        <v>39</v>
      </c>
      <c r="J3" s="37" t="s">
        <v>22</v>
      </c>
      <c r="Q3" s="78"/>
      <c r="R3" s="155"/>
      <c r="S3" s="155"/>
      <c r="T3" s="78"/>
      <c r="U3" s="155"/>
      <c r="V3" s="155"/>
      <c r="W3" s="78"/>
      <c r="X3" s="78"/>
      <c r="Y3" s="78"/>
      <c r="Z3" s="78"/>
      <c r="AA3" s="78"/>
      <c r="AB3" s="78"/>
      <c r="AC3" s="156"/>
      <c r="AD3" s="156"/>
      <c r="AE3" s="156"/>
      <c r="AF3" s="156"/>
      <c r="AG3" s="156"/>
      <c r="AH3" s="156"/>
      <c r="AI3" s="156"/>
      <c r="AJ3" s="78"/>
      <c r="AK3" s="78"/>
      <c r="AL3" s="78"/>
      <c r="AM3" s="78"/>
      <c r="AN3" s="78"/>
      <c r="AO3" s="78"/>
      <c r="AP3" s="78"/>
    </row>
    <row r="4" spans="1:48" x14ac:dyDescent="0.25">
      <c r="A4" s="40" t="s">
        <v>60</v>
      </c>
      <c r="B4" s="33">
        <f>COUNTIF(J:J,"&gt;0")</f>
        <v>11</v>
      </c>
      <c r="C4" s="45" t="s">
        <v>58</v>
      </c>
      <c r="D4" s="43"/>
      <c r="F4" s="33" t="s">
        <v>40</v>
      </c>
      <c r="G4" s="57">
        <v>0</v>
      </c>
      <c r="H4" s="45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40" t="s">
        <v>108</v>
      </c>
      <c r="AP4" s="40" t="s">
        <v>109</v>
      </c>
      <c r="AQ4" s="70" t="s">
        <v>102</v>
      </c>
      <c r="AR4" s="43" t="s">
        <v>177</v>
      </c>
      <c r="AS4" s="43"/>
      <c r="AT4" s="43"/>
      <c r="AU4" s="43"/>
      <c r="AV4" s="43"/>
    </row>
    <row r="5" spans="1:48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57">
        <v>0</v>
      </c>
      <c r="H5" s="45" t="s">
        <v>28</v>
      </c>
      <c r="J5" s="82" t="s">
        <v>38</v>
      </c>
      <c r="K5" s="82" t="s">
        <v>30</v>
      </c>
      <c r="L5" s="82" t="s">
        <v>31</v>
      </c>
      <c r="M5" s="82" t="s">
        <v>31</v>
      </c>
      <c r="N5" s="82" t="s">
        <v>32</v>
      </c>
      <c r="O5" s="82" t="s">
        <v>33</v>
      </c>
      <c r="P5" s="82" t="s">
        <v>35</v>
      </c>
      <c r="Q5" s="82" t="s">
        <v>36</v>
      </c>
      <c r="R5" s="82" t="s">
        <v>36</v>
      </c>
      <c r="S5" s="82" t="s">
        <v>34</v>
      </c>
      <c r="T5" s="82" t="s">
        <v>33</v>
      </c>
      <c r="U5" s="82" t="s">
        <v>34</v>
      </c>
      <c r="V5" s="82" t="s">
        <v>62</v>
      </c>
      <c r="W5" s="82" t="s">
        <v>34</v>
      </c>
      <c r="X5" s="82" t="s">
        <v>33</v>
      </c>
      <c r="Y5" s="82" t="s">
        <v>35</v>
      </c>
      <c r="Z5" s="82" t="s">
        <v>33</v>
      </c>
      <c r="AA5" s="82" t="s">
        <v>34</v>
      </c>
      <c r="AB5" s="82" t="s">
        <v>33</v>
      </c>
      <c r="AC5" s="82" t="s">
        <v>33</v>
      </c>
      <c r="AD5" s="82" t="s">
        <v>35</v>
      </c>
      <c r="AE5" s="82" t="s">
        <v>34</v>
      </c>
      <c r="AF5" s="82" t="s">
        <v>33</v>
      </c>
      <c r="AG5" s="82" t="s">
        <v>35</v>
      </c>
      <c r="AH5" s="82" t="s">
        <v>34</v>
      </c>
      <c r="AI5" s="82" t="s">
        <v>34</v>
      </c>
      <c r="AJ5" s="82" t="s">
        <v>34</v>
      </c>
      <c r="AK5" s="82" t="s">
        <v>34</v>
      </c>
      <c r="AL5" s="82" t="s">
        <v>34</v>
      </c>
      <c r="AM5" s="82" t="s">
        <v>34</v>
      </c>
      <c r="AN5" s="82" t="s">
        <v>34</v>
      </c>
      <c r="AO5" s="82" t="s">
        <v>34</v>
      </c>
      <c r="AP5" s="82" t="s">
        <v>34</v>
      </c>
      <c r="AQ5" s="83" t="s">
        <v>103</v>
      </c>
      <c r="AR5" s="83" t="s">
        <v>178</v>
      </c>
      <c r="AS5" s="82"/>
      <c r="AT5" s="82"/>
      <c r="AU5" s="82"/>
    </row>
    <row r="6" spans="1:48" x14ac:dyDescent="0.25">
      <c r="C6" s="45"/>
      <c r="F6" s="33" t="s">
        <v>67</v>
      </c>
      <c r="G6" s="57">
        <v>0</v>
      </c>
      <c r="H6" s="45" t="s">
        <v>28</v>
      </c>
      <c r="I6" s="33">
        <v>71</v>
      </c>
      <c r="J6" s="47">
        <v>1</v>
      </c>
      <c r="K6" s="63">
        <v>0</v>
      </c>
      <c r="L6" t="s">
        <v>183</v>
      </c>
      <c r="M6" s="49" t="s">
        <v>64</v>
      </c>
      <c r="N6" s="47">
        <v>9.6999999999999993</v>
      </c>
      <c r="O6" s="63">
        <v>0</v>
      </c>
      <c r="P6" s="63">
        <v>0</v>
      </c>
      <c r="Q6" s="47">
        <v>36</v>
      </c>
      <c r="R6" s="47">
        <f t="shared" ref="R6:R16" si="0">Q6-5</f>
        <v>31</v>
      </c>
      <c r="S6" s="47">
        <v>0.5</v>
      </c>
      <c r="T6" s="47">
        <v>0</v>
      </c>
      <c r="U6" s="47">
        <v>0</v>
      </c>
      <c r="V6" s="47">
        <v>0</v>
      </c>
      <c r="W6" s="47">
        <v>0</v>
      </c>
      <c r="X6" s="81">
        <v>2800</v>
      </c>
      <c r="Y6" s="81">
        <v>0</v>
      </c>
      <c r="Z6" s="80">
        <v>99.8</v>
      </c>
      <c r="AA6" s="80">
        <v>1</v>
      </c>
      <c r="AB6" s="80">
        <v>10080</v>
      </c>
      <c r="AC6" s="47">
        <v>5000</v>
      </c>
      <c r="AD6" s="47">
        <v>521.70000000000005</v>
      </c>
      <c r="AE6" s="81">
        <v>0.2</v>
      </c>
      <c r="AF6" s="47">
        <v>0</v>
      </c>
      <c r="AG6" s="47">
        <v>0</v>
      </c>
      <c r="AH6" s="47">
        <v>0</v>
      </c>
      <c r="AI6" s="47">
        <v>0</v>
      </c>
      <c r="AJ6" s="47">
        <v>42</v>
      </c>
      <c r="AK6" s="47">
        <v>1</v>
      </c>
      <c r="AL6" s="47">
        <v>1</v>
      </c>
      <c r="AM6" s="47">
        <v>1</v>
      </c>
      <c r="AN6" s="47">
        <v>1</v>
      </c>
      <c r="AO6" s="47">
        <v>1</v>
      </c>
      <c r="AP6" s="47">
        <v>1</v>
      </c>
      <c r="AQ6" s="47">
        <v>0</v>
      </c>
      <c r="AR6" s="47">
        <v>71</v>
      </c>
      <c r="AS6" s="47"/>
      <c r="AT6" s="47"/>
      <c r="AU6" s="47"/>
      <c r="AV6" s="47"/>
    </row>
    <row r="7" spans="1:48" x14ac:dyDescent="0.25">
      <c r="A7" s="54" t="s">
        <v>23</v>
      </c>
      <c r="C7" s="45"/>
      <c r="F7" s="55" t="s">
        <v>48</v>
      </c>
      <c r="G7" s="56"/>
      <c r="H7" s="39"/>
      <c r="I7" s="56">
        <v>77</v>
      </c>
      <c r="J7" s="47">
        <v>2</v>
      </c>
      <c r="K7" s="63">
        <v>-0.5</v>
      </c>
      <c r="L7" t="s">
        <v>184</v>
      </c>
      <c r="M7" s="49" t="s">
        <v>64</v>
      </c>
      <c r="N7" s="47">
        <v>9.6999999999999993</v>
      </c>
      <c r="O7" s="63">
        <v>0</v>
      </c>
      <c r="P7" s="63">
        <v>0</v>
      </c>
      <c r="Q7" s="47">
        <v>41</v>
      </c>
      <c r="R7" s="47">
        <f t="shared" si="0"/>
        <v>36</v>
      </c>
      <c r="S7" s="47">
        <v>0.5</v>
      </c>
      <c r="T7" s="47">
        <v>0</v>
      </c>
      <c r="U7" s="47">
        <v>0</v>
      </c>
      <c r="V7" s="47">
        <v>0</v>
      </c>
      <c r="W7" s="47">
        <v>0</v>
      </c>
      <c r="X7" s="81">
        <v>15200</v>
      </c>
      <c r="Y7" s="81">
        <v>0</v>
      </c>
      <c r="Z7" s="80">
        <v>118.8</v>
      </c>
      <c r="AA7" s="80">
        <v>1</v>
      </c>
      <c r="AB7" s="80">
        <v>12480</v>
      </c>
      <c r="AC7" s="47">
        <v>22000</v>
      </c>
      <c r="AD7" s="47">
        <v>391.3</v>
      </c>
      <c r="AE7" s="81">
        <v>0.2</v>
      </c>
      <c r="AF7" s="47">
        <v>0</v>
      </c>
      <c r="AG7" s="47">
        <v>0</v>
      </c>
      <c r="AH7" s="47">
        <v>0</v>
      </c>
      <c r="AI7" s="47">
        <v>0</v>
      </c>
      <c r="AJ7" s="47">
        <v>52</v>
      </c>
      <c r="AK7" s="47">
        <v>1</v>
      </c>
      <c r="AL7" s="47">
        <v>1</v>
      </c>
      <c r="AM7" s="47">
        <v>1</v>
      </c>
      <c r="AN7" s="47">
        <v>1</v>
      </c>
      <c r="AO7" s="47">
        <v>1</v>
      </c>
      <c r="AP7" s="47">
        <v>1</v>
      </c>
      <c r="AQ7" s="47">
        <v>0</v>
      </c>
      <c r="AR7" s="47">
        <v>77</v>
      </c>
      <c r="AS7" s="47"/>
      <c r="AT7" s="47"/>
      <c r="AU7" s="47"/>
      <c r="AV7" s="47"/>
    </row>
    <row r="8" spans="1:48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2278.1</v>
      </c>
      <c r="H8" s="45" t="s">
        <v>53</v>
      </c>
      <c r="I8" s="33">
        <v>76</v>
      </c>
      <c r="J8" s="47">
        <v>3</v>
      </c>
      <c r="K8" s="63">
        <v>-1</v>
      </c>
      <c r="L8" t="s">
        <v>185</v>
      </c>
      <c r="M8" s="49" t="s">
        <v>64</v>
      </c>
      <c r="N8" s="47">
        <v>9.6999999999999993</v>
      </c>
      <c r="O8" s="63">
        <v>0</v>
      </c>
      <c r="P8" s="63">
        <v>0</v>
      </c>
      <c r="Q8" s="47">
        <v>42</v>
      </c>
      <c r="R8" s="47">
        <f t="shared" si="0"/>
        <v>37</v>
      </c>
      <c r="S8" s="47">
        <v>0.5</v>
      </c>
      <c r="T8" s="47">
        <v>0</v>
      </c>
      <c r="U8" s="47">
        <v>0</v>
      </c>
      <c r="V8" s="47">
        <v>0</v>
      </c>
      <c r="W8" s="47">
        <v>0</v>
      </c>
      <c r="X8" s="81">
        <v>25700</v>
      </c>
      <c r="Y8" s="81">
        <v>0</v>
      </c>
      <c r="Z8" s="80">
        <v>122.6</v>
      </c>
      <c r="AA8" s="80">
        <v>1</v>
      </c>
      <c r="AB8" s="80">
        <v>12960</v>
      </c>
      <c r="AC8" s="47">
        <v>36000</v>
      </c>
      <c r="AD8" s="47">
        <v>304.3</v>
      </c>
      <c r="AE8" s="81">
        <v>0.2</v>
      </c>
      <c r="AF8" s="47">
        <v>0</v>
      </c>
      <c r="AG8" s="47">
        <v>0</v>
      </c>
      <c r="AH8" s="47">
        <v>0</v>
      </c>
      <c r="AI8" s="47">
        <v>0</v>
      </c>
      <c r="AJ8" s="47">
        <v>54</v>
      </c>
      <c r="AK8" s="47">
        <v>1</v>
      </c>
      <c r="AL8" s="47">
        <v>1</v>
      </c>
      <c r="AM8" s="47">
        <v>1</v>
      </c>
      <c r="AN8" s="47">
        <v>1</v>
      </c>
      <c r="AO8" s="47">
        <v>1</v>
      </c>
      <c r="AP8" s="47">
        <v>1</v>
      </c>
      <c r="AQ8" s="47">
        <v>0</v>
      </c>
      <c r="AR8" s="47">
        <v>76</v>
      </c>
      <c r="AS8" s="47"/>
      <c r="AT8" s="47"/>
      <c r="AU8" s="47"/>
      <c r="AV8" s="47"/>
    </row>
    <row r="9" spans="1:48" x14ac:dyDescent="0.25">
      <c r="A9" s="33" t="s">
        <v>68</v>
      </c>
      <c r="B9" s="57">
        <v>50</v>
      </c>
      <c r="C9" s="45" t="s">
        <v>28</v>
      </c>
      <c r="F9" s="33" t="s">
        <v>96</v>
      </c>
      <c r="G9" s="71">
        <v>-122786</v>
      </c>
      <c r="H9" s="45" t="s">
        <v>54</v>
      </c>
      <c r="I9" s="33">
        <v>70</v>
      </c>
      <c r="J9" s="47">
        <v>4</v>
      </c>
      <c r="K9" s="63">
        <v>-2</v>
      </c>
      <c r="L9" t="s">
        <v>110</v>
      </c>
      <c r="M9" s="49" t="s">
        <v>64</v>
      </c>
      <c r="N9" s="47">
        <v>9.6</v>
      </c>
      <c r="O9" s="63">
        <v>0</v>
      </c>
      <c r="P9" s="63">
        <v>0</v>
      </c>
      <c r="Q9" s="47">
        <v>42</v>
      </c>
      <c r="R9" s="47">
        <f t="shared" si="0"/>
        <v>37</v>
      </c>
      <c r="S9" s="47">
        <v>1.8</v>
      </c>
      <c r="T9" s="47">
        <v>0</v>
      </c>
      <c r="U9" s="47">
        <v>0</v>
      </c>
      <c r="V9" s="47">
        <v>0</v>
      </c>
      <c r="W9" s="47">
        <v>0</v>
      </c>
      <c r="X9" s="81">
        <v>35000</v>
      </c>
      <c r="Y9" s="81">
        <v>0</v>
      </c>
      <c r="Z9" s="80">
        <v>122.6</v>
      </c>
      <c r="AA9" s="80">
        <v>1</v>
      </c>
      <c r="AB9" s="80">
        <v>12960</v>
      </c>
      <c r="AC9" s="47">
        <v>55000</v>
      </c>
      <c r="AD9" s="47">
        <v>-43.5</v>
      </c>
      <c r="AE9" s="81">
        <v>0.2</v>
      </c>
      <c r="AF9" s="47">
        <v>0</v>
      </c>
      <c r="AG9" s="47">
        <v>0</v>
      </c>
      <c r="AH9" s="47">
        <v>0</v>
      </c>
      <c r="AI9" s="47">
        <v>0</v>
      </c>
      <c r="AJ9" s="47">
        <v>54</v>
      </c>
      <c r="AK9" s="47">
        <v>1</v>
      </c>
      <c r="AL9" s="47">
        <v>1</v>
      </c>
      <c r="AM9" s="47">
        <v>1</v>
      </c>
      <c r="AN9" s="47">
        <v>1</v>
      </c>
      <c r="AO9" s="47">
        <v>1</v>
      </c>
      <c r="AP9" s="47">
        <v>1</v>
      </c>
      <c r="AQ9" s="47">
        <v>0</v>
      </c>
      <c r="AR9" s="47">
        <v>70</v>
      </c>
      <c r="AS9" s="47"/>
      <c r="AT9" s="47"/>
      <c r="AU9" s="47"/>
      <c r="AV9" s="47"/>
    </row>
    <row r="10" spans="1:48" s="56" customFormat="1" x14ac:dyDescent="0.25">
      <c r="A10" s="56" t="s">
        <v>69</v>
      </c>
      <c r="B10" s="58">
        <v>50</v>
      </c>
      <c r="C10" s="45" t="s">
        <v>28</v>
      </c>
      <c r="F10" s="33" t="s">
        <v>51</v>
      </c>
      <c r="G10" s="71">
        <v>7357</v>
      </c>
      <c r="H10" s="45" t="s">
        <v>53</v>
      </c>
      <c r="I10" s="33">
        <v>0</v>
      </c>
      <c r="J10" s="47">
        <v>5</v>
      </c>
      <c r="K10" s="63">
        <v>-3.6</v>
      </c>
      <c r="L10"/>
      <c r="M10" s="49" t="s">
        <v>65</v>
      </c>
      <c r="N10" s="47">
        <v>9.5</v>
      </c>
      <c r="O10" s="63">
        <v>258</v>
      </c>
      <c r="P10" s="63">
        <v>6.6</v>
      </c>
      <c r="Q10" s="47">
        <v>0</v>
      </c>
      <c r="R10" s="47">
        <f t="shared" si="0"/>
        <v>-5</v>
      </c>
      <c r="S10" s="47">
        <v>3</v>
      </c>
      <c r="T10" s="47">
        <v>0</v>
      </c>
      <c r="U10" s="47">
        <v>1.7999999999999999E-2</v>
      </c>
      <c r="V10" s="47">
        <v>0</v>
      </c>
      <c r="W10" s="47">
        <v>0.25</v>
      </c>
      <c r="X10" s="81">
        <v>42100</v>
      </c>
      <c r="Y10" s="81">
        <v>0</v>
      </c>
      <c r="Z10" s="80">
        <v>0</v>
      </c>
      <c r="AA10" s="80">
        <v>1</v>
      </c>
      <c r="AB10" s="80">
        <v>0</v>
      </c>
      <c r="AC10" s="47">
        <v>247000</v>
      </c>
      <c r="AD10" s="47">
        <v>3739.1</v>
      </c>
      <c r="AE10" s="81">
        <v>0.49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1</v>
      </c>
      <c r="AL10" s="47">
        <v>1</v>
      </c>
      <c r="AM10" s="47">
        <v>1</v>
      </c>
      <c r="AN10" s="47">
        <v>1</v>
      </c>
      <c r="AO10" s="47">
        <v>1</v>
      </c>
      <c r="AP10" s="47">
        <v>1</v>
      </c>
      <c r="AQ10" s="47">
        <v>0</v>
      </c>
      <c r="AR10" s="47">
        <v>0</v>
      </c>
      <c r="AS10" s="47"/>
      <c r="AT10" s="47"/>
      <c r="AU10" s="47"/>
      <c r="AV10" s="47"/>
    </row>
    <row r="11" spans="1:48" x14ac:dyDescent="0.25">
      <c r="A11" s="33" t="s">
        <v>70</v>
      </c>
      <c r="B11" s="57">
        <v>1</v>
      </c>
      <c r="C11" s="45" t="s">
        <v>28</v>
      </c>
      <c r="F11" s="33" t="s">
        <v>52</v>
      </c>
      <c r="G11" s="71">
        <v>0</v>
      </c>
      <c r="H11" s="45" t="s">
        <v>53</v>
      </c>
      <c r="I11" s="33">
        <v>0</v>
      </c>
      <c r="J11" s="47">
        <v>6</v>
      </c>
      <c r="K11" s="63">
        <v>-13</v>
      </c>
      <c r="L11"/>
      <c r="M11" s="49" t="s">
        <v>65</v>
      </c>
      <c r="N11" s="47">
        <v>9.5</v>
      </c>
      <c r="O11" s="63">
        <v>122</v>
      </c>
      <c r="P11" s="63">
        <v>11.2</v>
      </c>
      <c r="Q11" s="47">
        <v>0</v>
      </c>
      <c r="R11" s="47">
        <f t="shared" si="0"/>
        <v>-5</v>
      </c>
      <c r="S11" s="47">
        <v>2.5</v>
      </c>
      <c r="T11" s="47">
        <v>0</v>
      </c>
      <c r="U11" s="47">
        <v>1.7999999999999999E-2</v>
      </c>
      <c r="V11" s="47">
        <v>0</v>
      </c>
      <c r="W11" s="47">
        <v>0.25</v>
      </c>
      <c r="X11" s="81">
        <v>20400</v>
      </c>
      <c r="Y11" s="81">
        <v>0</v>
      </c>
      <c r="Z11" s="80">
        <v>0</v>
      </c>
      <c r="AA11" s="80">
        <v>1</v>
      </c>
      <c r="AB11" s="80">
        <v>0</v>
      </c>
      <c r="AC11" s="47">
        <v>107000</v>
      </c>
      <c r="AD11" s="47">
        <v>1478.3</v>
      </c>
      <c r="AE11" s="81">
        <v>0.49</v>
      </c>
      <c r="AF11" s="47">
        <v>0</v>
      </c>
      <c r="AG11" s="47">
        <v>0</v>
      </c>
      <c r="AH11" s="47">
        <v>0</v>
      </c>
      <c r="AI11" s="47">
        <v>0</v>
      </c>
      <c r="AJ11" s="47">
        <v>0</v>
      </c>
      <c r="AK11" s="47">
        <v>1</v>
      </c>
      <c r="AL11" s="47">
        <v>1</v>
      </c>
      <c r="AM11" s="47">
        <v>1</v>
      </c>
      <c r="AN11" s="47">
        <v>1</v>
      </c>
      <c r="AO11" s="47">
        <v>1</v>
      </c>
      <c r="AP11" s="47">
        <v>1</v>
      </c>
      <c r="AQ11" s="47">
        <v>0</v>
      </c>
      <c r="AR11" s="47">
        <v>0</v>
      </c>
      <c r="AS11" s="47"/>
      <c r="AT11" s="47"/>
      <c r="AU11" s="47"/>
      <c r="AV11" s="47"/>
    </row>
    <row r="12" spans="1:48" x14ac:dyDescent="0.25">
      <c r="A12" s="33" t="s">
        <v>74</v>
      </c>
      <c r="B12" s="57">
        <v>9.6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>
        <v>0</v>
      </c>
      <c r="J12" s="47">
        <v>7</v>
      </c>
      <c r="K12" s="63">
        <v>-15.5</v>
      </c>
      <c r="L12"/>
      <c r="M12" s="49" t="s">
        <v>65</v>
      </c>
      <c r="N12" s="47">
        <v>9</v>
      </c>
      <c r="O12" s="63">
        <v>363</v>
      </c>
      <c r="P12" s="47">
        <v>25.2</v>
      </c>
      <c r="Q12" s="47">
        <v>0</v>
      </c>
      <c r="R12" s="47">
        <f t="shared" si="0"/>
        <v>-5</v>
      </c>
      <c r="S12" s="47">
        <v>3</v>
      </c>
      <c r="T12" s="47">
        <v>0</v>
      </c>
      <c r="U12" s="47">
        <v>1.7999999999999999E-2</v>
      </c>
      <c r="V12" s="47">
        <v>0</v>
      </c>
      <c r="W12" s="47">
        <v>0.25</v>
      </c>
      <c r="X12" s="47">
        <v>28500</v>
      </c>
      <c r="Y12" s="47">
        <v>0</v>
      </c>
      <c r="Z12" s="80">
        <v>0</v>
      </c>
      <c r="AA12" s="80">
        <v>1</v>
      </c>
      <c r="AB12" s="80">
        <v>0</v>
      </c>
      <c r="AC12" s="47">
        <v>506000</v>
      </c>
      <c r="AD12" s="47">
        <v>4217.3999999999996</v>
      </c>
      <c r="AE12" s="47">
        <v>0.49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1</v>
      </c>
      <c r="AL12" s="47">
        <v>1</v>
      </c>
      <c r="AM12" s="47">
        <v>1</v>
      </c>
      <c r="AN12" s="47">
        <v>1</v>
      </c>
      <c r="AO12" s="47">
        <v>1</v>
      </c>
      <c r="AP12" s="47">
        <v>1</v>
      </c>
      <c r="AQ12" s="47">
        <v>0</v>
      </c>
      <c r="AR12" s="47">
        <v>0</v>
      </c>
      <c r="AS12" s="47"/>
      <c r="AT12" s="47"/>
      <c r="AU12" s="47"/>
      <c r="AV12" s="47"/>
    </row>
    <row r="13" spans="1:48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I13" s="33">
        <v>71</v>
      </c>
      <c r="J13" s="47">
        <v>8</v>
      </c>
      <c r="K13" s="63">
        <v>-18</v>
      </c>
      <c r="L13" t="s">
        <v>110</v>
      </c>
      <c r="M13" s="49" t="s">
        <v>64</v>
      </c>
      <c r="N13" s="47">
        <v>8.5</v>
      </c>
      <c r="O13" s="63">
        <v>0</v>
      </c>
      <c r="P13" s="47">
        <v>0</v>
      </c>
      <c r="Q13" s="47">
        <v>30</v>
      </c>
      <c r="R13" s="47">
        <f t="shared" si="0"/>
        <v>25</v>
      </c>
      <c r="S13" s="47">
        <v>1.2</v>
      </c>
      <c r="T13" s="47">
        <v>0</v>
      </c>
      <c r="U13" s="47">
        <v>0</v>
      </c>
      <c r="V13" s="47">
        <v>0</v>
      </c>
      <c r="W13" s="47">
        <v>0</v>
      </c>
      <c r="X13" s="47">
        <v>23600</v>
      </c>
      <c r="Y13" s="47">
        <v>0</v>
      </c>
      <c r="Z13" s="80">
        <v>81</v>
      </c>
      <c r="AA13" s="80">
        <v>1</v>
      </c>
      <c r="AB13" s="80">
        <v>4800</v>
      </c>
      <c r="AC13" s="47">
        <v>138000</v>
      </c>
      <c r="AD13" s="47">
        <v>-956.5</v>
      </c>
      <c r="AE13" s="47">
        <v>0.2</v>
      </c>
      <c r="AF13" s="47">
        <v>0</v>
      </c>
      <c r="AG13" s="47">
        <v>0</v>
      </c>
      <c r="AH13" s="47">
        <v>0</v>
      </c>
      <c r="AI13" s="47">
        <v>0</v>
      </c>
      <c r="AJ13" s="47">
        <v>20</v>
      </c>
      <c r="AK13" s="47">
        <v>1</v>
      </c>
      <c r="AL13" s="47">
        <v>1</v>
      </c>
      <c r="AM13" s="47">
        <v>1</v>
      </c>
      <c r="AN13" s="47">
        <v>1</v>
      </c>
      <c r="AO13" s="47">
        <v>1</v>
      </c>
      <c r="AP13" s="47">
        <v>1</v>
      </c>
      <c r="AQ13" s="47">
        <v>0</v>
      </c>
      <c r="AR13" s="47">
        <v>71</v>
      </c>
      <c r="AS13" s="47"/>
      <c r="AT13" s="47"/>
      <c r="AU13" s="47"/>
      <c r="AV13" s="47"/>
    </row>
    <row r="14" spans="1:48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I14" s="33">
        <v>76</v>
      </c>
      <c r="J14" s="47">
        <v>9</v>
      </c>
      <c r="K14" s="63">
        <v>-21</v>
      </c>
      <c r="L14" t="s">
        <v>185</v>
      </c>
      <c r="M14" s="49" t="s">
        <v>64</v>
      </c>
      <c r="N14" s="47">
        <v>8.5</v>
      </c>
      <c r="O14" s="63">
        <v>0</v>
      </c>
      <c r="P14" s="47">
        <v>0</v>
      </c>
      <c r="Q14" s="47">
        <v>30</v>
      </c>
      <c r="R14" s="47">
        <f t="shared" si="0"/>
        <v>25</v>
      </c>
      <c r="S14" s="47">
        <v>1.2</v>
      </c>
      <c r="T14" s="47">
        <v>0</v>
      </c>
      <c r="U14" s="47">
        <v>0</v>
      </c>
      <c r="V14" s="47">
        <v>0</v>
      </c>
      <c r="W14" s="47">
        <v>0</v>
      </c>
      <c r="X14" s="47">
        <v>30300</v>
      </c>
      <c r="Y14" s="47">
        <v>0</v>
      </c>
      <c r="Z14" s="80">
        <v>81</v>
      </c>
      <c r="AA14" s="80">
        <v>1</v>
      </c>
      <c r="AB14" s="80">
        <v>4800</v>
      </c>
      <c r="AC14" s="47">
        <v>122000</v>
      </c>
      <c r="AD14" s="47">
        <v>1739.1</v>
      </c>
      <c r="AE14" s="47">
        <v>0.2</v>
      </c>
      <c r="AF14" s="47">
        <v>0</v>
      </c>
      <c r="AG14" s="47">
        <v>0</v>
      </c>
      <c r="AH14" s="47">
        <v>0</v>
      </c>
      <c r="AI14" s="47">
        <v>0</v>
      </c>
      <c r="AJ14" s="47">
        <v>20</v>
      </c>
      <c r="AK14" s="47">
        <v>1</v>
      </c>
      <c r="AL14" s="47">
        <v>1</v>
      </c>
      <c r="AM14" s="47">
        <v>1</v>
      </c>
      <c r="AN14" s="47">
        <v>1</v>
      </c>
      <c r="AO14" s="47">
        <v>1</v>
      </c>
      <c r="AP14" s="47">
        <v>1</v>
      </c>
      <c r="AQ14" s="47">
        <v>0</v>
      </c>
      <c r="AR14" s="47">
        <v>76</v>
      </c>
      <c r="AS14" s="47"/>
      <c r="AT14" s="47"/>
      <c r="AU14" s="47"/>
      <c r="AV14" s="47"/>
    </row>
    <row r="15" spans="1:48" s="56" customFormat="1" x14ac:dyDescent="0.25">
      <c r="A15" s="33" t="s">
        <v>44</v>
      </c>
      <c r="B15" s="61">
        <v>207000000</v>
      </c>
      <c r="C15" s="45" t="s">
        <v>47</v>
      </c>
      <c r="D15" s="33"/>
      <c r="E15" s="33"/>
      <c r="F15" s="33"/>
      <c r="G15" s="33"/>
      <c r="I15" s="56">
        <v>22</v>
      </c>
      <c r="J15" s="47">
        <v>10</v>
      </c>
      <c r="K15" s="63">
        <v>-26.8</v>
      </c>
      <c r="L15" t="s">
        <v>186</v>
      </c>
      <c r="M15" s="49" t="s">
        <v>64</v>
      </c>
      <c r="N15" s="47">
        <v>9.8000000000000007</v>
      </c>
      <c r="O15" s="63">
        <v>0</v>
      </c>
      <c r="P15" s="47">
        <v>0</v>
      </c>
      <c r="Q15" s="47">
        <v>26</v>
      </c>
      <c r="R15" s="47">
        <f t="shared" si="0"/>
        <v>21</v>
      </c>
      <c r="S15" s="47">
        <v>0.5</v>
      </c>
      <c r="T15" s="47">
        <v>0</v>
      </c>
      <c r="U15" s="47">
        <v>0</v>
      </c>
      <c r="V15" s="47">
        <v>0</v>
      </c>
      <c r="W15" s="47">
        <v>0</v>
      </c>
      <c r="X15" s="47">
        <v>20200</v>
      </c>
      <c r="Y15" s="47">
        <v>0</v>
      </c>
      <c r="Z15" s="47">
        <v>69.8</v>
      </c>
      <c r="AA15" s="47">
        <v>1</v>
      </c>
      <c r="AB15" s="47">
        <v>3280</v>
      </c>
      <c r="AC15" s="47">
        <v>119000</v>
      </c>
      <c r="AD15" s="47">
        <v>130.4</v>
      </c>
      <c r="AE15" s="47">
        <v>0.2</v>
      </c>
      <c r="AF15" s="47">
        <v>0</v>
      </c>
      <c r="AG15" s="47">
        <v>0</v>
      </c>
      <c r="AH15" s="47">
        <v>0</v>
      </c>
      <c r="AI15" s="47">
        <v>0</v>
      </c>
      <c r="AJ15" s="47">
        <v>13.6</v>
      </c>
      <c r="AK15" s="47">
        <v>1</v>
      </c>
      <c r="AL15" s="47">
        <v>1</v>
      </c>
      <c r="AM15" s="47">
        <v>1</v>
      </c>
      <c r="AN15" s="47">
        <v>1</v>
      </c>
      <c r="AO15" s="47">
        <v>1</v>
      </c>
      <c r="AP15" s="47">
        <v>1</v>
      </c>
      <c r="AQ15" s="47">
        <v>0</v>
      </c>
      <c r="AR15" s="47">
        <v>22</v>
      </c>
      <c r="AS15" s="47"/>
      <c r="AT15" s="47"/>
      <c r="AU15" s="47"/>
      <c r="AV15" s="47"/>
    </row>
    <row r="16" spans="1:48" x14ac:dyDescent="0.25">
      <c r="A16" s="33" t="s">
        <v>45</v>
      </c>
      <c r="B16" s="61">
        <v>79000000</v>
      </c>
      <c r="C16" s="45" t="s">
        <v>47</v>
      </c>
      <c r="D16" s="62"/>
      <c r="E16" s="62"/>
      <c r="I16" s="33">
        <v>0</v>
      </c>
      <c r="J16" s="47">
        <v>11</v>
      </c>
      <c r="K16" s="63">
        <v>-45.8</v>
      </c>
      <c r="L16"/>
      <c r="M16" s="49" t="s">
        <v>65</v>
      </c>
      <c r="N16" s="47">
        <v>8.9</v>
      </c>
      <c r="O16" s="63">
        <v>404</v>
      </c>
      <c r="P16" s="63">
        <v>6</v>
      </c>
      <c r="Q16" s="47">
        <v>0</v>
      </c>
      <c r="R16" s="47">
        <f t="shared" si="0"/>
        <v>-5</v>
      </c>
      <c r="S16" s="47">
        <v>1.9</v>
      </c>
      <c r="T16" s="47">
        <v>0</v>
      </c>
      <c r="U16" s="47">
        <v>1.7999999999999999E-2</v>
      </c>
      <c r="V16" s="47">
        <v>0</v>
      </c>
      <c r="W16" s="47">
        <v>0.25</v>
      </c>
      <c r="X16" s="47">
        <v>40900</v>
      </c>
      <c r="Y16" s="47">
        <v>0</v>
      </c>
      <c r="Z16" s="47">
        <v>0</v>
      </c>
      <c r="AA16" s="47">
        <v>1</v>
      </c>
      <c r="AB16" s="47">
        <v>0</v>
      </c>
      <c r="AC16" s="47">
        <v>534000</v>
      </c>
      <c r="AD16" s="47">
        <v>16173.9</v>
      </c>
      <c r="AE16" s="47">
        <v>0.49</v>
      </c>
      <c r="AF16" s="47">
        <v>0</v>
      </c>
      <c r="AG16" s="47">
        <v>0</v>
      </c>
      <c r="AH16" s="47">
        <v>0</v>
      </c>
      <c r="AI16" s="47">
        <v>0</v>
      </c>
      <c r="AJ16" s="47">
        <v>0</v>
      </c>
      <c r="AK16" s="47">
        <v>1</v>
      </c>
      <c r="AL16" s="47">
        <v>1</v>
      </c>
      <c r="AM16" s="47">
        <v>1</v>
      </c>
      <c r="AN16" s="47">
        <v>1</v>
      </c>
      <c r="AO16" s="47">
        <v>1</v>
      </c>
      <c r="AP16" s="47">
        <v>1</v>
      </c>
      <c r="AQ16" s="47">
        <v>0</v>
      </c>
      <c r="AR16" s="47">
        <v>0</v>
      </c>
      <c r="AS16" s="47"/>
      <c r="AT16" s="47"/>
      <c r="AU16" s="47"/>
      <c r="AV16" s="47"/>
    </row>
    <row r="17" spans="1:43" x14ac:dyDescent="0.25">
      <c r="A17" s="33" t="s">
        <v>98</v>
      </c>
      <c r="B17" s="57">
        <v>0.53</v>
      </c>
      <c r="C17" s="45"/>
      <c r="D17" s="82"/>
      <c r="E17" s="82"/>
      <c r="F17" s="56"/>
      <c r="G17" s="56"/>
      <c r="J17" s="47"/>
      <c r="K17" s="63"/>
      <c r="L17" s="49"/>
      <c r="M17" s="49"/>
      <c r="N17" s="47"/>
      <c r="O17" s="63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</row>
    <row r="18" spans="1:43" ht="30" x14ac:dyDescent="0.25">
      <c r="A18" s="35" t="s">
        <v>25</v>
      </c>
      <c r="B18" s="65" t="s">
        <v>26</v>
      </c>
      <c r="C18" s="65" t="s">
        <v>27</v>
      </c>
      <c r="D18" s="66"/>
      <c r="E18" s="66"/>
      <c r="I18" s="56"/>
      <c r="J18" s="47"/>
      <c r="K18" s="63"/>
      <c r="L18" s="49"/>
      <c r="M18" s="49"/>
      <c r="N18" s="47"/>
      <c r="O18" s="63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</row>
    <row r="19" spans="1:43" s="56" customFormat="1" x14ac:dyDescent="0.25">
      <c r="A19" s="82" t="s">
        <v>38</v>
      </c>
      <c r="B19" s="82" t="s">
        <v>30</v>
      </c>
      <c r="C19" s="82" t="s">
        <v>59</v>
      </c>
      <c r="D19" s="43"/>
      <c r="E19" s="35"/>
      <c r="F19" s="33"/>
      <c r="G19" s="33"/>
      <c r="J19" s="47"/>
      <c r="K19" s="63"/>
      <c r="L19" s="49"/>
      <c r="M19" s="49"/>
      <c r="N19" s="47"/>
      <c r="O19" s="63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</row>
    <row r="20" spans="1:43" x14ac:dyDescent="0.25">
      <c r="A20" s="66">
        <v>1</v>
      </c>
      <c r="B20" s="66">
        <v>0</v>
      </c>
      <c r="C20" s="66">
        <v>0.09</v>
      </c>
      <c r="D20" s="43"/>
      <c r="J20" s="47"/>
      <c r="K20" s="63"/>
      <c r="L20" s="49"/>
      <c r="M20" s="49"/>
      <c r="N20" s="47"/>
      <c r="O20" s="63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</row>
    <row r="21" spans="1:43" x14ac:dyDescent="0.25">
      <c r="A21" s="66"/>
      <c r="B21" s="66"/>
      <c r="C21" s="66"/>
      <c r="D21" s="43"/>
      <c r="K21" s="79"/>
      <c r="L21" s="49"/>
      <c r="M21" s="49" t="s">
        <v>94</v>
      </c>
      <c r="N21" s="47"/>
      <c r="O21" s="63"/>
      <c r="P21" s="47"/>
      <c r="Q21" s="47"/>
      <c r="R21" s="64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</row>
    <row r="22" spans="1:43" x14ac:dyDescent="0.25">
      <c r="A22" s="47"/>
      <c r="B22" s="47"/>
      <c r="C22" s="47"/>
      <c r="D22" s="35"/>
      <c r="K22" s="79"/>
      <c r="L22" s="49"/>
      <c r="M22" s="49" t="s">
        <v>94</v>
      </c>
      <c r="N22" s="47"/>
      <c r="O22" s="47"/>
      <c r="P22" s="47"/>
      <c r="Q22" s="47"/>
      <c r="R22" s="64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</row>
    <row r="23" spans="1:43" x14ac:dyDescent="0.25">
      <c r="A23" s="47"/>
      <c r="B23" s="47"/>
      <c r="C23" s="47"/>
      <c r="D23" s="35"/>
      <c r="K23" s="79"/>
      <c r="L23" s="49"/>
      <c r="M23" s="49" t="s">
        <v>94</v>
      </c>
      <c r="N23" s="47"/>
      <c r="O23" s="47"/>
      <c r="P23" s="47"/>
      <c r="Q23" s="47"/>
      <c r="R23" s="64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I23" s="47"/>
      <c r="AJ23" s="47"/>
      <c r="AK23" s="47"/>
      <c r="AL23" s="47"/>
      <c r="AM23" s="47"/>
      <c r="AN23" s="47"/>
      <c r="AO23" s="47"/>
      <c r="AP23" s="47"/>
    </row>
    <row r="24" spans="1:43" x14ac:dyDescent="0.25">
      <c r="A24" s="43"/>
      <c r="B24" s="43"/>
      <c r="C24" s="43"/>
      <c r="D24" s="43"/>
      <c r="K24" s="79"/>
      <c r="L24" s="49"/>
      <c r="M24" s="49" t="s">
        <v>94</v>
      </c>
      <c r="N24" s="47"/>
      <c r="O24" s="47"/>
      <c r="P24" s="47"/>
      <c r="Q24" s="47"/>
      <c r="R24" s="64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I24" s="47"/>
      <c r="AJ24" s="47"/>
      <c r="AK24" s="47"/>
      <c r="AL24" s="47"/>
      <c r="AM24" s="47"/>
      <c r="AN24" s="47"/>
      <c r="AO24" s="47"/>
      <c r="AP24" s="47"/>
    </row>
    <row r="25" spans="1:43" x14ac:dyDescent="0.25">
      <c r="A25" s="47"/>
      <c r="B25" s="47"/>
      <c r="C25" s="47"/>
      <c r="D25" s="35"/>
      <c r="E25" s="33" t="s">
        <v>209</v>
      </c>
      <c r="K25" s="79"/>
      <c r="L25" s="49"/>
      <c r="M25" s="49" t="s">
        <v>94</v>
      </c>
      <c r="N25" s="47"/>
      <c r="O25" s="47"/>
      <c r="P25" s="47"/>
      <c r="Q25" s="47"/>
      <c r="R25" s="64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I25" s="47"/>
      <c r="AJ25" s="47"/>
      <c r="AK25" s="47"/>
      <c r="AL25" s="47"/>
      <c r="AM25" s="47"/>
      <c r="AN25" s="47"/>
      <c r="AO25" s="47"/>
      <c r="AP25" s="47"/>
    </row>
    <row r="26" spans="1:43" x14ac:dyDescent="0.25">
      <c r="A26" s="43"/>
      <c r="B26" s="43"/>
      <c r="C26" s="43"/>
      <c r="D26" s="43"/>
      <c r="K26" s="79"/>
      <c r="L26" s="49"/>
      <c r="M26" s="49" t="s">
        <v>94</v>
      </c>
      <c r="N26" s="47"/>
      <c r="O26" s="47"/>
      <c r="P26" s="47"/>
      <c r="Q26" s="47"/>
      <c r="R26" s="64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I26" s="47"/>
      <c r="AJ26" s="47"/>
      <c r="AK26" s="47"/>
      <c r="AL26" s="47"/>
      <c r="AM26" s="47"/>
      <c r="AN26" s="47"/>
      <c r="AO26" s="47"/>
      <c r="AP26" s="47"/>
    </row>
    <row r="27" spans="1:43" x14ac:dyDescent="0.25">
      <c r="A27" s="43"/>
      <c r="B27" s="43"/>
      <c r="C27" s="43"/>
      <c r="D27" s="43"/>
      <c r="L27" s="49"/>
      <c r="M27" s="49" t="s">
        <v>94</v>
      </c>
      <c r="N27" s="47"/>
      <c r="O27" s="47"/>
      <c r="P27" s="47"/>
      <c r="Q27" s="47"/>
      <c r="R27" s="64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I27" s="47"/>
      <c r="AJ27" s="47"/>
      <c r="AK27" s="47"/>
      <c r="AL27" s="47"/>
      <c r="AM27" s="47"/>
      <c r="AN27" s="47"/>
      <c r="AO27" s="47"/>
      <c r="AP27" s="47"/>
    </row>
    <row r="28" spans="1:43" x14ac:dyDescent="0.25">
      <c r="A28" s="43"/>
      <c r="B28" s="43"/>
      <c r="C28" s="43"/>
      <c r="D28" s="43"/>
      <c r="L28" s="49"/>
      <c r="M28" s="49" t="s">
        <v>94</v>
      </c>
      <c r="N28" s="47"/>
      <c r="O28" s="47"/>
      <c r="P28" s="47"/>
      <c r="Q28" s="47"/>
      <c r="R28" s="64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I28" s="47"/>
      <c r="AJ28" s="47"/>
      <c r="AK28" s="47"/>
      <c r="AL28" s="47"/>
      <c r="AM28" s="47"/>
      <c r="AN28" s="47"/>
      <c r="AO28" s="47"/>
      <c r="AP28" s="47"/>
    </row>
    <row r="29" spans="1:43" x14ac:dyDescent="0.25">
      <c r="A29" s="43"/>
      <c r="B29" s="43"/>
      <c r="C29" s="43"/>
      <c r="D29" s="43"/>
      <c r="L29" s="49"/>
      <c r="M29" s="49" t="s">
        <v>94</v>
      </c>
      <c r="N29" s="47"/>
      <c r="O29" s="47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  <c r="AO29" s="47"/>
      <c r="AP29" s="47"/>
    </row>
    <row r="30" spans="1:43" x14ac:dyDescent="0.25">
      <c r="A30" s="43"/>
      <c r="B30" s="43"/>
      <c r="C30" s="43"/>
      <c r="D30" s="43"/>
      <c r="L30" s="49"/>
      <c r="M30" s="49" t="s">
        <v>94</v>
      </c>
      <c r="N30" s="47"/>
      <c r="O30" s="47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33" t="s">
        <v>99</v>
      </c>
      <c r="AF30" s="33" t="s">
        <v>100</v>
      </c>
      <c r="AG30" s="33" t="s">
        <v>101</v>
      </c>
      <c r="AI30" s="47"/>
      <c r="AJ30" s="47"/>
      <c r="AK30" s="47"/>
      <c r="AL30" s="47"/>
      <c r="AM30" s="47"/>
      <c r="AN30" s="47"/>
      <c r="AO30" s="47"/>
      <c r="AP30" s="47"/>
    </row>
    <row r="31" spans="1:43" x14ac:dyDescent="0.25">
      <c r="A31" s="43"/>
      <c r="B31" s="43"/>
      <c r="C31" s="43"/>
      <c r="D31" s="43"/>
      <c r="L31" s="49"/>
      <c r="M31" s="49" t="s">
        <v>94</v>
      </c>
      <c r="N31" s="47"/>
      <c r="O31" s="47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33">
        <v>15</v>
      </c>
      <c r="AF31" s="33">
        <v>48</v>
      </c>
      <c r="AG31" s="33">
        <v>1900</v>
      </c>
      <c r="AH31" s="33">
        <v>8</v>
      </c>
      <c r="AI31" s="47"/>
      <c r="AJ31" s="47"/>
      <c r="AK31" s="47"/>
      <c r="AL31" s="47"/>
      <c r="AM31" s="47"/>
      <c r="AN31" s="47"/>
      <c r="AO31" s="47"/>
      <c r="AP31" s="47"/>
    </row>
    <row r="32" spans="1:43" x14ac:dyDescent="0.25">
      <c r="A32" s="43"/>
      <c r="B32" s="43"/>
      <c r="C32" s="43"/>
      <c r="D32" s="43"/>
      <c r="L32" s="49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33">
        <v>16</v>
      </c>
      <c r="AF32" s="33">
        <v>51.8</v>
      </c>
      <c r="AG32" s="33">
        <v>2100</v>
      </c>
      <c r="AH32" s="33">
        <v>8.8000000000000007</v>
      </c>
      <c r="AI32" s="47"/>
      <c r="AJ32" s="47"/>
      <c r="AK32" s="47"/>
      <c r="AL32" s="47"/>
      <c r="AM32" s="47"/>
      <c r="AN32" s="47"/>
      <c r="AO32" s="47"/>
      <c r="AP32" s="47"/>
    </row>
    <row r="33" spans="1:42" x14ac:dyDescent="0.25">
      <c r="A33" s="43"/>
      <c r="B33" s="43"/>
      <c r="C33" s="43"/>
      <c r="D33" s="43"/>
      <c r="L33" s="49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33">
        <v>17</v>
      </c>
      <c r="AF33" s="33">
        <v>55.599999999999994</v>
      </c>
      <c r="AG33" s="33">
        <v>2300</v>
      </c>
      <c r="AH33" s="33">
        <v>9.6000000000000014</v>
      </c>
      <c r="AI33" s="47"/>
      <c r="AJ33" s="47"/>
      <c r="AK33" s="47"/>
      <c r="AL33" s="47"/>
      <c r="AM33" s="47"/>
      <c r="AN33" s="47"/>
      <c r="AO33" s="47"/>
      <c r="AP33" s="47"/>
    </row>
    <row r="34" spans="1:42" x14ac:dyDescent="0.25">
      <c r="L34" s="49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33">
        <v>18</v>
      </c>
      <c r="AF34" s="33">
        <v>59.399999999999991</v>
      </c>
      <c r="AG34" s="33">
        <v>2500</v>
      </c>
      <c r="AH34" s="33">
        <v>10.400000000000002</v>
      </c>
      <c r="AI34" s="47"/>
      <c r="AJ34" s="47"/>
      <c r="AK34" s="47"/>
      <c r="AL34" s="47"/>
      <c r="AM34" s="47"/>
      <c r="AN34" s="47"/>
      <c r="AO34" s="47"/>
      <c r="AP34" s="47"/>
    </row>
    <row r="35" spans="1:42" x14ac:dyDescent="0.25">
      <c r="L35" s="49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33">
        <v>19</v>
      </c>
      <c r="AF35" s="33">
        <v>63.199999999999989</v>
      </c>
      <c r="AG35" s="33">
        <v>2700</v>
      </c>
      <c r="AH35" s="33">
        <v>11.200000000000003</v>
      </c>
      <c r="AI35" s="47"/>
      <c r="AJ35" s="47"/>
      <c r="AK35" s="47"/>
      <c r="AL35" s="47"/>
      <c r="AM35" s="47"/>
      <c r="AN35" s="47"/>
      <c r="AO35" s="47"/>
      <c r="AP35" s="47"/>
    </row>
    <row r="36" spans="1:42" x14ac:dyDescent="0.25">
      <c r="L36" s="49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33">
        <v>20</v>
      </c>
      <c r="AF36" s="33">
        <v>66.999999999999986</v>
      </c>
      <c r="AG36" s="33">
        <v>2900</v>
      </c>
      <c r="AH36" s="33">
        <v>12.000000000000004</v>
      </c>
      <c r="AI36" s="47"/>
      <c r="AJ36" s="47"/>
      <c r="AK36" s="47"/>
      <c r="AL36" s="47"/>
      <c r="AM36" s="47"/>
      <c r="AN36" s="47"/>
      <c r="AO36" s="47"/>
      <c r="AP36" s="47"/>
    </row>
    <row r="37" spans="1:42" x14ac:dyDescent="0.25">
      <c r="L37" s="49"/>
      <c r="M37" s="49" t="s">
        <v>94</v>
      </c>
      <c r="N37" s="47"/>
      <c r="O37" s="63"/>
      <c r="P37" s="47"/>
      <c r="Q37" s="47"/>
      <c r="R37" s="64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33">
        <v>21</v>
      </c>
      <c r="AF37" s="33">
        <v>69.799999999999983</v>
      </c>
      <c r="AG37" s="33">
        <v>3280</v>
      </c>
      <c r="AH37" s="33">
        <v>13.600000000000003</v>
      </c>
      <c r="AI37" s="47"/>
      <c r="AJ37" s="47"/>
      <c r="AK37" s="47"/>
      <c r="AL37" s="47"/>
      <c r="AM37" s="47"/>
      <c r="AN37" s="47"/>
    </row>
    <row r="38" spans="1:42" x14ac:dyDescent="0.25">
      <c r="L38" s="49"/>
      <c r="M38" s="49" t="s">
        <v>94</v>
      </c>
      <c r="N38" s="47"/>
      <c r="O38" s="63"/>
      <c r="P38" s="47"/>
      <c r="Q38" s="47"/>
      <c r="R38" s="64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33">
        <v>22</v>
      </c>
      <c r="AF38" s="33">
        <v>72.59999999999998</v>
      </c>
      <c r="AG38" s="33">
        <v>3660</v>
      </c>
      <c r="AH38" s="33">
        <v>15.200000000000003</v>
      </c>
      <c r="AI38" s="47"/>
      <c r="AJ38" s="47"/>
      <c r="AK38" s="47"/>
      <c r="AL38" s="47"/>
      <c r="AM38" s="47"/>
      <c r="AN38" s="47"/>
    </row>
    <row r="39" spans="1:42" x14ac:dyDescent="0.25">
      <c r="L39" s="49"/>
      <c r="M39" s="49" t="s">
        <v>94</v>
      </c>
      <c r="N39" s="47"/>
      <c r="O39" s="63"/>
      <c r="P39" s="47"/>
      <c r="Q39" s="47"/>
      <c r="R39" s="64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33">
        <v>23</v>
      </c>
      <c r="AF39" s="33">
        <v>75.399999999999977</v>
      </c>
      <c r="AG39" s="33">
        <v>4040</v>
      </c>
      <c r="AH39" s="33">
        <v>16.800000000000004</v>
      </c>
      <c r="AI39" s="47"/>
      <c r="AJ39" s="47"/>
      <c r="AK39" s="47"/>
      <c r="AL39" s="47"/>
      <c r="AM39" s="47"/>
      <c r="AN39" s="47"/>
    </row>
    <row r="40" spans="1:42" x14ac:dyDescent="0.25">
      <c r="L40" s="49"/>
      <c r="AE40" s="33">
        <v>24</v>
      </c>
      <c r="AF40" s="33">
        <v>78.199999999999974</v>
      </c>
      <c r="AG40" s="33">
        <v>4420</v>
      </c>
      <c r="AH40" s="33">
        <v>18.400000000000006</v>
      </c>
    </row>
    <row r="41" spans="1:42" x14ac:dyDescent="0.25">
      <c r="L41" s="49"/>
      <c r="AE41" s="33">
        <v>25</v>
      </c>
      <c r="AF41" s="33">
        <v>80.999999999999972</v>
      </c>
      <c r="AG41" s="33">
        <v>4800</v>
      </c>
      <c r="AH41" s="33">
        <v>20.000000000000007</v>
      </c>
    </row>
    <row r="42" spans="1:42" x14ac:dyDescent="0.25">
      <c r="L42" s="49"/>
      <c r="AE42" s="33">
        <v>26</v>
      </c>
      <c r="AF42" s="33">
        <v>83.999999999999972</v>
      </c>
      <c r="AG42" s="33">
        <v>5760</v>
      </c>
      <c r="AH42" s="33">
        <v>24.000000000000007</v>
      </c>
    </row>
    <row r="43" spans="1:42" x14ac:dyDescent="0.25">
      <c r="L43" s="49"/>
      <c r="AE43" s="33">
        <v>27</v>
      </c>
      <c r="AF43" s="33">
        <v>86.999999999999972</v>
      </c>
      <c r="AG43" s="33">
        <v>6720</v>
      </c>
      <c r="AH43" s="33">
        <v>28.000000000000007</v>
      </c>
    </row>
    <row r="44" spans="1:42" x14ac:dyDescent="0.25">
      <c r="L44" s="49"/>
      <c r="AE44" s="33">
        <v>28</v>
      </c>
      <c r="AF44" s="33">
        <v>89.999999999999972</v>
      </c>
      <c r="AG44" s="33">
        <v>7680</v>
      </c>
      <c r="AH44" s="33">
        <v>32.000000000000007</v>
      </c>
    </row>
    <row r="45" spans="1:42" x14ac:dyDescent="0.25">
      <c r="L45" s="49"/>
      <c r="AE45" s="33">
        <v>29</v>
      </c>
      <c r="AF45" s="33">
        <v>92.999999999999972</v>
      </c>
      <c r="AG45" s="33">
        <v>8640</v>
      </c>
      <c r="AH45" s="33">
        <v>36.000000000000007</v>
      </c>
    </row>
    <row r="46" spans="1:42" x14ac:dyDescent="0.25">
      <c r="L46" s="49"/>
      <c r="AE46" s="33">
        <v>30</v>
      </c>
      <c r="AF46" s="33">
        <v>95.999999999999972</v>
      </c>
      <c r="AG46" s="33">
        <v>9600</v>
      </c>
      <c r="AH46" s="33">
        <v>40.000000000000007</v>
      </c>
    </row>
    <row r="47" spans="1:42" x14ac:dyDescent="0.25">
      <c r="L47" s="49"/>
      <c r="AE47" s="33">
        <v>31</v>
      </c>
      <c r="AF47" s="33">
        <v>99.799999999999969</v>
      </c>
      <c r="AG47" s="33">
        <v>10080</v>
      </c>
      <c r="AH47" s="33">
        <v>42.000000000000007</v>
      </c>
    </row>
    <row r="48" spans="1:42" x14ac:dyDescent="0.25">
      <c r="L48" s="49"/>
      <c r="AE48" s="33">
        <v>32</v>
      </c>
      <c r="AF48" s="33">
        <v>103.59999999999997</v>
      </c>
      <c r="AG48" s="33">
        <v>10560</v>
      </c>
      <c r="AH48" s="33">
        <v>44.000000000000007</v>
      </c>
    </row>
    <row r="49" spans="12:34" x14ac:dyDescent="0.25">
      <c r="L49" s="49"/>
      <c r="AE49" s="33">
        <v>33</v>
      </c>
      <c r="AF49" s="33">
        <v>107.39999999999996</v>
      </c>
      <c r="AG49" s="33">
        <v>11040</v>
      </c>
      <c r="AH49" s="33">
        <v>46.000000000000007</v>
      </c>
    </row>
    <row r="50" spans="12:34" x14ac:dyDescent="0.25">
      <c r="L50" s="49"/>
      <c r="AE50" s="33">
        <v>34</v>
      </c>
      <c r="AF50" s="33">
        <v>111.19999999999996</v>
      </c>
      <c r="AG50" s="33">
        <v>11520</v>
      </c>
      <c r="AH50" s="33">
        <v>48.000000000000007</v>
      </c>
    </row>
    <row r="51" spans="12:34" x14ac:dyDescent="0.25">
      <c r="L51" s="49"/>
      <c r="AE51" s="33">
        <v>35</v>
      </c>
      <c r="AF51" s="33">
        <v>114.99999999999996</v>
      </c>
      <c r="AG51" s="33">
        <v>12000</v>
      </c>
      <c r="AH51" s="33">
        <v>50.000000000000007</v>
      </c>
    </row>
    <row r="52" spans="12:34" x14ac:dyDescent="0.25">
      <c r="L52" s="49"/>
    </row>
    <row r="53" spans="12:34" x14ac:dyDescent="0.25">
      <c r="L53" s="49"/>
    </row>
    <row r="54" spans="12:34" x14ac:dyDescent="0.25">
      <c r="L54" s="49"/>
    </row>
    <row r="55" spans="12:34" x14ac:dyDescent="0.25">
      <c r="L55" s="49"/>
    </row>
    <row r="56" spans="12:34" x14ac:dyDescent="0.25">
      <c r="L56" s="49"/>
    </row>
    <row r="57" spans="12:34" x14ac:dyDescent="0.25">
      <c r="L57" s="49"/>
    </row>
    <row r="58" spans="12:34" x14ac:dyDescent="0.25">
      <c r="L58" s="49"/>
    </row>
    <row r="59" spans="12:34" x14ac:dyDescent="0.25">
      <c r="L59" s="49"/>
    </row>
    <row r="60" spans="12:34" x14ac:dyDescent="0.25">
      <c r="L60" s="49"/>
    </row>
    <row r="61" spans="12:34" x14ac:dyDescent="0.25">
      <c r="L61" s="49"/>
    </row>
    <row r="62" spans="12:34" x14ac:dyDescent="0.25">
      <c r="L62" s="49"/>
    </row>
    <row r="63" spans="12:34" x14ac:dyDescent="0.25">
      <c r="L63" s="49"/>
    </row>
    <row r="64" spans="12:34" x14ac:dyDescent="0.25">
      <c r="L64" s="49"/>
    </row>
    <row r="65" spans="12:12" x14ac:dyDescent="0.25">
      <c r="L65" s="49"/>
    </row>
    <row r="66" spans="12:12" x14ac:dyDescent="0.25">
      <c r="L66" s="49"/>
    </row>
    <row r="67" spans="12:12" x14ac:dyDescent="0.25">
      <c r="L67" s="49"/>
    </row>
    <row r="68" spans="12:12" x14ac:dyDescent="0.25">
      <c r="L68" s="49"/>
    </row>
    <row r="69" spans="12:12" x14ac:dyDescent="0.25">
      <c r="L69" s="49"/>
    </row>
    <row r="70" spans="12:12" x14ac:dyDescent="0.25">
      <c r="L70" s="49"/>
    </row>
    <row r="71" spans="12:12" x14ac:dyDescent="0.25">
      <c r="L71" s="49"/>
    </row>
    <row r="72" spans="12:12" x14ac:dyDescent="0.25">
      <c r="L72" s="49"/>
    </row>
    <row r="73" spans="12:12" x14ac:dyDescent="0.25">
      <c r="L73" s="49"/>
    </row>
    <row r="74" spans="12:12" x14ac:dyDescent="0.25">
      <c r="L74" s="49"/>
    </row>
    <row r="75" spans="12:12" x14ac:dyDescent="0.25">
      <c r="L75" s="49"/>
    </row>
    <row r="76" spans="12:12" x14ac:dyDescent="0.25">
      <c r="L76" s="49"/>
    </row>
    <row r="77" spans="12:12" x14ac:dyDescent="0.25">
      <c r="L77" s="49"/>
    </row>
    <row r="78" spans="12:12" x14ac:dyDescent="0.25">
      <c r="L78" s="49"/>
    </row>
    <row r="79" spans="12:12" x14ac:dyDescent="0.25">
      <c r="L79" s="49"/>
    </row>
    <row r="80" spans="12:12" x14ac:dyDescent="0.25">
      <c r="L80" s="49"/>
    </row>
    <row r="81" spans="12:12" x14ac:dyDescent="0.25">
      <c r="L81" s="49"/>
    </row>
    <row r="82" spans="12:12" x14ac:dyDescent="0.25">
      <c r="L82" s="49"/>
    </row>
    <row r="83" spans="12:12" x14ac:dyDescent="0.25">
      <c r="L83" s="49"/>
    </row>
    <row r="84" spans="12:12" x14ac:dyDescent="0.25">
      <c r="L84" s="49"/>
    </row>
    <row r="85" spans="12:12" x14ac:dyDescent="0.25">
      <c r="L85" s="49"/>
    </row>
    <row r="86" spans="12:12" x14ac:dyDescent="0.25">
      <c r="L86" s="49"/>
    </row>
    <row r="87" spans="12:12" x14ac:dyDescent="0.25">
      <c r="L87" s="49"/>
    </row>
    <row r="88" spans="12:12" x14ac:dyDescent="0.25">
      <c r="L88" s="49"/>
    </row>
    <row r="89" spans="12:12" x14ac:dyDescent="0.25">
      <c r="L89" s="49"/>
    </row>
    <row r="90" spans="12:12" x14ac:dyDescent="0.25">
      <c r="L90" s="49"/>
    </row>
    <row r="91" spans="12:12" x14ac:dyDescent="0.25">
      <c r="L91" s="49"/>
    </row>
    <row r="92" spans="12:12" x14ac:dyDescent="0.25">
      <c r="L92" s="49"/>
    </row>
    <row r="93" spans="12:12" x14ac:dyDescent="0.25">
      <c r="L93" s="49"/>
    </row>
    <row r="94" spans="12:12" x14ac:dyDescent="0.25">
      <c r="L94" s="49"/>
    </row>
    <row r="95" spans="12:12" x14ac:dyDescent="0.25">
      <c r="L95" s="49"/>
    </row>
    <row r="96" spans="12:12" x14ac:dyDescent="0.25">
      <c r="L96" s="49"/>
    </row>
    <row r="97" spans="12:12" x14ac:dyDescent="0.25">
      <c r="L97" s="49"/>
    </row>
    <row r="98" spans="12:12" x14ac:dyDescent="0.25">
      <c r="L98" s="49"/>
    </row>
    <row r="99" spans="12:12" x14ac:dyDescent="0.25">
      <c r="L99" s="49"/>
    </row>
    <row r="100" spans="12:12" x14ac:dyDescent="0.25">
      <c r="L100" s="49"/>
    </row>
    <row r="101" spans="12:12" x14ac:dyDescent="0.25">
      <c r="L101" s="49"/>
    </row>
    <row r="102" spans="12:12" x14ac:dyDescent="0.25">
      <c r="L102" s="49"/>
    </row>
    <row r="103" spans="12:12" x14ac:dyDescent="0.25">
      <c r="L103" s="49"/>
    </row>
    <row r="104" spans="12:12" x14ac:dyDescent="0.25">
      <c r="L104" s="49"/>
    </row>
    <row r="105" spans="12:12" x14ac:dyDescent="0.25">
      <c r="L105" s="49"/>
    </row>
    <row r="106" spans="12:12" x14ac:dyDescent="0.25">
      <c r="L106" s="49"/>
    </row>
    <row r="107" spans="12:12" x14ac:dyDescent="0.25">
      <c r="L107" s="49"/>
    </row>
    <row r="108" spans="12:12" x14ac:dyDescent="0.25">
      <c r="L108" s="49"/>
    </row>
    <row r="109" spans="12:12" x14ac:dyDescent="0.25">
      <c r="L109" s="49"/>
    </row>
    <row r="110" spans="12:12" x14ac:dyDescent="0.25">
      <c r="L110" s="49"/>
    </row>
    <row r="111" spans="12:12" x14ac:dyDescent="0.25">
      <c r="L111" s="49"/>
    </row>
    <row r="112" spans="12:12" x14ac:dyDescent="0.25">
      <c r="L112" s="49"/>
    </row>
    <row r="113" spans="12:12" x14ac:dyDescent="0.25">
      <c r="L113" s="49"/>
    </row>
    <row r="114" spans="12:12" x14ac:dyDescent="0.25">
      <c r="L114" s="49"/>
    </row>
    <row r="115" spans="12:12" x14ac:dyDescent="0.25">
      <c r="L115" s="49"/>
    </row>
    <row r="116" spans="12:12" x14ac:dyDescent="0.25">
      <c r="L116" s="49"/>
    </row>
    <row r="117" spans="12:12" x14ac:dyDescent="0.25">
      <c r="L117" s="49"/>
    </row>
    <row r="118" spans="12:12" x14ac:dyDescent="0.25">
      <c r="L118" s="49"/>
    </row>
    <row r="119" spans="12:12" x14ac:dyDescent="0.25">
      <c r="L119" s="49"/>
    </row>
    <row r="120" spans="12:12" x14ac:dyDescent="0.25">
      <c r="L120" s="49"/>
    </row>
    <row r="121" spans="12:12" x14ac:dyDescent="0.25">
      <c r="L121" s="49"/>
    </row>
    <row r="122" spans="12:12" x14ac:dyDescent="0.25">
      <c r="L122" s="49"/>
    </row>
    <row r="123" spans="12:12" x14ac:dyDescent="0.25">
      <c r="L123" s="49"/>
    </row>
    <row r="124" spans="12:12" x14ac:dyDescent="0.25">
      <c r="L124" s="49"/>
    </row>
    <row r="125" spans="12:12" x14ac:dyDescent="0.25">
      <c r="L125" s="49"/>
    </row>
    <row r="126" spans="12:12" x14ac:dyDescent="0.25">
      <c r="L126" s="49"/>
    </row>
    <row r="127" spans="12:12" x14ac:dyDescent="0.25">
      <c r="L127" s="49"/>
    </row>
    <row r="128" spans="12:12" x14ac:dyDescent="0.25">
      <c r="L128" s="49"/>
    </row>
    <row r="129" spans="12:12" x14ac:dyDescent="0.25">
      <c r="L129" s="49"/>
    </row>
    <row r="130" spans="12:12" x14ac:dyDescent="0.25">
      <c r="L130" s="49"/>
    </row>
    <row r="131" spans="12:12" x14ac:dyDescent="0.25">
      <c r="L131" s="49"/>
    </row>
    <row r="132" spans="12:12" x14ac:dyDescent="0.25">
      <c r="L132" s="49"/>
    </row>
    <row r="133" spans="12:12" x14ac:dyDescent="0.25">
      <c r="L133" s="49"/>
    </row>
    <row r="134" spans="12:12" x14ac:dyDescent="0.25">
      <c r="L134" s="49"/>
    </row>
    <row r="135" spans="12:12" x14ac:dyDescent="0.25">
      <c r="L135" s="49"/>
    </row>
    <row r="136" spans="12:12" x14ac:dyDescent="0.25">
      <c r="L136" s="49"/>
    </row>
    <row r="137" spans="12:12" x14ac:dyDescent="0.25">
      <c r="L137" s="49"/>
    </row>
    <row r="138" spans="12:12" x14ac:dyDescent="0.25">
      <c r="L138" s="49"/>
    </row>
    <row r="139" spans="12:12" x14ac:dyDescent="0.25">
      <c r="L139" s="49"/>
    </row>
    <row r="140" spans="12:12" x14ac:dyDescent="0.25">
      <c r="L140" s="49"/>
    </row>
    <row r="141" spans="12:12" x14ac:dyDescent="0.25">
      <c r="L141" s="49"/>
    </row>
    <row r="142" spans="12:12" x14ac:dyDescent="0.25">
      <c r="L142" s="49"/>
    </row>
    <row r="143" spans="12:12" x14ac:dyDescent="0.25">
      <c r="L143" s="49"/>
    </row>
    <row r="144" spans="12:12" x14ac:dyDescent="0.25">
      <c r="L144" s="49"/>
    </row>
    <row r="145" spans="12:12" x14ac:dyDescent="0.25">
      <c r="L145" s="49"/>
    </row>
    <row r="146" spans="12:12" x14ac:dyDescent="0.25">
      <c r="L146" s="49"/>
    </row>
    <row r="147" spans="12:12" x14ac:dyDescent="0.25">
      <c r="L147" s="49"/>
    </row>
    <row r="148" spans="12:12" x14ac:dyDescent="0.25">
      <c r="L148" s="49"/>
    </row>
    <row r="149" spans="12:12" x14ac:dyDescent="0.25">
      <c r="L149" s="49"/>
    </row>
    <row r="150" spans="12:12" x14ac:dyDescent="0.25">
      <c r="L150" s="49"/>
    </row>
    <row r="151" spans="12:12" x14ac:dyDescent="0.25">
      <c r="L151" s="49"/>
    </row>
    <row r="152" spans="12:12" x14ac:dyDescent="0.25">
      <c r="L152" s="49"/>
    </row>
    <row r="153" spans="12:12" x14ac:dyDescent="0.25">
      <c r="L153" s="49"/>
    </row>
    <row r="154" spans="12:12" x14ac:dyDescent="0.25">
      <c r="L154" s="49"/>
    </row>
    <row r="155" spans="12:12" x14ac:dyDescent="0.25">
      <c r="L155" s="49"/>
    </row>
    <row r="156" spans="12:12" x14ac:dyDescent="0.25">
      <c r="L156" s="49"/>
    </row>
    <row r="157" spans="12:12" x14ac:dyDescent="0.25">
      <c r="L157" s="49"/>
    </row>
    <row r="158" spans="12:12" x14ac:dyDescent="0.25">
      <c r="L158" s="49"/>
    </row>
    <row r="159" spans="12:12" x14ac:dyDescent="0.25">
      <c r="L159" s="49"/>
    </row>
    <row r="160" spans="12:12" x14ac:dyDescent="0.25">
      <c r="L160" s="49"/>
    </row>
    <row r="161" spans="12:12" x14ac:dyDescent="0.25">
      <c r="L161" s="49"/>
    </row>
    <row r="162" spans="12:12" x14ac:dyDescent="0.25">
      <c r="L162" s="49"/>
    </row>
    <row r="163" spans="12:12" x14ac:dyDescent="0.25">
      <c r="L163" s="49"/>
    </row>
    <row r="164" spans="12:12" x14ac:dyDescent="0.25">
      <c r="L164" s="49"/>
    </row>
    <row r="165" spans="12:12" x14ac:dyDescent="0.25">
      <c r="L165" s="49"/>
    </row>
    <row r="166" spans="12:12" x14ac:dyDescent="0.25">
      <c r="L166" s="49"/>
    </row>
    <row r="167" spans="12:12" x14ac:dyDescent="0.25">
      <c r="L167" s="49"/>
    </row>
    <row r="168" spans="12:12" x14ac:dyDescent="0.25">
      <c r="L168" s="49"/>
    </row>
    <row r="169" spans="12:12" x14ac:dyDescent="0.25">
      <c r="L169" s="49"/>
    </row>
    <row r="170" spans="12:12" x14ac:dyDescent="0.25">
      <c r="L170" s="49"/>
    </row>
    <row r="171" spans="12:12" x14ac:dyDescent="0.25">
      <c r="L171" s="49"/>
    </row>
    <row r="172" spans="12:12" x14ac:dyDescent="0.25">
      <c r="L172" s="49"/>
    </row>
    <row r="173" spans="12:12" x14ac:dyDescent="0.25">
      <c r="L173" s="49"/>
    </row>
    <row r="174" spans="12:12" x14ac:dyDescent="0.25">
      <c r="L174" s="49"/>
    </row>
    <row r="175" spans="12:12" x14ac:dyDescent="0.25">
      <c r="L175" s="49"/>
    </row>
    <row r="176" spans="12:12" x14ac:dyDescent="0.25">
      <c r="L176" s="49"/>
    </row>
    <row r="177" spans="12:12" x14ac:dyDescent="0.25">
      <c r="L177" s="49"/>
    </row>
    <row r="178" spans="12:12" x14ac:dyDescent="0.25">
      <c r="L178" s="49"/>
    </row>
    <row r="179" spans="12:12" x14ac:dyDescent="0.25">
      <c r="L179" s="49"/>
    </row>
    <row r="180" spans="12:12" x14ac:dyDescent="0.25">
      <c r="L180" s="49"/>
    </row>
    <row r="181" spans="12:12" x14ac:dyDescent="0.25">
      <c r="L181" s="49"/>
    </row>
    <row r="182" spans="12:12" x14ac:dyDescent="0.25">
      <c r="L182" s="49"/>
    </row>
    <row r="183" spans="12:12" x14ac:dyDescent="0.25">
      <c r="L183" s="49"/>
    </row>
    <row r="184" spans="12:12" x14ac:dyDescent="0.25">
      <c r="L184" s="49"/>
    </row>
    <row r="185" spans="12:12" x14ac:dyDescent="0.25">
      <c r="L185" s="49"/>
    </row>
    <row r="186" spans="12:12" x14ac:dyDescent="0.25">
      <c r="L186" s="49"/>
    </row>
    <row r="187" spans="12:12" x14ac:dyDescent="0.25">
      <c r="L187" s="49"/>
    </row>
    <row r="188" spans="12:12" x14ac:dyDescent="0.25">
      <c r="L188" s="49"/>
    </row>
    <row r="189" spans="12:12" x14ac:dyDescent="0.25">
      <c r="L189" s="49"/>
    </row>
    <row r="190" spans="12:12" x14ac:dyDescent="0.25">
      <c r="L190" s="49"/>
    </row>
    <row r="191" spans="12:12" x14ac:dyDescent="0.25">
      <c r="L191" s="49"/>
    </row>
    <row r="192" spans="12:12" x14ac:dyDescent="0.25">
      <c r="L192" s="49"/>
    </row>
    <row r="193" spans="12:12" x14ac:dyDescent="0.25">
      <c r="L193" s="49"/>
    </row>
    <row r="194" spans="12:12" x14ac:dyDescent="0.25">
      <c r="L194" s="49"/>
    </row>
    <row r="195" spans="12:12" x14ac:dyDescent="0.25">
      <c r="L195" s="49"/>
    </row>
    <row r="196" spans="12:12" x14ac:dyDescent="0.25">
      <c r="L196" s="49"/>
    </row>
    <row r="197" spans="12:12" x14ac:dyDescent="0.25">
      <c r="L197" s="49"/>
    </row>
    <row r="198" spans="12:12" x14ac:dyDescent="0.25">
      <c r="L198" s="49"/>
    </row>
    <row r="199" spans="12:12" x14ac:dyDescent="0.25">
      <c r="L199" s="49"/>
    </row>
    <row r="200" spans="12:12" x14ac:dyDescent="0.25">
      <c r="L200" s="49"/>
    </row>
    <row r="201" spans="12:12" x14ac:dyDescent="0.25">
      <c r="L201" s="49"/>
    </row>
    <row r="202" spans="12:12" x14ac:dyDescent="0.25">
      <c r="L202" s="49"/>
    </row>
    <row r="203" spans="12:12" x14ac:dyDescent="0.25">
      <c r="L203" s="49"/>
    </row>
    <row r="204" spans="12:12" x14ac:dyDescent="0.25">
      <c r="L204" s="49"/>
    </row>
    <row r="205" spans="12:12" x14ac:dyDescent="0.25">
      <c r="L205" s="49"/>
    </row>
    <row r="206" spans="12:12" x14ac:dyDescent="0.25">
      <c r="L206" s="49"/>
    </row>
    <row r="207" spans="12:12" x14ac:dyDescent="0.25">
      <c r="L207" s="49"/>
    </row>
    <row r="208" spans="12:12" x14ac:dyDescent="0.25">
      <c r="L208" s="49"/>
    </row>
    <row r="209" spans="12:12" x14ac:dyDescent="0.25">
      <c r="L209" s="49"/>
    </row>
    <row r="210" spans="12:12" x14ac:dyDescent="0.25">
      <c r="L210" s="49"/>
    </row>
    <row r="211" spans="12:12" x14ac:dyDescent="0.25">
      <c r="L211" s="49"/>
    </row>
    <row r="212" spans="12:12" x14ac:dyDescent="0.25">
      <c r="L212" s="49"/>
    </row>
    <row r="213" spans="12:12" x14ac:dyDescent="0.25">
      <c r="L213" s="49"/>
    </row>
    <row r="214" spans="12:12" x14ac:dyDescent="0.25">
      <c r="L214" s="49"/>
    </row>
    <row r="215" spans="12:12" x14ac:dyDescent="0.25">
      <c r="L215" s="49"/>
    </row>
    <row r="216" spans="12:12" x14ac:dyDescent="0.25">
      <c r="L216" s="49"/>
    </row>
    <row r="217" spans="12:12" x14ac:dyDescent="0.25">
      <c r="L217" s="49"/>
    </row>
    <row r="218" spans="12:12" x14ac:dyDescent="0.25">
      <c r="L218" s="49"/>
    </row>
    <row r="219" spans="12:12" x14ac:dyDescent="0.25">
      <c r="L219" s="49"/>
    </row>
    <row r="220" spans="12:12" x14ac:dyDescent="0.25">
      <c r="L220" s="49"/>
    </row>
    <row r="221" spans="12:12" x14ac:dyDescent="0.25">
      <c r="L221" s="49"/>
    </row>
    <row r="222" spans="12:12" x14ac:dyDescent="0.25">
      <c r="L222" s="49"/>
    </row>
    <row r="223" spans="12:12" x14ac:dyDescent="0.25">
      <c r="L223" s="49"/>
    </row>
    <row r="224" spans="12:12" x14ac:dyDescent="0.25">
      <c r="L224" s="49"/>
    </row>
    <row r="225" spans="12:12" x14ac:dyDescent="0.25">
      <c r="L225" s="49"/>
    </row>
    <row r="226" spans="12:12" x14ac:dyDescent="0.25">
      <c r="L226" s="49"/>
    </row>
    <row r="227" spans="12:12" x14ac:dyDescent="0.25">
      <c r="L227" s="49"/>
    </row>
    <row r="228" spans="12:12" x14ac:dyDescent="0.25">
      <c r="L228" s="49"/>
    </row>
    <row r="229" spans="12:12" x14ac:dyDescent="0.25">
      <c r="L229" s="49"/>
    </row>
    <row r="230" spans="12:12" x14ac:dyDescent="0.25">
      <c r="L230" s="49"/>
    </row>
    <row r="231" spans="12:12" x14ac:dyDescent="0.25">
      <c r="L231" s="49"/>
    </row>
    <row r="232" spans="12:12" x14ac:dyDescent="0.25">
      <c r="L232" s="49"/>
    </row>
    <row r="233" spans="12:12" x14ac:dyDescent="0.25">
      <c r="L233" s="49"/>
    </row>
    <row r="234" spans="12:12" x14ac:dyDescent="0.25">
      <c r="L234" s="49"/>
    </row>
    <row r="235" spans="12:12" x14ac:dyDescent="0.25">
      <c r="L235" s="49"/>
    </row>
    <row r="236" spans="12:12" x14ac:dyDescent="0.25">
      <c r="L236" s="49"/>
    </row>
    <row r="237" spans="12:12" x14ac:dyDescent="0.25">
      <c r="L237" s="49"/>
    </row>
    <row r="238" spans="12:12" x14ac:dyDescent="0.25">
      <c r="L238" s="49"/>
    </row>
    <row r="239" spans="12:12" x14ac:dyDescent="0.25">
      <c r="L239" s="49"/>
    </row>
    <row r="240" spans="12:12" x14ac:dyDescent="0.25">
      <c r="L240" s="49"/>
    </row>
    <row r="241" spans="12:12" x14ac:dyDescent="0.25">
      <c r="L241" s="49"/>
    </row>
    <row r="242" spans="12:12" x14ac:dyDescent="0.25">
      <c r="L242" s="49"/>
    </row>
    <row r="243" spans="12:12" x14ac:dyDescent="0.25">
      <c r="L243" s="49"/>
    </row>
    <row r="244" spans="12:12" x14ac:dyDescent="0.25">
      <c r="L244" s="49"/>
    </row>
    <row r="245" spans="12:12" x14ac:dyDescent="0.25">
      <c r="L245" s="49"/>
    </row>
    <row r="246" spans="12:12" x14ac:dyDescent="0.25">
      <c r="L246" s="49"/>
    </row>
    <row r="247" spans="12:12" x14ac:dyDescent="0.25">
      <c r="L247" s="49"/>
    </row>
    <row r="248" spans="12:12" x14ac:dyDescent="0.25">
      <c r="L248" s="49"/>
    </row>
    <row r="249" spans="12:12" x14ac:dyDescent="0.25">
      <c r="L249" s="49"/>
    </row>
    <row r="250" spans="12:12" x14ac:dyDescent="0.25">
      <c r="L250" s="49"/>
    </row>
    <row r="251" spans="12:12" x14ac:dyDescent="0.25">
      <c r="L251" s="49"/>
    </row>
    <row r="252" spans="12:12" x14ac:dyDescent="0.25">
      <c r="L252" s="49"/>
    </row>
    <row r="253" spans="12:12" x14ac:dyDescent="0.25">
      <c r="L253" s="49"/>
    </row>
    <row r="254" spans="12:12" x14ac:dyDescent="0.25">
      <c r="L254" s="49"/>
    </row>
    <row r="255" spans="12:12" x14ac:dyDescent="0.25">
      <c r="L255" s="49"/>
    </row>
    <row r="256" spans="12:12" x14ac:dyDescent="0.25">
      <c r="L256" s="49"/>
    </row>
    <row r="257" spans="12:12" x14ac:dyDescent="0.25">
      <c r="L257" s="49"/>
    </row>
    <row r="258" spans="12:12" x14ac:dyDescent="0.25">
      <c r="L258" s="49"/>
    </row>
  </sheetData>
  <mergeCells count="3">
    <mergeCell ref="R3:S3"/>
    <mergeCell ref="U3:V3"/>
    <mergeCell ref="AC3:AI3"/>
  </mergeCells>
  <conditionalFormatting sqref="N6 Q6 S15:AA16 Q8:Q18 N8:N20 AE8:AJ11 AE6:AJ6 AM6:AN6 R8:Y11 AR6:AV6 S12:Y14 R14:R16 AG14:AG16 AG12 AM14:AN18 AR14:AV16 AM8:AN12 AR8:AV12">
    <cfRule type="expression" dxfId="1090" priority="80">
      <formula>$L6="API sand"</formula>
    </cfRule>
  </conditionalFormatting>
  <conditionalFormatting sqref="AJ12:AJ16 N6 AB15:AB16 AK6:AL6 AK8:AL11 N8:N20 AK13:AL18">
    <cfRule type="expression" dxfId="1089" priority="79">
      <formula>$M6="API sand"</formula>
    </cfRule>
  </conditionalFormatting>
  <conditionalFormatting sqref="AJ12:AJ16 N6 AK6:AL6 AB15:AB16 AK8:AL11 N8:N20 AK13:AL18">
    <cfRule type="expression" dxfId="1088" priority="78">
      <formula>$M6="API clay"</formula>
    </cfRule>
  </conditionalFormatting>
  <conditionalFormatting sqref="AM6:AN6 N6:P6 N8:P11 AM8:AN12 AM14:AN18">
    <cfRule type="expression" dxfId="1087" priority="75">
      <formula>$L6="Stiff clay w/o free water"</formula>
    </cfRule>
    <cfRule type="expression" dxfId="1086" priority="77">
      <formula>$L6="API clay"</formula>
    </cfRule>
  </conditionalFormatting>
  <conditionalFormatting sqref="AM6:AN6 N6:P6 N8:P11 AM8:AN12 AM14:AN18">
    <cfRule type="expression" dxfId="1085" priority="76">
      <formula>$L6="Kirsch soft clay"</formula>
    </cfRule>
  </conditionalFormatting>
  <conditionalFormatting sqref="AM6:AN6 N6:P6 N8:P11 AM8:AN12 AM14:AN18">
    <cfRule type="expression" dxfId="1084" priority="74">
      <formula>$L6="Kirsch stiff clay"</formula>
    </cfRule>
  </conditionalFormatting>
  <conditionalFormatting sqref="N6 Q6 S15:AA16 Q8:Q18 N8:N20 AE8:AJ11 AE6:AJ6 AM6:AN6 R8:Y11 AR6:AV6 S12:Y14 R14:R16 AG14:AG16 AG12 AM14:AN18 AR14:AV16 AM8:AN12 AR8:AV12">
    <cfRule type="expression" dxfId="1083" priority="73">
      <formula>$L6="Kirsch sand"</formula>
    </cfRule>
  </conditionalFormatting>
  <conditionalFormatting sqref="N6 AC6:AD6 AM6:AN6 AC8:AD18 N8:N20 AM8:AN12 AM14:AN18">
    <cfRule type="expression" dxfId="1082" priority="72">
      <formula>$L6="Modified Weak rock"</formula>
    </cfRule>
  </conditionalFormatting>
  <conditionalFormatting sqref="AM6:AN6 N6:P6 N8:P11 AM8:AN12 AM14:AN18">
    <cfRule type="expression" dxfId="1081" priority="71">
      <formula>$L6="Reese stiff clay"</formula>
    </cfRule>
  </conditionalFormatting>
  <conditionalFormatting sqref="N21:N39 Q19:Q39 AM19:AN39">
    <cfRule type="expression" dxfId="1080" priority="70">
      <formula>$L19="API sand"</formula>
    </cfRule>
  </conditionalFormatting>
  <conditionalFormatting sqref="N21:N39 Z19:Z39 AB19:AB39 R19:S39 AJ19:AL39">
    <cfRule type="expression" dxfId="1079" priority="69">
      <formula>$M19="API sand"</formula>
    </cfRule>
  </conditionalFormatting>
  <conditionalFormatting sqref="Z19:AB39 AK19:AL39 R19:T39 N21:N39">
    <cfRule type="expression" dxfId="1078" priority="68">
      <formula>$M19="API clay"</formula>
    </cfRule>
  </conditionalFormatting>
  <conditionalFormatting sqref="U19:W39 AM19:AN39 N32:P39 N21:N31 P19:P31">
    <cfRule type="expression" dxfId="1077" priority="65">
      <formula>$L19="Stiff clay w/o free water"</formula>
    </cfRule>
    <cfRule type="expression" dxfId="1076" priority="67">
      <formula>$L19="API clay"</formula>
    </cfRule>
  </conditionalFormatting>
  <conditionalFormatting sqref="U19:Y39 AM19:AN39 N32:P39 N21:N31 P19:P31">
    <cfRule type="expression" dxfId="1075" priority="66">
      <formula>$L19="Kirsch soft clay"</formula>
    </cfRule>
  </conditionalFormatting>
  <conditionalFormatting sqref="AM19:AN39 U19:Y39 N32:P39 N21:N31 P19:P31">
    <cfRule type="expression" dxfId="1074" priority="64">
      <formula>$L19="Kirsch stiff clay"</formula>
    </cfRule>
  </conditionalFormatting>
  <conditionalFormatting sqref="N21:N39 Q19:Q39 X19:Y39 AM19:AN39">
    <cfRule type="expression" dxfId="1073" priority="63">
      <formula>$L19="Kirsch sand"</formula>
    </cfRule>
  </conditionalFormatting>
  <conditionalFormatting sqref="N21:N39 AC19:AI22 AM19:AN39 AC23:AD39 AI23:AI39">
    <cfRule type="expression" dxfId="1072" priority="62">
      <formula>$L19="Modified Weak rock"</formula>
    </cfRule>
  </conditionalFormatting>
  <conditionalFormatting sqref="U19:V39 AM19:AN39 N32:P39 N21:N31 P19:P31">
    <cfRule type="expression" dxfId="1071" priority="61">
      <formula>$L19="Reese stiff clay"</formula>
    </cfRule>
  </conditionalFormatting>
  <conditionalFormatting sqref="AC6:AD6 AM6:AN6 N6:P6 AC8:AD18 N8:P11 AM8:AN12 AM14:AN18">
    <cfRule type="expression" dxfId="1070" priority="60">
      <formula>$L6="PISA clay"</formula>
    </cfRule>
  </conditionalFormatting>
  <conditionalFormatting sqref="N6 AC6:AD6 AM6:AN6 AC8:AD18 N8:N20 AM8:AN12 AM14:AN18">
    <cfRule type="expression" dxfId="1069" priority="59">
      <formula>$L6="PISA sand"</formula>
    </cfRule>
  </conditionalFormatting>
  <conditionalFormatting sqref="R6:Y6 R12">
    <cfRule type="expression" dxfId="1068" priority="58">
      <formula>$L6="API sand"</formula>
    </cfRule>
  </conditionalFormatting>
  <conditionalFormatting sqref="R6:Y6 R12">
    <cfRule type="expression" dxfId="1067" priority="57">
      <formula>$L6="Kirsch sand"</formula>
    </cfRule>
  </conditionalFormatting>
  <conditionalFormatting sqref="N12:P15 N16:O16 P17:P18 O17:O21 N17:N20">
    <cfRule type="expression" dxfId="1066" priority="54">
      <formula>$L12="Stiff clay w/o free water"</formula>
    </cfRule>
    <cfRule type="expression" dxfId="1065" priority="56">
      <formula>$L12="API clay"</formula>
    </cfRule>
  </conditionalFormatting>
  <conditionalFormatting sqref="N12:P15 N16:O16 P17:P18 O17:O21 N17:N20">
    <cfRule type="expression" dxfId="1064" priority="55">
      <formula>$L12="Kirsch soft clay"</formula>
    </cfRule>
  </conditionalFormatting>
  <conditionalFormatting sqref="N12:P15 N16:O16 P17:P18 O17:O21 N17:N20">
    <cfRule type="expression" dxfId="1063" priority="53">
      <formula>$L12="Kirsch stiff clay"</formula>
    </cfRule>
  </conditionalFormatting>
  <conditionalFormatting sqref="N12:P15 N16:O16 P17:P18 O17:O21 N17:N20">
    <cfRule type="expression" dxfId="1062" priority="52">
      <formula>$L12="Reese stiff clay"</formula>
    </cfRule>
  </conditionalFormatting>
  <conditionalFormatting sqref="N12:P15 N16:O16 P17:P18 O17:O21 N17:N20">
    <cfRule type="expression" dxfId="1061" priority="51">
      <formula>$L12="PISA clay"</formula>
    </cfRule>
  </conditionalFormatting>
  <conditionalFormatting sqref="R17:AB18">
    <cfRule type="expression" dxfId="1060" priority="50">
      <formula>$L17="API sand"</formula>
    </cfRule>
  </conditionalFormatting>
  <conditionalFormatting sqref="R17:AB18">
    <cfRule type="expression" dxfId="1059" priority="49">
      <formula>$L17="Kirsch sand"</formula>
    </cfRule>
  </conditionalFormatting>
  <conditionalFormatting sqref="AE17:AJ18 AE12:AF16 AH12:AI16">
    <cfRule type="expression" dxfId="1058" priority="48">
      <formula>$L12="API sand"</formula>
    </cfRule>
  </conditionalFormatting>
  <conditionalFormatting sqref="AE17:AJ18 AE12:AF16 AH12:AI16">
    <cfRule type="expression" dxfId="1057" priority="47">
      <formula>$L12="Kirsch sand"</formula>
    </cfRule>
  </conditionalFormatting>
  <conditionalFormatting sqref="O22:O24">
    <cfRule type="expression" dxfId="1056" priority="46">
      <formula>$L22="API sand"</formula>
    </cfRule>
  </conditionalFormatting>
  <conditionalFormatting sqref="O22:O24">
    <cfRule type="expression" dxfId="1055" priority="45">
      <formula>$L22="Kirsch sand"</formula>
    </cfRule>
  </conditionalFormatting>
  <conditionalFormatting sqref="O25:O31">
    <cfRule type="expression" dxfId="1054" priority="44">
      <formula>$L25="API sand"</formula>
    </cfRule>
  </conditionalFormatting>
  <conditionalFormatting sqref="O25:O31">
    <cfRule type="expression" dxfId="1053" priority="43">
      <formula>$L25="Kirsch sand"</formula>
    </cfRule>
  </conditionalFormatting>
  <conditionalFormatting sqref="P16">
    <cfRule type="expression" dxfId="1052" priority="40">
      <formula>$L16="Stiff clay w/o free water"</formula>
    </cfRule>
    <cfRule type="expression" dxfId="1051" priority="42">
      <formula>$L16="API clay"</formula>
    </cfRule>
  </conditionalFormatting>
  <conditionalFormatting sqref="P16">
    <cfRule type="expression" dxfId="1050" priority="41">
      <formula>$L16="Kirsch soft clay"</formula>
    </cfRule>
  </conditionalFormatting>
  <conditionalFormatting sqref="P16">
    <cfRule type="expression" dxfId="1049" priority="39">
      <formula>$L16="Kirsch stiff clay"</formula>
    </cfRule>
  </conditionalFormatting>
  <conditionalFormatting sqref="P16">
    <cfRule type="expression" dxfId="1048" priority="38">
      <formula>$L16="Reese stiff clay"</formula>
    </cfRule>
  </conditionalFormatting>
  <conditionalFormatting sqref="P16">
    <cfRule type="expression" dxfId="1047" priority="37">
      <formula>$L16="PISA clay"</formula>
    </cfRule>
  </conditionalFormatting>
  <conditionalFormatting sqref="N7 Q7 AE7:AJ7 AM7:AN7 AR7:AV7 AG13 AM13:AN13 AR13:AV13">
    <cfRule type="expression" dxfId="1046" priority="36">
      <formula>$L7="API sand"</formula>
    </cfRule>
  </conditionalFormatting>
  <conditionalFormatting sqref="N7 AK7:AL7 AK12:AL12">
    <cfRule type="expression" dxfId="1045" priority="35">
      <formula>$M7="API sand"</formula>
    </cfRule>
  </conditionalFormatting>
  <conditionalFormatting sqref="N7 AK7:AL7 AK12:AL12">
    <cfRule type="expression" dxfId="1044" priority="34">
      <formula>$M7="API clay"</formula>
    </cfRule>
  </conditionalFormatting>
  <conditionalFormatting sqref="AM7:AN7 N7:P7 AM13:AN13">
    <cfRule type="expression" dxfId="1043" priority="31">
      <formula>$L7="Stiff clay w/o free water"</formula>
    </cfRule>
    <cfRule type="expression" dxfId="1042" priority="33">
      <formula>$L7="API clay"</formula>
    </cfRule>
  </conditionalFormatting>
  <conditionalFormatting sqref="AM7:AN7 N7:P7 AM13:AN13">
    <cfRule type="expression" dxfId="1041" priority="32">
      <formula>$L7="Kirsch soft clay"</formula>
    </cfRule>
  </conditionalFormatting>
  <conditionalFormatting sqref="AM7:AN7 N7:P7 AM13:AN13">
    <cfRule type="expression" dxfId="1040" priority="30">
      <formula>$L7="Kirsch stiff clay"</formula>
    </cfRule>
  </conditionalFormatting>
  <conditionalFormatting sqref="N7 Q7 AE7:AJ7 AM7:AN7 AR7:AV7 AG13 AM13:AN13 AR13:AV13">
    <cfRule type="expression" dxfId="1039" priority="29">
      <formula>$L7="Kirsch sand"</formula>
    </cfRule>
  </conditionalFormatting>
  <conditionalFormatting sqref="N7 AC7:AD7 AM7:AN7 AM13:AN13">
    <cfRule type="expression" dxfId="1038" priority="28">
      <formula>$L7="Modified Weak rock"</formula>
    </cfRule>
  </conditionalFormatting>
  <conditionalFormatting sqref="AM7:AN7 N7:P7 AM13:AN13">
    <cfRule type="expression" dxfId="1037" priority="27">
      <formula>$L7="Reese stiff clay"</formula>
    </cfRule>
  </conditionalFormatting>
  <conditionalFormatting sqref="AC7:AD7 AM7:AN7 N7:P7 AM13:AN13">
    <cfRule type="expression" dxfId="1036" priority="26">
      <formula>$L7="PISA clay"</formula>
    </cfRule>
  </conditionalFormatting>
  <conditionalFormatting sqref="N7 AC7:AD7 AM7:AN7 AM13:AN13">
    <cfRule type="expression" dxfId="1035" priority="25">
      <formula>$L7="PISA sand"</formula>
    </cfRule>
  </conditionalFormatting>
  <conditionalFormatting sqref="R7:Y7 R13">
    <cfRule type="expression" dxfId="1034" priority="24">
      <formula>$L7="API sand"</formula>
    </cfRule>
  </conditionalFormatting>
  <conditionalFormatting sqref="R7:Y7 R13">
    <cfRule type="expression" dxfId="1033" priority="23">
      <formula>$L7="Kirsch sand"</formula>
    </cfRule>
  </conditionalFormatting>
  <conditionalFormatting sqref="Z6:Z14 AB6:AB14">
    <cfRule type="expression" dxfId="1032" priority="22">
      <formula>$M6="API sand"</formula>
    </cfRule>
  </conditionalFormatting>
  <conditionalFormatting sqref="Z6:AB14">
    <cfRule type="expression" dxfId="1031" priority="21">
      <formula>$M6="API clay"</formula>
    </cfRule>
  </conditionalFormatting>
  <conditionalFormatting sqref="AO6:AP18">
    <cfRule type="expression" dxfId="1030" priority="20">
      <formula>$L6="API sand"</formula>
    </cfRule>
  </conditionalFormatting>
  <conditionalFormatting sqref="AO6:AP18">
    <cfRule type="expression" dxfId="1029" priority="17">
      <formula>$L6="Stiff clay w/o free water"</formula>
    </cfRule>
    <cfRule type="expression" dxfId="1028" priority="19">
      <formula>$L6="API clay"</formula>
    </cfRule>
  </conditionalFormatting>
  <conditionalFormatting sqref="AO6:AP18">
    <cfRule type="expression" dxfId="1027" priority="18">
      <formula>$L6="Kirsch soft clay"</formula>
    </cfRule>
  </conditionalFormatting>
  <conditionalFormatting sqref="AO6:AP18">
    <cfRule type="expression" dxfId="1026" priority="16">
      <formula>$L6="Kirsch stiff clay"</formula>
    </cfRule>
  </conditionalFormatting>
  <conditionalFormatting sqref="AO6:AP18">
    <cfRule type="expression" dxfId="1025" priority="15">
      <formula>$L6="Kirsch sand"</formula>
    </cfRule>
  </conditionalFormatting>
  <conditionalFormatting sqref="AO6:AP18">
    <cfRule type="expression" dxfId="1024" priority="14">
      <formula>$L6="Modified Weak rock"</formula>
    </cfRule>
  </conditionalFormatting>
  <conditionalFormatting sqref="AO6:AP18">
    <cfRule type="expression" dxfId="1023" priority="13">
      <formula>$L6="Reese stiff clay"</formula>
    </cfRule>
  </conditionalFormatting>
  <conditionalFormatting sqref="AO19:AP36">
    <cfRule type="expression" dxfId="1022" priority="12">
      <formula>$L19="API sand"</formula>
    </cfRule>
  </conditionalFormatting>
  <conditionalFormatting sqref="AO19:AP36">
    <cfRule type="expression" dxfId="1021" priority="9">
      <formula>$L19="Stiff clay w/o free water"</formula>
    </cfRule>
    <cfRule type="expression" dxfId="1020" priority="11">
      <formula>$L19="API clay"</formula>
    </cfRule>
  </conditionalFormatting>
  <conditionalFormatting sqref="AO19:AP36">
    <cfRule type="expression" dxfId="1019" priority="10">
      <formula>$L19="Kirsch soft clay"</formula>
    </cfRule>
  </conditionalFormatting>
  <conditionalFormatting sqref="AO19:AP36">
    <cfRule type="expression" dxfId="1018" priority="8">
      <formula>$L19="Kirsch stiff clay"</formula>
    </cfRule>
  </conditionalFormatting>
  <conditionalFormatting sqref="AO19:AP36">
    <cfRule type="expression" dxfId="1017" priority="7">
      <formula>$L19="Kirsch sand"</formula>
    </cfRule>
  </conditionalFormatting>
  <conditionalFormatting sqref="AO19:AP36">
    <cfRule type="expression" dxfId="1016" priority="6">
      <formula>$L19="Modified Weak rock"</formula>
    </cfRule>
  </conditionalFormatting>
  <conditionalFormatting sqref="AO19:AP36">
    <cfRule type="expression" dxfId="1015" priority="5">
      <formula>$L19="Reese stiff clay"</formula>
    </cfRule>
  </conditionalFormatting>
  <conditionalFormatting sqref="AO6:AP18">
    <cfRule type="expression" dxfId="1014" priority="4">
      <formula>$L6="PISA clay"</formula>
    </cfRule>
  </conditionalFormatting>
  <conditionalFormatting sqref="AO6:AP18">
    <cfRule type="expression" dxfId="1013" priority="3">
      <formula>$L6="PISA sand"</formula>
    </cfRule>
  </conditionalFormatting>
  <conditionalFormatting sqref="AQ6:AQ19">
    <cfRule type="expression" dxfId="1012" priority="2">
      <formula>$L6="API sand"</formula>
    </cfRule>
  </conditionalFormatting>
  <conditionalFormatting sqref="AQ6:AQ19">
    <cfRule type="expression" dxfId="1011" priority="1">
      <formula>$L6="Kirsch sand"</formula>
    </cfRule>
  </conditionalFormatting>
  <dataValidations count="3">
    <dataValidation type="list" showInputMessage="1" showErrorMessage="1" sqref="M19:M39" xr:uid="{ECC28EBF-B193-41A5-9A23-EDB1E08E800F}">
      <formula1>"',API sand,API clay"</formula1>
    </dataValidation>
    <dataValidation type="list" showInputMessage="1" showErrorMessage="1" sqref="L17:L258" xr:uid="{BB7170C7-99E3-4F37-AF49-D7DD5277DFBA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8" xr:uid="{52D44D83-FDDC-4A0A-B664-97CE3669DD33}">
      <formula1>"Zero soil,API sand,API clay"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AD67A-93EA-4E59-AD73-7E3BF1406E03}">
  <sheetPr>
    <tabColor theme="1" tint="0.249977111117893"/>
  </sheetPr>
  <dimension ref="A1:BS80"/>
  <sheetViews>
    <sheetView workbookViewId="0">
      <selection activeCell="AU2" sqref="AU2:AU3"/>
    </sheetView>
  </sheetViews>
  <sheetFormatPr defaultRowHeight="15" x14ac:dyDescent="0.25"/>
  <cols>
    <col min="2" max="2" width="9.140625" style="84"/>
    <col min="4" max="4" width="9.140625" style="84"/>
    <col min="9" max="12" width="9.140625" style="84"/>
    <col min="15" max="15" width="9.140625" style="84"/>
    <col min="19" max="19" width="9.140625" style="84"/>
    <col min="25" max="26" width="9.140625" style="84"/>
    <col min="29" max="30" width="9.140625" style="84"/>
    <col min="33" max="34" width="9.140625" style="84"/>
    <col min="37" max="37" width="9.140625" style="84"/>
    <col min="40" max="41" width="9.140625" style="84"/>
    <col min="44" max="44" width="9.140625" style="84"/>
    <col min="47" max="47" width="9.140625" style="84"/>
    <col min="50" max="51" width="9.140625" style="84"/>
    <col min="57" max="59" width="9.140625" style="84"/>
    <col min="62" max="66" width="9.140625" style="84"/>
  </cols>
  <sheetData>
    <row r="1" spans="1:71" x14ac:dyDescent="0.25">
      <c r="A1" t="s">
        <v>121</v>
      </c>
      <c r="B1" s="84" t="s">
        <v>0</v>
      </c>
      <c r="C1" t="s">
        <v>122</v>
      </c>
      <c r="D1" s="84" t="s">
        <v>123</v>
      </c>
      <c r="E1" t="s">
        <v>124</v>
      </c>
      <c r="F1" t="s">
        <v>125</v>
      </c>
      <c r="G1" t="s">
        <v>126</v>
      </c>
      <c r="H1" t="s">
        <v>42</v>
      </c>
      <c r="I1" s="84" t="s">
        <v>127</v>
      </c>
      <c r="J1" s="84" t="s">
        <v>128</v>
      </c>
      <c r="K1" s="84" t="s">
        <v>129</v>
      </c>
      <c r="L1" s="84" t="s">
        <v>4</v>
      </c>
      <c r="M1" t="s">
        <v>130</v>
      </c>
      <c r="N1" t="s">
        <v>131</v>
      </c>
      <c r="O1" s="84" t="s">
        <v>132</v>
      </c>
      <c r="P1" t="s">
        <v>133</v>
      </c>
      <c r="Q1" t="s">
        <v>134</v>
      </c>
      <c r="R1" t="s">
        <v>135</v>
      </c>
      <c r="S1" s="84" t="s">
        <v>7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s="84" t="s">
        <v>90</v>
      </c>
      <c r="Z1" s="84" t="s">
        <v>141</v>
      </c>
      <c r="AA1" t="s">
        <v>142</v>
      </c>
      <c r="AB1" t="s">
        <v>143</v>
      </c>
      <c r="AC1" s="84" t="s">
        <v>144</v>
      </c>
      <c r="AD1" s="84" t="s">
        <v>8</v>
      </c>
      <c r="AE1" t="s">
        <v>145</v>
      </c>
      <c r="AF1" t="s">
        <v>146</v>
      </c>
      <c r="AG1" s="84" t="s">
        <v>161</v>
      </c>
      <c r="AH1" s="84" t="s">
        <v>10</v>
      </c>
      <c r="AI1" t="s">
        <v>147</v>
      </c>
      <c r="AJ1" t="s">
        <v>148</v>
      </c>
      <c r="AK1" s="84" t="s">
        <v>149</v>
      </c>
      <c r="AL1" t="s">
        <v>151</v>
      </c>
      <c r="AM1" t="s">
        <v>152</v>
      </c>
      <c r="AN1" s="84" t="s">
        <v>153</v>
      </c>
      <c r="AO1" s="84" t="s">
        <v>150</v>
      </c>
      <c r="AP1" t="s">
        <v>154</v>
      </c>
      <c r="AQ1" t="s">
        <v>155</v>
      </c>
      <c r="AR1" s="84" t="s">
        <v>11</v>
      </c>
      <c r="AS1" t="s">
        <v>156</v>
      </c>
      <c r="AT1" t="s">
        <v>157</v>
      </c>
      <c r="AU1" s="84" t="s">
        <v>158</v>
      </c>
      <c r="AV1" t="s">
        <v>159</v>
      </c>
      <c r="AW1" t="s">
        <v>160</v>
      </c>
      <c r="AX1" s="84" t="s">
        <v>18</v>
      </c>
      <c r="AY1" s="84" t="s">
        <v>162</v>
      </c>
      <c r="AZ1" t="s">
        <v>163</v>
      </c>
      <c r="BA1" t="s">
        <v>164</v>
      </c>
      <c r="BB1" t="s">
        <v>165</v>
      </c>
      <c r="BC1" t="s">
        <v>166</v>
      </c>
      <c r="BD1" t="s">
        <v>167</v>
      </c>
      <c r="BE1" s="84" t="s">
        <v>168</v>
      </c>
      <c r="BF1" s="84" t="s">
        <v>21</v>
      </c>
      <c r="BG1" s="84" t="s">
        <v>66</v>
      </c>
      <c r="BH1" t="s">
        <v>169</v>
      </c>
      <c r="BI1" t="s">
        <v>170</v>
      </c>
      <c r="BJ1" s="84" t="s">
        <v>171</v>
      </c>
      <c r="BK1" s="84" t="s">
        <v>172</v>
      </c>
      <c r="BL1" s="84" t="s">
        <v>173</v>
      </c>
      <c r="BM1" s="84" t="s">
        <v>174</v>
      </c>
      <c r="BN1" s="84" t="s">
        <v>175</v>
      </c>
      <c r="BO1" t="s">
        <v>176</v>
      </c>
    </row>
    <row r="2" spans="1:71" ht="30" x14ac:dyDescent="0.25">
      <c r="A2" s="19" t="s">
        <v>117</v>
      </c>
      <c r="B2" s="86">
        <v>1</v>
      </c>
      <c r="C2" s="19">
        <v>0</v>
      </c>
      <c r="D2" s="86">
        <v>0</v>
      </c>
      <c r="E2" s="19">
        <v>-0.9</v>
      </c>
      <c r="F2" s="19" t="s">
        <v>111</v>
      </c>
      <c r="G2" s="19">
        <v>0</v>
      </c>
      <c r="H2" s="19">
        <v>0</v>
      </c>
      <c r="I2" s="86" t="s">
        <v>112</v>
      </c>
      <c r="J2" s="86" t="s">
        <v>64</v>
      </c>
      <c r="K2" s="86">
        <v>9.6999999999999993</v>
      </c>
      <c r="L2" s="86">
        <v>0</v>
      </c>
      <c r="M2" s="19">
        <v>0</v>
      </c>
      <c r="N2" s="19">
        <v>0</v>
      </c>
      <c r="O2" s="86">
        <v>0</v>
      </c>
      <c r="P2" s="19">
        <v>0</v>
      </c>
      <c r="Q2" s="19">
        <v>0</v>
      </c>
      <c r="R2" s="19">
        <v>0</v>
      </c>
      <c r="S2" s="86">
        <v>40</v>
      </c>
      <c r="T2" s="19">
        <v>37</v>
      </c>
      <c r="U2" s="19">
        <v>43</v>
      </c>
      <c r="V2" s="19">
        <v>35</v>
      </c>
      <c r="W2" s="19">
        <v>32</v>
      </c>
      <c r="X2" s="19">
        <v>38</v>
      </c>
      <c r="Y2" s="86">
        <v>8400</v>
      </c>
      <c r="Z2" s="86">
        <v>0</v>
      </c>
      <c r="AA2" s="19">
        <v>8400</v>
      </c>
      <c r="AB2" s="19">
        <v>8400</v>
      </c>
      <c r="AC2" s="86">
        <v>0.5</v>
      </c>
      <c r="AD2" s="86">
        <v>0</v>
      </c>
      <c r="AE2" s="19">
        <v>0</v>
      </c>
      <c r="AF2" s="19">
        <v>0</v>
      </c>
      <c r="AG2" s="86">
        <v>0</v>
      </c>
      <c r="AH2" s="86">
        <v>0</v>
      </c>
      <c r="AI2" s="19">
        <v>0</v>
      </c>
      <c r="AJ2" s="19">
        <v>0</v>
      </c>
      <c r="AK2" s="86">
        <v>115</v>
      </c>
      <c r="AL2" s="19">
        <v>103.6</v>
      </c>
      <c r="AM2" s="19">
        <v>122.6</v>
      </c>
      <c r="AN2" s="86">
        <v>1</v>
      </c>
      <c r="AO2" s="86">
        <v>12000</v>
      </c>
      <c r="AP2" s="19">
        <v>10560</v>
      </c>
      <c r="AQ2" s="19">
        <v>12960</v>
      </c>
      <c r="AR2" s="86">
        <v>5000</v>
      </c>
      <c r="AS2" s="19">
        <v>0</v>
      </c>
      <c r="AT2" s="19">
        <v>9000</v>
      </c>
      <c r="AU2" s="86">
        <v>1043.5</v>
      </c>
      <c r="AV2" s="19">
        <v>1087</v>
      </c>
      <c r="AW2" s="19">
        <v>1087</v>
      </c>
      <c r="AX2" s="86">
        <v>0.2</v>
      </c>
      <c r="AY2" s="86">
        <v>0</v>
      </c>
      <c r="AZ2" s="19">
        <v>0</v>
      </c>
      <c r="BA2" s="19">
        <v>0</v>
      </c>
      <c r="BB2" s="19">
        <v>0</v>
      </c>
      <c r="BC2" s="19">
        <v>0</v>
      </c>
      <c r="BD2" s="19">
        <v>0</v>
      </c>
      <c r="BE2" s="86">
        <v>0</v>
      </c>
      <c r="BF2" s="86">
        <v>0</v>
      </c>
      <c r="BG2" s="86">
        <v>50</v>
      </c>
      <c r="BH2" s="19">
        <v>44</v>
      </c>
      <c r="BI2" s="19">
        <v>54</v>
      </c>
      <c r="BJ2" s="86">
        <v>1</v>
      </c>
      <c r="BK2" s="86">
        <v>1</v>
      </c>
      <c r="BL2" s="86">
        <v>1</v>
      </c>
      <c r="BM2" s="86">
        <v>1</v>
      </c>
      <c r="BN2" s="86">
        <v>0</v>
      </c>
      <c r="BO2" s="19">
        <v>0.9</v>
      </c>
      <c r="BP2" s="19" t="s">
        <v>113</v>
      </c>
      <c r="BQ2" s="19" t="s">
        <v>114</v>
      </c>
      <c r="BR2" s="19" t="s">
        <v>115</v>
      </c>
      <c r="BS2" s="85">
        <v>44270.637650462966</v>
      </c>
    </row>
    <row r="3" spans="1:71" ht="30" x14ac:dyDescent="0.25">
      <c r="A3" s="19" t="s">
        <v>117</v>
      </c>
      <c r="B3" s="86">
        <v>2</v>
      </c>
      <c r="C3" s="19">
        <v>0</v>
      </c>
      <c r="D3" s="86">
        <v>-0.9</v>
      </c>
      <c r="E3" s="19">
        <v>-1.5</v>
      </c>
      <c r="F3" s="19" t="s">
        <v>111</v>
      </c>
      <c r="G3" s="19">
        <v>0</v>
      </c>
      <c r="H3" s="19">
        <v>0</v>
      </c>
      <c r="I3" s="86" t="s">
        <v>112</v>
      </c>
      <c r="J3" s="86" t="s">
        <v>64</v>
      </c>
      <c r="K3" s="86">
        <v>9.6999999999999993</v>
      </c>
      <c r="L3" s="86">
        <v>0</v>
      </c>
      <c r="M3" s="19">
        <v>0</v>
      </c>
      <c r="N3" s="19">
        <v>0</v>
      </c>
      <c r="O3" s="86">
        <v>0</v>
      </c>
      <c r="P3" s="19">
        <v>0</v>
      </c>
      <c r="Q3" s="19">
        <v>0</v>
      </c>
      <c r="R3" s="19">
        <v>0</v>
      </c>
      <c r="S3" s="86">
        <v>41</v>
      </c>
      <c r="T3" s="19">
        <v>38</v>
      </c>
      <c r="U3" s="19">
        <v>44</v>
      </c>
      <c r="V3" s="19">
        <v>36</v>
      </c>
      <c r="W3" s="19">
        <v>33</v>
      </c>
      <c r="X3" s="19">
        <v>39</v>
      </c>
      <c r="Y3" s="86">
        <v>17900</v>
      </c>
      <c r="Z3" s="86">
        <v>0</v>
      </c>
      <c r="AA3" s="19">
        <v>17900</v>
      </c>
      <c r="AB3" s="19">
        <v>17900</v>
      </c>
      <c r="AC3" s="86">
        <v>0.5</v>
      </c>
      <c r="AD3" s="86">
        <v>0</v>
      </c>
      <c r="AE3" s="19">
        <v>0</v>
      </c>
      <c r="AF3" s="19">
        <v>0</v>
      </c>
      <c r="AG3" s="86">
        <v>0</v>
      </c>
      <c r="AH3" s="86">
        <v>0</v>
      </c>
      <c r="AI3" s="19">
        <v>0</v>
      </c>
      <c r="AJ3" s="19">
        <v>0</v>
      </c>
      <c r="AK3" s="86">
        <v>118.8</v>
      </c>
      <c r="AL3" s="19">
        <v>107.4</v>
      </c>
      <c r="AM3" s="19">
        <v>122.6</v>
      </c>
      <c r="AN3" s="86">
        <v>1</v>
      </c>
      <c r="AO3" s="86">
        <v>12480</v>
      </c>
      <c r="AP3" s="19">
        <v>11040</v>
      </c>
      <c r="AQ3" s="19">
        <v>12960</v>
      </c>
      <c r="AR3" s="86">
        <v>30000</v>
      </c>
      <c r="AS3" s="19">
        <v>22000</v>
      </c>
      <c r="AT3" s="19">
        <v>38000</v>
      </c>
      <c r="AU3" s="86">
        <v>217.4</v>
      </c>
      <c r="AV3" s="19">
        <v>217.4</v>
      </c>
      <c r="AW3" s="19">
        <v>217.4</v>
      </c>
      <c r="AX3" s="86">
        <v>0.2</v>
      </c>
      <c r="AY3" s="86">
        <v>0</v>
      </c>
      <c r="AZ3" s="19">
        <v>0</v>
      </c>
      <c r="BA3" s="19">
        <v>0</v>
      </c>
      <c r="BB3" s="19">
        <v>0</v>
      </c>
      <c r="BC3" s="19">
        <v>0</v>
      </c>
      <c r="BD3" s="19">
        <v>0</v>
      </c>
      <c r="BE3" s="86">
        <v>0</v>
      </c>
      <c r="BF3" s="86">
        <v>0</v>
      </c>
      <c r="BG3" s="86">
        <v>52</v>
      </c>
      <c r="BH3" s="19">
        <v>46</v>
      </c>
      <c r="BI3" s="19">
        <v>54</v>
      </c>
      <c r="BJ3" s="86">
        <v>1</v>
      </c>
      <c r="BK3" s="86">
        <v>1</v>
      </c>
      <c r="BL3" s="86">
        <v>1</v>
      </c>
      <c r="BM3" s="86">
        <v>1</v>
      </c>
      <c r="BN3" s="86">
        <v>0</v>
      </c>
      <c r="BO3" s="19">
        <v>0.9</v>
      </c>
      <c r="BP3" s="19" t="s">
        <v>113</v>
      </c>
      <c r="BQ3" s="19" t="s">
        <v>114</v>
      </c>
      <c r="BR3" s="19" t="s">
        <v>115</v>
      </c>
      <c r="BS3" s="85">
        <v>44270.637650462966</v>
      </c>
    </row>
    <row r="4" spans="1:71" ht="30" x14ac:dyDescent="0.25">
      <c r="A4" s="19" t="s">
        <v>117</v>
      </c>
      <c r="B4" s="86">
        <v>3</v>
      </c>
      <c r="C4" s="19">
        <v>0</v>
      </c>
      <c r="D4" s="86">
        <v>-1.5</v>
      </c>
      <c r="E4" s="19">
        <v>-2</v>
      </c>
      <c r="F4" s="19" t="s">
        <v>116</v>
      </c>
      <c r="G4" s="19">
        <v>0</v>
      </c>
      <c r="H4" s="19">
        <v>0</v>
      </c>
      <c r="I4" s="86" t="s">
        <v>107</v>
      </c>
      <c r="J4" s="86" t="s">
        <v>65</v>
      </c>
      <c r="K4" s="86">
        <v>9.3000000000000007</v>
      </c>
      <c r="L4" s="86">
        <v>162</v>
      </c>
      <c r="M4" s="19">
        <v>126</v>
      </c>
      <c r="N4" s="19">
        <v>197</v>
      </c>
      <c r="O4" s="86">
        <v>-34</v>
      </c>
      <c r="P4" s="19">
        <v>-34</v>
      </c>
      <c r="Q4" s="19">
        <v>-32</v>
      </c>
      <c r="R4" s="19">
        <v>0</v>
      </c>
      <c r="S4" s="86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86">
        <v>11100</v>
      </c>
      <c r="Z4" s="86">
        <v>0</v>
      </c>
      <c r="AA4" s="19">
        <v>11100</v>
      </c>
      <c r="AB4" s="19">
        <v>11100</v>
      </c>
      <c r="AC4" s="86">
        <v>3</v>
      </c>
      <c r="AD4" s="86">
        <v>1.7999999999999999E-2</v>
      </c>
      <c r="AE4" s="19">
        <v>2.2499999999999999E-2</v>
      </c>
      <c r="AF4" s="19">
        <v>1.4999999999999999E-2</v>
      </c>
      <c r="AG4" s="86">
        <v>0</v>
      </c>
      <c r="AH4" s="86">
        <v>0.5</v>
      </c>
      <c r="AI4" s="19">
        <v>0</v>
      </c>
      <c r="AJ4" s="19">
        <v>0</v>
      </c>
      <c r="AK4" s="86">
        <v>0</v>
      </c>
      <c r="AL4" s="19">
        <v>0</v>
      </c>
      <c r="AM4" s="19">
        <v>0</v>
      </c>
      <c r="AN4" s="86">
        <v>1</v>
      </c>
      <c r="AO4" s="86">
        <v>0</v>
      </c>
      <c r="AP4" s="19">
        <v>0</v>
      </c>
      <c r="AQ4" s="19">
        <v>0</v>
      </c>
      <c r="AR4" s="86">
        <v>135000</v>
      </c>
      <c r="AS4" s="19">
        <v>88000</v>
      </c>
      <c r="AT4" s="19">
        <v>182000</v>
      </c>
      <c r="AU4" s="86">
        <v>-695.7</v>
      </c>
      <c r="AV4" s="19">
        <v>-739.1</v>
      </c>
      <c r="AW4" s="19">
        <v>-739.1</v>
      </c>
      <c r="AX4" s="86">
        <v>0.49</v>
      </c>
      <c r="AY4" s="86">
        <v>0</v>
      </c>
      <c r="AZ4" s="19">
        <v>0</v>
      </c>
      <c r="BA4" s="19">
        <v>0</v>
      </c>
      <c r="BB4" s="19">
        <v>0</v>
      </c>
      <c r="BC4" s="19">
        <v>0</v>
      </c>
      <c r="BD4" s="19">
        <v>0</v>
      </c>
      <c r="BE4" s="86">
        <v>0</v>
      </c>
      <c r="BF4" s="86">
        <v>0</v>
      </c>
      <c r="BG4" s="86">
        <v>0</v>
      </c>
      <c r="BH4" s="19">
        <v>0</v>
      </c>
      <c r="BI4" s="19">
        <v>0</v>
      </c>
      <c r="BJ4" s="86">
        <v>1</v>
      </c>
      <c r="BK4" s="86">
        <v>1</v>
      </c>
      <c r="BL4" s="86">
        <v>1</v>
      </c>
      <c r="BM4" s="86">
        <v>1</v>
      </c>
      <c r="BN4" s="86">
        <v>0</v>
      </c>
      <c r="BO4" s="19">
        <v>0.9</v>
      </c>
      <c r="BP4" s="19" t="s">
        <v>113</v>
      </c>
      <c r="BQ4" s="19" t="s">
        <v>114</v>
      </c>
      <c r="BR4" s="19" t="s">
        <v>115</v>
      </c>
      <c r="BS4" s="85">
        <v>44270.89398148148</v>
      </c>
    </row>
    <row r="5" spans="1:71" ht="30" x14ac:dyDescent="0.25">
      <c r="A5" s="19" t="s">
        <v>117</v>
      </c>
      <c r="B5" s="86">
        <v>4</v>
      </c>
      <c r="C5" s="19">
        <v>0</v>
      </c>
      <c r="D5" s="86">
        <v>-2</v>
      </c>
      <c r="E5" s="19">
        <v>-4</v>
      </c>
      <c r="F5" s="19" t="s">
        <v>111</v>
      </c>
      <c r="G5" s="19">
        <v>0</v>
      </c>
      <c r="H5" s="19">
        <v>0</v>
      </c>
      <c r="I5" s="86" t="s">
        <v>112</v>
      </c>
      <c r="J5" s="86" t="s">
        <v>64</v>
      </c>
      <c r="K5" s="86">
        <v>10</v>
      </c>
      <c r="L5" s="86">
        <v>0</v>
      </c>
      <c r="M5" s="19">
        <v>0</v>
      </c>
      <c r="N5" s="19">
        <v>0</v>
      </c>
      <c r="O5" s="86">
        <v>0</v>
      </c>
      <c r="P5" s="19">
        <v>0</v>
      </c>
      <c r="Q5" s="19">
        <v>0</v>
      </c>
      <c r="R5" s="19">
        <v>0</v>
      </c>
      <c r="S5" s="86">
        <v>31</v>
      </c>
      <c r="T5" s="19">
        <v>29</v>
      </c>
      <c r="U5" s="19">
        <v>34</v>
      </c>
      <c r="V5" s="19">
        <v>26</v>
      </c>
      <c r="W5" s="19">
        <v>24</v>
      </c>
      <c r="X5" s="19">
        <v>29</v>
      </c>
      <c r="Y5" s="86">
        <v>14500</v>
      </c>
      <c r="Z5" s="86">
        <v>0</v>
      </c>
      <c r="AA5" s="19">
        <v>14500</v>
      </c>
      <c r="AB5" s="19">
        <v>14500</v>
      </c>
      <c r="AC5" s="86">
        <v>2.8</v>
      </c>
      <c r="AD5" s="86">
        <v>0</v>
      </c>
      <c r="AE5" s="19">
        <v>0</v>
      </c>
      <c r="AF5" s="19">
        <v>0</v>
      </c>
      <c r="AG5" s="86">
        <v>0</v>
      </c>
      <c r="AH5" s="86">
        <v>0</v>
      </c>
      <c r="AI5" s="19">
        <v>0</v>
      </c>
      <c r="AJ5" s="19">
        <v>0</v>
      </c>
      <c r="AK5" s="86">
        <v>84</v>
      </c>
      <c r="AL5" s="19">
        <v>78.2</v>
      </c>
      <c r="AM5" s="19">
        <v>93</v>
      </c>
      <c r="AN5" s="86">
        <v>1</v>
      </c>
      <c r="AO5" s="86">
        <v>5760</v>
      </c>
      <c r="AP5" s="19">
        <v>4420</v>
      </c>
      <c r="AQ5" s="19">
        <v>8640</v>
      </c>
      <c r="AR5" s="86">
        <v>53000</v>
      </c>
      <c r="AS5" s="19">
        <v>40000</v>
      </c>
      <c r="AT5" s="19">
        <v>67000</v>
      </c>
      <c r="AU5" s="86">
        <v>347.8</v>
      </c>
      <c r="AV5" s="19">
        <v>304.3</v>
      </c>
      <c r="AW5" s="19">
        <v>304.3</v>
      </c>
      <c r="AX5" s="86">
        <v>0.2</v>
      </c>
      <c r="AY5" s="86">
        <v>0</v>
      </c>
      <c r="AZ5" s="19">
        <v>0</v>
      </c>
      <c r="BA5" s="19">
        <v>0</v>
      </c>
      <c r="BB5" s="19">
        <v>0</v>
      </c>
      <c r="BC5" s="19">
        <v>0</v>
      </c>
      <c r="BD5" s="19">
        <v>0</v>
      </c>
      <c r="BE5" s="86">
        <v>0</v>
      </c>
      <c r="BF5" s="86">
        <v>0</v>
      </c>
      <c r="BG5" s="86">
        <v>24</v>
      </c>
      <c r="BH5" s="19">
        <v>18.399999999999999</v>
      </c>
      <c r="BI5" s="19">
        <v>36</v>
      </c>
      <c r="BJ5" s="86">
        <v>1</v>
      </c>
      <c r="BK5" s="86">
        <v>1</v>
      </c>
      <c r="BL5" s="86">
        <v>1</v>
      </c>
      <c r="BM5" s="86">
        <v>1</v>
      </c>
      <c r="BN5" s="86">
        <v>0</v>
      </c>
      <c r="BO5" s="19">
        <v>0.9</v>
      </c>
      <c r="BP5" s="19" t="s">
        <v>113</v>
      </c>
      <c r="BQ5" s="19" t="s">
        <v>114</v>
      </c>
      <c r="BR5" s="19" t="s">
        <v>115</v>
      </c>
      <c r="BS5" s="85">
        <v>44270.637650462966</v>
      </c>
    </row>
    <row r="6" spans="1:71" ht="30" x14ac:dyDescent="0.25">
      <c r="A6" s="19" t="s">
        <v>117</v>
      </c>
      <c r="B6" s="86">
        <v>5</v>
      </c>
      <c r="C6" s="19">
        <v>0</v>
      </c>
      <c r="D6" s="86">
        <v>-4</v>
      </c>
      <c r="E6" s="19">
        <v>-9.6</v>
      </c>
      <c r="F6" s="19" t="s">
        <v>111</v>
      </c>
      <c r="G6" s="19">
        <v>0</v>
      </c>
      <c r="H6" s="19">
        <v>0</v>
      </c>
      <c r="I6" s="86" t="s">
        <v>112</v>
      </c>
      <c r="J6" s="86" t="s">
        <v>64</v>
      </c>
      <c r="K6" s="86">
        <v>10</v>
      </c>
      <c r="L6" s="86">
        <v>0</v>
      </c>
      <c r="M6" s="19">
        <v>0</v>
      </c>
      <c r="N6" s="19">
        <v>0</v>
      </c>
      <c r="O6" s="86">
        <v>0</v>
      </c>
      <c r="P6" s="19">
        <v>0</v>
      </c>
      <c r="Q6" s="19">
        <v>0</v>
      </c>
      <c r="R6" s="19">
        <v>0</v>
      </c>
      <c r="S6" s="86">
        <v>30</v>
      </c>
      <c r="T6" s="19">
        <v>27</v>
      </c>
      <c r="U6" s="19">
        <v>32</v>
      </c>
      <c r="V6" s="19">
        <v>25</v>
      </c>
      <c r="W6" s="19">
        <v>22</v>
      </c>
      <c r="X6" s="19">
        <v>27</v>
      </c>
      <c r="Y6" s="86">
        <v>12600</v>
      </c>
      <c r="Z6" s="86">
        <v>0</v>
      </c>
      <c r="AA6" s="19">
        <v>12600</v>
      </c>
      <c r="AB6" s="19">
        <v>12600</v>
      </c>
      <c r="AC6" s="86">
        <v>1.6</v>
      </c>
      <c r="AD6" s="86">
        <v>0</v>
      </c>
      <c r="AE6" s="19">
        <v>0</v>
      </c>
      <c r="AF6" s="19">
        <v>0</v>
      </c>
      <c r="AG6" s="86">
        <v>0</v>
      </c>
      <c r="AH6" s="86">
        <v>0</v>
      </c>
      <c r="AI6" s="19">
        <v>0</v>
      </c>
      <c r="AJ6" s="19">
        <v>0</v>
      </c>
      <c r="AK6" s="86">
        <v>81</v>
      </c>
      <c r="AL6" s="19">
        <v>72.599999999999994</v>
      </c>
      <c r="AM6" s="19">
        <v>87</v>
      </c>
      <c r="AN6" s="86">
        <v>1</v>
      </c>
      <c r="AO6" s="86">
        <v>4800</v>
      </c>
      <c r="AP6" s="19">
        <v>3660</v>
      </c>
      <c r="AQ6" s="19">
        <v>6720</v>
      </c>
      <c r="AR6" s="86">
        <v>57000</v>
      </c>
      <c r="AS6" s="19">
        <v>38000</v>
      </c>
      <c r="AT6" s="19">
        <v>75000</v>
      </c>
      <c r="AU6" s="86">
        <v>1782.6</v>
      </c>
      <c r="AV6" s="19">
        <v>1782.6</v>
      </c>
      <c r="AW6" s="19">
        <v>1782.6</v>
      </c>
      <c r="AX6" s="86">
        <v>0.2</v>
      </c>
      <c r="AY6" s="86">
        <v>0</v>
      </c>
      <c r="AZ6" s="19">
        <v>0</v>
      </c>
      <c r="BA6" s="19">
        <v>0</v>
      </c>
      <c r="BB6" s="19">
        <v>0</v>
      </c>
      <c r="BC6" s="19">
        <v>0</v>
      </c>
      <c r="BD6" s="19">
        <v>0</v>
      </c>
      <c r="BE6" s="86">
        <v>0</v>
      </c>
      <c r="BF6" s="86">
        <v>0</v>
      </c>
      <c r="BG6" s="86">
        <v>20</v>
      </c>
      <c r="BH6" s="19">
        <v>15.2</v>
      </c>
      <c r="BI6" s="19">
        <v>28</v>
      </c>
      <c r="BJ6" s="86">
        <v>1</v>
      </c>
      <c r="BK6" s="86">
        <v>1</v>
      </c>
      <c r="BL6" s="86">
        <v>1</v>
      </c>
      <c r="BM6" s="86">
        <v>1</v>
      </c>
      <c r="BN6" s="86">
        <v>0</v>
      </c>
      <c r="BO6" s="19">
        <v>0.9</v>
      </c>
      <c r="BP6" s="19" t="s">
        <v>113</v>
      </c>
      <c r="BQ6" s="19" t="s">
        <v>114</v>
      </c>
      <c r="BR6" s="19" t="s">
        <v>115</v>
      </c>
      <c r="BS6" s="85">
        <v>44270.637650462966</v>
      </c>
    </row>
    <row r="7" spans="1:71" ht="30" x14ac:dyDescent="0.25">
      <c r="A7" s="19" t="s">
        <v>117</v>
      </c>
      <c r="B7" s="86">
        <v>6</v>
      </c>
      <c r="C7" s="19">
        <v>0</v>
      </c>
      <c r="D7" s="86">
        <v>-9.6</v>
      </c>
      <c r="E7" s="19">
        <v>-15</v>
      </c>
      <c r="F7" s="19" t="s">
        <v>116</v>
      </c>
      <c r="G7" s="19">
        <v>0</v>
      </c>
      <c r="H7" s="19">
        <v>0</v>
      </c>
      <c r="I7" s="86" t="s">
        <v>107</v>
      </c>
      <c r="J7" s="86" t="s">
        <v>65</v>
      </c>
      <c r="K7" s="86">
        <v>8.9</v>
      </c>
      <c r="L7" s="86">
        <v>133</v>
      </c>
      <c r="M7" s="19">
        <v>107</v>
      </c>
      <c r="N7" s="19">
        <v>167</v>
      </c>
      <c r="O7" s="86">
        <v>-2.4</v>
      </c>
      <c r="P7" s="19">
        <v>-2.6</v>
      </c>
      <c r="Q7" s="19">
        <v>-2.6</v>
      </c>
      <c r="R7" s="19">
        <v>0</v>
      </c>
      <c r="S7" s="86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86">
        <v>9500</v>
      </c>
      <c r="Z7" s="86">
        <v>0</v>
      </c>
      <c r="AA7" s="19">
        <v>9500</v>
      </c>
      <c r="AB7" s="19">
        <v>9500</v>
      </c>
      <c r="AC7" s="86">
        <v>2.5</v>
      </c>
      <c r="AD7" s="86">
        <v>1.7999999999999999E-2</v>
      </c>
      <c r="AE7" s="19">
        <v>2.2499999999999999E-2</v>
      </c>
      <c r="AF7" s="19">
        <v>1.4999999999999999E-2</v>
      </c>
      <c r="AG7" s="86">
        <v>0</v>
      </c>
      <c r="AH7" s="86">
        <v>0.5</v>
      </c>
      <c r="AI7" s="19">
        <v>0</v>
      </c>
      <c r="AJ7" s="19">
        <v>0</v>
      </c>
      <c r="AK7" s="86">
        <v>0</v>
      </c>
      <c r="AL7" s="19">
        <v>0</v>
      </c>
      <c r="AM7" s="19">
        <v>0</v>
      </c>
      <c r="AN7" s="86">
        <v>1</v>
      </c>
      <c r="AO7" s="86">
        <v>0</v>
      </c>
      <c r="AP7" s="19">
        <v>0</v>
      </c>
      <c r="AQ7" s="19">
        <v>0</v>
      </c>
      <c r="AR7" s="86">
        <v>115000</v>
      </c>
      <c r="AS7" s="19">
        <v>77000</v>
      </c>
      <c r="AT7" s="19">
        <v>161000</v>
      </c>
      <c r="AU7" s="86">
        <v>-434.8</v>
      </c>
      <c r="AV7" s="19">
        <v>-478.3</v>
      </c>
      <c r="AW7" s="19">
        <v>-434.8</v>
      </c>
      <c r="AX7" s="86">
        <v>0.49</v>
      </c>
      <c r="AY7" s="86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86">
        <v>0</v>
      </c>
      <c r="BF7" s="86">
        <v>0</v>
      </c>
      <c r="BG7" s="86">
        <v>0</v>
      </c>
      <c r="BH7" s="19">
        <v>0</v>
      </c>
      <c r="BI7" s="19">
        <v>0</v>
      </c>
      <c r="BJ7" s="86">
        <v>1</v>
      </c>
      <c r="BK7" s="86">
        <v>1</v>
      </c>
      <c r="BL7" s="86">
        <v>1</v>
      </c>
      <c r="BM7" s="86">
        <v>1</v>
      </c>
      <c r="BN7" s="86">
        <v>0</v>
      </c>
      <c r="BO7" s="19">
        <v>0.9</v>
      </c>
      <c r="BP7" s="19" t="s">
        <v>113</v>
      </c>
      <c r="BQ7" s="19" t="s">
        <v>114</v>
      </c>
      <c r="BR7" s="19" t="s">
        <v>115</v>
      </c>
      <c r="BS7" s="85">
        <v>44270.89398148148</v>
      </c>
    </row>
    <row r="8" spans="1:71" ht="30" x14ac:dyDescent="0.25">
      <c r="A8" s="19" t="s">
        <v>117</v>
      </c>
      <c r="B8" s="86">
        <v>7</v>
      </c>
      <c r="C8" s="19">
        <v>0</v>
      </c>
      <c r="D8" s="86">
        <v>-15</v>
      </c>
      <c r="E8" s="19">
        <v>-25</v>
      </c>
      <c r="F8" s="19" t="s">
        <v>111</v>
      </c>
      <c r="G8" s="19">
        <v>0</v>
      </c>
      <c r="H8" s="19">
        <v>0</v>
      </c>
      <c r="I8" s="86" t="s">
        <v>112</v>
      </c>
      <c r="J8" s="86" t="s">
        <v>64</v>
      </c>
      <c r="K8" s="86">
        <v>9</v>
      </c>
      <c r="L8" s="86">
        <v>0</v>
      </c>
      <c r="M8" s="19">
        <v>0</v>
      </c>
      <c r="N8" s="19">
        <v>0</v>
      </c>
      <c r="O8" s="86">
        <v>0</v>
      </c>
      <c r="P8" s="19">
        <v>0</v>
      </c>
      <c r="Q8" s="19">
        <v>0</v>
      </c>
      <c r="R8" s="19">
        <v>0</v>
      </c>
      <c r="S8" s="86">
        <v>31</v>
      </c>
      <c r="T8" s="19">
        <v>28</v>
      </c>
      <c r="U8" s="19">
        <v>33</v>
      </c>
      <c r="V8" s="19">
        <v>26</v>
      </c>
      <c r="W8" s="19">
        <v>23</v>
      </c>
      <c r="X8" s="19">
        <v>28</v>
      </c>
      <c r="Y8" s="86">
        <v>31100</v>
      </c>
      <c r="Z8" s="86">
        <v>0</v>
      </c>
      <c r="AA8" s="19">
        <v>31100</v>
      </c>
      <c r="AB8" s="19">
        <v>31100</v>
      </c>
      <c r="AC8" s="86">
        <v>1.3</v>
      </c>
      <c r="AD8" s="86">
        <v>0</v>
      </c>
      <c r="AE8" s="19">
        <v>0</v>
      </c>
      <c r="AF8" s="19">
        <v>0</v>
      </c>
      <c r="AG8" s="86">
        <v>0</v>
      </c>
      <c r="AH8" s="86">
        <v>0</v>
      </c>
      <c r="AI8" s="19">
        <v>0</v>
      </c>
      <c r="AJ8" s="19">
        <v>0</v>
      </c>
      <c r="AK8" s="86">
        <v>84</v>
      </c>
      <c r="AL8" s="19">
        <v>75.400000000000006</v>
      </c>
      <c r="AM8" s="19">
        <v>90</v>
      </c>
      <c r="AN8" s="86">
        <v>1</v>
      </c>
      <c r="AO8" s="86">
        <v>5760</v>
      </c>
      <c r="AP8" s="19">
        <v>4040</v>
      </c>
      <c r="AQ8" s="19">
        <v>7680</v>
      </c>
      <c r="AR8" s="86">
        <v>125000</v>
      </c>
      <c r="AS8" s="19">
        <v>92000</v>
      </c>
      <c r="AT8" s="19">
        <v>157000</v>
      </c>
      <c r="AU8" s="86">
        <v>1304.3</v>
      </c>
      <c r="AV8" s="19">
        <v>1304.3</v>
      </c>
      <c r="AW8" s="19">
        <v>1347.8</v>
      </c>
      <c r="AX8" s="86">
        <v>0.49</v>
      </c>
      <c r="AY8" s="86">
        <v>0</v>
      </c>
      <c r="AZ8" s="19">
        <v>0</v>
      </c>
      <c r="BA8" s="19">
        <v>0</v>
      </c>
      <c r="BB8" s="19">
        <v>0</v>
      </c>
      <c r="BC8" s="19">
        <v>0</v>
      </c>
      <c r="BD8" s="19">
        <v>0</v>
      </c>
      <c r="BE8" s="86">
        <v>0</v>
      </c>
      <c r="BF8" s="86">
        <v>0</v>
      </c>
      <c r="BG8" s="86">
        <v>24</v>
      </c>
      <c r="BH8" s="19">
        <v>16.8</v>
      </c>
      <c r="BI8" s="19">
        <v>32</v>
      </c>
      <c r="BJ8" s="86">
        <v>1</v>
      </c>
      <c r="BK8" s="86">
        <v>1</v>
      </c>
      <c r="BL8" s="86">
        <v>1</v>
      </c>
      <c r="BM8" s="86">
        <v>1</v>
      </c>
      <c r="BN8" s="86">
        <v>0</v>
      </c>
      <c r="BO8" s="19">
        <v>0.9</v>
      </c>
      <c r="BP8" s="19" t="s">
        <v>113</v>
      </c>
      <c r="BQ8" s="19" t="s">
        <v>114</v>
      </c>
      <c r="BR8" s="19" t="s">
        <v>115</v>
      </c>
      <c r="BS8" s="85">
        <v>44270.98877314815</v>
      </c>
    </row>
    <row r="9" spans="1:71" ht="30" x14ac:dyDescent="0.25">
      <c r="A9" s="19" t="s">
        <v>117</v>
      </c>
      <c r="B9" s="86">
        <v>8</v>
      </c>
      <c r="C9" s="19">
        <v>0</v>
      </c>
      <c r="D9" s="86">
        <v>-25</v>
      </c>
      <c r="E9" s="19">
        <v>-32</v>
      </c>
      <c r="F9" s="19" t="s">
        <v>111</v>
      </c>
      <c r="G9" s="19">
        <v>0</v>
      </c>
      <c r="H9" s="19">
        <v>0</v>
      </c>
      <c r="I9" s="86" t="s">
        <v>112</v>
      </c>
      <c r="J9" s="86" t="s">
        <v>64</v>
      </c>
      <c r="K9" s="86">
        <v>9</v>
      </c>
      <c r="L9" s="86">
        <v>0</v>
      </c>
      <c r="M9" s="19">
        <v>0</v>
      </c>
      <c r="N9" s="19">
        <v>0</v>
      </c>
      <c r="O9" s="86">
        <v>0</v>
      </c>
      <c r="P9" s="19">
        <v>0</v>
      </c>
      <c r="Q9" s="19">
        <v>0</v>
      </c>
      <c r="R9" s="19">
        <v>0</v>
      </c>
      <c r="S9" s="86">
        <v>31</v>
      </c>
      <c r="T9" s="19">
        <v>29</v>
      </c>
      <c r="U9" s="19">
        <v>34</v>
      </c>
      <c r="V9" s="19">
        <v>26</v>
      </c>
      <c r="W9" s="19">
        <v>24</v>
      </c>
      <c r="X9" s="19">
        <v>29</v>
      </c>
      <c r="Y9" s="86">
        <v>43100</v>
      </c>
      <c r="Z9" s="86">
        <v>0</v>
      </c>
      <c r="AA9" s="19">
        <v>43100</v>
      </c>
      <c r="AB9" s="19">
        <v>43100</v>
      </c>
      <c r="AC9" s="86">
        <v>1.2</v>
      </c>
      <c r="AD9" s="86">
        <v>0</v>
      </c>
      <c r="AE9" s="19">
        <v>0</v>
      </c>
      <c r="AF9" s="19">
        <v>0</v>
      </c>
      <c r="AG9" s="86">
        <v>0</v>
      </c>
      <c r="AH9" s="86">
        <v>0</v>
      </c>
      <c r="AI9" s="19">
        <v>0</v>
      </c>
      <c r="AJ9" s="19">
        <v>0</v>
      </c>
      <c r="AK9" s="86">
        <v>84</v>
      </c>
      <c r="AL9" s="19">
        <v>78.2</v>
      </c>
      <c r="AM9" s="19">
        <v>93</v>
      </c>
      <c r="AN9" s="86">
        <v>1</v>
      </c>
      <c r="AO9" s="86">
        <v>5760</v>
      </c>
      <c r="AP9" s="19">
        <v>4420</v>
      </c>
      <c r="AQ9" s="19">
        <v>8640</v>
      </c>
      <c r="AR9" s="86">
        <v>162000</v>
      </c>
      <c r="AS9" s="19">
        <v>122000</v>
      </c>
      <c r="AT9" s="19">
        <v>203000</v>
      </c>
      <c r="AU9" s="86">
        <v>869.6</v>
      </c>
      <c r="AV9" s="19">
        <v>869.6</v>
      </c>
      <c r="AW9" s="19">
        <v>869.6</v>
      </c>
      <c r="AX9" s="86">
        <v>0.49</v>
      </c>
      <c r="AY9" s="86">
        <v>0</v>
      </c>
      <c r="AZ9" s="19">
        <v>0</v>
      </c>
      <c r="BA9" s="19">
        <v>0</v>
      </c>
      <c r="BB9" s="19">
        <v>0</v>
      </c>
      <c r="BC9" s="19">
        <v>0</v>
      </c>
      <c r="BD9" s="19">
        <v>0</v>
      </c>
      <c r="BE9" s="86">
        <v>0</v>
      </c>
      <c r="BF9" s="86">
        <v>0</v>
      </c>
      <c r="BG9" s="86">
        <v>24</v>
      </c>
      <c r="BH9" s="19">
        <v>18.399999999999999</v>
      </c>
      <c r="BI9" s="19">
        <v>36</v>
      </c>
      <c r="BJ9" s="86">
        <v>1</v>
      </c>
      <c r="BK9" s="86">
        <v>1</v>
      </c>
      <c r="BL9" s="86">
        <v>1</v>
      </c>
      <c r="BM9" s="86">
        <v>1</v>
      </c>
      <c r="BN9" s="86">
        <v>0</v>
      </c>
      <c r="BO9" s="19">
        <v>0.9</v>
      </c>
      <c r="BP9" s="19" t="s">
        <v>113</v>
      </c>
      <c r="BQ9" s="19" t="s">
        <v>114</v>
      </c>
      <c r="BR9" s="19" t="s">
        <v>115</v>
      </c>
      <c r="BS9" s="85">
        <v>44270.98877314815</v>
      </c>
    </row>
    <row r="10" spans="1:71" ht="30" x14ac:dyDescent="0.25">
      <c r="A10" s="19" t="s">
        <v>117</v>
      </c>
      <c r="B10" s="86">
        <v>9</v>
      </c>
      <c r="C10" s="19">
        <v>0</v>
      </c>
      <c r="D10" s="86">
        <v>-32</v>
      </c>
      <c r="E10" s="19">
        <v>-34.5</v>
      </c>
      <c r="F10" s="19" t="s">
        <v>111</v>
      </c>
      <c r="G10" s="19">
        <v>0</v>
      </c>
      <c r="H10" s="19">
        <v>0</v>
      </c>
      <c r="I10" s="86" t="s">
        <v>112</v>
      </c>
      <c r="J10" s="86" t="s">
        <v>64</v>
      </c>
      <c r="K10" s="86">
        <v>9</v>
      </c>
      <c r="L10" s="86">
        <v>0</v>
      </c>
      <c r="M10" s="19">
        <v>0</v>
      </c>
      <c r="N10" s="19">
        <v>0</v>
      </c>
      <c r="O10" s="86">
        <v>0</v>
      </c>
      <c r="P10" s="19">
        <v>0</v>
      </c>
      <c r="Q10" s="19">
        <v>0</v>
      </c>
      <c r="R10" s="19">
        <v>0</v>
      </c>
      <c r="S10" s="86">
        <v>30</v>
      </c>
      <c r="T10" s="19">
        <v>28</v>
      </c>
      <c r="U10" s="19">
        <v>32</v>
      </c>
      <c r="V10" s="19">
        <v>25</v>
      </c>
      <c r="W10" s="19">
        <v>23</v>
      </c>
      <c r="X10" s="19">
        <v>27</v>
      </c>
      <c r="Y10" s="86">
        <v>30000</v>
      </c>
      <c r="Z10" s="86">
        <v>0</v>
      </c>
      <c r="AA10" s="19">
        <v>30000</v>
      </c>
      <c r="AB10" s="19">
        <v>30000</v>
      </c>
      <c r="AC10" s="86">
        <v>1</v>
      </c>
      <c r="AD10" s="86">
        <v>0</v>
      </c>
      <c r="AE10" s="19">
        <v>0</v>
      </c>
      <c r="AF10" s="19">
        <v>0</v>
      </c>
      <c r="AG10" s="86">
        <v>0</v>
      </c>
      <c r="AH10" s="86">
        <v>0</v>
      </c>
      <c r="AI10" s="19">
        <v>0</v>
      </c>
      <c r="AJ10" s="19">
        <v>0</v>
      </c>
      <c r="AK10" s="86">
        <v>81</v>
      </c>
      <c r="AL10" s="19">
        <v>75.400000000000006</v>
      </c>
      <c r="AM10" s="19">
        <v>87</v>
      </c>
      <c r="AN10" s="86">
        <v>1</v>
      </c>
      <c r="AO10" s="86">
        <v>4800</v>
      </c>
      <c r="AP10" s="19">
        <v>4040</v>
      </c>
      <c r="AQ10" s="19">
        <v>6720</v>
      </c>
      <c r="AR10" s="86">
        <v>180000</v>
      </c>
      <c r="AS10" s="19">
        <v>141000</v>
      </c>
      <c r="AT10" s="19">
        <v>219000</v>
      </c>
      <c r="AU10" s="86">
        <v>-1000</v>
      </c>
      <c r="AV10" s="19">
        <v>-1043.5</v>
      </c>
      <c r="AW10" s="19">
        <v>-1000</v>
      </c>
      <c r="AX10" s="86">
        <v>0.49</v>
      </c>
      <c r="AY10" s="86">
        <v>0</v>
      </c>
      <c r="AZ10" s="19">
        <v>0</v>
      </c>
      <c r="BA10" s="19">
        <v>0</v>
      </c>
      <c r="BB10" s="19">
        <v>0</v>
      </c>
      <c r="BC10" s="19">
        <v>0</v>
      </c>
      <c r="BD10" s="19">
        <v>0</v>
      </c>
      <c r="BE10" s="86">
        <v>0</v>
      </c>
      <c r="BF10" s="86">
        <v>0</v>
      </c>
      <c r="BG10" s="86">
        <v>20</v>
      </c>
      <c r="BH10" s="19">
        <v>16.8</v>
      </c>
      <c r="BI10" s="19">
        <v>28</v>
      </c>
      <c r="BJ10" s="86">
        <v>1</v>
      </c>
      <c r="BK10" s="86">
        <v>1</v>
      </c>
      <c r="BL10" s="86">
        <v>1</v>
      </c>
      <c r="BM10" s="86">
        <v>1</v>
      </c>
      <c r="BN10" s="86">
        <v>0</v>
      </c>
      <c r="BO10" s="19">
        <v>0.9</v>
      </c>
      <c r="BP10" s="19" t="s">
        <v>113</v>
      </c>
      <c r="BQ10" s="19" t="s">
        <v>114</v>
      </c>
      <c r="BR10" s="19" t="s">
        <v>115</v>
      </c>
      <c r="BS10" s="85">
        <v>44270.98877314815</v>
      </c>
    </row>
    <row r="11" spans="1:71" ht="30" x14ac:dyDescent="0.25">
      <c r="A11" s="19" t="s">
        <v>117</v>
      </c>
      <c r="B11" s="86">
        <v>10</v>
      </c>
      <c r="C11" s="19">
        <v>0</v>
      </c>
      <c r="D11" s="86">
        <v>-34.5</v>
      </c>
      <c r="E11" s="19">
        <v>-48</v>
      </c>
      <c r="F11" s="19" t="s">
        <v>116</v>
      </c>
      <c r="G11" s="19">
        <v>0</v>
      </c>
      <c r="H11" s="19">
        <v>0</v>
      </c>
      <c r="I11" s="86" t="s">
        <v>107</v>
      </c>
      <c r="J11" s="86" t="s">
        <v>65</v>
      </c>
      <c r="K11" s="86">
        <v>8.3000000000000007</v>
      </c>
      <c r="L11" s="86">
        <v>268</v>
      </c>
      <c r="M11" s="19">
        <v>223</v>
      </c>
      <c r="N11" s="19">
        <v>314</v>
      </c>
      <c r="O11" s="86">
        <v>9.4</v>
      </c>
      <c r="P11" s="19">
        <v>9.4</v>
      </c>
      <c r="Q11" s="19">
        <v>9.4</v>
      </c>
      <c r="R11" s="19">
        <v>0</v>
      </c>
      <c r="S11" s="86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86">
        <v>25500</v>
      </c>
      <c r="Z11" s="86">
        <v>0</v>
      </c>
      <c r="AA11" s="19">
        <v>25500</v>
      </c>
      <c r="AB11" s="19">
        <v>25500</v>
      </c>
      <c r="AC11" s="86">
        <v>1.9</v>
      </c>
      <c r="AD11" s="86">
        <v>1.7999999999999999E-2</v>
      </c>
      <c r="AE11" s="19">
        <v>2.2499999999999999E-2</v>
      </c>
      <c r="AF11" s="19">
        <v>1.4999999999999999E-2</v>
      </c>
      <c r="AG11" s="86">
        <v>0</v>
      </c>
      <c r="AH11" s="86">
        <v>0.25</v>
      </c>
      <c r="AI11" s="19">
        <v>0</v>
      </c>
      <c r="AJ11" s="19">
        <v>0</v>
      </c>
      <c r="AK11" s="86">
        <v>0</v>
      </c>
      <c r="AL11" s="19">
        <v>0</v>
      </c>
      <c r="AM11" s="19">
        <v>0</v>
      </c>
      <c r="AN11" s="86">
        <v>1</v>
      </c>
      <c r="AO11" s="86">
        <v>0</v>
      </c>
      <c r="AP11" s="19">
        <v>0</v>
      </c>
      <c r="AQ11" s="19">
        <v>0</v>
      </c>
      <c r="AR11" s="86">
        <v>313000</v>
      </c>
      <c r="AS11" s="19">
        <v>223000</v>
      </c>
      <c r="AT11" s="19">
        <v>404000</v>
      </c>
      <c r="AU11" s="86">
        <v>8260.9</v>
      </c>
      <c r="AV11" s="19">
        <v>8260.9</v>
      </c>
      <c r="AW11" s="19">
        <v>8217.4</v>
      </c>
      <c r="AX11" s="86">
        <v>0.49</v>
      </c>
      <c r="AY11" s="86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86">
        <v>0</v>
      </c>
      <c r="BF11" s="86">
        <v>0</v>
      </c>
      <c r="BG11" s="86">
        <v>0</v>
      </c>
      <c r="BH11" s="19">
        <v>0</v>
      </c>
      <c r="BI11" s="19">
        <v>0</v>
      </c>
      <c r="BJ11" s="86">
        <v>1</v>
      </c>
      <c r="BK11" s="86">
        <v>1</v>
      </c>
      <c r="BL11" s="86">
        <v>1</v>
      </c>
      <c r="BM11" s="86">
        <v>1</v>
      </c>
      <c r="BN11" s="86">
        <v>0</v>
      </c>
      <c r="BO11" s="19">
        <v>0.9</v>
      </c>
      <c r="BP11" s="19" t="s">
        <v>113</v>
      </c>
      <c r="BQ11" s="19" t="s">
        <v>114</v>
      </c>
      <c r="BR11" s="19" t="s">
        <v>115</v>
      </c>
      <c r="BS11" s="85">
        <v>44270.89398148148</v>
      </c>
    </row>
    <row r="12" spans="1:71" ht="30" x14ac:dyDescent="0.25">
      <c r="A12" s="19" t="s">
        <v>117</v>
      </c>
      <c r="B12" s="86">
        <v>11</v>
      </c>
      <c r="C12" s="19">
        <v>0</v>
      </c>
      <c r="D12" s="86">
        <v>-48</v>
      </c>
      <c r="E12" s="19">
        <v>-57</v>
      </c>
      <c r="F12" s="19" t="s">
        <v>116</v>
      </c>
      <c r="G12" s="19">
        <v>0</v>
      </c>
      <c r="H12" s="19">
        <v>0</v>
      </c>
      <c r="I12" s="86" t="s">
        <v>107</v>
      </c>
      <c r="J12" s="86" t="s">
        <v>65</v>
      </c>
      <c r="K12" s="86">
        <v>8.8000000000000007</v>
      </c>
      <c r="L12" s="86">
        <v>1093</v>
      </c>
      <c r="M12" s="19">
        <v>1038</v>
      </c>
      <c r="N12" s="19">
        <v>1164</v>
      </c>
      <c r="O12" s="86">
        <v>-51.3</v>
      </c>
      <c r="P12" s="19">
        <v>-51.3</v>
      </c>
      <c r="Q12" s="19">
        <v>-51.2</v>
      </c>
      <c r="R12" s="19">
        <v>0</v>
      </c>
      <c r="S12" s="86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86">
        <v>64900</v>
      </c>
      <c r="Z12" s="86">
        <v>0</v>
      </c>
      <c r="AA12" s="19">
        <v>64900</v>
      </c>
      <c r="AB12" s="19">
        <v>64900</v>
      </c>
      <c r="AC12" s="86">
        <v>3</v>
      </c>
      <c r="AD12" s="86">
        <v>1.7999999999999999E-2</v>
      </c>
      <c r="AE12" s="19">
        <v>2.2499999999999999E-2</v>
      </c>
      <c r="AF12" s="19">
        <v>1.4999999999999999E-2</v>
      </c>
      <c r="AG12" s="86">
        <v>0</v>
      </c>
      <c r="AH12" s="86">
        <v>0.25</v>
      </c>
      <c r="AI12" s="19">
        <v>0</v>
      </c>
      <c r="AJ12" s="19">
        <v>0</v>
      </c>
      <c r="AK12" s="86">
        <v>0</v>
      </c>
      <c r="AL12" s="19">
        <v>0</v>
      </c>
      <c r="AM12" s="19">
        <v>0</v>
      </c>
      <c r="AN12" s="86">
        <v>1</v>
      </c>
      <c r="AO12" s="86">
        <v>0</v>
      </c>
      <c r="AP12" s="19">
        <v>0</v>
      </c>
      <c r="AQ12" s="19">
        <v>0</v>
      </c>
      <c r="AR12" s="86">
        <v>1192000</v>
      </c>
      <c r="AS12" s="19">
        <v>1100000</v>
      </c>
      <c r="AT12" s="19">
        <v>1303000</v>
      </c>
      <c r="AU12" s="86">
        <v>0</v>
      </c>
      <c r="AV12" s="19">
        <v>0</v>
      </c>
      <c r="AW12" s="19">
        <v>0</v>
      </c>
      <c r="AX12" s="86">
        <v>0.49</v>
      </c>
      <c r="AY12" s="86">
        <v>0</v>
      </c>
      <c r="AZ12" s="19">
        <v>0</v>
      </c>
      <c r="BA12" s="19">
        <v>0</v>
      </c>
      <c r="BB12" s="19">
        <v>0</v>
      </c>
      <c r="BC12" s="19">
        <v>0</v>
      </c>
      <c r="BD12" s="19">
        <v>0</v>
      </c>
      <c r="BE12" s="86">
        <v>0</v>
      </c>
      <c r="BF12" s="86">
        <v>0</v>
      </c>
      <c r="BG12" s="86">
        <v>0</v>
      </c>
      <c r="BH12" s="19">
        <v>0</v>
      </c>
      <c r="BI12" s="19">
        <v>0</v>
      </c>
      <c r="BJ12" s="86">
        <v>1</v>
      </c>
      <c r="BK12" s="86">
        <v>1</v>
      </c>
      <c r="BL12" s="86">
        <v>1</v>
      </c>
      <c r="BM12" s="86">
        <v>1</v>
      </c>
      <c r="BN12" s="86">
        <v>0</v>
      </c>
      <c r="BO12" s="19">
        <v>0.9</v>
      </c>
      <c r="BP12" s="19" t="s">
        <v>113</v>
      </c>
      <c r="BQ12" s="19" t="s">
        <v>114</v>
      </c>
      <c r="BR12" s="19" t="s">
        <v>115</v>
      </c>
      <c r="BS12" s="85">
        <v>44270.89398148148</v>
      </c>
    </row>
    <row r="13" spans="1:71" ht="30" x14ac:dyDescent="0.25">
      <c r="A13" s="19" t="s">
        <v>117</v>
      </c>
      <c r="B13" s="86">
        <v>12</v>
      </c>
      <c r="C13" s="19">
        <v>0</v>
      </c>
      <c r="D13" s="86">
        <v>-57</v>
      </c>
      <c r="E13" s="19">
        <v>-65</v>
      </c>
      <c r="F13" s="19" t="s">
        <v>116</v>
      </c>
      <c r="G13" s="19">
        <v>0</v>
      </c>
      <c r="H13" s="19">
        <v>0</v>
      </c>
      <c r="I13" s="86" t="s">
        <v>107</v>
      </c>
      <c r="J13" s="86" t="s">
        <v>65</v>
      </c>
      <c r="K13" s="86">
        <v>8.8000000000000007</v>
      </c>
      <c r="L13" s="86">
        <v>1050</v>
      </c>
      <c r="M13" s="19">
        <v>998</v>
      </c>
      <c r="N13" s="19">
        <v>1110</v>
      </c>
      <c r="O13" s="86">
        <v>0</v>
      </c>
      <c r="P13" s="19">
        <v>0</v>
      </c>
      <c r="Q13" s="19">
        <v>0</v>
      </c>
      <c r="R13" s="19">
        <v>0</v>
      </c>
      <c r="S13" s="86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86">
        <v>84200</v>
      </c>
      <c r="Z13" s="86">
        <v>0</v>
      </c>
      <c r="AA13" s="19">
        <v>84200</v>
      </c>
      <c r="AB13" s="19">
        <v>84200</v>
      </c>
      <c r="AC13" s="86">
        <v>3</v>
      </c>
      <c r="AD13" s="86">
        <v>1.7999999999999999E-2</v>
      </c>
      <c r="AE13" s="19">
        <v>2.2499999999999999E-2</v>
      </c>
      <c r="AF13" s="19">
        <v>1.4999999999999999E-2</v>
      </c>
      <c r="AG13" s="86">
        <v>0</v>
      </c>
      <c r="AH13" s="86">
        <v>0.25</v>
      </c>
      <c r="AI13" s="19">
        <v>0</v>
      </c>
      <c r="AJ13" s="19">
        <v>0</v>
      </c>
      <c r="AK13" s="86">
        <v>0</v>
      </c>
      <c r="AL13" s="19">
        <v>0</v>
      </c>
      <c r="AM13" s="19">
        <v>0</v>
      </c>
      <c r="AN13" s="86">
        <v>1</v>
      </c>
      <c r="AO13" s="86">
        <v>0</v>
      </c>
      <c r="AP13" s="19">
        <v>0</v>
      </c>
      <c r="AQ13" s="19">
        <v>0</v>
      </c>
      <c r="AR13" s="86">
        <v>1652000</v>
      </c>
      <c r="AS13" s="19">
        <v>1551000</v>
      </c>
      <c r="AT13" s="19">
        <v>1769000</v>
      </c>
      <c r="AU13" s="86">
        <v>0</v>
      </c>
      <c r="AV13" s="19">
        <v>0</v>
      </c>
      <c r="AW13" s="19">
        <v>0</v>
      </c>
      <c r="AX13" s="86">
        <v>0.49</v>
      </c>
      <c r="AY13" s="86">
        <v>0</v>
      </c>
      <c r="AZ13" s="19">
        <v>0</v>
      </c>
      <c r="BA13" s="19">
        <v>0</v>
      </c>
      <c r="BB13" s="19">
        <v>0</v>
      </c>
      <c r="BC13" s="19">
        <v>0</v>
      </c>
      <c r="BD13" s="19">
        <v>0</v>
      </c>
      <c r="BE13" s="86">
        <v>0</v>
      </c>
      <c r="BF13" s="86">
        <v>0</v>
      </c>
      <c r="BG13" s="86">
        <v>0</v>
      </c>
      <c r="BH13" s="19">
        <v>0</v>
      </c>
      <c r="BI13" s="19">
        <v>0</v>
      </c>
      <c r="BJ13" s="86">
        <v>1</v>
      </c>
      <c r="BK13" s="86">
        <v>1</v>
      </c>
      <c r="BL13" s="86">
        <v>1</v>
      </c>
      <c r="BM13" s="86">
        <v>1</v>
      </c>
      <c r="BN13" s="86">
        <v>0</v>
      </c>
      <c r="BO13" s="19">
        <v>0.9</v>
      </c>
      <c r="BP13" s="19" t="s">
        <v>113</v>
      </c>
      <c r="BQ13" s="19" t="s">
        <v>114</v>
      </c>
      <c r="BR13" s="19" t="s">
        <v>115</v>
      </c>
      <c r="BS13" s="85">
        <v>44270.89398148148</v>
      </c>
    </row>
    <row r="14" spans="1:71" ht="30" x14ac:dyDescent="0.25">
      <c r="A14" s="19" t="s">
        <v>117</v>
      </c>
      <c r="B14" s="86">
        <v>13</v>
      </c>
      <c r="C14" s="19">
        <v>0</v>
      </c>
      <c r="D14" s="86">
        <v>-65</v>
      </c>
      <c r="E14" s="19">
        <v>-68</v>
      </c>
      <c r="F14" s="19" t="s">
        <v>116</v>
      </c>
      <c r="G14" s="19">
        <v>0</v>
      </c>
      <c r="H14" s="19">
        <v>0</v>
      </c>
      <c r="I14" s="86" t="s">
        <v>107</v>
      </c>
      <c r="J14" s="86" t="s">
        <v>65</v>
      </c>
      <c r="K14" s="86">
        <v>8.5</v>
      </c>
      <c r="L14" s="86">
        <v>1094</v>
      </c>
      <c r="M14" s="19">
        <v>1029</v>
      </c>
      <c r="N14" s="19">
        <v>1161</v>
      </c>
      <c r="O14" s="86">
        <v>-41.3</v>
      </c>
      <c r="P14" s="19">
        <v>-41</v>
      </c>
      <c r="Q14" s="19">
        <v>-41</v>
      </c>
      <c r="R14" s="19">
        <v>0</v>
      </c>
      <c r="S14" s="86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86">
        <v>77300</v>
      </c>
      <c r="Z14" s="86">
        <v>0</v>
      </c>
      <c r="AA14" s="19">
        <v>77300</v>
      </c>
      <c r="AB14" s="19">
        <v>77300</v>
      </c>
      <c r="AC14" s="86">
        <v>3</v>
      </c>
      <c r="AD14" s="86">
        <v>1.7999999999999999E-2</v>
      </c>
      <c r="AE14" s="19">
        <v>2.2499999999999999E-2</v>
      </c>
      <c r="AF14" s="19">
        <v>1.4999999999999999E-2</v>
      </c>
      <c r="AG14" s="86">
        <v>0</v>
      </c>
      <c r="AH14" s="86">
        <v>0.25</v>
      </c>
      <c r="AI14" s="19">
        <v>0</v>
      </c>
      <c r="AJ14" s="19">
        <v>0</v>
      </c>
      <c r="AK14" s="86">
        <v>0</v>
      </c>
      <c r="AL14" s="19">
        <v>0</v>
      </c>
      <c r="AM14" s="19">
        <v>0</v>
      </c>
      <c r="AN14" s="86">
        <v>1</v>
      </c>
      <c r="AO14" s="86">
        <v>0</v>
      </c>
      <c r="AP14" s="19">
        <v>0</v>
      </c>
      <c r="AQ14" s="19">
        <v>0</v>
      </c>
      <c r="AR14" s="86">
        <v>1715000</v>
      </c>
      <c r="AS14" s="19">
        <v>1592000</v>
      </c>
      <c r="AT14" s="19">
        <v>1843000</v>
      </c>
      <c r="AU14" s="86">
        <v>-9782.6</v>
      </c>
      <c r="AV14" s="19">
        <v>-9782.6</v>
      </c>
      <c r="AW14" s="19">
        <v>-9782.6</v>
      </c>
      <c r="AX14" s="86">
        <v>0.49</v>
      </c>
      <c r="AY14" s="86">
        <v>0</v>
      </c>
      <c r="AZ14" s="19">
        <v>0</v>
      </c>
      <c r="BA14" s="19">
        <v>0</v>
      </c>
      <c r="BB14" s="19">
        <v>0</v>
      </c>
      <c r="BC14" s="19">
        <v>0</v>
      </c>
      <c r="BD14" s="19">
        <v>0</v>
      </c>
      <c r="BE14" s="86">
        <v>0</v>
      </c>
      <c r="BF14" s="86">
        <v>0</v>
      </c>
      <c r="BG14" s="86">
        <v>0</v>
      </c>
      <c r="BH14" s="19">
        <v>0</v>
      </c>
      <c r="BI14" s="19">
        <v>0</v>
      </c>
      <c r="BJ14" s="86">
        <v>1</v>
      </c>
      <c r="BK14" s="86">
        <v>1</v>
      </c>
      <c r="BL14" s="86">
        <v>1</v>
      </c>
      <c r="BM14" s="86">
        <v>1</v>
      </c>
      <c r="BN14" s="86">
        <v>0</v>
      </c>
      <c r="BO14" s="19">
        <v>0.9</v>
      </c>
      <c r="BP14" s="19" t="s">
        <v>113</v>
      </c>
      <c r="BQ14" s="19" t="s">
        <v>114</v>
      </c>
      <c r="BR14" s="19" t="s">
        <v>115</v>
      </c>
      <c r="BS14" s="85">
        <v>44270.89398148148</v>
      </c>
    </row>
    <row r="15" spans="1:71" ht="30" x14ac:dyDescent="0.25">
      <c r="A15" s="19" t="s">
        <v>117</v>
      </c>
      <c r="B15" s="86">
        <v>14</v>
      </c>
      <c r="C15" s="19">
        <v>0</v>
      </c>
      <c r="D15" s="86">
        <v>-68</v>
      </c>
      <c r="E15" s="19">
        <v>-80</v>
      </c>
      <c r="F15" s="19" t="s">
        <v>116</v>
      </c>
      <c r="G15" s="19">
        <v>0</v>
      </c>
      <c r="H15" s="19">
        <v>0</v>
      </c>
      <c r="I15" s="86" t="s">
        <v>107</v>
      </c>
      <c r="J15" s="86" t="s">
        <v>65</v>
      </c>
      <c r="K15" s="86">
        <v>8.6999999999999993</v>
      </c>
      <c r="L15" s="86">
        <v>1020</v>
      </c>
      <c r="M15" s="19">
        <v>977</v>
      </c>
      <c r="N15" s="19">
        <v>1064</v>
      </c>
      <c r="O15" s="86">
        <v>11</v>
      </c>
      <c r="P15" s="19">
        <v>11</v>
      </c>
      <c r="Q15" s="19">
        <v>11</v>
      </c>
      <c r="R15" s="19">
        <v>0</v>
      </c>
      <c r="S15" s="86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86">
        <v>87100</v>
      </c>
      <c r="Z15" s="86">
        <v>0</v>
      </c>
      <c r="AA15" s="19">
        <v>87100</v>
      </c>
      <c r="AB15" s="19">
        <v>87100</v>
      </c>
      <c r="AC15" s="86">
        <v>3</v>
      </c>
      <c r="AD15" s="86">
        <v>1.7999999999999999E-2</v>
      </c>
      <c r="AE15" s="19">
        <v>2.2499999999999999E-2</v>
      </c>
      <c r="AF15" s="19">
        <v>1.4999999999999999E-2</v>
      </c>
      <c r="AG15" s="86">
        <v>0</v>
      </c>
      <c r="AH15" s="86">
        <v>0.25</v>
      </c>
      <c r="AI15" s="19">
        <v>0</v>
      </c>
      <c r="AJ15" s="19">
        <v>0</v>
      </c>
      <c r="AK15" s="86">
        <v>0</v>
      </c>
      <c r="AL15" s="19">
        <v>0</v>
      </c>
      <c r="AM15" s="19">
        <v>0</v>
      </c>
      <c r="AN15" s="86">
        <v>1</v>
      </c>
      <c r="AO15" s="86">
        <v>0</v>
      </c>
      <c r="AP15" s="19">
        <v>0</v>
      </c>
      <c r="AQ15" s="19">
        <v>0</v>
      </c>
      <c r="AR15" s="86">
        <v>1601000</v>
      </c>
      <c r="AS15" s="19">
        <v>1514000</v>
      </c>
      <c r="AT15" s="19">
        <v>1687000</v>
      </c>
      <c r="AU15" s="86">
        <v>11565.2</v>
      </c>
      <c r="AV15" s="19">
        <v>11565.2</v>
      </c>
      <c r="AW15" s="19">
        <v>11608.7</v>
      </c>
      <c r="AX15" s="86">
        <v>0.49</v>
      </c>
      <c r="AY15" s="86">
        <v>0</v>
      </c>
      <c r="AZ15" s="19">
        <v>0</v>
      </c>
      <c r="BA15" s="19">
        <v>0</v>
      </c>
      <c r="BB15" s="19">
        <v>0</v>
      </c>
      <c r="BC15" s="19">
        <v>0</v>
      </c>
      <c r="BD15" s="19">
        <v>0</v>
      </c>
      <c r="BE15" s="86">
        <v>0</v>
      </c>
      <c r="BF15" s="86">
        <v>0</v>
      </c>
      <c r="BG15" s="86">
        <v>0</v>
      </c>
      <c r="BH15" s="19">
        <v>0</v>
      </c>
      <c r="BI15" s="19">
        <v>0</v>
      </c>
      <c r="BJ15" s="86">
        <v>1</v>
      </c>
      <c r="BK15" s="86">
        <v>1</v>
      </c>
      <c r="BL15" s="86">
        <v>1</v>
      </c>
      <c r="BM15" s="86">
        <v>1</v>
      </c>
      <c r="BN15" s="86">
        <v>0</v>
      </c>
      <c r="BO15" s="19">
        <v>0.9</v>
      </c>
      <c r="BP15" s="19" t="s">
        <v>113</v>
      </c>
      <c r="BQ15" s="19" t="s">
        <v>114</v>
      </c>
      <c r="BR15" s="19" t="s">
        <v>115</v>
      </c>
      <c r="BS15" s="85">
        <v>44270.89398148148</v>
      </c>
    </row>
    <row r="16" spans="1:71" x14ac:dyDescent="0.25">
      <c r="A16" s="19"/>
      <c r="B16" s="86"/>
      <c r="C16" s="19"/>
      <c r="D16" s="86"/>
      <c r="E16" s="19"/>
      <c r="F16" s="19"/>
      <c r="G16" s="19"/>
      <c r="H16" s="19"/>
      <c r="I16" s="86"/>
      <c r="J16" s="86"/>
      <c r="K16" s="86"/>
      <c r="L16" s="86"/>
      <c r="M16" s="19"/>
      <c r="N16" s="19"/>
      <c r="O16" s="86"/>
      <c r="P16" s="19"/>
      <c r="Q16" s="19"/>
      <c r="R16" s="19"/>
      <c r="S16" s="86"/>
      <c r="T16" s="19"/>
      <c r="U16" s="19"/>
      <c r="V16" s="19"/>
      <c r="W16" s="19"/>
      <c r="X16" s="19"/>
      <c r="Y16" s="86"/>
      <c r="Z16" s="86"/>
      <c r="AA16" s="19"/>
      <c r="AB16" s="19"/>
      <c r="AC16" s="86"/>
      <c r="AD16" s="86"/>
      <c r="AE16" s="19"/>
      <c r="AF16" s="19"/>
      <c r="AG16" s="86"/>
      <c r="AH16" s="86"/>
      <c r="AI16" s="19"/>
      <c r="AJ16" s="19"/>
      <c r="AK16" s="86"/>
      <c r="AL16" s="19"/>
      <c r="AM16" s="19"/>
      <c r="AN16" s="86"/>
      <c r="AO16" s="86"/>
      <c r="AP16" s="19"/>
      <c r="AQ16" s="19"/>
      <c r="AR16" s="86"/>
      <c r="AS16" s="19"/>
      <c r="AT16" s="19"/>
      <c r="AU16" s="86"/>
      <c r="AV16" s="19"/>
      <c r="AW16" s="19"/>
      <c r="AX16" s="86"/>
      <c r="AY16" s="86"/>
      <c r="AZ16" s="19"/>
      <c r="BA16" s="19"/>
      <c r="BB16" s="19"/>
      <c r="BC16" s="19"/>
      <c r="BD16" s="19"/>
      <c r="BE16" s="86"/>
      <c r="BF16" s="86"/>
      <c r="BG16" s="86"/>
      <c r="BH16" s="19"/>
      <c r="BI16" s="19"/>
      <c r="BJ16" s="86"/>
      <c r="BK16" s="86"/>
      <c r="BL16" s="86"/>
      <c r="BM16" s="86"/>
      <c r="BN16" s="86"/>
      <c r="BO16" s="19"/>
      <c r="BP16" s="19"/>
      <c r="BQ16" s="19"/>
      <c r="BR16" s="19"/>
      <c r="BS16" s="19"/>
    </row>
    <row r="17" spans="1:71" x14ac:dyDescent="0.25">
      <c r="A17" s="19"/>
      <c r="B17" s="86"/>
      <c r="C17" s="19"/>
      <c r="D17" s="86"/>
      <c r="E17" s="19"/>
      <c r="F17" s="19"/>
      <c r="G17" s="19"/>
      <c r="H17" s="19"/>
      <c r="I17" s="86"/>
      <c r="J17" s="86"/>
      <c r="K17" s="86"/>
      <c r="L17" s="86"/>
      <c r="M17" s="19"/>
      <c r="N17" s="19"/>
      <c r="O17" s="86"/>
      <c r="P17" s="19"/>
      <c r="Q17" s="19"/>
      <c r="R17" s="19"/>
      <c r="S17" s="86"/>
      <c r="T17" s="19"/>
      <c r="U17" s="19"/>
      <c r="V17" s="19"/>
      <c r="W17" s="19"/>
      <c r="X17" s="19"/>
      <c r="Y17" s="86"/>
      <c r="Z17" s="86"/>
      <c r="AA17" s="19"/>
      <c r="AB17" s="19"/>
      <c r="AC17" s="86"/>
      <c r="AD17" s="86"/>
      <c r="AE17" s="19"/>
      <c r="AF17" s="19"/>
      <c r="AG17" s="86"/>
      <c r="AH17" s="86"/>
      <c r="AI17" s="19"/>
      <c r="AJ17" s="19"/>
      <c r="AK17" s="86"/>
      <c r="AL17" s="19"/>
      <c r="AM17" s="19"/>
      <c r="AN17" s="86"/>
      <c r="AO17" s="86"/>
      <c r="AP17" s="19"/>
      <c r="AQ17" s="19"/>
      <c r="AR17" s="86"/>
      <c r="AS17" s="19"/>
      <c r="AT17" s="19"/>
      <c r="AU17" s="86"/>
      <c r="AV17" s="19"/>
      <c r="AW17" s="19"/>
      <c r="AX17" s="86"/>
      <c r="AY17" s="86"/>
      <c r="AZ17" s="19"/>
      <c r="BA17" s="19"/>
      <c r="BB17" s="19"/>
      <c r="BC17" s="19"/>
      <c r="BD17" s="19"/>
      <c r="BE17" s="86"/>
      <c r="BF17" s="86"/>
      <c r="BG17" s="86"/>
      <c r="BH17" s="19"/>
      <c r="BI17" s="19"/>
      <c r="BJ17" s="86"/>
      <c r="BK17" s="86"/>
      <c r="BL17" s="86"/>
      <c r="BM17" s="86"/>
      <c r="BN17" s="86"/>
      <c r="BO17" s="19"/>
      <c r="BP17" s="19"/>
      <c r="BQ17" s="19"/>
      <c r="BR17" s="19"/>
      <c r="BS17" s="85"/>
    </row>
    <row r="18" spans="1:71" x14ac:dyDescent="0.25">
      <c r="A18" s="19"/>
      <c r="B18" s="86"/>
      <c r="C18" s="19"/>
      <c r="D18" s="86"/>
      <c r="E18" s="19"/>
      <c r="F18" s="19"/>
      <c r="G18" s="19"/>
      <c r="H18" s="19"/>
      <c r="I18" s="86"/>
      <c r="J18" s="86"/>
      <c r="K18" s="86"/>
      <c r="L18" s="86"/>
      <c r="M18" s="19"/>
      <c r="N18" s="19"/>
      <c r="O18" s="86"/>
      <c r="P18" s="19"/>
      <c r="Q18" s="19"/>
      <c r="R18" s="19"/>
      <c r="S18" s="86"/>
      <c r="T18" s="19"/>
      <c r="U18" s="19"/>
      <c r="V18" s="19"/>
      <c r="W18" s="19"/>
      <c r="X18" s="19"/>
      <c r="Y18" s="86"/>
      <c r="Z18" s="86"/>
      <c r="AA18" s="19"/>
      <c r="AB18" s="19"/>
      <c r="AC18" s="86"/>
      <c r="AD18" s="86"/>
      <c r="AE18" s="19"/>
      <c r="AF18" s="19"/>
      <c r="AG18" s="86"/>
      <c r="AH18" s="86"/>
      <c r="AI18" s="19"/>
      <c r="AJ18" s="19"/>
      <c r="AK18" s="86"/>
      <c r="AL18" s="19"/>
      <c r="AM18" s="19"/>
      <c r="AN18" s="86"/>
      <c r="AO18" s="86"/>
      <c r="AP18" s="19"/>
      <c r="AQ18" s="19"/>
      <c r="AR18" s="86"/>
      <c r="AS18" s="19"/>
      <c r="AT18" s="19"/>
      <c r="AU18" s="86"/>
      <c r="AV18" s="19"/>
      <c r="AW18" s="19"/>
      <c r="AX18" s="86"/>
      <c r="AY18" s="86"/>
      <c r="AZ18" s="19"/>
      <c r="BA18" s="19"/>
      <c r="BB18" s="19"/>
      <c r="BC18" s="19"/>
      <c r="BD18" s="19"/>
      <c r="BE18" s="86"/>
      <c r="BF18" s="86"/>
      <c r="BG18" s="86"/>
      <c r="BH18" s="19"/>
      <c r="BI18" s="19"/>
      <c r="BJ18" s="86"/>
      <c r="BK18" s="86"/>
      <c r="BL18" s="86"/>
      <c r="BM18" s="86"/>
      <c r="BN18" s="86"/>
      <c r="BO18" s="19"/>
      <c r="BP18" s="19"/>
      <c r="BQ18" s="19"/>
      <c r="BR18" s="19"/>
      <c r="BS18" s="85"/>
    </row>
    <row r="19" spans="1:71" x14ac:dyDescent="0.25">
      <c r="A19" s="19"/>
      <c r="B19" s="86"/>
      <c r="C19" s="19"/>
      <c r="D19" s="86"/>
      <c r="E19" s="19"/>
      <c r="F19" s="19"/>
      <c r="G19" s="19"/>
      <c r="H19" s="19"/>
      <c r="I19" s="86"/>
      <c r="J19" s="86"/>
      <c r="K19" s="86"/>
      <c r="L19" s="86"/>
      <c r="M19" s="19"/>
      <c r="N19" s="19"/>
      <c r="O19" s="86"/>
      <c r="P19" s="19"/>
      <c r="Q19" s="19"/>
      <c r="R19" s="19"/>
      <c r="S19" s="86"/>
      <c r="T19" s="19"/>
      <c r="U19" s="19"/>
      <c r="V19" s="19"/>
      <c r="W19" s="19"/>
      <c r="X19" s="19"/>
      <c r="Y19" s="86"/>
      <c r="Z19" s="86"/>
      <c r="AA19" s="19"/>
      <c r="AB19" s="19"/>
      <c r="AC19" s="86"/>
      <c r="AD19" s="86"/>
      <c r="AE19" s="19"/>
      <c r="AF19" s="19"/>
      <c r="AG19" s="86"/>
      <c r="AH19" s="86"/>
      <c r="AI19" s="19"/>
      <c r="AJ19" s="19"/>
      <c r="AK19" s="86"/>
      <c r="AL19" s="19"/>
      <c r="AM19" s="19"/>
      <c r="AN19" s="86"/>
      <c r="AO19" s="86"/>
      <c r="AP19" s="19"/>
      <c r="AQ19" s="19"/>
      <c r="AR19" s="86"/>
      <c r="AS19" s="19"/>
      <c r="AT19" s="19"/>
      <c r="AU19" s="86"/>
      <c r="AV19" s="19"/>
      <c r="AW19" s="19"/>
      <c r="AX19" s="86"/>
      <c r="AY19" s="86"/>
      <c r="AZ19" s="19"/>
      <c r="BA19" s="19"/>
      <c r="BB19" s="19"/>
      <c r="BC19" s="19"/>
      <c r="BD19" s="19"/>
      <c r="BE19" s="86"/>
      <c r="BF19" s="86"/>
      <c r="BG19" s="86"/>
      <c r="BH19" s="19"/>
      <c r="BI19" s="19"/>
      <c r="BJ19" s="86"/>
      <c r="BK19" s="86"/>
      <c r="BL19" s="86"/>
      <c r="BM19" s="86"/>
      <c r="BN19" s="86"/>
      <c r="BO19" s="19"/>
      <c r="BP19" s="19"/>
      <c r="BQ19" s="19"/>
      <c r="BR19" s="19"/>
      <c r="BS19" s="85"/>
    </row>
    <row r="20" spans="1:71" x14ac:dyDescent="0.25">
      <c r="A20" s="19"/>
      <c r="B20" s="86"/>
      <c r="C20" s="19"/>
      <c r="D20" s="86"/>
      <c r="E20" s="19"/>
      <c r="F20" s="19"/>
      <c r="G20" s="19"/>
      <c r="H20" s="19"/>
      <c r="I20" s="86"/>
      <c r="J20" s="86"/>
      <c r="K20" s="86"/>
      <c r="L20" s="86"/>
      <c r="M20" s="19"/>
      <c r="N20" s="19"/>
      <c r="O20" s="86"/>
      <c r="P20" s="19"/>
      <c r="Q20" s="19"/>
      <c r="R20" s="19"/>
      <c r="S20" s="86"/>
      <c r="T20" s="19"/>
      <c r="U20" s="19"/>
      <c r="V20" s="19"/>
      <c r="W20" s="19"/>
      <c r="X20" s="19"/>
      <c r="Y20" s="86"/>
      <c r="Z20" s="86"/>
      <c r="AA20" s="19"/>
      <c r="AB20" s="19"/>
      <c r="AC20" s="86"/>
      <c r="AD20" s="86"/>
      <c r="AE20" s="19"/>
      <c r="AF20" s="19"/>
      <c r="AG20" s="86"/>
      <c r="AH20" s="86"/>
      <c r="AI20" s="19"/>
      <c r="AJ20" s="19"/>
      <c r="AK20" s="86"/>
      <c r="AL20" s="19"/>
      <c r="AM20" s="19"/>
      <c r="AN20" s="86"/>
      <c r="AO20" s="86"/>
      <c r="AP20" s="19"/>
      <c r="AQ20" s="19"/>
      <c r="AR20" s="86"/>
      <c r="AS20" s="19"/>
      <c r="AT20" s="19"/>
      <c r="AU20" s="86"/>
      <c r="AV20" s="19"/>
      <c r="AW20" s="19"/>
      <c r="AX20" s="86"/>
      <c r="AY20" s="86"/>
      <c r="AZ20" s="19"/>
      <c r="BA20" s="19"/>
      <c r="BB20" s="19"/>
      <c r="BC20" s="19"/>
      <c r="BD20" s="19"/>
      <c r="BE20" s="86"/>
      <c r="BF20" s="86"/>
      <c r="BG20" s="86"/>
      <c r="BH20" s="19"/>
      <c r="BI20" s="19"/>
      <c r="BJ20" s="86"/>
      <c r="BK20" s="86"/>
      <c r="BL20" s="86"/>
      <c r="BM20" s="86"/>
      <c r="BN20" s="86"/>
      <c r="BO20" s="19"/>
      <c r="BP20" s="19"/>
      <c r="BQ20" s="19"/>
      <c r="BR20" s="19"/>
      <c r="BS20" s="85"/>
    </row>
    <row r="21" spans="1:71" x14ac:dyDescent="0.25">
      <c r="A21" s="19"/>
      <c r="B21" s="86"/>
      <c r="C21" s="19"/>
      <c r="D21" s="86"/>
      <c r="E21" s="19"/>
      <c r="F21" s="19"/>
      <c r="G21" s="19"/>
      <c r="H21" s="19"/>
      <c r="I21" s="86"/>
      <c r="J21" s="86"/>
      <c r="K21" s="86"/>
      <c r="L21" s="86"/>
      <c r="M21" s="19"/>
      <c r="N21" s="19"/>
      <c r="O21" s="86"/>
      <c r="P21" s="19"/>
      <c r="Q21" s="19"/>
      <c r="R21" s="19"/>
      <c r="S21" s="86"/>
      <c r="T21" s="19"/>
      <c r="U21" s="19"/>
      <c r="V21" s="19"/>
      <c r="W21" s="19"/>
      <c r="X21" s="19"/>
      <c r="Y21" s="86"/>
      <c r="Z21" s="86"/>
      <c r="AA21" s="19"/>
      <c r="AB21" s="19"/>
      <c r="AC21" s="86"/>
      <c r="AD21" s="86"/>
      <c r="AE21" s="19"/>
      <c r="AF21" s="19"/>
      <c r="AG21" s="86"/>
      <c r="AH21" s="86"/>
      <c r="AI21" s="19"/>
      <c r="AJ21" s="19"/>
      <c r="AK21" s="86"/>
      <c r="AL21" s="19"/>
      <c r="AM21" s="19"/>
      <c r="AN21" s="86"/>
      <c r="AO21" s="86"/>
      <c r="AP21" s="19"/>
      <c r="AQ21" s="19"/>
      <c r="AR21" s="86"/>
      <c r="AS21" s="19"/>
      <c r="AT21" s="19"/>
      <c r="AU21" s="86"/>
      <c r="AV21" s="19"/>
      <c r="AW21" s="19"/>
      <c r="AX21" s="86"/>
      <c r="AY21" s="86"/>
      <c r="AZ21" s="19"/>
      <c r="BA21" s="19"/>
      <c r="BB21" s="19"/>
      <c r="BC21" s="19"/>
      <c r="BD21" s="19"/>
      <c r="BE21" s="86"/>
      <c r="BF21" s="86"/>
      <c r="BG21" s="86"/>
      <c r="BH21" s="19"/>
      <c r="BI21" s="19"/>
      <c r="BJ21" s="86"/>
      <c r="BK21" s="86"/>
      <c r="BL21" s="86"/>
      <c r="BM21" s="86"/>
      <c r="BN21" s="86"/>
      <c r="BO21" s="19"/>
      <c r="BP21" s="19"/>
      <c r="BQ21" s="19"/>
      <c r="BR21" s="19"/>
      <c r="BS21" s="85"/>
    </row>
    <row r="22" spans="1:71" x14ac:dyDescent="0.25">
      <c r="A22" s="19"/>
      <c r="B22" s="86"/>
      <c r="C22" s="19"/>
      <c r="D22" s="86"/>
      <c r="E22" s="19"/>
      <c r="F22" s="19"/>
      <c r="G22" s="19"/>
      <c r="H22" s="19"/>
      <c r="I22" s="86"/>
      <c r="J22" s="86"/>
      <c r="K22" s="86"/>
      <c r="L22" s="86"/>
      <c r="M22" s="19"/>
      <c r="N22" s="19"/>
      <c r="O22" s="86"/>
      <c r="P22" s="19"/>
      <c r="Q22" s="19"/>
      <c r="R22" s="19"/>
      <c r="S22" s="86"/>
      <c r="T22" s="19"/>
      <c r="U22" s="19"/>
      <c r="V22" s="19"/>
      <c r="W22" s="19"/>
      <c r="X22" s="19"/>
      <c r="Y22" s="86"/>
      <c r="Z22" s="86"/>
      <c r="AA22" s="19"/>
      <c r="AB22" s="19"/>
      <c r="AC22" s="86"/>
      <c r="AD22" s="86"/>
      <c r="AE22" s="19"/>
      <c r="AF22" s="19"/>
      <c r="AG22" s="86"/>
      <c r="AH22" s="86"/>
      <c r="AI22" s="19"/>
      <c r="AJ22" s="19"/>
      <c r="AK22" s="86"/>
      <c r="AL22" s="19"/>
      <c r="AM22" s="19"/>
      <c r="AN22" s="86"/>
      <c r="AO22" s="86"/>
      <c r="AP22" s="19"/>
      <c r="AQ22" s="19"/>
      <c r="AR22" s="86"/>
      <c r="AS22" s="19"/>
      <c r="AT22" s="19"/>
      <c r="AU22" s="86"/>
      <c r="AV22" s="19"/>
      <c r="AW22" s="19"/>
      <c r="AX22" s="86"/>
      <c r="AY22" s="86"/>
      <c r="AZ22" s="19"/>
      <c r="BA22" s="19"/>
      <c r="BB22" s="19"/>
      <c r="BC22" s="19"/>
      <c r="BD22" s="19"/>
      <c r="BE22" s="86"/>
      <c r="BF22" s="86"/>
      <c r="BG22" s="86"/>
      <c r="BH22" s="19"/>
      <c r="BI22" s="19"/>
      <c r="BJ22" s="86"/>
      <c r="BK22" s="86"/>
      <c r="BL22" s="86"/>
      <c r="BM22" s="86"/>
      <c r="BN22" s="86"/>
      <c r="BO22" s="19"/>
      <c r="BP22" s="19"/>
      <c r="BQ22" s="19"/>
      <c r="BR22" s="19"/>
      <c r="BS22" s="85"/>
    </row>
    <row r="23" spans="1:71" x14ac:dyDescent="0.25">
      <c r="A23" s="19"/>
      <c r="B23" s="86"/>
      <c r="C23" s="19"/>
      <c r="D23" s="86"/>
      <c r="E23" s="19"/>
      <c r="F23" s="19"/>
      <c r="G23" s="19"/>
      <c r="H23" s="19"/>
      <c r="I23" s="86"/>
      <c r="J23" s="86"/>
      <c r="K23" s="86"/>
      <c r="L23" s="86"/>
      <c r="M23" s="19"/>
      <c r="N23" s="19"/>
      <c r="O23" s="86"/>
      <c r="P23" s="19"/>
      <c r="Q23" s="19"/>
      <c r="R23" s="19"/>
      <c r="S23" s="86"/>
      <c r="T23" s="19"/>
      <c r="U23" s="19"/>
      <c r="V23" s="19"/>
      <c r="W23" s="19"/>
      <c r="X23" s="19"/>
      <c r="Y23" s="86"/>
      <c r="Z23" s="86"/>
      <c r="AA23" s="19"/>
      <c r="AB23" s="19"/>
      <c r="AC23" s="86"/>
      <c r="AD23" s="86"/>
      <c r="AE23" s="19"/>
      <c r="AF23" s="19"/>
      <c r="AG23" s="86"/>
      <c r="AH23" s="86"/>
      <c r="AI23" s="19"/>
      <c r="AJ23" s="19"/>
      <c r="AK23" s="86"/>
      <c r="AL23" s="19"/>
      <c r="AM23" s="19"/>
      <c r="AN23" s="86"/>
      <c r="AO23" s="86"/>
      <c r="AP23" s="19"/>
      <c r="AQ23" s="19"/>
      <c r="AR23" s="86"/>
      <c r="AS23" s="19"/>
      <c r="AT23" s="19"/>
      <c r="AU23" s="86"/>
      <c r="AV23" s="19"/>
      <c r="AW23" s="19"/>
      <c r="AX23" s="86"/>
      <c r="AY23" s="86"/>
      <c r="AZ23" s="19"/>
      <c r="BA23" s="19"/>
      <c r="BB23" s="19"/>
      <c r="BC23" s="19"/>
      <c r="BD23" s="19"/>
      <c r="BE23" s="86"/>
      <c r="BF23" s="86"/>
      <c r="BG23" s="86"/>
      <c r="BH23" s="19"/>
      <c r="BI23" s="19"/>
      <c r="BJ23" s="86"/>
      <c r="BK23" s="86"/>
      <c r="BL23" s="86"/>
      <c r="BM23" s="86"/>
      <c r="BN23" s="86"/>
      <c r="BO23" s="19"/>
      <c r="BP23" s="19"/>
      <c r="BQ23" s="19"/>
      <c r="BR23" s="19"/>
      <c r="BS23" s="85"/>
    </row>
    <row r="24" spans="1:71" x14ac:dyDescent="0.25">
      <c r="A24" s="19"/>
      <c r="B24" s="86"/>
      <c r="C24" s="19"/>
      <c r="D24" s="86"/>
      <c r="E24" s="19"/>
      <c r="F24" s="19"/>
      <c r="G24" s="19"/>
      <c r="H24" s="19"/>
      <c r="I24" s="86"/>
      <c r="J24" s="86"/>
      <c r="K24" s="86"/>
      <c r="L24" s="86"/>
      <c r="M24" s="19"/>
      <c r="N24" s="19"/>
      <c r="O24" s="86"/>
      <c r="P24" s="19"/>
      <c r="Q24" s="19"/>
      <c r="R24" s="19"/>
      <c r="S24" s="86"/>
      <c r="T24" s="19"/>
      <c r="U24" s="19"/>
      <c r="V24" s="19"/>
      <c r="W24" s="19"/>
      <c r="X24" s="19"/>
      <c r="Y24" s="86"/>
      <c r="Z24" s="86"/>
      <c r="AA24" s="19"/>
      <c r="AB24" s="19"/>
      <c r="AC24" s="86"/>
      <c r="AD24" s="86"/>
      <c r="AE24" s="19"/>
      <c r="AF24" s="19"/>
      <c r="AG24" s="86"/>
      <c r="AH24" s="86"/>
      <c r="AI24" s="19"/>
      <c r="AJ24" s="19"/>
      <c r="AK24" s="86"/>
      <c r="AL24" s="19"/>
      <c r="AM24" s="19"/>
      <c r="AN24" s="86"/>
      <c r="AO24" s="86"/>
      <c r="AP24" s="19"/>
      <c r="AQ24" s="19"/>
      <c r="AR24" s="86"/>
      <c r="AS24" s="19"/>
      <c r="AT24" s="19"/>
      <c r="AU24" s="86"/>
      <c r="AV24" s="19"/>
      <c r="AW24" s="19"/>
      <c r="AX24" s="86"/>
      <c r="AY24" s="86"/>
      <c r="AZ24" s="19"/>
      <c r="BA24" s="19"/>
      <c r="BB24" s="19"/>
      <c r="BC24" s="19"/>
      <c r="BD24" s="19"/>
      <c r="BE24" s="86"/>
      <c r="BF24" s="86"/>
      <c r="BG24" s="86"/>
      <c r="BH24" s="19"/>
      <c r="BI24" s="19"/>
      <c r="BJ24" s="86"/>
      <c r="BK24" s="86"/>
      <c r="BL24" s="86"/>
      <c r="BM24" s="86"/>
      <c r="BN24" s="86"/>
      <c r="BO24" s="19"/>
      <c r="BP24" s="19"/>
      <c r="BQ24" s="19"/>
      <c r="BR24" s="19"/>
      <c r="BS24" s="85"/>
    </row>
    <row r="25" spans="1:71" x14ac:dyDescent="0.25">
      <c r="A25" s="19"/>
      <c r="B25" s="86"/>
      <c r="C25" s="19"/>
      <c r="D25" s="86"/>
      <c r="E25" s="19"/>
      <c r="F25" s="19"/>
      <c r="G25" s="19"/>
      <c r="H25" s="19"/>
      <c r="I25" s="86"/>
      <c r="J25" s="86"/>
      <c r="K25" s="86"/>
      <c r="L25" s="86"/>
      <c r="M25" s="19"/>
      <c r="N25" s="19"/>
      <c r="O25" s="86"/>
      <c r="P25" s="19"/>
      <c r="Q25" s="19"/>
      <c r="R25" s="19"/>
      <c r="S25" s="86"/>
      <c r="T25" s="19"/>
      <c r="U25" s="19"/>
      <c r="V25" s="19"/>
      <c r="W25" s="19"/>
      <c r="X25" s="19"/>
      <c r="Y25" s="86"/>
      <c r="Z25" s="86"/>
      <c r="AA25" s="19"/>
      <c r="AB25" s="19"/>
      <c r="AC25" s="86"/>
      <c r="AD25" s="86"/>
      <c r="AE25" s="19"/>
      <c r="AF25" s="19"/>
      <c r="AG25" s="86"/>
      <c r="AH25" s="86"/>
      <c r="AI25" s="19"/>
      <c r="AJ25" s="19"/>
      <c r="AK25" s="86"/>
      <c r="AL25" s="19"/>
      <c r="AM25" s="19"/>
      <c r="AN25" s="86"/>
      <c r="AO25" s="86"/>
      <c r="AP25" s="19"/>
      <c r="AQ25" s="19"/>
      <c r="AR25" s="86"/>
      <c r="AS25" s="19"/>
      <c r="AT25" s="19"/>
      <c r="AU25" s="86"/>
      <c r="AV25" s="19"/>
      <c r="AW25" s="19"/>
      <c r="AX25" s="86"/>
      <c r="AY25" s="86"/>
      <c r="AZ25" s="19"/>
      <c r="BA25" s="19"/>
      <c r="BB25" s="19"/>
      <c r="BC25" s="19"/>
      <c r="BD25" s="19"/>
      <c r="BE25" s="86"/>
      <c r="BF25" s="86"/>
      <c r="BG25" s="86"/>
      <c r="BH25" s="19"/>
      <c r="BI25" s="19"/>
      <c r="BJ25" s="86"/>
      <c r="BK25" s="86"/>
      <c r="BL25" s="86"/>
      <c r="BM25" s="86"/>
      <c r="BN25" s="86"/>
      <c r="BO25" s="19"/>
      <c r="BP25" s="19"/>
      <c r="BQ25" s="19"/>
      <c r="BR25" s="19"/>
      <c r="BS25" s="85"/>
    </row>
    <row r="26" spans="1:71" x14ac:dyDescent="0.25">
      <c r="A26" s="19"/>
      <c r="B26" s="86"/>
      <c r="C26" s="19"/>
      <c r="D26" s="86"/>
      <c r="E26" s="19"/>
      <c r="F26" s="19"/>
      <c r="G26" s="19"/>
      <c r="H26" s="19"/>
      <c r="I26" s="86"/>
      <c r="J26" s="86"/>
      <c r="K26" s="86"/>
      <c r="L26" s="86"/>
      <c r="M26" s="19"/>
      <c r="N26" s="19"/>
      <c r="O26" s="86"/>
      <c r="P26" s="19"/>
      <c r="Q26" s="19"/>
      <c r="R26" s="19"/>
      <c r="S26" s="86"/>
      <c r="T26" s="19"/>
      <c r="U26" s="19"/>
      <c r="V26" s="19"/>
      <c r="W26" s="19"/>
      <c r="X26" s="19"/>
      <c r="Y26" s="86"/>
      <c r="Z26" s="86"/>
      <c r="AA26" s="19"/>
      <c r="AB26" s="19"/>
      <c r="AC26" s="86"/>
      <c r="AD26" s="86"/>
      <c r="AE26" s="19"/>
      <c r="AF26" s="19"/>
      <c r="AG26" s="86"/>
      <c r="AH26" s="86"/>
      <c r="AI26" s="19"/>
      <c r="AJ26" s="19"/>
      <c r="AK26" s="86"/>
      <c r="AL26" s="19"/>
      <c r="AM26" s="19"/>
      <c r="AN26" s="86"/>
      <c r="AO26" s="86"/>
      <c r="AP26" s="19"/>
      <c r="AQ26" s="19"/>
      <c r="AR26" s="86"/>
      <c r="AS26" s="19"/>
      <c r="AT26" s="19"/>
      <c r="AU26" s="86"/>
      <c r="AV26" s="19"/>
      <c r="AW26" s="19"/>
      <c r="AX26" s="86"/>
      <c r="AY26" s="86"/>
      <c r="AZ26" s="19"/>
      <c r="BA26" s="19"/>
      <c r="BB26" s="19"/>
      <c r="BC26" s="19"/>
      <c r="BD26" s="19"/>
      <c r="BE26" s="86"/>
      <c r="BF26" s="86"/>
      <c r="BG26" s="86"/>
      <c r="BH26" s="19"/>
      <c r="BI26" s="19"/>
      <c r="BJ26" s="86"/>
      <c r="BK26" s="86"/>
      <c r="BL26" s="86"/>
      <c r="BM26" s="86"/>
      <c r="BN26" s="86"/>
      <c r="BO26" s="19"/>
      <c r="BP26" s="19"/>
      <c r="BQ26" s="19"/>
      <c r="BR26" s="19"/>
      <c r="BS26" s="85"/>
    </row>
    <row r="27" spans="1:71" x14ac:dyDescent="0.25">
      <c r="A27" s="19"/>
      <c r="B27" s="86"/>
      <c r="C27" s="19"/>
      <c r="D27" s="86"/>
      <c r="E27" s="19"/>
      <c r="F27" s="19"/>
      <c r="G27" s="19"/>
      <c r="H27" s="19"/>
      <c r="I27" s="86"/>
      <c r="J27" s="86"/>
      <c r="K27" s="86"/>
      <c r="L27" s="86"/>
      <c r="M27" s="19"/>
      <c r="N27" s="19"/>
      <c r="O27" s="86"/>
      <c r="P27" s="19"/>
      <c r="Q27" s="19"/>
      <c r="R27" s="19"/>
      <c r="S27" s="86"/>
      <c r="T27" s="19"/>
      <c r="U27" s="19"/>
      <c r="V27" s="19"/>
      <c r="W27" s="19"/>
      <c r="X27" s="19"/>
      <c r="Y27" s="86"/>
      <c r="Z27" s="86"/>
      <c r="AA27" s="19"/>
      <c r="AB27" s="19"/>
      <c r="AC27" s="86"/>
      <c r="AD27" s="86"/>
      <c r="AE27" s="19"/>
      <c r="AF27" s="19"/>
      <c r="AG27" s="86"/>
      <c r="AH27" s="86"/>
      <c r="AI27" s="19"/>
      <c r="AJ27" s="19"/>
      <c r="AK27" s="86"/>
      <c r="AL27" s="19"/>
      <c r="AM27" s="19"/>
      <c r="AN27" s="86"/>
      <c r="AO27" s="86"/>
      <c r="AP27" s="19"/>
      <c r="AQ27" s="19"/>
      <c r="AR27" s="86"/>
      <c r="AS27" s="19"/>
      <c r="AT27" s="19"/>
      <c r="AU27" s="86"/>
      <c r="AV27" s="19"/>
      <c r="AW27" s="19"/>
      <c r="AX27" s="86"/>
      <c r="AY27" s="86"/>
      <c r="AZ27" s="19"/>
      <c r="BA27" s="19"/>
      <c r="BB27" s="19"/>
      <c r="BC27" s="19"/>
      <c r="BD27" s="19"/>
      <c r="BE27" s="86"/>
      <c r="BF27" s="86"/>
      <c r="BG27" s="86"/>
      <c r="BH27" s="19"/>
      <c r="BI27" s="19"/>
      <c r="BJ27" s="86"/>
      <c r="BK27" s="86"/>
      <c r="BL27" s="86"/>
      <c r="BM27" s="86"/>
      <c r="BN27" s="86"/>
      <c r="BO27" s="19"/>
      <c r="BP27" s="19"/>
      <c r="BQ27" s="19"/>
      <c r="BR27" s="19"/>
      <c r="BS27" s="85"/>
    </row>
    <row r="28" spans="1:71" x14ac:dyDescent="0.25">
      <c r="A28" s="19"/>
      <c r="B28" s="86"/>
      <c r="C28" s="19"/>
      <c r="D28" s="86"/>
      <c r="E28" s="19"/>
      <c r="F28" s="19"/>
      <c r="G28" s="19"/>
      <c r="H28" s="19"/>
      <c r="I28" s="86"/>
      <c r="J28" s="86"/>
      <c r="K28" s="86"/>
      <c r="L28" s="86"/>
      <c r="M28" s="19"/>
      <c r="N28" s="19"/>
      <c r="O28" s="86"/>
      <c r="P28" s="19"/>
      <c r="Q28" s="19"/>
      <c r="R28" s="19"/>
      <c r="S28" s="86"/>
      <c r="T28" s="19"/>
      <c r="U28" s="19"/>
      <c r="V28" s="19"/>
      <c r="W28" s="19"/>
      <c r="X28" s="19"/>
      <c r="Y28" s="86"/>
      <c r="Z28" s="86"/>
      <c r="AA28" s="19"/>
      <c r="AB28" s="19"/>
      <c r="AC28" s="86"/>
      <c r="AD28" s="86"/>
      <c r="AE28" s="19"/>
      <c r="AF28" s="19"/>
      <c r="AG28" s="86"/>
      <c r="AH28" s="86"/>
      <c r="AI28" s="19"/>
      <c r="AJ28" s="19"/>
      <c r="AK28" s="86"/>
      <c r="AL28" s="19"/>
      <c r="AM28" s="19"/>
      <c r="AN28" s="86"/>
      <c r="AO28" s="86"/>
      <c r="AP28" s="19"/>
      <c r="AQ28" s="19"/>
      <c r="AR28" s="86"/>
      <c r="AS28" s="19"/>
      <c r="AT28" s="19"/>
      <c r="AU28" s="86"/>
      <c r="AV28" s="19"/>
      <c r="AW28" s="19"/>
      <c r="AX28" s="86"/>
      <c r="AY28" s="86"/>
      <c r="AZ28" s="19"/>
      <c r="BA28" s="19"/>
      <c r="BB28" s="19"/>
      <c r="BC28" s="19"/>
      <c r="BD28" s="19"/>
      <c r="BE28" s="86"/>
      <c r="BF28" s="86"/>
      <c r="BG28" s="86"/>
      <c r="BH28" s="19"/>
      <c r="BI28" s="19"/>
      <c r="BJ28" s="86"/>
      <c r="BK28" s="86"/>
      <c r="BL28" s="86"/>
      <c r="BM28" s="86"/>
      <c r="BN28" s="86"/>
      <c r="BO28" s="19"/>
      <c r="BP28" s="19"/>
      <c r="BQ28" s="19"/>
      <c r="BR28" s="19"/>
      <c r="BS28" s="85"/>
    </row>
    <row r="29" spans="1:71" x14ac:dyDescent="0.25">
      <c r="A29" s="19"/>
      <c r="B29" s="86"/>
      <c r="C29" s="19"/>
      <c r="D29" s="86"/>
      <c r="E29" s="19"/>
      <c r="F29" s="19"/>
      <c r="G29" s="19"/>
      <c r="H29" s="19"/>
      <c r="I29" s="86"/>
      <c r="J29" s="86"/>
      <c r="K29" s="86"/>
      <c r="L29" s="86"/>
      <c r="M29" s="19"/>
      <c r="N29" s="19"/>
      <c r="O29" s="86"/>
      <c r="P29" s="19"/>
      <c r="Q29" s="19"/>
      <c r="R29" s="19"/>
      <c r="S29" s="86"/>
      <c r="T29" s="19"/>
      <c r="U29" s="19"/>
      <c r="V29" s="19"/>
      <c r="W29" s="19"/>
      <c r="X29" s="19"/>
      <c r="Y29" s="86"/>
      <c r="Z29" s="86"/>
      <c r="AA29" s="19"/>
      <c r="AB29" s="19"/>
      <c r="AC29" s="86"/>
      <c r="AD29" s="86"/>
      <c r="AE29" s="19"/>
      <c r="AF29" s="19"/>
      <c r="AG29" s="86"/>
      <c r="AH29" s="86"/>
      <c r="AI29" s="19"/>
      <c r="AJ29" s="19"/>
      <c r="AK29" s="86"/>
      <c r="AL29" s="19"/>
      <c r="AM29" s="19"/>
      <c r="AN29" s="86"/>
      <c r="AO29" s="86"/>
      <c r="AP29" s="19"/>
      <c r="AQ29" s="19"/>
      <c r="AR29" s="86"/>
      <c r="AS29" s="19"/>
      <c r="AT29" s="19"/>
      <c r="AU29" s="86"/>
      <c r="AV29" s="19"/>
      <c r="AW29" s="19"/>
      <c r="AX29" s="86"/>
      <c r="AY29" s="86"/>
      <c r="AZ29" s="19"/>
      <c r="BA29" s="19"/>
      <c r="BB29" s="19"/>
      <c r="BC29" s="19"/>
      <c r="BD29" s="19"/>
      <c r="BE29" s="86"/>
      <c r="BF29" s="86"/>
      <c r="BG29" s="86"/>
      <c r="BH29" s="19"/>
      <c r="BI29" s="19"/>
      <c r="BJ29" s="86"/>
      <c r="BK29" s="86"/>
      <c r="BL29" s="86"/>
      <c r="BM29" s="86"/>
      <c r="BN29" s="86"/>
      <c r="BO29" s="19"/>
      <c r="BP29" s="19"/>
      <c r="BQ29" s="19"/>
      <c r="BR29" s="19"/>
      <c r="BS29" s="85"/>
    </row>
    <row r="30" spans="1:71" x14ac:dyDescent="0.25">
      <c r="A30" s="19"/>
      <c r="B30" s="86"/>
      <c r="C30" s="19"/>
      <c r="D30" s="86"/>
      <c r="E30" s="19"/>
      <c r="F30" s="19"/>
      <c r="G30" s="19"/>
      <c r="H30" s="19"/>
      <c r="I30" s="86"/>
      <c r="J30" s="86"/>
      <c r="K30" s="86"/>
      <c r="L30" s="86"/>
      <c r="M30" s="19"/>
      <c r="N30" s="19"/>
      <c r="O30" s="86"/>
      <c r="P30" s="19"/>
      <c r="Q30" s="19"/>
      <c r="R30" s="19"/>
      <c r="S30" s="86"/>
      <c r="T30" s="19"/>
      <c r="U30" s="19"/>
      <c r="V30" s="19"/>
      <c r="W30" s="19"/>
      <c r="X30" s="19"/>
      <c r="Y30" s="86"/>
      <c r="Z30" s="86"/>
      <c r="AA30" s="19"/>
      <c r="AB30" s="19"/>
      <c r="AC30" s="86"/>
      <c r="AD30" s="86"/>
      <c r="AE30" s="19"/>
      <c r="AF30" s="19"/>
      <c r="AG30" s="86"/>
      <c r="AH30" s="86"/>
      <c r="AI30" s="19"/>
      <c r="AJ30" s="19"/>
      <c r="AK30" s="86"/>
      <c r="AL30" s="19"/>
      <c r="AM30" s="19"/>
      <c r="AN30" s="86"/>
      <c r="AO30" s="86"/>
      <c r="AP30" s="19"/>
      <c r="AQ30" s="19"/>
      <c r="AR30" s="86"/>
      <c r="AS30" s="19"/>
      <c r="AT30" s="19"/>
      <c r="AU30" s="86"/>
      <c r="AV30" s="19"/>
      <c r="AW30" s="19"/>
      <c r="AX30" s="86"/>
      <c r="AY30" s="86"/>
      <c r="AZ30" s="19"/>
      <c r="BA30" s="19"/>
      <c r="BB30" s="19"/>
      <c r="BC30" s="19"/>
      <c r="BD30" s="19"/>
      <c r="BE30" s="86"/>
      <c r="BF30" s="86"/>
      <c r="BG30" s="86"/>
      <c r="BH30" s="19"/>
      <c r="BI30" s="19"/>
      <c r="BJ30" s="86"/>
      <c r="BK30" s="86"/>
      <c r="BL30" s="86"/>
      <c r="BM30" s="86"/>
      <c r="BN30" s="86"/>
      <c r="BO30" s="19"/>
      <c r="BP30" s="19"/>
      <c r="BQ30" s="19"/>
      <c r="BR30" s="19"/>
      <c r="BS30" s="85"/>
    </row>
    <row r="31" spans="1:71" x14ac:dyDescent="0.25">
      <c r="A31" s="19"/>
      <c r="B31" s="86"/>
      <c r="C31" s="19"/>
      <c r="D31" s="86"/>
      <c r="E31" s="19"/>
      <c r="F31" s="19"/>
      <c r="G31" s="19"/>
      <c r="H31" s="19"/>
      <c r="I31" s="86"/>
      <c r="J31" s="86"/>
      <c r="K31" s="86"/>
      <c r="L31" s="86"/>
      <c r="M31" s="19"/>
      <c r="N31" s="19"/>
      <c r="O31" s="86"/>
      <c r="P31" s="19"/>
      <c r="Q31" s="19"/>
      <c r="R31" s="19"/>
      <c r="S31" s="86"/>
      <c r="T31" s="19"/>
      <c r="U31" s="19"/>
      <c r="V31" s="19"/>
      <c r="W31" s="19"/>
      <c r="X31" s="19"/>
      <c r="Y31" s="86"/>
      <c r="Z31" s="86"/>
      <c r="AA31" s="19"/>
      <c r="AB31" s="19"/>
      <c r="AC31" s="86"/>
      <c r="AD31" s="86"/>
      <c r="AE31" s="19"/>
      <c r="AF31" s="19"/>
      <c r="AG31" s="86"/>
      <c r="AH31" s="86"/>
      <c r="AI31" s="19"/>
      <c r="AJ31" s="19"/>
      <c r="AK31" s="86"/>
      <c r="AL31" s="19"/>
      <c r="AM31" s="19"/>
      <c r="AN31" s="86"/>
      <c r="AO31" s="86"/>
      <c r="AP31" s="19"/>
      <c r="AQ31" s="19"/>
      <c r="AR31" s="86"/>
      <c r="AS31" s="19"/>
      <c r="AT31" s="19"/>
      <c r="AU31" s="86"/>
      <c r="AV31" s="19"/>
      <c r="AW31" s="19"/>
      <c r="AX31" s="86"/>
      <c r="AY31" s="86"/>
      <c r="AZ31" s="19"/>
      <c r="BA31" s="19"/>
      <c r="BB31" s="19"/>
      <c r="BC31" s="19"/>
      <c r="BD31" s="19"/>
      <c r="BE31" s="86"/>
      <c r="BF31" s="86"/>
      <c r="BG31" s="86"/>
      <c r="BH31" s="19"/>
      <c r="BI31" s="19"/>
      <c r="BJ31" s="86"/>
      <c r="BK31" s="86"/>
      <c r="BL31" s="86"/>
      <c r="BM31" s="86"/>
      <c r="BN31" s="86"/>
      <c r="BO31" s="19"/>
      <c r="BP31" s="19"/>
      <c r="BQ31" s="19"/>
      <c r="BR31" s="19"/>
      <c r="BS31" s="85"/>
    </row>
    <row r="32" spans="1:71" x14ac:dyDescent="0.25">
      <c r="A32" s="19"/>
      <c r="B32" s="86"/>
      <c r="C32" s="19"/>
      <c r="D32" s="86"/>
      <c r="E32" s="19"/>
      <c r="F32" s="19"/>
      <c r="G32" s="19"/>
      <c r="H32" s="19"/>
      <c r="I32" s="86"/>
      <c r="J32" s="86"/>
      <c r="K32" s="86"/>
      <c r="L32" s="86"/>
      <c r="M32" s="19"/>
      <c r="N32" s="19"/>
      <c r="O32" s="86"/>
      <c r="P32" s="19"/>
      <c r="Q32" s="19"/>
      <c r="R32" s="19"/>
      <c r="S32" s="86"/>
      <c r="T32" s="19"/>
      <c r="U32" s="19"/>
      <c r="V32" s="19"/>
      <c r="W32" s="19"/>
      <c r="X32" s="19"/>
      <c r="Y32" s="86"/>
      <c r="Z32" s="86"/>
      <c r="AA32" s="19"/>
      <c r="AB32" s="19"/>
      <c r="AC32" s="86"/>
      <c r="AD32" s="86"/>
      <c r="AE32" s="19"/>
      <c r="AF32" s="19"/>
      <c r="AG32" s="86"/>
      <c r="AH32" s="86"/>
      <c r="AI32" s="19"/>
      <c r="AJ32" s="19"/>
      <c r="AK32" s="86"/>
      <c r="AL32" s="19"/>
      <c r="AM32" s="19"/>
      <c r="AN32" s="86"/>
      <c r="AO32" s="86"/>
      <c r="AP32" s="19"/>
      <c r="AQ32" s="19"/>
      <c r="AR32" s="86"/>
      <c r="AS32" s="19"/>
      <c r="AT32" s="19"/>
      <c r="AU32" s="86"/>
      <c r="AV32" s="19"/>
      <c r="AW32" s="19"/>
      <c r="AX32" s="86"/>
      <c r="AY32" s="86"/>
      <c r="AZ32" s="19"/>
      <c r="BA32" s="19"/>
      <c r="BB32" s="19"/>
      <c r="BC32" s="19"/>
      <c r="BD32" s="19"/>
      <c r="BE32" s="86"/>
      <c r="BF32" s="86"/>
      <c r="BG32" s="86"/>
      <c r="BH32" s="19"/>
      <c r="BI32" s="19"/>
      <c r="BJ32" s="86"/>
      <c r="BK32" s="86"/>
      <c r="BL32" s="86"/>
      <c r="BM32" s="86"/>
      <c r="BN32" s="86"/>
      <c r="BO32" s="19"/>
      <c r="BP32" s="19"/>
      <c r="BQ32" s="19"/>
      <c r="BR32" s="19"/>
      <c r="BS32" s="85"/>
    </row>
    <row r="33" spans="1:71" x14ac:dyDescent="0.25">
      <c r="A33" s="19"/>
      <c r="B33" s="86"/>
      <c r="C33" s="19"/>
      <c r="D33" s="86"/>
      <c r="E33" s="19"/>
      <c r="F33" s="19"/>
      <c r="G33" s="19"/>
      <c r="H33" s="19"/>
      <c r="I33" s="86"/>
      <c r="J33" s="86"/>
      <c r="K33" s="86"/>
      <c r="L33" s="86"/>
      <c r="M33" s="19"/>
      <c r="N33" s="19"/>
      <c r="O33" s="86"/>
      <c r="P33" s="19"/>
      <c r="Q33" s="19"/>
      <c r="R33" s="19"/>
      <c r="S33" s="86"/>
      <c r="T33" s="19"/>
      <c r="U33" s="19"/>
      <c r="V33" s="19"/>
      <c r="W33" s="19"/>
      <c r="X33" s="19"/>
      <c r="Y33" s="86"/>
      <c r="Z33" s="86"/>
      <c r="AA33" s="19"/>
      <c r="AB33" s="19"/>
      <c r="AC33" s="86"/>
      <c r="AD33" s="86"/>
      <c r="AE33" s="19"/>
      <c r="AF33" s="19"/>
      <c r="AG33" s="86"/>
      <c r="AH33" s="86"/>
      <c r="AI33" s="19"/>
      <c r="AJ33" s="19"/>
      <c r="AK33" s="86"/>
      <c r="AL33" s="19"/>
      <c r="AM33" s="19"/>
      <c r="AN33" s="86"/>
      <c r="AO33" s="86"/>
      <c r="AP33" s="19"/>
      <c r="AQ33" s="19"/>
      <c r="AR33" s="86"/>
      <c r="AS33" s="19"/>
      <c r="AT33" s="19"/>
      <c r="AU33" s="86"/>
      <c r="AV33" s="19"/>
      <c r="AW33" s="19"/>
      <c r="AX33" s="86"/>
      <c r="AY33" s="86"/>
      <c r="AZ33" s="19"/>
      <c r="BA33" s="19"/>
      <c r="BB33" s="19"/>
      <c r="BC33" s="19"/>
      <c r="BD33" s="19"/>
      <c r="BE33" s="86"/>
      <c r="BF33" s="86"/>
      <c r="BG33" s="86"/>
      <c r="BH33" s="19"/>
      <c r="BI33" s="19"/>
      <c r="BJ33" s="86"/>
      <c r="BK33" s="86"/>
      <c r="BL33" s="86"/>
      <c r="BM33" s="86"/>
      <c r="BN33" s="86"/>
      <c r="BO33" s="19"/>
      <c r="BP33" s="19"/>
      <c r="BQ33" s="19"/>
      <c r="BR33" s="19"/>
      <c r="BS33" s="85"/>
    </row>
    <row r="34" spans="1:71" x14ac:dyDescent="0.25">
      <c r="A34" s="19"/>
      <c r="B34" s="86"/>
      <c r="C34" s="19"/>
      <c r="D34" s="86"/>
      <c r="E34" s="19"/>
      <c r="F34" s="19"/>
      <c r="G34" s="19"/>
      <c r="H34" s="19"/>
      <c r="I34" s="86"/>
      <c r="J34" s="86"/>
      <c r="K34" s="86"/>
      <c r="L34" s="86"/>
      <c r="M34" s="19"/>
      <c r="N34" s="19"/>
      <c r="O34" s="86"/>
      <c r="P34" s="19"/>
      <c r="Q34" s="19"/>
      <c r="R34" s="19"/>
      <c r="S34" s="86"/>
      <c r="T34" s="19"/>
      <c r="U34" s="19"/>
      <c r="V34" s="19"/>
      <c r="W34" s="19"/>
      <c r="X34" s="19"/>
      <c r="Y34" s="86"/>
      <c r="Z34" s="86"/>
      <c r="AA34" s="19"/>
      <c r="AB34" s="19"/>
      <c r="AC34" s="86"/>
      <c r="AD34" s="86"/>
      <c r="AE34" s="19"/>
      <c r="AF34" s="19"/>
      <c r="AG34" s="86"/>
      <c r="AH34" s="86"/>
      <c r="AI34" s="19"/>
      <c r="AJ34" s="19"/>
      <c r="AK34" s="86"/>
      <c r="AL34" s="19"/>
      <c r="AM34" s="19"/>
      <c r="AN34" s="86"/>
      <c r="AO34" s="86"/>
      <c r="AP34" s="19"/>
      <c r="AQ34" s="19"/>
      <c r="AR34" s="86"/>
      <c r="AS34" s="19"/>
      <c r="AT34" s="19"/>
      <c r="AU34" s="86"/>
      <c r="AV34" s="19"/>
      <c r="AW34" s="19"/>
      <c r="AX34" s="86"/>
      <c r="AY34" s="86"/>
      <c r="AZ34" s="19"/>
      <c r="BA34" s="19"/>
      <c r="BB34" s="19"/>
      <c r="BC34" s="19"/>
      <c r="BD34" s="19"/>
      <c r="BE34" s="86"/>
      <c r="BF34" s="86"/>
      <c r="BG34" s="86"/>
      <c r="BH34" s="19"/>
      <c r="BI34" s="19"/>
      <c r="BJ34" s="86"/>
      <c r="BK34" s="86"/>
      <c r="BL34" s="86"/>
      <c r="BM34" s="86"/>
      <c r="BN34" s="86"/>
      <c r="BO34" s="19"/>
      <c r="BP34" s="19"/>
      <c r="BQ34" s="19"/>
      <c r="BR34" s="19"/>
      <c r="BS34" s="85"/>
    </row>
    <row r="35" spans="1:71" x14ac:dyDescent="0.25">
      <c r="A35" s="19"/>
      <c r="B35" s="86"/>
      <c r="C35" s="19"/>
      <c r="D35" s="86"/>
      <c r="E35" s="19"/>
      <c r="F35" s="19"/>
      <c r="G35" s="19"/>
      <c r="H35" s="19"/>
      <c r="I35" s="86"/>
      <c r="J35" s="86"/>
      <c r="K35" s="86"/>
      <c r="L35" s="86"/>
      <c r="M35" s="19"/>
      <c r="N35" s="19"/>
      <c r="O35" s="86"/>
      <c r="P35" s="19"/>
      <c r="Q35" s="19"/>
      <c r="R35" s="19"/>
      <c r="S35" s="86"/>
      <c r="T35" s="19"/>
      <c r="U35" s="19"/>
      <c r="V35" s="19"/>
      <c r="W35" s="19"/>
      <c r="X35" s="19"/>
      <c r="Y35" s="86"/>
      <c r="Z35" s="86"/>
      <c r="AA35" s="19"/>
      <c r="AB35" s="19"/>
      <c r="AC35" s="86"/>
      <c r="AD35" s="86"/>
      <c r="AE35" s="19"/>
      <c r="AF35" s="19"/>
      <c r="AG35" s="86"/>
      <c r="AH35" s="86"/>
      <c r="AI35" s="19"/>
      <c r="AJ35" s="19"/>
      <c r="AK35" s="86"/>
      <c r="AL35" s="19"/>
      <c r="AM35" s="19"/>
      <c r="AN35" s="86"/>
      <c r="AO35" s="86"/>
      <c r="AP35" s="19"/>
      <c r="AQ35" s="19"/>
      <c r="AR35" s="86"/>
      <c r="AS35" s="19"/>
      <c r="AT35" s="19"/>
      <c r="AU35" s="86"/>
      <c r="AV35" s="19"/>
      <c r="AW35" s="19"/>
      <c r="AX35" s="86"/>
      <c r="AY35" s="86"/>
      <c r="AZ35" s="19"/>
      <c r="BA35" s="19"/>
      <c r="BB35" s="19"/>
      <c r="BC35" s="19"/>
      <c r="BD35" s="19"/>
      <c r="BE35" s="86"/>
      <c r="BF35" s="86"/>
      <c r="BG35" s="86"/>
      <c r="BH35" s="19"/>
      <c r="BI35" s="19"/>
      <c r="BJ35" s="86"/>
      <c r="BK35" s="86"/>
      <c r="BL35" s="86"/>
      <c r="BM35" s="86"/>
      <c r="BN35" s="86"/>
      <c r="BO35" s="19"/>
      <c r="BP35" s="19"/>
      <c r="BQ35" s="19"/>
      <c r="BR35" s="19"/>
      <c r="BS35" s="85"/>
    </row>
    <row r="36" spans="1:71" x14ac:dyDescent="0.25">
      <c r="A36" s="19"/>
      <c r="B36" s="86"/>
      <c r="C36" s="19"/>
      <c r="D36" s="86"/>
      <c r="E36" s="19"/>
      <c r="F36" s="19"/>
      <c r="G36" s="19"/>
      <c r="H36" s="19"/>
      <c r="I36" s="86"/>
      <c r="J36" s="86"/>
      <c r="K36" s="86"/>
      <c r="L36" s="86"/>
      <c r="M36" s="19"/>
      <c r="N36" s="19"/>
      <c r="O36" s="86"/>
      <c r="P36" s="19"/>
      <c r="Q36" s="19"/>
      <c r="R36" s="19"/>
      <c r="S36" s="86"/>
      <c r="T36" s="19"/>
      <c r="U36" s="19"/>
      <c r="V36" s="19"/>
      <c r="W36" s="19"/>
      <c r="X36" s="19"/>
      <c r="Y36" s="86"/>
      <c r="Z36" s="86"/>
      <c r="AA36" s="19"/>
      <c r="AB36" s="19"/>
      <c r="AC36" s="86"/>
      <c r="AD36" s="86"/>
      <c r="AE36" s="19"/>
      <c r="AF36" s="19"/>
      <c r="AG36" s="86"/>
      <c r="AH36" s="86"/>
      <c r="AI36" s="19"/>
      <c r="AJ36" s="19"/>
      <c r="AK36" s="86"/>
      <c r="AL36" s="19"/>
      <c r="AM36" s="19"/>
      <c r="AN36" s="86"/>
      <c r="AO36" s="86"/>
      <c r="AP36" s="19"/>
      <c r="AQ36" s="19"/>
      <c r="AR36" s="86"/>
      <c r="AS36" s="19"/>
      <c r="AT36" s="19"/>
      <c r="AU36" s="86"/>
      <c r="AV36" s="19"/>
      <c r="AW36" s="19"/>
      <c r="AX36" s="86"/>
      <c r="AY36" s="86"/>
      <c r="AZ36" s="19"/>
      <c r="BA36" s="19"/>
      <c r="BB36" s="19"/>
      <c r="BC36" s="19"/>
      <c r="BD36" s="19"/>
      <c r="BE36" s="86"/>
      <c r="BF36" s="86"/>
      <c r="BG36" s="86"/>
      <c r="BH36" s="19"/>
      <c r="BI36" s="19"/>
      <c r="BJ36" s="86"/>
      <c r="BK36" s="86"/>
      <c r="BL36" s="86"/>
      <c r="BM36" s="86"/>
      <c r="BN36" s="86"/>
      <c r="BO36" s="19"/>
      <c r="BP36" s="19"/>
      <c r="BQ36" s="19"/>
      <c r="BR36" s="19"/>
      <c r="BS36" s="85"/>
    </row>
    <row r="37" spans="1:71" x14ac:dyDescent="0.25">
      <c r="A37" s="19"/>
      <c r="B37" s="86"/>
      <c r="C37" s="19"/>
      <c r="D37" s="86"/>
      <c r="E37" s="19"/>
      <c r="F37" s="19"/>
      <c r="G37" s="19"/>
      <c r="H37" s="19"/>
      <c r="I37" s="86"/>
      <c r="J37" s="86"/>
      <c r="K37" s="86"/>
      <c r="L37" s="86"/>
      <c r="M37" s="19"/>
      <c r="N37" s="19"/>
      <c r="O37" s="86"/>
      <c r="P37" s="19"/>
      <c r="Q37" s="19"/>
      <c r="R37" s="19"/>
      <c r="S37" s="86"/>
      <c r="T37" s="19"/>
      <c r="U37" s="19"/>
      <c r="V37" s="19"/>
      <c r="W37" s="19"/>
      <c r="X37" s="19"/>
      <c r="Y37" s="86"/>
      <c r="Z37" s="86"/>
      <c r="AA37" s="19"/>
      <c r="AB37" s="19"/>
      <c r="AC37" s="86"/>
      <c r="AD37" s="86"/>
      <c r="AE37" s="19"/>
      <c r="AF37" s="19"/>
      <c r="AG37" s="86"/>
      <c r="AH37" s="86"/>
      <c r="AI37" s="19"/>
      <c r="AJ37" s="19"/>
      <c r="AK37" s="86"/>
      <c r="AL37" s="19"/>
      <c r="AM37" s="19"/>
      <c r="AN37" s="86"/>
      <c r="AO37" s="86"/>
      <c r="AP37" s="19"/>
      <c r="AQ37" s="19"/>
      <c r="AR37" s="86"/>
      <c r="AS37" s="19"/>
      <c r="AT37" s="19"/>
      <c r="AU37" s="86"/>
      <c r="AV37" s="19"/>
      <c r="AW37" s="19"/>
      <c r="AX37" s="86"/>
      <c r="AY37" s="86"/>
      <c r="AZ37" s="19"/>
      <c r="BA37" s="19"/>
      <c r="BB37" s="19"/>
      <c r="BC37" s="19"/>
      <c r="BD37" s="19"/>
      <c r="BE37" s="86"/>
      <c r="BF37" s="86"/>
      <c r="BG37" s="86"/>
      <c r="BH37" s="19"/>
      <c r="BI37" s="19"/>
      <c r="BJ37" s="86"/>
      <c r="BK37" s="86"/>
      <c r="BL37" s="86"/>
      <c r="BM37" s="86"/>
      <c r="BN37" s="86"/>
      <c r="BO37" s="19"/>
      <c r="BP37" s="19"/>
      <c r="BQ37" s="19"/>
      <c r="BR37" s="19"/>
      <c r="BS37" s="85"/>
    </row>
    <row r="38" spans="1:71" x14ac:dyDescent="0.25">
      <c r="A38" s="19"/>
      <c r="B38" s="86"/>
      <c r="C38" s="19"/>
      <c r="D38" s="86"/>
      <c r="E38" s="19"/>
      <c r="F38" s="19"/>
      <c r="G38" s="19"/>
      <c r="H38" s="19"/>
      <c r="I38" s="86"/>
      <c r="J38" s="86"/>
      <c r="K38" s="86"/>
      <c r="L38" s="86"/>
      <c r="M38" s="19"/>
      <c r="N38" s="19"/>
      <c r="O38" s="86"/>
      <c r="P38" s="19"/>
      <c r="Q38" s="19"/>
      <c r="R38" s="19"/>
      <c r="S38" s="86"/>
      <c r="T38" s="19"/>
      <c r="U38" s="19"/>
      <c r="V38" s="19"/>
      <c r="W38" s="19"/>
      <c r="X38" s="19"/>
      <c r="Y38" s="86"/>
      <c r="Z38" s="86"/>
      <c r="AA38" s="19"/>
      <c r="AB38" s="19"/>
      <c r="AC38" s="86"/>
      <c r="AD38" s="86"/>
      <c r="AE38" s="19"/>
      <c r="AF38" s="19"/>
      <c r="AG38" s="86"/>
      <c r="AH38" s="86"/>
      <c r="AI38" s="19"/>
      <c r="AJ38" s="19"/>
      <c r="AK38" s="86"/>
      <c r="AL38" s="19"/>
      <c r="AM38" s="19"/>
      <c r="AN38" s="86"/>
      <c r="AO38" s="86"/>
      <c r="AP38" s="19"/>
      <c r="AQ38" s="19"/>
      <c r="AR38" s="86"/>
      <c r="AS38" s="19"/>
      <c r="AT38" s="19"/>
      <c r="AU38" s="86"/>
      <c r="AV38" s="19"/>
      <c r="AW38" s="19"/>
      <c r="AX38" s="86"/>
      <c r="AY38" s="86"/>
      <c r="AZ38" s="19"/>
      <c r="BA38" s="19"/>
      <c r="BB38" s="19"/>
      <c r="BC38" s="19"/>
      <c r="BD38" s="19"/>
      <c r="BE38" s="86"/>
      <c r="BF38" s="86"/>
      <c r="BG38" s="86"/>
      <c r="BH38" s="19"/>
      <c r="BI38" s="19"/>
      <c r="BJ38" s="86"/>
      <c r="BK38" s="86"/>
      <c r="BL38" s="86"/>
      <c r="BM38" s="86"/>
      <c r="BN38" s="86"/>
      <c r="BO38" s="19"/>
      <c r="BP38" s="19"/>
      <c r="BQ38" s="19"/>
      <c r="BR38" s="19"/>
      <c r="BS38" s="85"/>
    </row>
    <row r="39" spans="1:71" x14ac:dyDescent="0.25">
      <c r="A39" s="19"/>
      <c r="B39" s="86"/>
      <c r="C39" s="19"/>
      <c r="D39" s="86"/>
      <c r="E39" s="19"/>
      <c r="F39" s="19"/>
      <c r="G39" s="19"/>
      <c r="H39" s="19"/>
      <c r="I39" s="86"/>
      <c r="J39" s="86"/>
      <c r="K39" s="86"/>
      <c r="L39" s="86"/>
      <c r="M39" s="19"/>
      <c r="N39" s="19"/>
      <c r="O39" s="86"/>
      <c r="P39" s="19"/>
      <c r="Q39" s="19"/>
      <c r="R39" s="19"/>
      <c r="S39" s="86"/>
      <c r="T39" s="19"/>
      <c r="U39" s="19"/>
      <c r="V39" s="19"/>
      <c r="W39" s="19"/>
      <c r="X39" s="19"/>
      <c r="Y39" s="86"/>
      <c r="Z39" s="86"/>
      <c r="AA39" s="19"/>
      <c r="AB39" s="19"/>
      <c r="AC39" s="86"/>
      <c r="AD39" s="86"/>
      <c r="AE39" s="19"/>
      <c r="AF39" s="19"/>
      <c r="AG39" s="86"/>
      <c r="AH39" s="86"/>
      <c r="AI39" s="19"/>
      <c r="AJ39" s="19"/>
      <c r="AK39" s="86"/>
      <c r="AL39" s="19"/>
      <c r="AM39" s="19"/>
      <c r="AN39" s="86"/>
      <c r="AO39" s="86"/>
      <c r="AP39" s="19"/>
      <c r="AQ39" s="19"/>
      <c r="AR39" s="86"/>
      <c r="AS39" s="19"/>
      <c r="AT39" s="19"/>
      <c r="AU39" s="86"/>
      <c r="AV39" s="19"/>
      <c r="AW39" s="19"/>
      <c r="AX39" s="86"/>
      <c r="AY39" s="86"/>
      <c r="AZ39" s="19"/>
      <c r="BA39" s="19"/>
      <c r="BB39" s="19"/>
      <c r="BC39" s="19"/>
      <c r="BD39" s="19"/>
      <c r="BE39" s="86"/>
      <c r="BF39" s="86"/>
      <c r="BG39" s="86"/>
      <c r="BH39" s="19"/>
      <c r="BI39" s="19"/>
      <c r="BJ39" s="86"/>
      <c r="BK39" s="86"/>
      <c r="BL39" s="86"/>
      <c r="BM39" s="86"/>
      <c r="BN39" s="86"/>
      <c r="BO39" s="19"/>
      <c r="BP39" s="19"/>
      <c r="BQ39" s="19"/>
      <c r="BR39" s="19"/>
      <c r="BS39" s="85"/>
    </row>
    <row r="40" spans="1:71" x14ac:dyDescent="0.25">
      <c r="A40" s="19"/>
      <c r="B40" s="86"/>
      <c r="C40" s="19"/>
      <c r="D40" s="86"/>
      <c r="E40" s="19"/>
      <c r="F40" s="19"/>
      <c r="G40" s="19"/>
      <c r="H40" s="19"/>
      <c r="I40" s="86"/>
      <c r="J40" s="86"/>
      <c r="K40" s="86"/>
      <c r="L40" s="86"/>
      <c r="M40" s="19"/>
      <c r="N40" s="19"/>
      <c r="O40" s="86"/>
      <c r="P40" s="19"/>
      <c r="Q40" s="19"/>
      <c r="R40" s="19"/>
      <c r="S40" s="86"/>
      <c r="T40" s="19"/>
      <c r="U40" s="19"/>
      <c r="V40" s="19"/>
      <c r="W40" s="19"/>
      <c r="X40" s="19"/>
      <c r="Y40" s="86"/>
      <c r="Z40" s="86"/>
      <c r="AA40" s="19"/>
      <c r="AB40" s="19"/>
      <c r="AC40" s="86"/>
      <c r="AD40" s="86"/>
      <c r="AE40" s="19"/>
      <c r="AF40" s="19"/>
      <c r="AG40" s="86"/>
      <c r="AH40" s="86"/>
      <c r="AI40" s="19"/>
      <c r="AJ40" s="19"/>
      <c r="AK40" s="86"/>
      <c r="AL40" s="19"/>
      <c r="AM40" s="19"/>
      <c r="AN40" s="86"/>
      <c r="AO40" s="86"/>
      <c r="AP40" s="19"/>
      <c r="AQ40" s="19"/>
      <c r="AR40" s="86"/>
      <c r="AS40" s="19"/>
      <c r="AT40" s="19"/>
      <c r="AU40" s="86"/>
      <c r="AV40" s="19"/>
      <c r="AW40" s="19"/>
      <c r="AX40" s="86"/>
      <c r="AY40" s="86"/>
      <c r="AZ40" s="19"/>
      <c r="BA40" s="19"/>
      <c r="BB40" s="19"/>
      <c r="BC40" s="19"/>
      <c r="BD40" s="19"/>
      <c r="BE40" s="86"/>
      <c r="BF40" s="86"/>
      <c r="BG40" s="86"/>
      <c r="BH40" s="19"/>
      <c r="BI40" s="19"/>
      <c r="BJ40" s="86"/>
      <c r="BK40" s="86"/>
      <c r="BL40" s="86"/>
      <c r="BM40" s="86"/>
      <c r="BN40" s="86"/>
      <c r="BO40" s="19"/>
      <c r="BP40" s="19"/>
      <c r="BQ40" s="19"/>
      <c r="BR40" s="19"/>
      <c r="BS40" s="85"/>
    </row>
    <row r="41" spans="1:71" x14ac:dyDescent="0.25">
      <c r="A41" s="19"/>
      <c r="B41" s="86"/>
      <c r="C41" s="19"/>
      <c r="D41" s="86"/>
      <c r="E41" s="19"/>
      <c r="F41" s="19"/>
      <c r="G41" s="19"/>
      <c r="H41" s="19"/>
      <c r="I41" s="86"/>
      <c r="J41" s="86"/>
      <c r="K41" s="86"/>
      <c r="L41" s="86"/>
      <c r="M41" s="19"/>
      <c r="N41" s="19"/>
      <c r="O41" s="86"/>
      <c r="P41" s="19"/>
      <c r="Q41" s="19"/>
      <c r="R41" s="19"/>
      <c r="S41" s="86"/>
      <c r="T41" s="19"/>
      <c r="U41" s="19"/>
      <c r="V41" s="19"/>
      <c r="W41" s="19"/>
      <c r="X41" s="19"/>
      <c r="Y41" s="86"/>
      <c r="Z41" s="86"/>
      <c r="AA41" s="19"/>
      <c r="AB41" s="19"/>
      <c r="AC41" s="86"/>
      <c r="AD41" s="86"/>
      <c r="AE41" s="19"/>
      <c r="AF41" s="19"/>
      <c r="AG41" s="86"/>
      <c r="AH41" s="86"/>
      <c r="AI41" s="19"/>
      <c r="AJ41" s="19"/>
      <c r="AK41" s="86"/>
      <c r="AL41" s="19"/>
      <c r="AM41" s="19"/>
      <c r="AN41" s="86"/>
      <c r="AO41" s="86"/>
      <c r="AP41" s="19"/>
      <c r="AQ41" s="19"/>
      <c r="AR41" s="86"/>
      <c r="AS41" s="19"/>
      <c r="AT41" s="19"/>
      <c r="AU41" s="86"/>
      <c r="AV41" s="19"/>
      <c r="AW41" s="19"/>
      <c r="AX41" s="86"/>
      <c r="AY41" s="86"/>
      <c r="AZ41" s="19"/>
      <c r="BA41" s="19"/>
      <c r="BB41" s="19"/>
      <c r="BC41" s="19"/>
      <c r="BD41" s="19"/>
      <c r="BE41" s="86"/>
      <c r="BF41" s="86"/>
      <c r="BG41" s="86"/>
      <c r="BH41" s="19"/>
      <c r="BI41" s="19"/>
      <c r="BJ41" s="86"/>
      <c r="BK41" s="86"/>
      <c r="BL41" s="86"/>
      <c r="BM41" s="86"/>
      <c r="BN41" s="86"/>
      <c r="BO41" s="19"/>
      <c r="BP41" s="19"/>
      <c r="BQ41" s="19"/>
      <c r="BR41" s="19"/>
      <c r="BS41" s="85"/>
    </row>
    <row r="42" spans="1:71" x14ac:dyDescent="0.25">
      <c r="A42" s="19"/>
      <c r="B42" s="86"/>
      <c r="C42" s="19"/>
      <c r="D42" s="86"/>
      <c r="E42" s="19"/>
      <c r="F42" s="19"/>
      <c r="G42" s="19"/>
      <c r="H42" s="19"/>
      <c r="I42" s="86"/>
      <c r="J42" s="86"/>
      <c r="K42" s="86"/>
      <c r="L42" s="86"/>
      <c r="M42" s="19"/>
      <c r="N42" s="19"/>
      <c r="O42" s="86"/>
      <c r="P42" s="19"/>
      <c r="Q42" s="19"/>
      <c r="R42" s="19"/>
      <c r="S42" s="86"/>
      <c r="T42" s="19"/>
      <c r="U42" s="19"/>
      <c r="V42" s="19"/>
      <c r="W42" s="19"/>
      <c r="X42" s="19"/>
      <c r="Y42" s="86"/>
      <c r="Z42" s="86"/>
      <c r="AA42" s="19"/>
      <c r="AB42" s="19"/>
      <c r="AC42" s="86"/>
      <c r="AD42" s="86"/>
      <c r="AE42" s="19"/>
      <c r="AF42" s="19"/>
      <c r="AG42" s="86"/>
      <c r="AH42" s="86"/>
      <c r="AI42" s="19"/>
      <c r="AJ42" s="19"/>
      <c r="AK42" s="86"/>
      <c r="AL42" s="19"/>
      <c r="AM42" s="19"/>
      <c r="AN42" s="86"/>
      <c r="AO42" s="86"/>
      <c r="AP42" s="19"/>
      <c r="AQ42" s="19"/>
      <c r="AR42" s="86"/>
      <c r="AS42" s="19"/>
      <c r="AT42" s="19"/>
      <c r="AU42" s="86"/>
      <c r="AV42" s="19"/>
      <c r="AW42" s="19"/>
      <c r="AX42" s="86"/>
      <c r="AY42" s="86"/>
      <c r="AZ42" s="19"/>
      <c r="BA42" s="19"/>
      <c r="BB42" s="19"/>
      <c r="BC42" s="19"/>
      <c r="BD42" s="19"/>
      <c r="BE42" s="86"/>
      <c r="BF42" s="86"/>
      <c r="BG42" s="86"/>
      <c r="BH42" s="19"/>
      <c r="BI42" s="19"/>
      <c r="BJ42" s="86"/>
      <c r="BK42" s="86"/>
      <c r="BL42" s="86"/>
      <c r="BM42" s="86"/>
      <c r="BN42" s="86"/>
      <c r="BO42" s="19"/>
      <c r="BP42" s="19"/>
      <c r="BQ42" s="19"/>
      <c r="BR42" s="19"/>
      <c r="BS42" s="85"/>
    </row>
    <row r="43" spans="1:71" x14ac:dyDescent="0.25">
      <c r="A43" s="19"/>
      <c r="B43" s="86"/>
      <c r="C43" s="19"/>
      <c r="D43" s="86"/>
      <c r="E43" s="19"/>
      <c r="F43" s="19"/>
      <c r="G43" s="19"/>
      <c r="H43" s="19"/>
      <c r="I43" s="86"/>
      <c r="J43" s="86"/>
      <c r="K43" s="86"/>
      <c r="L43" s="86"/>
      <c r="M43" s="19"/>
      <c r="N43" s="19"/>
      <c r="O43" s="86"/>
      <c r="P43" s="19"/>
      <c r="Q43" s="19"/>
      <c r="R43" s="19"/>
      <c r="S43" s="86"/>
      <c r="T43" s="19"/>
      <c r="U43" s="19"/>
      <c r="V43" s="19"/>
      <c r="W43" s="19"/>
      <c r="X43" s="19"/>
      <c r="Y43" s="86"/>
      <c r="Z43" s="86"/>
      <c r="AA43" s="19"/>
      <c r="AB43" s="19"/>
      <c r="AC43" s="86"/>
      <c r="AD43" s="86"/>
      <c r="AE43" s="19"/>
      <c r="AF43" s="19"/>
      <c r="AG43" s="86"/>
      <c r="AH43" s="86"/>
      <c r="AI43" s="19"/>
      <c r="AJ43" s="19"/>
      <c r="AK43" s="86"/>
      <c r="AL43" s="19"/>
      <c r="AM43" s="19"/>
      <c r="AN43" s="86"/>
      <c r="AO43" s="86"/>
      <c r="AP43" s="19"/>
      <c r="AQ43" s="19"/>
      <c r="AR43" s="86"/>
      <c r="AS43" s="19"/>
      <c r="AT43" s="19"/>
      <c r="AU43" s="86"/>
      <c r="AV43" s="19"/>
      <c r="AW43" s="19"/>
      <c r="AX43" s="86"/>
      <c r="AY43" s="86"/>
      <c r="AZ43" s="19"/>
      <c r="BA43" s="19"/>
      <c r="BB43" s="19"/>
      <c r="BC43" s="19"/>
      <c r="BD43" s="19"/>
      <c r="BE43" s="86"/>
      <c r="BF43" s="86"/>
      <c r="BG43" s="86"/>
      <c r="BH43" s="19"/>
      <c r="BI43" s="19"/>
      <c r="BJ43" s="86"/>
      <c r="BK43" s="86"/>
      <c r="BL43" s="86"/>
      <c r="BM43" s="86"/>
      <c r="BN43" s="86"/>
      <c r="BO43" s="19"/>
      <c r="BP43" s="19"/>
      <c r="BQ43" s="19"/>
      <c r="BR43" s="19"/>
      <c r="BS43" s="85"/>
    </row>
    <row r="44" spans="1:71" x14ac:dyDescent="0.25">
      <c r="A44" s="19"/>
      <c r="B44" s="86"/>
      <c r="C44" s="19"/>
      <c r="D44" s="86"/>
      <c r="E44" s="19"/>
      <c r="F44" s="19"/>
      <c r="G44" s="19"/>
      <c r="H44" s="19"/>
      <c r="I44" s="86"/>
      <c r="J44" s="86"/>
      <c r="K44" s="86"/>
      <c r="L44" s="86"/>
      <c r="M44" s="19"/>
      <c r="N44" s="19"/>
      <c r="O44" s="86"/>
      <c r="P44" s="19"/>
      <c r="Q44" s="19"/>
      <c r="R44" s="19"/>
      <c r="S44" s="86"/>
      <c r="T44" s="19"/>
      <c r="U44" s="19"/>
      <c r="V44" s="19"/>
      <c r="W44" s="19"/>
      <c r="X44" s="19"/>
      <c r="Y44" s="86"/>
      <c r="Z44" s="86"/>
      <c r="AA44" s="19"/>
      <c r="AB44" s="19"/>
      <c r="AC44" s="86"/>
      <c r="AD44" s="86"/>
      <c r="AE44" s="19"/>
      <c r="AF44" s="19"/>
      <c r="AG44" s="86"/>
      <c r="AH44" s="86"/>
      <c r="AI44" s="19"/>
      <c r="AJ44" s="19"/>
      <c r="AK44" s="86"/>
      <c r="AL44" s="19"/>
      <c r="AM44" s="19"/>
      <c r="AN44" s="86"/>
      <c r="AO44" s="86"/>
      <c r="AP44" s="19"/>
      <c r="AQ44" s="19"/>
      <c r="AR44" s="86"/>
      <c r="AS44" s="19"/>
      <c r="AT44" s="19"/>
      <c r="AU44" s="86"/>
      <c r="AV44" s="19"/>
      <c r="AW44" s="19"/>
      <c r="AX44" s="86"/>
      <c r="AY44" s="86"/>
      <c r="AZ44" s="19"/>
      <c r="BA44" s="19"/>
      <c r="BB44" s="19"/>
      <c r="BC44" s="19"/>
      <c r="BD44" s="19"/>
      <c r="BE44" s="86"/>
      <c r="BF44" s="86"/>
      <c r="BG44" s="86"/>
      <c r="BH44" s="19"/>
      <c r="BI44" s="19"/>
      <c r="BJ44" s="86"/>
      <c r="BK44" s="86"/>
      <c r="BL44" s="86"/>
      <c r="BM44" s="86"/>
      <c r="BN44" s="86"/>
      <c r="BO44" s="19"/>
      <c r="BP44" s="19"/>
      <c r="BQ44" s="19"/>
      <c r="BR44" s="19"/>
      <c r="BS44" s="85"/>
    </row>
    <row r="45" spans="1:71" x14ac:dyDescent="0.25">
      <c r="A45" s="19"/>
      <c r="B45" s="86"/>
      <c r="C45" s="19"/>
      <c r="D45" s="86"/>
      <c r="E45" s="19"/>
      <c r="F45" s="19"/>
      <c r="G45" s="19"/>
      <c r="H45" s="19"/>
      <c r="I45" s="86"/>
      <c r="J45" s="86"/>
      <c r="K45" s="86"/>
      <c r="L45" s="86"/>
      <c r="M45" s="19"/>
      <c r="N45" s="19"/>
      <c r="O45" s="86"/>
      <c r="P45" s="19"/>
      <c r="Q45" s="19"/>
      <c r="R45" s="19"/>
      <c r="S45" s="86"/>
      <c r="T45" s="19"/>
      <c r="U45" s="19"/>
      <c r="V45" s="19"/>
      <c r="W45" s="19"/>
      <c r="X45" s="19"/>
      <c r="Y45" s="86"/>
      <c r="Z45" s="86"/>
      <c r="AA45" s="19"/>
      <c r="AB45" s="19"/>
      <c r="AC45" s="86"/>
      <c r="AD45" s="86"/>
      <c r="AE45" s="19"/>
      <c r="AF45" s="19"/>
      <c r="AG45" s="86"/>
      <c r="AH45" s="86"/>
      <c r="AI45" s="19"/>
      <c r="AJ45" s="19"/>
      <c r="AK45" s="86"/>
      <c r="AL45" s="19"/>
      <c r="AM45" s="19"/>
      <c r="AN45" s="86"/>
      <c r="AO45" s="86"/>
      <c r="AP45" s="19"/>
      <c r="AQ45" s="19"/>
      <c r="AR45" s="86"/>
      <c r="AS45" s="19"/>
      <c r="AT45" s="19"/>
      <c r="AU45" s="86"/>
      <c r="AV45" s="19"/>
      <c r="AW45" s="19"/>
      <c r="AX45" s="86"/>
      <c r="AY45" s="86"/>
      <c r="AZ45" s="19"/>
      <c r="BA45" s="19"/>
      <c r="BB45" s="19"/>
      <c r="BC45" s="19"/>
      <c r="BD45" s="19"/>
      <c r="BE45" s="86"/>
      <c r="BF45" s="86"/>
      <c r="BG45" s="86"/>
      <c r="BH45" s="19"/>
      <c r="BI45" s="19"/>
      <c r="BJ45" s="86"/>
      <c r="BK45" s="86"/>
      <c r="BL45" s="86"/>
      <c r="BM45" s="86"/>
      <c r="BN45" s="86"/>
      <c r="BO45" s="19"/>
      <c r="BP45" s="19"/>
      <c r="BQ45" s="19"/>
      <c r="BR45" s="19"/>
      <c r="BS45" s="85"/>
    </row>
    <row r="46" spans="1:71" x14ac:dyDescent="0.25">
      <c r="A46" s="19"/>
      <c r="B46" s="86"/>
      <c r="C46" s="19"/>
      <c r="D46" s="86"/>
      <c r="E46" s="19"/>
      <c r="F46" s="19"/>
      <c r="G46" s="19"/>
      <c r="H46" s="19"/>
      <c r="I46" s="86"/>
      <c r="J46" s="86"/>
      <c r="K46" s="86"/>
      <c r="L46" s="86"/>
      <c r="M46" s="19"/>
      <c r="N46" s="19"/>
      <c r="O46" s="86"/>
      <c r="P46" s="19"/>
      <c r="Q46" s="19"/>
      <c r="R46" s="19"/>
      <c r="S46" s="86"/>
      <c r="T46" s="19"/>
      <c r="U46" s="19"/>
      <c r="V46" s="19"/>
      <c r="W46" s="19"/>
      <c r="X46" s="19"/>
      <c r="Y46" s="86"/>
      <c r="Z46" s="86"/>
      <c r="AA46" s="19"/>
      <c r="AB46" s="19"/>
      <c r="AC46" s="86"/>
      <c r="AD46" s="86"/>
      <c r="AE46" s="19"/>
      <c r="AF46" s="19"/>
      <c r="AG46" s="86"/>
      <c r="AH46" s="86"/>
      <c r="AI46" s="19"/>
      <c r="AJ46" s="19"/>
      <c r="AK46" s="86"/>
      <c r="AL46" s="19"/>
      <c r="AM46" s="19"/>
      <c r="AN46" s="86"/>
      <c r="AO46" s="86"/>
      <c r="AP46" s="19"/>
      <c r="AQ46" s="19"/>
      <c r="AR46" s="86"/>
      <c r="AS46" s="19"/>
      <c r="AT46" s="19"/>
      <c r="AU46" s="86"/>
      <c r="AV46" s="19"/>
      <c r="AW46" s="19"/>
      <c r="AX46" s="86"/>
      <c r="AY46" s="86"/>
      <c r="AZ46" s="19"/>
      <c r="BA46" s="19"/>
      <c r="BB46" s="19"/>
      <c r="BC46" s="19"/>
      <c r="BD46" s="19"/>
      <c r="BE46" s="86"/>
      <c r="BF46" s="86"/>
      <c r="BG46" s="86"/>
      <c r="BH46" s="19"/>
      <c r="BI46" s="19"/>
      <c r="BJ46" s="86"/>
      <c r="BK46" s="86"/>
      <c r="BL46" s="86"/>
      <c r="BM46" s="86"/>
      <c r="BN46" s="86"/>
      <c r="BO46" s="19"/>
      <c r="BP46" s="19"/>
      <c r="BQ46" s="19"/>
      <c r="BR46" s="19"/>
      <c r="BS46" s="85"/>
    </row>
    <row r="47" spans="1:71" x14ac:dyDescent="0.25">
      <c r="A47" s="19"/>
      <c r="B47" s="86"/>
      <c r="C47" s="19"/>
      <c r="D47" s="86"/>
      <c r="E47" s="19"/>
      <c r="F47" s="19"/>
      <c r="G47" s="19"/>
      <c r="H47" s="19"/>
      <c r="I47" s="86"/>
      <c r="J47" s="86"/>
      <c r="K47" s="86"/>
      <c r="L47" s="86"/>
      <c r="M47" s="19"/>
      <c r="N47" s="19"/>
      <c r="O47" s="86"/>
      <c r="P47" s="19"/>
      <c r="Q47" s="19"/>
      <c r="R47" s="19"/>
      <c r="S47" s="86"/>
      <c r="T47" s="19"/>
      <c r="U47" s="19"/>
      <c r="V47" s="19"/>
      <c r="W47" s="19"/>
      <c r="X47" s="19"/>
      <c r="Y47" s="86"/>
      <c r="Z47" s="86"/>
      <c r="AA47" s="19"/>
      <c r="AB47" s="19"/>
      <c r="AC47" s="86"/>
      <c r="AD47" s="86"/>
      <c r="AE47" s="19"/>
      <c r="AF47" s="19"/>
      <c r="AG47" s="86"/>
      <c r="AH47" s="86"/>
      <c r="AI47" s="19"/>
      <c r="AJ47" s="19"/>
      <c r="AK47" s="86"/>
      <c r="AL47" s="19"/>
      <c r="AM47" s="19"/>
      <c r="AN47" s="86"/>
      <c r="AO47" s="86"/>
      <c r="AP47" s="19"/>
      <c r="AQ47" s="19"/>
      <c r="AR47" s="86"/>
      <c r="AS47" s="19"/>
      <c r="AT47" s="19"/>
      <c r="AU47" s="86"/>
      <c r="AV47" s="19"/>
      <c r="AW47" s="19"/>
      <c r="AX47" s="86"/>
      <c r="AY47" s="86"/>
      <c r="AZ47" s="19"/>
      <c r="BA47" s="19"/>
      <c r="BB47" s="19"/>
      <c r="BC47" s="19"/>
      <c r="BD47" s="19"/>
      <c r="BE47" s="86"/>
      <c r="BF47" s="86"/>
      <c r="BG47" s="86"/>
      <c r="BH47" s="19"/>
      <c r="BI47" s="19"/>
      <c r="BJ47" s="86"/>
      <c r="BK47" s="86"/>
      <c r="BL47" s="86"/>
      <c r="BM47" s="86"/>
      <c r="BN47" s="86"/>
      <c r="BO47" s="19"/>
      <c r="BP47" s="19"/>
      <c r="BQ47" s="19"/>
      <c r="BR47" s="19"/>
      <c r="BS47" s="85"/>
    </row>
    <row r="48" spans="1:71" x14ac:dyDescent="0.25">
      <c r="A48" s="19"/>
      <c r="B48" s="86"/>
      <c r="C48" s="19"/>
      <c r="D48" s="86"/>
      <c r="E48" s="19"/>
      <c r="F48" s="19"/>
      <c r="G48" s="19"/>
      <c r="H48" s="19"/>
      <c r="I48" s="86"/>
      <c r="J48" s="86"/>
      <c r="K48" s="86"/>
      <c r="L48" s="86"/>
      <c r="M48" s="19"/>
      <c r="N48" s="19"/>
      <c r="O48" s="86"/>
      <c r="P48" s="19"/>
      <c r="Q48" s="19"/>
      <c r="R48" s="19"/>
      <c r="S48" s="86"/>
      <c r="T48" s="19"/>
      <c r="U48" s="19"/>
      <c r="V48" s="19"/>
      <c r="W48" s="19"/>
      <c r="X48" s="19"/>
      <c r="Y48" s="86"/>
      <c r="Z48" s="86"/>
      <c r="AA48" s="19"/>
      <c r="AB48" s="19"/>
      <c r="AC48" s="86"/>
      <c r="AD48" s="86"/>
      <c r="AE48" s="19"/>
      <c r="AF48" s="19"/>
      <c r="AG48" s="86"/>
      <c r="AH48" s="86"/>
      <c r="AI48" s="19"/>
      <c r="AJ48" s="19"/>
      <c r="AK48" s="86"/>
      <c r="AL48" s="19"/>
      <c r="AM48" s="19"/>
      <c r="AN48" s="86"/>
      <c r="AO48" s="86"/>
      <c r="AP48" s="19"/>
      <c r="AQ48" s="19"/>
      <c r="AR48" s="86"/>
      <c r="AS48" s="19"/>
      <c r="AT48" s="19"/>
      <c r="AU48" s="86"/>
      <c r="AV48" s="19"/>
      <c r="AW48" s="19"/>
      <c r="AX48" s="86"/>
      <c r="AY48" s="86"/>
      <c r="AZ48" s="19"/>
      <c r="BA48" s="19"/>
      <c r="BB48" s="19"/>
      <c r="BC48" s="19"/>
      <c r="BD48" s="19"/>
      <c r="BE48" s="86"/>
      <c r="BF48" s="86"/>
      <c r="BG48" s="86"/>
      <c r="BH48" s="19"/>
      <c r="BI48" s="19"/>
      <c r="BJ48" s="86"/>
      <c r="BK48" s="86"/>
      <c r="BL48" s="86"/>
      <c r="BM48" s="86"/>
      <c r="BN48" s="86"/>
      <c r="BO48" s="19"/>
      <c r="BP48" s="19"/>
      <c r="BQ48" s="19"/>
      <c r="BR48" s="19"/>
      <c r="BS48" s="85"/>
    </row>
    <row r="49" spans="1:71" x14ac:dyDescent="0.25">
      <c r="A49" s="19"/>
      <c r="B49" s="86"/>
      <c r="C49" s="19"/>
      <c r="D49" s="86"/>
      <c r="E49" s="19"/>
      <c r="F49" s="19"/>
      <c r="G49" s="19"/>
      <c r="H49" s="19"/>
      <c r="I49" s="86"/>
      <c r="J49" s="86"/>
      <c r="K49" s="86"/>
      <c r="L49" s="86"/>
      <c r="M49" s="19"/>
      <c r="N49" s="19"/>
      <c r="O49" s="86"/>
      <c r="P49" s="19"/>
      <c r="Q49" s="19"/>
      <c r="R49" s="19"/>
      <c r="S49" s="86"/>
      <c r="T49" s="19"/>
      <c r="U49" s="19"/>
      <c r="V49" s="19"/>
      <c r="W49" s="19"/>
      <c r="X49" s="19"/>
      <c r="Y49" s="86"/>
      <c r="Z49" s="86"/>
      <c r="AA49" s="19"/>
      <c r="AB49" s="19"/>
      <c r="AC49" s="86"/>
      <c r="AD49" s="86"/>
      <c r="AE49" s="19"/>
      <c r="AF49" s="19"/>
      <c r="AG49" s="86"/>
      <c r="AH49" s="86"/>
      <c r="AI49" s="19"/>
      <c r="AJ49" s="19"/>
      <c r="AK49" s="86"/>
      <c r="AL49" s="19"/>
      <c r="AM49" s="19"/>
      <c r="AN49" s="86"/>
      <c r="AO49" s="86"/>
      <c r="AP49" s="19"/>
      <c r="AQ49" s="19"/>
      <c r="AR49" s="86"/>
      <c r="AS49" s="19"/>
      <c r="AT49" s="19"/>
      <c r="AU49" s="86"/>
      <c r="AV49" s="19"/>
      <c r="AW49" s="19"/>
      <c r="AX49" s="86"/>
      <c r="AY49" s="86"/>
      <c r="AZ49" s="19"/>
      <c r="BA49" s="19"/>
      <c r="BB49" s="19"/>
      <c r="BC49" s="19"/>
      <c r="BD49" s="19"/>
      <c r="BE49" s="86"/>
      <c r="BF49" s="86"/>
      <c r="BG49" s="86"/>
      <c r="BH49" s="19"/>
      <c r="BI49" s="19"/>
      <c r="BJ49" s="86"/>
      <c r="BK49" s="86"/>
      <c r="BL49" s="86"/>
      <c r="BM49" s="86"/>
      <c r="BN49" s="86"/>
      <c r="BO49" s="19"/>
      <c r="BP49" s="19"/>
      <c r="BQ49" s="19"/>
      <c r="BR49" s="19"/>
      <c r="BS49" s="85"/>
    </row>
    <row r="50" spans="1:71" x14ac:dyDescent="0.25">
      <c r="A50" s="19"/>
      <c r="B50" s="86"/>
      <c r="C50" s="19"/>
      <c r="D50" s="86"/>
      <c r="E50" s="19"/>
      <c r="F50" s="19"/>
      <c r="G50" s="19"/>
      <c r="H50" s="19"/>
      <c r="I50" s="86"/>
      <c r="J50" s="86"/>
      <c r="K50" s="86"/>
      <c r="L50" s="86"/>
      <c r="M50" s="19"/>
      <c r="N50" s="19"/>
      <c r="O50" s="86"/>
      <c r="P50" s="19"/>
      <c r="Q50" s="19"/>
      <c r="R50" s="19"/>
      <c r="S50" s="86"/>
      <c r="T50" s="19"/>
      <c r="U50" s="19"/>
      <c r="V50" s="19"/>
      <c r="W50" s="19"/>
      <c r="X50" s="19"/>
      <c r="Y50" s="86"/>
      <c r="Z50" s="86"/>
      <c r="AA50" s="19"/>
      <c r="AB50" s="19"/>
      <c r="AC50" s="86"/>
      <c r="AD50" s="86"/>
      <c r="AE50" s="19"/>
      <c r="AF50" s="19"/>
      <c r="AG50" s="86"/>
      <c r="AH50" s="86"/>
      <c r="AI50" s="19"/>
      <c r="AJ50" s="19"/>
      <c r="AK50" s="86"/>
      <c r="AL50" s="19"/>
      <c r="AM50" s="19"/>
      <c r="AN50" s="86"/>
      <c r="AO50" s="86"/>
      <c r="AP50" s="19"/>
      <c r="AQ50" s="19"/>
      <c r="AR50" s="86"/>
      <c r="AS50" s="19"/>
      <c r="AT50" s="19"/>
      <c r="AU50" s="86"/>
      <c r="AV50" s="19"/>
      <c r="AW50" s="19"/>
      <c r="AX50" s="86"/>
      <c r="AY50" s="86"/>
      <c r="AZ50" s="19"/>
      <c r="BA50" s="19"/>
      <c r="BB50" s="19"/>
      <c r="BC50" s="19"/>
      <c r="BD50" s="19"/>
      <c r="BE50" s="86"/>
      <c r="BF50" s="86"/>
      <c r="BG50" s="86"/>
      <c r="BH50" s="19"/>
      <c r="BI50" s="19"/>
      <c r="BJ50" s="86"/>
      <c r="BK50" s="86"/>
      <c r="BL50" s="86"/>
      <c r="BM50" s="86"/>
      <c r="BN50" s="86"/>
      <c r="BO50" s="19"/>
      <c r="BP50" s="19"/>
      <c r="BQ50" s="19"/>
      <c r="BR50" s="19"/>
      <c r="BS50" s="85"/>
    </row>
    <row r="51" spans="1:71" x14ac:dyDescent="0.25">
      <c r="A51" s="19"/>
      <c r="B51" s="86"/>
      <c r="C51" s="19"/>
      <c r="D51" s="86"/>
      <c r="E51" s="19"/>
      <c r="F51" s="19"/>
      <c r="G51" s="19"/>
      <c r="H51" s="19"/>
      <c r="I51" s="86"/>
      <c r="J51" s="86"/>
      <c r="K51" s="86"/>
      <c r="L51" s="86"/>
      <c r="M51" s="19"/>
      <c r="N51" s="19"/>
      <c r="O51" s="86"/>
      <c r="P51" s="19"/>
      <c r="Q51" s="19"/>
      <c r="R51" s="19"/>
      <c r="S51" s="86"/>
      <c r="T51" s="19"/>
      <c r="U51" s="19"/>
      <c r="V51" s="19"/>
      <c r="W51" s="19"/>
      <c r="X51" s="19"/>
      <c r="Y51" s="86"/>
      <c r="Z51" s="86"/>
      <c r="AA51" s="19"/>
      <c r="AB51" s="19"/>
      <c r="AC51" s="86"/>
      <c r="AD51" s="86"/>
      <c r="AE51" s="19"/>
      <c r="AF51" s="19"/>
      <c r="AG51" s="86"/>
      <c r="AH51" s="86"/>
      <c r="AI51" s="19"/>
      <c r="AJ51" s="19"/>
      <c r="AK51" s="86"/>
      <c r="AL51" s="19"/>
      <c r="AM51" s="19"/>
      <c r="AN51" s="86"/>
      <c r="AO51" s="86"/>
      <c r="AP51" s="19"/>
      <c r="AQ51" s="19"/>
      <c r="AR51" s="86"/>
      <c r="AS51" s="19"/>
      <c r="AT51" s="19"/>
      <c r="AU51" s="86"/>
      <c r="AV51" s="19"/>
      <c r="AW51" s="19"/>
      <c r="AX51" s="86"/>
      <c r="AY51" s="86"/>
      <c r="AZ51" s="19"/>
      <c r="BA51" s="19"/>
      <c r="BB51" s="19"/>
      <c r="BC51" s="19"/>
      <c r="BD51" s="19"/>
      <c r="BE51" s="86"/>
      <c r="BF51" s="86"/>
      <c r="BG51" s="86"/>
      <c r="BH51" s="19"/>
      <c r="BI51" s="19"/>
      <c r="BJ51" s="86"/>
      <c r="BK51" s="86"/>
      <c r="BL51" s="86"/>
      <c r="BM51" s="86"/>
      <c r="BN51" s="86"/>
      <c r="BO51" s="19"/>
      <c r="BP51" s="19"/>
      <c r="BQ51" s="19"/>
      <c r="BR51" s="19"/>
      <c r="BS51" s="85"/>
    </row>
    <row r="52" spans="1:71" x14ac:dyDescent="0.25">
      <c r="A52" s="19"/>
      <c r="B52" s="86"/>
      <c r="C52" s="19"/>
      <c r="D52" s="86"/>
      <c r="E52" s="19"/>
      <c r="F52" s="19"/>
      <c r="G52" s="19"/>
      <c r="H52" s="19"/>
      <c r="I52" s="86"/>
      <c r="J52" s="86"/>
      <c r="K52" s="86"/>
      <c r="L52" s="86"/>
      <c r="M52" s="19"/>
      <c r="N52" s="19"/>
      <c r="O52" s="86"/>
      <c r="P52" s="19"/>
      <c r="Q52" s="19"/>
      <c r="R52" s="19"/>
      <c r="S52" s="86"/>
      <c r="T52" s="19"/>
      <c r="U52" s="19"/>
      <c r="V52" s="19"/>
      <c r="W52" s="19"/>
      <c r="X52" s="19"/>
      <c r="Y52" s="86"/>
      <c r="Z52" s="86"/>
      <c r="AA52" s="19"/>
      <c r="AB52" s="19"/>
      <c r="AC52" s="86"/>
      <c r="AD52" s="86"/>
      <c r="AE52" s="19"/>
      <c r="AF52" s="19"/>
      <c r="AG52" s="86"/>
      <c r="AH52" s="86"/>
      <c r="AI52" s="19"/>
      <c r="AJ52" s="19"/>
      <c r="AK52" s="86"/>
      <c r="AL52" s="19"/>
      <c r="AM52" s="19"/>
      <c r="AN52" s="86"/>
      <c r="AO52" s="86"/>
      <c r="AP52" s="19"/>
      <c r="AQ52" s="19"/>
      <c r="AR52" s="86"/>
      <c r="AS52" s="19"/>
      <c r="AT52" s="19"/>
      <c r="AU52" s="86"/>
      <c r="AV52" s="19"/>
      <c r="AW52" s="19"/>
      <c r="AX52" s="86"/>
      <c r="AY52" s="86"/>
      <c r="AZ52" s="19"/>
      <c r="BA52" s="19"/>
      <c r="BB52" s="19"/>
      <c r="BC52" s="19"/>
      <c r="BD52" s="19"/>
      <c r="BE52" s="86"/>
      <c r="BF52" s="86"/>
      <c r="BG52" s="86"/>
      <c r="BH52" s="19"/>
      <c r="BI52" s="19"/>
      <c r="BJ52" s="86"/>
      <c r="BK52" s="86"/>
      <c r="BL52" s="86"/>
      <c r="BM52" s="86"/>
      <c r="BN52" s="86"/>
      <c r="BO52" s="19"/>
      <c r="BP52" s="19"/>
      <c r="BQ52" s="19"/>
      <c r="BR52" s="19"/>
      <c r="BS52" s="85"/>
    </row>
    <row r="53" spans="1:71" x14ac:dyDescent="0.25">
      <c r="A53" s="19"/>
      <c r="B53" s="86"/>
      <c r="C53" s="19"/>
      <c r="D53" s="86"/>
      <c r="E53" s="19"/>
      <c r="F53" s="19"/>
      <c r="G53" s="19"/>
      <c r="H53" s="19"/>
      <c r="I53" s="86"/>
      <c r="J53" s="86"/>
      <c r="K53" s="86"/>
      <c r="L53" s="86"/>
      <c r="M53" s="19"/>
      <c r="N53" s="19"/>
      <c r="O53" s="86"/>
      <c r="P53" s="19"/>
      <c r="Q53" s="19"/>
      <c r="R53" s="19"/>
      <c r="S53" s="86"/>
      <c r="T53" s="19"/>
      <c r="U53" s="19"/>
      <c r="V53" s="19"/>
      <c r="W53" s="19"/>
      <c r="X53" s="19"/>
      <c r="Y53" s="86"/>
      <c r="Z53" s="86"/>
      <c r="AA53" s="19"/>
      <c r="AB53" s="19"/>
      <c r="AC53" s="86"/>
      <c r="AD53" s="86"/>
      <c r="AE53" s="19"/>
      <c r="AF53" s="19"/>
      <c r="AG53" s="86"/>
      <c r="AH53" s="86"/>
      <c r="AI53" s="19"/>
      <c r="AJ53" s="19"/>
      <c r="AK53" s="86"/>
      <c r="AL53" s="19"/>
      <c r="AM53" s="19"/>
      <c r="AN53" s="86"/>
      <c r="AO53" s="86"/>
      <c r="AP53" s="19"/>
      <c r="AQ53" s="19"/>
      <c r="AR53" s="86"/>
      <c r="AS53" s="19"/>
      <c r="AT53" s="19"/>
      <c r="AU53" s="86"/>
      <c r="AV53" s="19"/>
      <c r="AW53" s="19"/>
      <c r="AX53" s="86"/>
      <c r="AY53" s="86"/>
      <c r="AZ53" s="19"/>
      <c r="BA53" s="19"/>
      <c r="BB53" s="19"/>
      <c r="BC53" s="19"/>
      <c r="BD53" s="19"/>
      <c r="BE53" s="86"/>
      <c r="BF53" s="86"/>
      <c r="BG53" s="86"/>
      <c r="BH53" s="19"/>
      <c r="BI53" s="19"/>
      <c r="BJ53" s="86"/>
      <c r="BK53" s="86"/>
      <c r="BL53" s="86"/>
      <c r="BM53" s="86"/>
      <c r="BN53" s="86"/>
      <c r="BO53" s="19"/>
      <c r="BP53" s="19"/>
      <c r="BQ53" s="19"/>
      <c r="BR53" s="19"/>
      <c r="BS53" s="85"/>
    </row>
    <row r="54" spans="1:71" x14ac:dyDescent="0.25">
      <c r="A54" s="19"/>
      <c r="B54" s="86"/>
      <c r="C54" s="19"/>
      <c r="D54" s="86"/>
      <c r="E54" s="19"/>
      <c r="F54" s="19"/>
      <c r="G54" s="19"/>
      <c r="H54" s="19"/>
      <c r="I54" s="86"/>
      <c r="J54" s="86"/>
      <c r="K54" s="86"/>
      <c r="L54" s="86"/>
      <c r="M54" s="19"/>
      <c r="N54" s="19"/>
      <c r="O54" s="86"/>
      <c r="P54" s="19"/>
      <c r="Q54" s="19"/>
      <c r="R54" s="19"/>
      <c r="S54" s="86"/>
      <c r="T54" s="19"/>
      <c r="U54" s="19"/>
      <c r="V54" s="19"/>
      <c r="W54" s="19"/>
      <c r="X54" s="19"/>
      <c r="Y54" s="86"/>
      <c r="Z54" s="86"/>
      <c r="AA54" s="19"/>
      <c r="AB54" s="19"/>
      <c r="AC54" s="86"/>
      <c r="AD54" s="86"/>
      <c r="AE54" s="19"/>
      <c r="AF54" s="19"/>
      <c r="AG54" s="86"/>
      <c r="AH54" s="86"/>
      <c r="AI54" s="19"/>
      <c r="AJ54" s="19"/>
      <c r="AK54" s="86"/>
      <c r="AL54" s="19"/>
      <c r="AM54" s="19"/>
      <c r="AN54" s="86"/>
      <c r="AO54" s="86"/>
      <c r="AP54" s="19"/>
      <c r="AQ54" s="19"/>
      <c r="AR54" s="86"/>
      <c r="AS54" s="19"/>
      <c r="AT54" s="19"/>
      <c r="AU54" s="86"/>
      <c r="AV54" s="19"/>
      <c r="AW54" s="19"/>
      <c r="AX54" s="86"/>
      <c r="AY54" s="86"/>
      <c r="AZ54" s="19"/>
      <c r="BA54" s="19"/>
      <c r="BB54" s="19"/>
      <c r="BC54" s="19"/>
      <c r="BD54" s="19"/>
      <c r="BE54" s="86"/>
      <c r="BF54" s="86"/>
      <c r="BG54" s="86"/>
      <c r="BH54" s="19"/>
      <c r="BI54" s="19"/>
      <c r="BJ54" s="86"/>
      <c r="BK54" s="86"/>
      <c r="BL54" s="86"/>
      <c r="BM54" s="86"/>
      <c r="BN54" s="86"/>
      <c r="BO54" s="19"/>
      <c r="BP54" s="19"/>
      <c r="BQ54" s="19"/>
      <c r="BR54" s="19"/>
      <c r="BS54" s="85"/>
    </row>
    <row r="55" spans="1:71" x14ac:dyDescent="0.25">
      <c r="A55" s="19"/>
      <c r="B55" s="86"/>
      <c r="C55" s="19"/>
      <c r="D55" s="86"/>
      <c r="E55" s="19"/>
      <c r="F55" s="19"/>
      <c r="G55" s="19"/>
      <c r="H55" s="19"/>
      <c r="I55" s="86"/>
      <c r="J55" s="86"/>
      <c r="K55" s="86"/>
      <c r="L55" s="86"/>
      <c r="M55" s="19"/>
      <c r="N55" s="19"/>
      <c r="O55" s="86"/>
      <c r="P55" s="19"/>
      <c r="Q55" s="19"/>
      <c r="R55" s="19"/>
      <c r="S55" s="86"/>
      <c r="T55" s="19"/>
      <c r="U55" s="19"/>
      <c r="V55" s="19"/>
      <c r="W55" s="19"/>
      <c r="X55" s="19"/>
      <c r="Y55" s="86"/>
      <c r="Z55" s="86"/>
      <c r="AA55" s="19"/>
      <c r="AB55" s="19"/>
      <c r="AC55" s="86"/>
      <c r="AD55" s="86"/>
      <c r="AE55" s="19"/>
      <c r="AF55" s="19"/>
      <c r="AG55" s="86"/>
      <c r="AH55" s="86"/>
      <c r="AI55" s="19"/>
      <c r="AJ55" s="19"/>
      <c r="AK55" s="86"/>
      <c r="AL55" s="19"/>
      <c r="AM55" s="19"/>
      <c r="AN55" s="86"/>
      <c r="AO55" s="86"/>
      <c r="AP55" s="19"/>
      <c r="AQ55" s="19"/>
      <c r="AR55" s="86"/>
      <c r="AS55" s="19"/>
      <c r="AT55" s="19"/>
      <c r="AU55" s="86"/>
      <c r="AV55" s="19"/>
      <c r="AW55" s="19"/>
      <c r="AX55" s="86"/>
      <c r="AY55" s="86"/>
      <c r="AZ55" s="19"/>
      <c r="BA55" s="19"/>
      <c r="BB55" s="19"/>
      <c r="BC55" s="19"/>
      <c r="BD55" s="19"/>
      <c r="BE55" s="86"/>
      <c r="BF55" s="86"/>
      <c r="BG55" s="86"/>
      <c r="BH55" s="19"/>
      <c r="BI55" s="19"/>
      <c r="BJ55" s="86"/>
      <c r="BK55" s="86"/>
      <c r="BL55" s="86"/>
      <c r="BM55" s="86"/>
      <c r="BN55" s="86"/>
      <c r="BO55" s="19"/>
      <c r="BP55" s="19"/>
      <c r="BQ55" s="19"/>
      <c r="BR55" s="19"/>
      <c r="BS55" s="85"/>
    </row>
    <row r="56" spans="1:71" x14ac:dyDescent="0.25">
      <c r="A56" s="19"/>
      <c r="B56" s="86"/>
      <c r="C56" s="19"/>
      <c r="D56" s="86"/>
      <c r="E56" s="19"/>
      <c r="F56" s="19"/>
      <c r="G56" s="19"/>
      <c r="H56" s="19"/>
      <c r="I56" s="86"/>
      <c r="J56" s="86"/>
      <c r="K56" s="86"/>
      <c r="L56" s="86"/>
      <c r="M56" s="19"/>
      <c r="N56" s="19"/>
      <c r="O56" s="86"/>
      <c r="P56" s="19"/>
      <c r="Q56" s="19"/>
      <c r="R56" s="19"/>
      <c r="S56" s="86"/>
      <c r="T56" s="19"/>
      <c r="U56" s="19"/>
      <c r="V56" s="19"/>
      <c r="W56" s="19"/>
      <c r="X56" s="19"/>
      <c r="Y56" s="86"/>
      <c r="Z56" s="86"/>
      <c r="AA56" s="19"/>
      <c r="AB56" s="19"/>
      <c r="AC56" s="86"/>
      <c r="AD56" s="86"/>
      <c r="AE56" s="19"/>
      <c r="AF56" s="19"/>
      <c r="AG56" s="86"/>
      <c r="AH56" s="86"/>
      <c r="AI56" s="19"/>
      <c r="AJ56" s="19"/>
      <c r="AK56" s="86"/>
      <c r="AL56" s="19"/>
      <c r="AM56" s="19"/>
      <c r="AN56" s="86"/>
      <c r="AO56" s="86"/>
      <c r="AP56" s="19"/>
      <c r="AQ56" s="19"/>
      <c r="AR56" s="86"/>
      <c r="AS56" s="19"/>
      <c r="AT56" s="19"/>
      <c r="AU56" s="86"/>
      <c r="AV56" s="19"/>
      <c r="AW56" s="19"/>
      <c r="AX56" s="86"/>
      <c r="AY56" s="86"/>
      <c r="AZ56" s="19"/>
      <c r="BA56" s="19"/>
      <c r="BB56" s="19"/>
      <c r="BC56" s="19"/>
      <c r="BD56" s="19"/>
      <c r="BE56" s="86"/>
      <c r="BF56" s="86"/>
      <c r="BG56" s="86"/>
      <c r="BH56" s="19"/>
      <c r="BI56" s="19"/>
      <c r="BJ56" s="86"/>
      <c r="BK56" s="86"/>
      <c r="BL56" s="86"/>
      <c r="BM56" s="86"/>
      <c r="BN56" s="86"/>
      <c r="BO56" s="19"/>
      <c r="BP56" s="19"/>
      <c r="BQ56" s="19"/>
      <c r="BR56" s="19"/>
      <c r="BS56" s="85"/>
    </row>
    <row r="57" spans="1:71" x14ac:dyDescent="0.25">
      <c r="A57" s="19"/>
      <c r="B57" s="86"/>
      <c r="C57" s="19"/>
      <c r="D57" s="86"/>
      <c r="E57" s="19"/>
      <c r="F57" s="19"/>
      <c r="G57" s="19"/>
      <c r="H57" s="19"/>
      <c r="I57" s="86"/>
      <c r="J57" s="86"/>
      <c r="K57" s="86"/>
      <c r="L57" s="86"/>
      <c r="M57" s="19"/>
      <c r="N57" s="19"/>
      <c r="O57" s="86"/>
      <c r="P57" s="19"/>
      <c r="Q57" s="19"/>
      <c r="R57" s="19"/>
      <c r="S57" s="86"/>
      <c r="T57" s="19"/>
      <c r="U57" s="19"/>
      <c r="V57" s="19"/>
      <c r="W57" s="19"/>
      <c r="X57" s="19"/>
      <c r="Y57" s="86"/>
      <c r="Z57" s="86"/>
      <c r="AA57" s="19"/>
      <c r="AB57" s="19"/>
      <c r="AC57" s="86"/>
      <c r="AD57" s="86"/>
      <c r="AE57" s="19"/>
      <c r="AF57" s="19"/>
      <c r="AG57" s="86"/>
      <c r="AH57" s="86"/>
      <c r="AI57" s="19"/>
      <c r="AJ57" s="19"/>
      <c r="AK57" s="86"/>
      <c r="AL57" s="19"/>
      <c r="AM57" s="19"/>
      <c r="AN57" s="86"/>
      <c r="AO57" s="86"/>
      <c r="AP57" s="19"/>
      <c r="AQ57" s="19"/>
      <c r="AR57" s="86"/>
      <c r="AS57" s="19"/>
      <c r="AT57" s="19"/>
      <c r="AU57" s="86"/>
      <c r="AV57" s="19"/>
      <c r="AW57" s="19"/>
      <c r="AX57" s="86"/>
      <c r="AY57" s="86"/>
      <c r="AZ57" s="19"/>
      <c r="BA57" s="19"/>
      <c r="BB57" s="19"/>
      <c r="BC57" s="19"/>
      <c r="BD57" s="19"/>
      <c r="BE57" s="86"/>
      <c r="BF57" s="86"/>
      <c r="BG57" s="86"/>
      <c r="BH57" s="19"/>
      <c r="BI57" s="19"/>
      <c r="BJ57" s="86"/>
      <c r="BK57" s="86"/>
      <c r="BL57" s="86"/>
      <c r="BM57" s="86"/>
      <c r="BN57" s="86"/>
      <c r="BO57" s="19"/>
      <c r="BP57" s="19"/>
      <c r="BQ57" s="19"/>
      <c r="BR57" s="19"/>
      <c r="BS57" s="85"/>
    </row>
    <row r="58" spans="1:71" x14ac:dyDescent="0.25">
      <c r="A58" s="19"/>
      <c r="B58" s="86"/>
      <c r="C58" s="19"/>
      <c r="D58" s="86"/>
      <c r="E58" s="19"/>
      <c r="F58" s="19"/>
      <c r="G58" s="19"/>
      <c r="H58" s="19"/>
      <c r="I58" s="86"/>
      <c r="J58" s="86"/>
      <c r="K58" s="86"/>
      <c r="L58" s="86"/>
      <c r="M58" s="19"/>
      <c r="N58" s="19"/>
      <c r="O58" s="86"/>
      <c r="P58" s="19"/>
      <c r="Q58" s="19"/>
      <c r="R58" s="19"/>
      <c r="S58" s="86"/>
      <c r="T58" s="19"/>
      <c r="U58" s="19"/>
      <c r="V58" s="19"/>
      <c r="W58" s="19"/>
      <c r="X58" s="19"/>
      <c r="Y58" s="86"/>
      <c r="Z58" s="86"/>
      <c r="AA58" s="19"/>
      <c r="AB58" s="19"/>
      <c r="AC58" s="86"/>
      <c r="AD58" s="86"/>
      <c r="AE58" s="19"/>
      <c r="AF58" s="19"/>
      <c r="AG58" s="86"/>
      <c r="AH58" s="86"/>
      <c r="AI58" s="19"/>
      <c r="AJ58" s="19"/>
      <c r="AK58" s="86"/>
      <c r="AL58" s="19"/>
      <c r="AM58" s="19"/>
      <c r="AN58" s="86"/>
      <c r="AO58" s="86"/>
      <c r="AP58" s="19"/>
      <c r="AQ58" s="19"/>
      <c r="AR58" s="86"/>
      <c r="AS58" s="19"/>
      <c r="AT58" s="19"/>
      <c r="AU58" s="86"/>
      <c r="AV58" s="19"/>
      <c r="AW58" s="19"/>
      <c r="AX58" s="86"/>
      <c r="AY58" s="86"/>
      <c r="AZ58" s="19"/>
      <c r="BA58" s="19"/>
      <c r="BB58" s="19"/>
      <c r="BC58" s="19"/>
      <c r="BD58" s="19"/>
      <c r="BE58" s="86"/>
      <c r="BF58" s="86"/>
      <c r="BG58" s="86"/>
      <c r="BH58" s="19"/>
      <c r="BI58" s="19"/>
      <c r="BJ58" s="86"/>
      <c r="BK58" s="86"/>
      <c r="BL58" s="86"/>
      <c r="BM58" s="86"/>
      <c r="BN58" s="86"/>
      <c r="BO58" s="19"/>
      <c r="BP58" s="19"/>
      <c r="BQ58" s="19"/>
      <c r="BR58" s="19"/>
      <c r="BS58" s="85"/>
    </row>
    <row r="59" spans="1:71" x14ac:dyDescent="0.25">
      <c r="A59" s="19"/>
      <c r="B59" s="86"/>
      <c r="C59" s="19"/>
      <c r="D59" s="86"/>
      <c r="E59" s="19"/>
      <c r="F59" s="19"/>
      <c r="G59" s="19"/>
      <c r="H59" s="19"/>
      <c r="I59" s="86"/>
      <c r="J59" s="86"/>
      <c r="K59" s="86"/>
      <c r="L59" s="86"/>
      <c r="M59" s="19"/>
      <c r="N59" s="19"/>
      <c r="O59" s="86"/>
      <c r="P59" s="19"/>
      <c r="Q59" s="19"/>
      <c r="R59" s="19"/>
      <c r="S59" s="86"/>
      <c r="T59" s="19"/>
      <c r="U59" s="19"/>
      <c r="V59" s="19"/>
      <c r="W59" s="19"/>
      <c r="X59" s="19"/>
      <c r="Y59" s="86"/>
      <c r="Z59" s="86"/>
      <c r="AA59" s="19"/>
      <c r="AB59" s="19"/>
      <c r="AC59" s="86"/>
      <c r="AD59" s="86"/>
      <c r="AE59" s="19"/>
      <c r="AF59" s="19"/>
      <c r="AG59" s="86"/>
      <c r="AH59" s="86"/>
      <c r="AI59" s="19"/>
      <c r="AJ59" s="19"/>
      <c r="AK59" s="86"/>
      <c r="AL59" s="19"/>
      <c r="AM59" s="19"/>
      <c r="AN59" s="86"/>
      <c r="AO59" s="86"/>
      <c r="AP59" s="19"/>
      <c r="AQ59" s="19"/>
      <c r="AR59" s="86"/>
      <c r="AS59" s="19"/>
      <c r="AT59" s="19"/>
      <c r="AU59" s="86"/>
      <c r="AV59" s="19"/>
      <c r="AW59" s="19"/>
      <c r="AX59" s="86"/>
      <c r="AY59" s="86"/>
      <c r="AZ59" s="19"/>
      <c r="BA59" s="19"/>
      <c r="BB59" s="19"/>
      <c r="BC59" s="19"/>
      <c r="BD59" s="19"/>
      <c r="BE59" s="86"/>
      <c r="BF59" s="86"/>
      <c r="BG59" s="86"/>
      <c r="BH59" s="19"/>
      <c r="BI59" s="19"/>
      <c r="BJ59" s="86"/>
      <c r="BK59" s="86"/>
      <c r="BL59" s="86"/>
      <c r="BM59" s="86"/>
      <c r="BN59" s="86"/>
      <c r="BO59" s="19"/>
      <c r="BP59" s="19"/>
      <c r="BQ59" s="19"/>
      <c r="BR59" s="19"/>
      <c r="BS59" s="85"/>
    </row>
    <row r="60" spans="1:71" x14ac:dyDescent="0.25">
      <c r="A60" s="19"/>
      <c r="B60" s="86"/>
      <c r="C60" s="19"/>
      <c r="D60" s="86"/>
      <c r="E60" s="19"/>
      <c r="F60" s="19"/>
      <c r="G60" s="19"/>
      <c r="H60" s="19"/>
      <c r="I60" s="86"/>
      <c r="J60" s="86"/>
      <c r="K60" s="86"/>
      <c r="L60" s="86"/>
      <c r="M60" s="19"/>
      <c r="N60" s="19"/>
      <c r="O60" s="86"/>
      <c r="P60" s="19"/>
      <c r="Q60" s="19"/>
      <c r="R60" s="19"/>
      <c r="S60" s="86"/>
      <c r="T60" s="19"/>
      <c r="U60" s="19"/>
      <c r="V60" s="19"/>
      <c r="W60" s="19"/>
      <c r="X60" s="19"/>
      <c r="Y60" s="86"/>
      <c r="Z60" s="86"/>
      <c r="AA60" s="19"/>
      <c r="AB60" s="19"/>
      <c r="AC60" s="86"/>
      <c r="AD60" s="86"/>
      <c r="AE60" s="19"/>
      <c r="AF60" s="19"/>
      <c r="AG60" s="86"/>
      <c r="AH60" s="86"/>
      <c r="AI60" s="19"/>
      <c r="AJ60" s="19"/>
      <c r="AK60" s="86"/>
      <c r="AL60" s="19"/>
      <c r="AM60" s="19"/>
      <c r="AN60" s="86"/>
      <c r="AO60" s="86"/>
      <c r="AP60" s="19"/>
      <c r="AQ60" s="19"/>
      <c r="AR60" s="86"/>
      <c r="AS60" s="19"/>
      <c r="AT60" s="19"/>
      <c r="AU60" s="86"/>
      <c r="AV60" s="19"/>
      <c r="AW60" s="19"/>
      <c r="AX60" s="86"/>
      <c r="AY60" s="86"/>
      <c r="AZ60" s="19"/>
      <c r="BA60" s="19"/>
      <c r="BB60" s="19"/>
      <c r="BC60" s="19"/>
      <c r="BD60" s="19"/>
      <c r="BE60" s="86"/>
      <c r="BF60" s="86"/>
      <c r="BG60" s="86"/>
      <c r="BH60" s="19"/>
      <c r="BI60" s="19"/>
      <c r="BJ60" s="86"/>
      <c r="BK60" s="86"/>
      <c r="BL60" s="86"/>
      <c r="BM60" s="86"/>
      <c r="BN60" s="86"/>
      <c r="BO60" s="19"/>
      <c r="BP60" s="19"/>
      <c r="BQ60" s="19"/>
      <c r="BR60" s="19"/>
      <c r="BS60" s="85"/>
    </row>
    <row r="61" spans="1:71" x14ac:dyDescent="0.25">
      <c r="A61" s="19"/>
      <c r="B61" s="86"/>
      <c r="C61" s="19"/>
      <c r="D61" s="86"/>
      <c r="E61" s="19"/>
      <c r="F61" s="19"/>
      <c r="G61" s="19"/>
      <c r="H61" s="19"/>
      <c r="I61" s="86"/>
      <c r="J61" s="86"/>
      <c r="K61" s="86"/>
      <c r="L61" s="86"/>
      <c r="M61" s="19"/>
      <c r="N61" s="19"/>
      <c r="O61" s="86"/>
      <c r="P61" s="19"/>
      <c r="Q61" s="19"/>
      <c r="R61" s="19"/>
      <c r="S61" s="86"/>
      <c r="T61" s="19"/>
      <c r="U61" s="19"/>
      <c r="V61" s="19"/>
      <c r="W61" s="19"/>
      <c r="X61" s="19"/>
      <c r="Y61" s="86"/>
      <c r="Z61" s="86"/>
      <c r="AA61" s="19"/>
      <c r="AB61" s="19"/>
      <c r="AC61" s="86"/>
      <c r="AD61" s="86"/>
      <c r="AE61" s="19"/>
      <c r="AF61" s="19"/>
      <c r="AG61" s="86"/>
      <c r="AH61" s="86"/>
      <c r="AI61" s="19"/>
      <c r="AJ61" s="19"/>
      <c r="AK61" s="86"/>
      <c r="AL61" s="19"/>
      <c r="AM61" s="19"/>
      <c r="AN61" s="86"/>
      <c r="AO61" s="86"/>
      <c r="AP61" s="19"/>
      <c r="AQ61" s="19"/>
      <c r="AR61" s="86"/>
      <c r="AS61" s="19"/>
      <c r="AT61" s="19"/>
      <c r="AU61" s="86"/>
      <c r="AV61" s="19"/>
      <c r="AW61" s="19"/>
      <c r="AX61" s="86"/>
      <c r="AY61" s="86"/>
      <c r="AZ61" s="19"/>
      <c r="BA61" s="19"/>
      <c r="BB61" s="19"/>
      <c r="BC61" s="19"/>
      <c r="BD61" s="19"/>
      <c r="BE61" s="86"/>
      <c r="BF61" s="86"/>
      <c r="BG61" s="86"/>
      <c r="BH61" s="19"/>
      <c r="BI61" s="19"/>
      <c r="BJ61" s="86"/>
      <c r="BK61" s="86"/>
      <c r="BL61" s="86"/>
      <c r="BM61" s="86"/>
      <c r="BN61" s="86"/>
      <c r="BO61" s="19"/>
      <c r="BP61" s="19"/>
      <c r="BQ61" s="19"/>
      <c r="BR61" s="19"/>
      <c r="BS61" s="85"/>
    </row>
    <row r="62" spans="1:71" x14ac:dyDescent="0.25">
      <c r="A62" s="19"/>
      <c r="B62" s="86"/>
      <c r="C62" s="19"/>
      <c r="D62" s="86"/>
      <c r="E62" s="19"/>
      <c r="F62" s="19"/>
      <c r="G62" s="19"/>
      <c r="H62" s="19"/>
      <c r="I62" s="86"/>
      <c r="J62" s="86"/>
      <c r="K62" s="86"/>
      <c r="L62" s="86"/>
      <c r="M62" s="19"/>
      <c r="N62" s="19"/>
      <c r="O62" s="86"/>
      <c r="P62" s="19"/>
      <c r="Q62" s="19"/>
      <c r="R62" s="19"/>
      <c r="S62" s="86"/>
      <c r="T62" s="19"/>
      <c r="U62" s="19"/>
      <c r="V62" s="19"/>
      <c r="W62" s="19"/>
      <c r="X62" s="19"/>
      <c r="Y62" s="86"/>
      <c r="Z62" s="86"/>
      <c r="AA62" s="19"/>
      <c r="AB62" s="19"/>
      <c r="AC62" s="86"/>
      <c r="AD62" s="86"/>
      <c r="AE62" s="19"/>
      <c r="AF62" s="19"/>
      <c r="AG62" s="86"/>
      <c r="AH62" s="86"/>
      <c r="AI62" s="19"/>
      <c r="AJ62" s="19"/>
      <c r="AK62" s="86"/>
      <c r="AL62" s="19"/>
      <c r="AM62" s="19"/>
      <c r="AN62" s="86"/>
      <c r="AO62" s="86"/>
      <c r="AP62" s="19"/>
      <c r="AQ62" s="19"/>
      <c r="AR62" s="86"/>
      <c r="AS62" s="19"/>
      <c r="AT62" s="19"/>
      <c r="AU62" s="86"/>
      <c r="AV62" s="19"/>
      <c r="AW62" s="19"/>
      <c r="AX62" s="86"/>
      <c r="AY62" s="86"/>
      <c r="AZ62" s="19"/>
      <c r="BA62" s="19"/>
      <c r="BB62" s="19"/>
      <c r="BC62" s="19"/>
      <c r="BD62" s="19"/>
      <c r="BE62" s="86"/>
      <c r="BF62" s="86"/>
      <c r="BG62" s="86"/>
      <c r="BH62" s="19"/>
      <c r="BI62" s="19"/>
      <c r="BJ62" s="86"/>
      <c r="BK62" s="86"/>
      <c r="BL62" s="86"/>
      <c r="BM62" s="86"/>
      <c r="BN62" s="86"/>
      <c r="BO62" s="19"/>
      <c r="BP62" s="19"/>
      <c r="BQ62" s="19"/>
      <c r="BR62" s="19"/>
      <c r="BS62" s="85"/>
    </row>
    <row r="63" spans="1:71" x14ac:dyDescent="0.25">
      <c r="A63" s="19"/>
      <c r="B63" s="86"/>
      <c r="C63" s="19"/>
      <c r="D63" s="86"/>
      <c r="E63" s="19"/>
      <c r="F63" s="19"/>
      <c r="G63" s="19"/>
      <c r="H63" s="19"/>
      <c r="I63" s="86"/>
      <c r="J63" s="86"/>
      <c r="K63" s="86"/>
      <c r="L63" s="86"/>
      <c r="M63" s="19"/>
      <c r="N63" s="19"/>
      <c r="O63" s="86"/>
      <c r="P63" s="19"/>
      <c r="Q63" s="19"/>
      <c r="R63" s="19"/>
      <c r="S63" s="86"/>
      <c r="T63" s="19"/>
      <c r="U63" s="19"/>
      <c r="V63" s="19"/>
      <c r="W63" s="19"/>
      <c r="X63" s="19"/>
      <c r="Y63" s="86"/>
      <c r="Z63" s="86"/>
      <c r="AA63" s="19"/>
      <c r="AB63" s="19"/>
      <c r="AC63" s="86"/>
      <c r="AD63" s="86"/>
      <c r="AE63" s="19"/>
      <c r="AF63" s="19"/>
      <c r="AG63" s="86"/>
      <c r="AH63" s="86"/>
      <c r="AI63" s="19"/>
      <c r="AJ63" s="19"/>
      <c r="AK63" s="86"/>
      <c r="AL63" s="19"/>
      <c r="AM63" s="19"/>
      <c r="AN63" s="86"/>
      <c r="AO63" s="86"/>
      <c r="AP63" s="19"/>
      <c r="AQ63" s="19"/>
      <c r="AR63" s="86"/>
      <c r="AS63" s="19"/>
      <c r="AT63" s="19"/>
      <c r="AU63" s="86"/>
      <c r="AV63" s="19"/>
      <c r="AW63" s="19"/>
      <c r="AX63" s="86"/>
      <c r="AY63" s="86"/>
      <c r="AZ63" s="19"/>
      <c r="BA63" s="19"/>
      <c r="BB63" s="19"/>
      <c r="BC63" s="19"/>
      <c r="BD63" s="19"/>
      <c r="BE63" s="86"/>
      <c r="BF63" s="86"/>
      <c r="BG63" s="86"/>
      <c r="BH63" s="19"/>
      <c r="BI63" s="19"/>
      <c r="BJ63" s="86"/>
      <c r="BK63" s="86"/>
      <c r="BL63" s="86"/>
      <c r="BM63" s="86"/>
      <c r="BN63" s="86"/>
      <c r="BO63" s="19"/>
      <c r="BP63" s="19"/>
      <c r="BQ63" s="19"/>
      <c r="BR63" s="19"/>
      <c r="BS63" s="85"/>
    </row>
    <row r="64" spans="1:71" x14ac:dyDescent="0.25">
      <c r="A64" s="19"/>
      <c r="B64" s="86"/>
      <c r="C64" s="19"/>
      <c r="D64" s="86"/>
      <c r="E64" s="19"/>
      <c r="F64" s="19"/>
      <c r="G64" s="19"/>
      <c r="H64" s="19"/>
      <c r="I64" s="86"/>
      <c r="J64" s="86"/>
      <c r="K64" s="86"/>
      <c r="L64" s="86"/>
      <c r="M64" s="19"/>
      <c r="N64" s="19"/>
      <c r="O64" s="86"/>
      <c r="P64" s="19"/>
      <c r="Q64" s="19"/>
      <c r="R64" s="19"/>
      <c r="S64" s="86"/>
      <c r="T64" s="19"/>
      <c r="U64" s="19"/>
      <c r="V64" s="19"/>
      <c r="W64" s="19"/>
      <c r="X64" s="19"/>
      <c r="Y64" s="86"/>
      <c r="Z64" s="86"/>
      <c r="AA64" s="19"/>
      <c r="AB64" s="19"/>
      <c r="AC64" s="86"/>
      <c r="AD64" s="86"/>
      <c r="AE64" s="19"/>
      <c r="AF64" s="19"/>
      <c r="AG64" s="86"/>
      <c r="AH64" s="86"/>
      <c r="AI64" s="19"/>
      <c r="AJ64" s="19"/>
      <c r="AK64" s="86"/>
      <c r="AL64" s="19"/>
      <c r="AM64" s="19"/>
      <c r="AN64" s="86"/>
      <c r="AO64" s="86"/>
      <c r="AP64" s="19"/>
      <c r="AQ64" s="19"/>
      <c r="AR64" s="86"/>
      <c r="AS64" s="19"/>
      <c r="AT64" s="19"/>
      <c r="AU64" s="86"/>
      <c r="AV64" s="19"/>
      <c r="AW64" s="19"/>
      <c r="AX64" s="86"/>
      <c r="AY64" s="86"/>
      <c r="AZ64" s="19"/>
      <c r="BA64" s="19"/>
      <c r="BB64" s="19"/>
      <c r="BC64" s="19"/>
      <c r="BD64" s="19"/>
      <c r="BE64" s="86"/>
      <c r="BF64" s="86"/>
      <c r="BG64" s="86"/>
      <c r="BH64" s="19"/>
      <c r="BI64" s="19"/>
      <c r="BJ64" s="86"/>
      <c r="BK64" s="86"/>
      <c r="BL64" s="86"/>
      <c r="BM64" s="86"/>
      <c r="BN64" s="86"/>
      <c r="BO64" s="19"/>
      <c r="BP64" s="19"/>
      <c r="BQ64" s="19"/>
      <c r="BR64" s="19"/>
      <c r="BS64" s="85"/>
    </row>
    <row r="65" spans="1:71" x14ac:dyDescent="0.25">
      <c r="A65" s="19"/>
      <c r="B65" s="86"/>
      <c r="C65" s="19"/>
      <c r="D65" s="86"/>
      <c r="E65" s="19"/>
      <c r="F65" s="19"/>
      <c r="G65" s="19"/>
      <c r="H65" s="19"/>
      <c r="I65" s="86"/>
      <c r="J65" s="86"/>
      <c r="K65" s="86"/>
      <c r="L65" s="86"/>
      <c r="M65" s="19"/>
      <c r="N65" s="19"/>
      <c r="O65" s="86"/>
      <c r="P65" s="19"/>
      <c r="Q65" s="19"/>
      <c r="R65" s="19"/>
      <c r="S65" s="86"/>
      <c r="T65" s="19"/>
      <c r="U65" s="19"/>
      <c r="V65" s="19"/>
      <c r="W65" s="19"/>
      <c r="X65" s="19"/>
      <c r="Y65" s="86"/>
      <c r="Z65" s="86"/>
      <c r="AA65" s="19"/>
      <c r="AB65" s="19"/>
      <c r="AC65" s="86"/>
      <c r="AD65" s="86"/>
      <c r="AE65" s="19"/>
      <c r="AF65" s="19"/>
      <c r="AG65" s="86"/>
      <c r="AH65" s="86"/>
      <c r="AI65" s="19"/>
      <c r="AJ65" s="19"/>
      <c r="AK65" s="86"/>
      <c r="AL65" s="19"/>
      <c r="AM65" s="19"/>
      <c r="AN65" s="86"/>
      <c r="AO65" s="86"/>
      <c r="AP65" s="19"/>
      <c r="AQ65" s="19"/>
      <c r="AR65" s="86"/>
      <c r="AS65" s="19"/>
      <c r="AT65" s="19"/>
      <c r="AU65" s="86"/>
      <c r="AV65" s="19"/>
      <c r="AW65" s="19"/>
      <c r="AX65" s="86"/>
      <c r="AY65" s="86"/>
      <c r="AZ65" s="19"/>
      <c r="BA65" s="19"/>
      <c r="BB65" s="19"/>
      <c r="BC65" s="19"/>
      <c r="BD65" s="19"/>
      <c r="BE65" s="86"/>
      <c r="BF65" s="86"/>
      <c r="BG65" s="86"/>
      <c r="BH65" s="19"/>
      <c r="BI65" s="19"/>
      <c r="BJ65" s="86"/>
      <c r="BK65" s="86"/>
      <c r="BL65" s="86"/>
      <c r="BM65" s="86"/>
      <c r="BN65" s="86"/>
      <c r="BO65" s="19"/>
      <c r="BP65" s="19"/>
      <c r="BQ65" s="19"/>
      <c r="BR65" s="19"/>
      <c r="BS65" s="85"/>
    </row>
    <row r="66" spans="1:71" x14ac:dyDescent="0.25">
      <c r="A66" s="19"/>
      <c r="B66" s="86"/>
      <c r="C66" s="19"/>
      <c r="D66" s="86"/>
      <c r="E66" s="19"/>
      <c r="F66" s="19"/>
      <c r="G66" s="19"/>
      <c r="H66" s="19"/>
      <c r="I66" s="86"/>
      <c r="J66" s="86"/>
      <c r="K66" s="86"/>
      <c r="L66" s="86"/>
      <c r="M66" s="19"/>
      <c r="N66" s="19"/>
      <c r="O66" s="86"/>
      <c r="P66" s="19"/>
      <c r="Q66" s="19"/>
      <c r="R66" s="19"/>
      <c r="S66" s="86"/>
      <c r="T66" s="19"/>
      <c r="U66" s="19"/>
      <c r="V66" s="19"/>
      <c r="W66" s="19"/>
      <c r="X66" s="19"/>
      <c r="Y66" s="86"/>
      <c r="Z66" s="86"/>
      <c r="AA66" s="19"/>
      <c r="AB66" s="19"/>
      <c r="AC66" s="86"/>
      <c r="AD66" s="86"/>
      <c r="AE66" s="19"/>
      <c r="AF66" s="19"/>
      <c r="AG66" s="86"/>
      <c r="AH66" s="86"/>
      <c r="AI66" s="19"/>
      <c r="AJ66" s="19"/>
      <c r="AK66" s="86"/>
      <c r="AL66" s="19"/>
      <c r="AM66" s="19"/>
      <c r="AN66" s="86"/>
      <c r="AO66" s="86"/>
      <c r="AP66" s="19"/>
      <c r="AQ66" s="19"/>
      <c r="AR66" s="86"/>
      <c r="AS66" s="19"/>
      <c r="AT66" s="19"/>
      <c r="AU66" s="86"/>
      <c r="AV66" s="19"/>
      <c r="AW66" s="19"/>
      <c r="AX66" s="86"/>
      <c r="AY66" s="86"/>
      <c r="AZ66" s="19"/>
      <c r="BA66" s="19"/>
      <c r="BB66" s="19"/>
      <c r="BC66" s="19"/>
      <c r="BD66" s="19"/>
      <c r="BE66" s="86"/>
      <c r="BF66" s="86"/>
      <c r="BG66" s="86"/>
      <c r="BH66" s="19"/>
      <c r="BI66" s="19"/>
      <c r="BJ66" s="86"/>
      <c r="BK66" s="86"/>
      <c r="BL66" s="86"/>
      <c r="BM66" s="86"/>
      <c r="BN66" s="86"/>
      <c r="BO66" s="19"/>
      <c r="BP66" s="19"/>
      <c r="BQ66" s="19"/>
      <c r="BR66" s="19"/>
      <c r="BS66" s="85"/>
    </row>
    <row r="67" spans="1:71" x14ac:dyDescent="0.25">
      <c r="A67" s="19"/>
      <c r="B67" s="86"/>
      <c r="C67" s="19"/>
      <c r="D67" s="86"/>
      <c r="E67" s="19"/>
      <c r="F67" s="19"/>
      <c r="G67" s="19"/>
      <c r="H67" s="19"/>
      <c r="I67" s="86"/>
      <c r="J67" s="86"/>
      <c r="K67" s="86"/>
      <c r="L67" s="86"/>
      <c r="M67" s="19"/>
      <c r="N67" s="19"/>
      <c r="O67" s="86"/>
      <c r="P67" s="19"/>
      <c r="Q67" s="19"/>
      <c r="R67" s="19"/>
      <c r="S67" s="86"/>
      <c r="T67" s="19"/>
      <c r="U67" s="19"/>
      <c r="V67" s="19"/>
      <c r="W67" s="19"/>
      <c r="X67" s="19"/>
      <c r="Y67" s="86"/>
      <c r="Z67" s="86"/>
      <c r="AA67" s="19"/>
      <c r="AB67" s="19"/>
      <c r="AC67" s="86"/>
      <c r="AD67" s="86"/>
      <c r="AE67" s="19"/>
      <c r="AF67" s="19"/>
      <c r="AG67" s="86"/>
      <c r="AH67" s="86"/>
      <c r="AI67" s="19"/>
      <c r="AJ67" s="19"/>
      <c r="AK67" s="86"/>
      <c r="AL67" s="19"/>
      <c r="AM67" s="19"/>
      <c r="AN67" s="86"/>
      <c r="AO67" s="86"/>
      <c r="AP67" s="19"/>
      <c r="AQ67" s="19"/>
      <c r="AR67" s="86"/>
      <c r="AS67" s="19"/>
      <c r="AT67" s="19"/>
      <c r="AU67" s="86"/>
      <c r="AV67" s="19"/>
      <c r="AW67" s="19"/>
      <c r="AX67" s="86"/>
      <c r="AY67" s="86"/>
      <c r="AZ67" s="19"/>
      <c r="BA67" s="19"/>
      <c r="BB67" s="19"/>
      <c r="BC67" s="19"/>
      <c r="BD67" s="19"/>
      <c r="BE67" s="86"/>
      <c r="BF67" s="86"/>
      <c r="BG67" s="86"/>
      <c r="BH67" s="19"/>
      <c r="BI67" s="19"/>
      <c r="BJ67" s="86"/>
      <c r="BK67" s="86"/>
      <c r="BL67" s="86"/>
      <c r="BM67" s="86"/>
      <c r="BN67" s="86"/>
      <c r="BO67" s="19"/>
      <c r="BP67" s="19"/>
      <c r="BQ67" s="19"/>
      <c r="BR67" s="19"/>
      <c r="BS67" s="85"/>
    </row>
    <row r="68" spans="1:71" x14ac:dyDescent="0.25">
      <c r="A68" s="19"/>
      <c r="B68" s="86"/>
      <c r="C68" s="19"/>
      <c r="D68" s="86"/>
      <c r="E68" s="19"/>
      <c r="F68" s="19"/>
      <c r="G68" s="19"/>
      <c r="H68" s="19"/>
      <c r="I68" s="86"/>
      <c r="J68" s="86"/>
      <c r="K68" s="86"/>
      <c r="L68" s="86"/>
      <c r="M68" s="19"/>
      <c r="N68" s="19"/>
      <c r="O68" s="86"/>
      <c r="P68" s="19"/>
      <c r="Q68" s="19"/>
      <c r="R68" s="19"/>
      <c r="S68" s="86"/>
      <c r="T68" s="19"/>
      <c r="U68" s="19"/>
      <c r="V68" s="19"/>
      <c r="W68" s="19"/>
      <c r="X68" s="19"/>
      <c r="Y68" s="86"/>
      <c r="Z68" s="86"/>
      <c r="AA68" s="19"/>
      <c r="AB68" s="19"/>
      <c r="AC68" s="86"/>
      <c r="AD68" s="86"/>
      <c r="AE68" s="19"/>
      <c r="AF68" s="19"/>
      <c r="AG68" s="86"/>
      <c r="AH68" s="86"/>
      <c r="AI68" s="19"/>
      <c r="AJ68" s="19"/>
      <c r="AK68" s="86"/>
      <c r="AL68" s="19"/>
      <c r="AM68" s="19"/>
      <c r="AN68" s="86"/>
      <c r="AO68" s="86"/>
      <c r="AP68" s="19"/>
      <c r="AQ68" s="19"/>
      <c r="AR68" s="86"/>
      <c r="AS68" s="19"/>
      <c r="AT68" s="19"/>
      <c r="AU68" s="86"/>
      <c r="AV68" s="19"/>
      <c r="AW68" s="19"/>
      <c r="AX68" s="86"/>
      <c r="AY68" s="86"/>
      <c r="AZ68" s="19"/>
      <c r="BA68" s="19"/>
      <c r="BB68" s="19"/>
      <c r="BC68" s="19"/>
      <c r="BD68" s="19"/>
      <c r="BE68" s="86"/>
      <c r="BF68" s="86"/>
      <c r="BG68" s="86"/>
      <c r="BH68" s="19"/>
      <c r="BI68" s="19"/>
      <c r="BJ68" s="86"/>
      <c r="BK68" s="86"/>
      <c r="BL68" s="86"/>
      <c r="BM68" s="86"/>
      <c r="BN68" s="86"/>
      <c r="BO68" s="19"/>
      <c r="BP68" s="19"/>
      <c r="BQ68" s="19"/>
      <c r="BR68" s="19"/>
      <c r="BS68" s="85"/>
    </row>
    <row r="69" spans="1:71" x14ac:dyDescent="0.25">
      <c r="A69" s="19"/>
      <c r="B69" s="86"/>
      <c r="C69" s="19"/>
      <c r="D69" s="86"/>
      <c r="E69" s="19"/>
      <c r="F69" s="19"/>
      <c r="G69" s="19"/>
      <c r="H69" s="19"/>
      <c r="I69" s="86"/>
      <c r="J69" s="86"/>
      <c r="K69" s="86"/>
      <c r="L69" s="86"/>
      <c r="M69" s="19"/>
      <c r="N69" s="19"/>
      <c r="O69" s="86"/>
      <c r="P69" s="19"/>
      <c r="Q69" s="19"/>
      <c r="R69" s="19"/>
      <c r="S69" s="86"/>
      <c r="T69" s="19"/>
      <c r="U69" s="19"/>
      <c r="V69" s="19"/>
      <c r="W69" s="19"/>
      <c r="X69" s="19"/>
      <c r="Y69" s="86"/>
      <c r="Z69" s="86"/>
      <c r="AA69" s="19"/>
      <c r="AB69" s="19"/>
      <c r="AC69" s="86"/>
      <c r="AD69" s="86"/>
      <c r="AE69" s="19"/>
      <c r="AF69" s="19"/>
      <c r="AG69" s="86"/>
      <c r="AH69" s="86"/>
      <c r="AI69" s="19"/>
      <c r="AJ69" s="19"/>
      <c r="AK69" s="86"/>
      <c r="AL69" s="19"/>
      <c r="AM69" s="19"/>
      <c r="AN69" s="86"/>
      <c r="AO69" s="86"/>
      <c r="AP69" s="19"/>
      <c r="AQ69" s="19"/>
      <c r="AR69" s="86"/>
      <c r="AS69" s="19"/>
      <c r="AT69" s="19"/>
      <c r="AU69" s="86"/>
      <c r="AV69" s="19"/>
      <c r="AW69" s="19"/>
      <c r="AX69" s="86"/>
      <c r="AY69" s="86"/>
      <c r="AZ69" s="19"/>
      <c r="BA69" s="19"/>
      <c r="BB69" s="19"/>
      <c r="BC69" s="19"/>
      <c r="BD69" s="19"/>
      <c r="BE69" s="86"/>
      <c r="BF69" s="86"/>
      <c r="BG69" s="86"/>
      <c r="BH69" s="19"/>
      <c r="BI69" s="19"/>
      <c r="BJ69" s="86"/>
      <c r="BK69" s="86"/>
      <c r="BL69" s="86"/>
      <c r="BM69" s="86"/>
      <c r="BN69" s="86"/>
      <c r="BO69" s="19"/>
      <c r="BP69" s="19"/>
      <c r="BQ69" s="19"/>
      <c r="BR69" s="19"/>
      <c r="BS69" s="85"/>
    </row>
    <row r="70" spans="1:71" x14ac:dyDescent="0.25">
      <c r="A70" s="19"/>
      <c r="B70" s="86"/>
      <c r="C70" s="19"/>
      <c r="D70" s="86"/>
      <c r="E70" s="19"/>
      <c r="F70" s="19"/>
      <c r="G70" s="19"/>
      <c r="H70" s="19"/>
      <c r="I70" s="86"/>
      <c r="J70" s="86"/>
      <c r="K70" s="86"/>
      <c r="L70" s="86"/>
      <c r="M70" s="19"/>
      <c r="N70" s="19"/>
      <c r="O70" s="86"/>
      <c r="P70" s="19"/>
      <c r="Q70" s="19"/>
      <c r="R70" s="19"/>
      <c r="S70" s="86"/>
      <c r="T70" s="19"/>
      <c r="U70" s="19"/>
      <c r="V70" s="19"/>
      <c r="W70" s="19"/>
      <c r="X70" s="19"/>
      <c r="Y70" s="86"/>
      <c r="Z70" s="86"/>
      <c r="AA70" s="19"/>
      <c r="AB70" s="19"/>
      <c r="AC70" s="86"/>
      <c r="AD70" s="86"/>
      <c r="AE70" s="19"/>
      <c r="AF70" s="19"/>
      <c r="AG70" s="86"/>
      <c r="AH70" s="86"/>
      <c r="AI70" s="19"/>
      <c r="AJ70" s="19"/>
      <c r="AK70" s="86"/>
      <c r="AL70" s="19"/>
      <c r="AM70" s="19"/>
      <c r="AN70" s="86"/>
      <c r="AO70" s="86"/>
      <c r="AP70" s="19"/>
      <c r="AQ70" s="19"/>
      <c r="AR70" s="86"/>
      <c r="AS70" s="19"/>
      <c r="AT70" s="19"/>
      <c r="AU70" s="86"/>
      <c r="AV70" s="19"/>
      <c r="AW70" s="19"/>
      <c r="AX70" s="86"/>
      <c r="AY70" s="86"/>
      <c r="AZ70" s="19"/>
      <c r="BA70" s="19"/>
      <c r="BB70" s="19"/>
      <c r="BC70" s="19"/>
      <c r="BD70" s="19"/>
      <c r="BE70" s="86"/>
      <c r="BF70" s="86"/>
      <c r="BG70" s="86"/>
      <c r="BH70" s="19"/>
      <c r="BI70" s="19"/>
      <c r="BJ70" s="86"/>
      <c r="BK70" s="86"/>
      <c r="BL70" s="86"/>
      <c r="BM70" s="86"/>
      <c r="BN70" s="86"/>
      <c r="BO70" s="19"/>
      <c r="BP70" s="19"/>
      <c r="BQ70" s="19"/>
      <c r="BR70" s="19"/>
      <c r="BS70" s="85"/>
    </row>
    <row r="71" spans="1:71" x14ac:dyDescent="0.25">
      <c r="A71" s="19"/>
      <c r="B71" s="86"/>
      <c r="C71" s="19"/>
      <c r="D71" s="86"/>
      <c r="E71" s="19"/>
      <c r="F71" s="19"/>
      <c r="G71" s="19"/>
      <c r="H71" s="19"/>
      <c r="I71" s="86"/>
      <c r="J71" s="86"/>
      <c r="K71" s="86"/>
      <c r="L71" s="86"/>
      <c r="M71" s="19"/>
      <c r="N71" s="19"/>
      <c r="O71" s="86"/>
      <c r="P71" s="19"/>
      <c r="Q71" s="19"/>
      <c r="R71" s="19"/>
      <c r="S71" s="86"/>
      <c r="T71" s="19"/>
      <c r="U71" s="19"/>
      <c r="V71" s="19"/>
      <c r="W71" s="19"/>
      <c r="X71" s="19"/>
      <c r="Y71" s="86"/>
      <c r="Z71" s="86"/>
      <c r="AA71" s="19"/>
      <c r="AB71" s="19"/>
      <c r="AC71" s="86"/>
      <c r="AD71" s="86"/>
      <c r="AE71" s="19"/>
      <c r="AF71" s="19"/>
      <c r="AG71" s="86"/>
      <c r="AH71" s="86"/>
      <c r="AI71" s="19"/>
      <c r="AJ71" s="19"/>
      <c r="AK71" s="86"/>
      <c r="AL71" s="19"/>
      <c r="AM71" s="19"/>
      <c r="AN71" s="86"/>
      <c r="AO71" s="86"/>
      <c r="AP71" s="19"/>
      <c r="AQ71" s="19"/>
      <c r="AR71" s="86"/>
      <c r="AS71" s="19"/>
      <c r="AT71" s="19"/>
      <c r="AU71" s="86"/>
      <c r="AV71" s="19"/>
      <c r="AW71" s="19"/>
      <c r="AX71" s="86"/>
      <c r="AY71" s="86"/>
      <c r="AZ71" s="19"/>
      <c r="BA71" s="19"/>
      <c r="BB71" s="19"/>
      <c r="BC71" s="19"/>
      <c r="BD71" s="19"/>
      <c r="BE71" s="86"/>
      <c r="BF71" s="86"/>
      <c r="BG71" s="86"/>
      <c r="BH71" s="19"/>
      <c r="BI71" s="19"/>
      <c r="BJ71" s="86"/>
      <c r="BK71" s="86"/>
      <c r="BL71" s="86"/>
      <c r="BM71" s="86"/>
      <c r="BN71" s="86"/>
      <c r="BO71" s="19"/>
      <c r="BP71" s="19"/>
      <c r="BQ71" s="19"/>
      <c r="BR71" s="19"/>
      <c r="BS71" s="85"/>
    </row>
    <row r="72" spans="1:71" x14ac:dyDescent="0.25">
      <c r="A72" s="19"/>
      <c r="B72" s="86"/>
      <c r="C72" s="19"/>
      <c r="D72" s="86"/>
      <c r="E72" s="19"/>
      <c r="F72" s="19"/>
      <c r="G72" s="19"/>
      <c r="H72" s="19"/>
      <c r="I72" s="86"/>
      <c r="J72" s="86"/>
      <c r="K72" s="86"/>
      <c r="L72" s="86"/>
      <c r="M72" s="19"/>
      <c r="N72" s="19"/>
      <c r="O72" s="86"/>
      <c r="P72" s="19"/>
      <c r="Q72" s="19"/>
      <c r="R72" s="19"/>
      <c r="S72" s="86"/>
      <c r="T72" s="19"/>
      <c r="U72" s="19"/>
      <c r="V72" s="19"/>
      <c r="W72" s="19"/>
      <c r="X72" s="19"/>
      <c r="Y72" s="86"/>
      <c r="Z72" s="86"/>
      <c r="AA72" s="19"/>
      <c r="AB72" s="19"/>
      <c r="AC72" s="86"/>
      <c r="AD72" s="86"/>
      <c r="AE72" s="19"/>
      <c r="AF72" s="19"/>
      <c r="AG72" s="86"/>
      <c r="AH72" s="86"/>
      <c r="AI72" s="19"/>
      <c r="AJ72" s="19"/>
      <c r="AK72" s="86"/>
      <c r="AL72" s="19"/>
      <c r="AM72" s="19"/>
      <c r="AN72" s="86"/>
      <c r="AO72" s="86"/>
      <c r="AP72" s="19"/>
      <c r="AQ72" s="19"/>
      <c r="AR72" s="86"/>
      <c r="AS72" s="19"/>
      <c r="AT72" s="19"/>
      <c r="AU72" s="86"/>
      <c r="AV72" s="19"/>
      <c r="AW72" s="19"/>
      <c r="AX72" s="86"/>
      <c r="AY72" s="86"/>
      <c r="AZ72" s="19"/>
      <c r="BA72" s="19"/>
      <c r="BB72" s="19"/>
      <c r="BC72" s="19"/>
      <c r="BD72" s="19"/>
      <c r="BE72" s="86"/>
      <c r="BF72" s="86"/>
      <c r="BG72" s="86"/>
      <c r="BH72" s="19"/>
      <c r="BI72" s="19"/>
      <c r="BJ72" s="86"/>
      <c r="BK72" s="86"/>
      <c r="BL72" s="86"/>
      <c r="BM72" s="86"/>
      <c r="BN72" s="86"/>
      <c r="BO72" s="19"/>
      <c r="BP72" s="19"/>
      <c r="BQ72" s="19"/>
      <c r="BR72" s="19"/>
      <c r="BS72" s="85"/>
    </row>
    <row r="73" spans="1:71" x14ac:dyDescent="0.25">
      <c r="A73" s="19"/>
      <c r="B73" s="86"/>
      <c r="C73" s="19"/>
      <c r="D73" s="86"/>
      <c r="E73" s="19"/>
      <c r="F73" s="19"/>
      <c r="G73" s="19"/>
      <c r="H73" s="19"/>
      <c r="I73" s="86"/>
      <c r="J73" s="86"/>
      <c r="K73" s="86"/>
      <c r="L73" s="86"/>
      <c r="M73" s="19"/>
      <c r="N73" s="19"/>
      <c r="O73" s="86"/>
      <c r="P73" s="19"/>
      <c r="Q73" s="19"/>
      <c r="R73" s="19"/>
      <c r="S73" s="86"/>
      <c r="T73" s="19"/>
      <c r="U73" s="19"/>
      <c r="V73" s="19"/>
      <c r="W73" s="19"/>
      <c r="X73" s="19"/>
      <c r="Y73" s="86"/>
      <c r="Z73" s="86"/>
      <c r="AA73" s="19"/>
      <c r="AB73" s="19"/>
      <c r="AC73" s="86"/>
      <c r="AD73" s="86"/>
      <c r="AE73" s="19"/>
      <c r="AF73" s="19"/>
      <c r="AG73" s="86"/>
      <c r="AH73" s="86"/>
      <c r="AI73" s="19"/>
      <c r="AJ73" s="19"/>
      <c r="AK73" s="86"/>
      <c r="AL73" s="19"/>
      <c r="AM73" s="19"/>
      <c r="AN73" s="86"/>
      <c r="AO73" s="86"/>
      <c r="AP73" s="19"/>
      <c r="AQ73" s="19"/>
      <c r="AR73" s="86"/>
      <c r="AS73" s="19"/>
      <c r="AT73" s="19"/>
      <c r="AU73" s="86"/>
      <c r="AV73" s="19"/>
      <c r="AW73" s="19"/>
      <c r="AX73" s="86"/>
      <c r="AY73" s="86"/>
      <c r="AZ73" s="19"/>
      <c r="BA73" s="19"/>
      <c r="BB73" s="19"/>
      <c r="BC73" s="19"/>
      <c r="BD73" s="19"/>
      <c r="BE73" s="86"/>
      <c r="BF73" s="86"/>
      <c r="BG73" s="86"/>
      <c r="BH73" s="19"/>
      <c r="BI73" s="19"/>
      <c r="BJ73" s="86"/>
      <c r="BK73" s="86"/>
      <c r="BL73" s="86"/>
      <c r="BM73" s="86"/>
      <c r="BN73" s="86"/>
      <c r="BO73" s="19"/>
      <c r="BP73" s="19"/>
      <c r="BQ73" s="19"/>
      <c r="BR73" s="19"/>
      <c r="BS73" s="85"/>
    </row>
    <row r="74" spans="1:71" x14ac:dyDescent="0.25">
      <c r="A74" s="19"/>
      <c r="B74" s="86"/>
      <c r="C74" s="19"/>
      <c r="D74" s="86"/>
      <c r="E74" s="19"/>
      <c r="F74" s="19"/>
      <c r="G74" s="19"/>
      <c r="H74" s="19"/>
      <c r="I74" s="86"/>
      <c r="J74" s="86"/>
      <c r="K74" s="86"/>
      <c r="L74" s="86"/>
      <c r="M74" s="19"/>
      <c r="N74" s="19"/>
      <c r="O74" s="86"/>
      <c r="P74" s="19"/>
      <c r="Q74" s="19"/>
      <c r="R74" s="19"/>
      <c r="S74" s="86"/>
      <c r="T74" s="19"/>
      <c r="U74" s="19"/>
      <c r="V74" s="19"/>
      <c r="W74" s="19"/>
      <c r="X74" s="19"/>
      <c r="Y74" s="86"/>
      <c r="Z74" s="86"/>
      <c r="AA74" s="19"/>
      <c r="AB74" s="19"/>
      <c r="AC74" s="86"/>
      <c r="AD74" s="86"/>
      <c r="AE74" s="19"/>
      <c r="AF74" s="19"/>
      <c r="AG74" s="86"/>
      <c r="AH74" s="86"/>
      <c r="AI74" s="19"/>
      <c r="AJ74" s="19"/>
      <c r="AK74" s="86"/>
      <c r="AL74" s="19"/>
      <c r="AM74" s="19"/>
      <c r="AN74" s="86"/>
      <c r="AO74" s="86"/>
      <c r="AP74" s="19"/>
      <c r="AQ74" s="19"/>
      <c r="AR74" s="86"/>
      <c r="AS74" s="19"/>
      <c r="AT74" s="19"/>
      <c r="AU74" s="86"/>
      <c r="AV74" s="19"/>
      <c r="AW74" s="19"/>
      <c r="AX74" s="86"/>
      <c r="AY74" s="86"/>
      <c r="AZ74" s="19"/>
      <c r="BA74" s="19"/>
      <c r="BB74" s="19"/>
      <c r="BC74" s="19"/>
      <c r="BD74" s="19"/>
      <c r="BE74" s="86"/>
      <c r="BF74" s="86"/>
      <c r="BG74" s="86"/>
      <c r="BH74" s="19"/>
      <c r="BI74" s="19"/>
      <c r="BJ74" s="86"/>
      <c r="BK74" s="86"/>
      <c r="BL74" s="86"/>
      <c r="BM74" s="86"/>
      <c r="BN74" s="86"/>
      <c r="BO74" s="19"/>
      <c r="BP74" s="19"/>
      <c r="BQ74" s="19"/>
      <c r="BR74" s="19"/>
      <c r="BS74" s="85"/>
    </row>
    <row r="75" spans="1:71" x14ac:dyDescent="0.25">
      <c r="A75" s="19"/>
      <c r="B75" s="86"/>
      <c r="C75" s="19"/>
      <c r="D75" s="86"/>
      <c r="E75" s="19"/>
      <c r="F75" s="19"/>
      <c r="G75" s="19"/>
      <c r="H75" s="19"/>
      <c r="I75" s="86"/>
      <c r="J75" s="86"/>
      <c r="K75" s="86"/>
      <c r="L75" s="86"/>
      <c r="M75" s="19"/>
      <c r="N75" s="19"/>
      <c r="O75" s="86"/>
      <c r="P75" s="19"/>
      <c r="Q75" s="19"/>
      <c r="R75" s="19"/>
      <c r="S75" s="86"/>
      <c r="T75" s="19"/>
      <c r="U75" s="19"/>
      <c r="V75" s="19"/>
      <c r="W75" s="19"/>
      <c r="X75" s="19"/>
      <c r="Y75" s="86"/>
      <c r="Z75" s="86"/>
      <c r="AA75" s="19"/>
      <c r="AB75" s="19"/>
      <c r="AC75" s="86"/>
      <c r="AD75" s="86"/>
      <c r="AE75" s="19"/>
      <c r="AF75" s="19"/>
      <c r="AG75" s="86"/>
      <c r="AH75" s="86"/>
      <c r="AI75" s="19"/>
      <c r="AJ75" s="19"/>
      <c r="AK75" s="86"/>
      <c r="AL75" s="19"/>
      <c r="AM75" s="19"/>
      <c r="AN75" s="86"/>
      <c r="AO75" s="86"/>
      <c r="AP75" s="19"/>
      <c r="AQ75" s="19"/>
      <c r="AR75" s="86"/>
      <c r="AS75" s="19"/>
      <c r="AT75" s="19"/>
      <c r="AU75" s="86"/>
      <c r="AV75" s="19"/>
      <c r="AW75" s="19"/>
      <c r="AX75" s="86"/>
      <c r="AY75" s="86"/>
      <c r="AZ75" s="19"/>
      <c r="BA75" s="19"/>
      <c r="BB75" s="19"/>
      <c r="BC75" s="19"/>
      <c r="BD75" s="19"/>
      <c r="BE75" s="86"/>
      <c r="BF75" s="86"/>
      <c r="BG75" s="86"/>
      <c r="BH75" s="19"/>
      <c r="BI75" s="19"/>
      <c r="BJ75" s="86"/>
      <c r="BK75" s="86"/>
      <c r="BL75" s="86"/>
      <c r="BM75" s="86"/>
      <c r="BN75" s="86"/>
      <c r="BO75" s="19"/>
      <c r="BP75" s="19"/>
      <c r="BQ75" s="19"/>
      <c r="BR75" s="19"/>
      <c r="BS75" s="85"/>
    </row>
    <row r="76" spans="1:71" x14ac:dyDescent="0.25">
      <c r="A76" s="19"/>
      <c r="B76" s="86"/>
      <c r="C76" s="19"/>
      <c r="D76" s="86"/>
      <c r="E76" s="19"/>
      <c r="F76" s="19"/>
      <c r="G76" s="19"/>
      <c r="H76" s="19"/>
      <c r="I76" s="86"/>
      <c r="J76" s="86"/>
      <c r="K76" s="86"/>
      <c r="L76" s="86"/>
      <c r="M76" s="19"/>
      <c r="N76" s="19"/>
      <c r="O76" s="86"/>
      <c r="P76" s="19"/>
      <c r="Q76" s="19"/>
      <c r="R76" s="19"/>
      <c r="S76" s="86"/>
      <c r="T76" s="19"/>
      <c r="U76" s="19"/>
      <c r="V76" s="19"/>
      <c r="W76" s="19"/>
      <c r="X76" s="19"/>
      <c r="Y76" s="86"/>
      <c r="Z76" s="86"/>
      <c r="AA76" s="19"/>
      <c r="AB76" s="19"/>
      <c r="AC76" s="86"/>
      <c r="AD76" s="86"/>
      <c r="AE76" s="19"/>
      <c r="AF76" s="19"/>
      <c r="AG76" s="86"/>
      <c r="AH76" s="86"/>
      <c r="AI76" s="19"/>
      <c r="AJ76" s="19"/>
      <c r="AK76" s="86"/>
      <c r="AL76" s="19"/>
      <c r="AM76" s="19"/>
      <c r="AN76" s="86"/>
      <c r="AO76" s="86"/>
      <c r="AP76" s="19"/>
      <c r="AQ76" s="19"/>
      <c r="AR76" s="86"/>
      <c r="AS76" s="19"/>
      <c r="AT76" s="19"/>
      <c r="AU76" s="86"/>
      <c r="AV76" s="19"/>
      <c r="AW76" s="19"/>
      <c r="AX76" s="86"/>
      <c r="AY76" s="86"/>
      <c r="AZ76" s="19"/>
      <c r="BA76" s="19"/>
      <c r="BB76" s="19"/>
      <c r="BC76" s="19"/>
      <c r="BD76" s="19"/>
      <c r="BE76" s="86"/>
      <c r="BF76" s="86"/>
      <c r="BG76" s="86"/>
      <c r="BH76" s="19"/>
      <c r="BI76" s="19"/>
      <c r="BJ76" s="86"/>
      <c r="BK76" s="86"/>
      <c r="BL76" s="86"/>
      <c r="BM76" s="86"/>
      <c r="BN76" s="86"/>
      <c r="BO76" s="19"/>
      <c r="BP76" s="19"/>
      <c r="BQ76" s="19"/>
      <c r="BR76" s="19"/>
      <c r="BS76" s="85"/>
    </row>
    <row r="77" spans="1:71" x14ac:dyDescent="0.25">
      <c r="A77" s="19"/>
      <c r="B77" s="86"/>
      <c r="C77" s="19"/>
      <c r="D77" s="86"/>
      <c r="E77" s="19"/>
      <c r="F77" s="19"/>
      <c r="G77" s="19"/>
      <c r="H77" s="19"/>
      <c r="I77" s="86"/>
      <c r="J77" s="86"/>
      <c r="K77" s="86"/>
      <c r="L77" s="86"/>
      <c r="M77" s="19"/>
      <c r="N77" s="19"/>
      <c r="O77" s="86"/>
      <c r="P77" s="19"/>
      <c r="Q77" s="19"/>
      <c r="R77" s="19"/>
      <c r="S77" s="86"/>
      <c r="T77" s="19"/>
      <c r="U77" s="19"/>
      <c r="V77" s="19"/>
      <c r="W77" s="19"/>
      <c r="X77" s="19"/>
      <c r="Y77" s="86"/>
      <c r="Z77" s="86"/>
      <c r="AA77" s="19"/>
      <c r="AB77" s="19"/>
      <c r="AC77" s="86"/>
      <c r="AD77" s="86"/>
      <c r="AE77" s="19"/>
      <c r="AF77" s="19"/>
      <c r="AG77" s="86"/>
      <c r="AH77" s="86"/>
      <c r="AI77" s="19"/>
      <c r="AJ77" s="19"/>
      <c r="AK77" s="86"/>
      <c r="AL77" s="19"/>
      <c r="AM77" s="19"/>
      <c r="AN77" s="86"/>
      <c r="AO77" s="86"/>
      <c r="AP77" s="19"/>
      <c r="AQ77" s="19"/>
      <c r="AR77" s="86"/>
      <c r="AS77" s="19"/>
      <c r="AT77" s="19"/>
      <c r="AU77" s="86"/>
      <c r="AV77" s="19"/>
      <c r="AW77" s="19"/>
      <c r="AX77" s="86"/>
      <c r="AY77" s="86"/>
      <c r="AZ77" s="19"/>
      <c r="BA77" s="19"/>
      <c r="BB77" s="19"/>
      <c r="BC77" s="19"/>
      <c r="BD77" s="19"/>
      <c r="BE77" s="86"/>
      <c r="BF77" s="86"/>
      <c r="BG77" s="86"/>
      <c r="BH77" s="19"/>
      <c r="BI77" s="19"/>
      <c r="BJ77" s="86"/>
      <c r="BK77" s="86"/>
      <c r="BL77" s="86"/>
      <c r="BM77" s="86"/>
      <c r="BN77" s="86"/>
      <c r="BO77" s="19"/>
      <c r="BP77" s="19"/>
      <c r="BQ77" s="19"/>
      <c r="BR77" s="19"/>
      <c r="BS77" s="85"/>
    </row>
    <row r="78" spans="1:71" x14ac:dyDescent="0.25">
      <c r="A78" s="19"/>
      <c r="B78" s="86"/>
      <c r="C78" s="19"/>
      <c r="D78" s="86"/>
      <c r="E78" s="19"/>
      <c r="F78" s="19"/>
      <c r="G78" s="19"/>
      <c r="H78" s="19"/>
      <c r="I78" s="86"/>
      <c r="J78" s="86"/>
      <c r="K78" s="86"/>
      <c r="L78" s="86"/>
      <c r="M78" s="19"/>
      <c r="N78" s="19"/>
      <c r="O78" s="86"/>
      <c r="P78" s="19"/>
      <c r="Q78" s="19"/>
      <c r="R78" s="19"/>
      <c r="S78" s="86"/>
      <c r="T78" s="19"/>
      <c r="U78" s="19"/>
      <c r="V78" s="19"/>
      <c r="W78" s="19"/>
      <c r="X78" s="19"/>
      <c r="Y78" s="86"/>
      <c r="Z78" s="86"/>
      <c r="AA78" s="19"/>
      <c r="AB78" s="19"/>
      <c r="AC78" s="86"/>
      <c r="AD78" s="86"/>
      <c r="AE78" s="19"/>
      <c r="AF78" s="19"/>
      <c r="AG78" s="86"/>
      <c r="AH78" s="86"/>
      <c r="AI78" s="19"/>
      <c r="AJ78" s="19"/>
      <c r="AK78" s="86"/>
      <c r="AL78" s="19"/>
      <c r="AM78" s="19"/>
      <c r="AN78" s="86"/>
      <c r="AO78" s="86"/>
      <c r="AP78" s="19"/>
      <c r="AQ78" s="19"/>
      <c r="AR78" s="86"/>
      <c r="AS78" s="19"/>
      <c r="AT78" s="19"/>
      <c r="AU78" s="86"/>
      <c r="AV78" s="19"/>
      <c r="AW78" s="19"/>
      <c r="AX78" s="86"/>
      <c r="AY78" s="86"/>
      <c r="AZ78" s="19"/>
      <c r="BA78" s="19"/>
      <c r="BB78" s="19"/>
      <c r="BC78" s="19"/>
      <c r="BD78" s="19"/>
      <c r="BE78" s="86"/>
      <c r="BF78" s="86"/>
      <c r="BG78" s="86"/>
      <c r="BH78" s="19"/>
      <c r="BI78" s="19"/>
      <c r="BJ78" s="86"/>
      <c r="BK78" s="86"/>
      <c r="BL78" s="86"/>
      <c r="BM78" s="86"/>
      <c r="BN78" s="86"/>
      <c r="BO78" s="19"/>
      <c r="BP78" s="19"/>
      <c r="BQ78" s="19"/>
      <c r="BR78" s="19"/>
      <c r="BS78" s="85"/>
    </row>
    <row r="79" spans="1:71" x14ac:dyDescent="0.25">
      <c r="A79" s="19"/>
      <c r="B79" s="86"/>
      <c r="C79" s="19"/>
      <c r="D79" s="86"/>
      <c r="E79" s="19"/>
      <c r="F79" s="19"/>
      <c r="G79" s="19"/>
      <c r="H79" s="19"/>
      <c r="I79" s="86"/>
      <c r="J79" s="86"/>
      <c r="K79" s="86"/>
      <c r="L79" s="86"/>
      <c r="M79" s="19"/>
      <c r="N79" s="19"/>
      <c r="O79" s="86"/>
      <c r="P79" s="19"/>
      <c r="Q79" s="19"/>
      <c r="R79" s="19"/>
      <c r="S79" s="86"/>
      <c r="T79" s="19"/>
      <c r="U79" s="19"/>
      <c r="V79" s="19"/>
      <c r="W79" s="19"/>
      <c r="X79" s="19"/>
      <c r="Y79" s="86"/>
      <c r="Z79" s="86"/>
      <c r="AA79" s="19"/>
      <c r="AB79" s="19"/>
      <c r="AC79" s="86"/>
      <c r="AD79" s="86"/>
      <c r="AE79" s="19"/>
      <c r="AF79" s="19"/>
      <c r="AG79" s="86"/>
      <c r="AH79" s="86"/>
      <c r="AI79" s="19"/>
      <c r="AJ79" s="19"/>
      <c r="AK79" s="86"/>
      <c r="AL79" s="19"/>
      <c r="AM79" s="19"/>
      <c r="AN79" s="86"/>
      <c r="AO79" s="86"/>
      <c r="AP79" s="19"/>
      <c r="AQ79" s="19"/>
      <c r="AR79" s="86"/>
      <c r="AS79" s="19"/>
      <c r="AT79" s="19"/>
      <c r="AU79" s="86"/>
      <c r="AV79" s="19"/>
      <c r="AW79" s="19"/>
      <c r="AX79" s="86"/>
      <c r="AY79" s="86"/>
      <c r="AZ79" s="19"/>
      <c r="BA79" s="19"/>
      <c r="BB79" s="19"/>
      <c r="BC79" s="19"/>
      <c r="BD79" s="19"/>
      <c r="BE79" s="86"/>
      <c r="BF79" s="86"/>
      <c r="BG79" s="86"/>
      <c r="BH79" s="19"/>
      <c r="BI79" s="19"/>
      <c r="BJ79" s="86"/>
      <c r="BK79" s="86"/>
      <c r="BL79" s="86"/>
      <c r="BM79" s="86"/>
      <c r="BN79" s="86"/>
      <c r="BO79" s="19"/>
      <c r="BP79" s="19"/>
      <c r="BQ79" s="19"/>
      <c r="BR79" s="19"/>
      <c r="BS79" s="85"/>
    </row>
    <row r="80" spans="1:71" x14ac:dyDescent="0.25">
      <c r="A80" s="19"/>
      <c r="B80" s="86"/>
      <c r="C80" s="19"/>
      <c r="D80" s="86"/>
      <c r="E80" s="19"/>
      <c r="F80" s="19"/>
      <c r="G80" s="19"/>
      <c r="H80" s="19"/>
      <c r="I80" s="86"/>
      <c r="J80" s="86"/>
      <c r="K80" s="86"/>
      <c r="L80" s="86"/>
      <c r="M80" s="19"/>
      <c r="N80" s="19"/>
      <c r="O80" s="86"/>
      <c r="P80" s="19"/>
      <c r="Q80" s="19"/>
      <c r="R80" s="19"/>
      <c r="S80" s="86"/>
      <c r="T80" s="19"/>
      <c r="U80" s="19"/>
      <c r="V80" s="19"/>
      <c r="W80" s="19"/>
      <c r="X80" s="19"/>
      <c r="Y80" s="86"/>
      <c r="Z80" s="86"/>
      <c r="AA80" s="19"/>
      <c r="AB80" s="19"/>
      <c r="AC80" s="86"/>
      <c r="AD80" s="86"/>
      <c r="AE80" s="19"/>
      <c r="AF80" s="19"/>
      <c r="AG80" s="86"/>
      <c r="AH80" s="86"/>
      <c r="AI80" s="19"/>
      <c r="AJ80" s="19"/>
      <c r="AK80" s="86"/>
      <c r="AL80" s="19"/>
      <c r="AM80" s="19"/>
      <c r="AN80" s="86"/>
      <c r="AO80" s="86"/>
      <c r="AP80" s="19"/>
      <c r="AQ80" s="19"/>
      <c r="AR80" s="86"/>
      <c r="AS80" s="19"/>
      <c r="AT80" s="19"/>
      <c r="AU80" s="86"/>
      <c r="AV80" s="19"/>
      <c r="AW80" s="19"/>
      <c r="AX80" s="86"/>
      <c r="AY80" s="86"/>
      <c r="AZ80" s="19"/>
      <c r="BA80" s="19"/>
      <c r="BB80" s="19"/>
      <c r="BC80" s="19"/>
      <c r="BD80" s="19"/>
      <c r="BE80" s="86"/>
      <c r="BF80" s="86"/>
      <c r="BG80" s="86"/>
      <c r="BH80" s="19"/>
      <c r="BI80" s="19"/>
      <c r="BJ80" s="86"/>
      <c r="BK80" s="86"/>
      <c r="BL80" s="86"/>
      <c r="BM80" s="86"/>
      <c r="BN80" s="86"/>
      <c r="BO80" s="19"/>
      <c r="BP80" s="19"/>
      <c r="BQ80" s="19"/>
      <c r="BR80" s="19"/>
      <c r="BS80" s="19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141B4-6279-40DE-889A-D30BDC99C0F9}">
  <sheetPr>
    <tabColor theme="1" tint="0.249977111117893"/>
  </sheetPr>
  <dimension ref="A1:BS18"/>
  <sheetViews>
    <sheetView workbookViewId="0">
      <selection activeCell="AU2" sqref="AU2:AU3"/>
    </sheetView>
  </sheetViews>
  <sheetFormatPr defaultRowHeight="15" x14ac:dyDescent="0.25"/>
  <cols>
    <col min="2" max="2" width="9.140625" style="84"/>
    <col min="4" max="4" width="9.140625" style="84"/>
    <col min="9" max="12" width="9.140625" style="84"/>
    <col min="15" max="15" width="9.140625" style="84"/>
    <col min="19" max="19" width="9.140625" style="84"/>
    <col min="25" max="26" width="9.140625" style="84"/>
    <col min="29" max="30" width="9.140625" style="84"/>
    <col min="33" max="34" width="9.140625" style="84"/>
    <col min="37" max="37" width="9.140625" style="84"/>
    <col min="40" max="41" width="9.140625" style="84"/>
    <col min="44" max="44" width="9.140625" style="84"/>
    <col min="47" max="47" width="9.140625" style="84"/>
    <col min="50" max="51" width="9.140625" style="84"/>
    <col min="57" max="59" width="9.140625" style="84"/>
    <col min="62" max="66" width="9.140625" style="84"/>
  </cols>
  <sheetData>
    <row r="1" spans="1:71" x14ac:dyDescent="0.25">
      <c r="A1" t="s">
        <v>121</v>
      </c>
      <c r="B1" s="84" t="s">
        <v>0</v>
      </c>
      <c r="C1" t="s">
        <v>122</v>
      </c>
      <c r="D1" s="84" t="s">
        <v>123</v>
      </c>
      <c r="E1" t="s">
        <v>124</v>
      </c>
      <c r="F1" t="s">
        <v>125</v>
      </c>
      <c r="G1" t="s">
        <v>126</v>
      </c>
      <c r="H1" t="s">
        <v>42</v>
      </c>
      <c r="I1" s="84" t="s">
        <v>127</v>
      </c>
      <c r="J1" s="84" t="s">
        <v>128</v>
      </c>
      <c r="K1" s="84" t="s">
        <v>129</v>
      </c>
      <c r="L1" s="84" t="s">
        <v>4</v>
      </c>
      <c r="M1" t="s">
        <v>130</v>
      </c>
      <c r="N1" t="s">
        <v>131</v>
      </c>
      <c r="O1" s="84" t="s">
        <v>132</v>
      </c>
      <c r="P1" t="s">
        <v>133</v>
      </c>
      <c r="Q1" t="s">
        <v>134</v>
      </c>
      <c r="R1" t="s">
        <v>135</v>
      </c>
      <c r="S1" s="84" t="s">
        <v>7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s="84" t="s">
        <v>90</v>
      </c>
      <c r="Z1" s="84" t="s">
        <v>141</v>
      </c>
      <c r="AA1" t="s">
        <v>142</v>
      </c>
      <c r="AB1" t="s">
        <v>143</v>
      </c>
      <c r="AC1" s="84" t="s">
        <v>144</v>
      </c>
      <c r="AD1" s="84" t="s">
        <v>8</v>
      </c>
      <c r="AE1" t="s">
        <v>145</v>
      </c>
      <c r="AF1" t="s">
        <v>146</v>
      </c>
      <c r="AG1" s="84" t="s">
        <v>161</v>
      </c>
      <c r="AH1" s="84" t="s">
        <v>10</v>
      </c>
      <c r="AI1" t="s">
        <v>147</v>
      </c>
      <c r="AJ1" t="s">
        <v>148</v>
      </c>
      <c r="AK1" s="84" t="s">
        <v>149</v>
      </c>
      <c r="AL1" t="s">
        <v>151</v>
      </c>
      <c r="AM1" t="s">
        <v>152</v>
      </c>
      <c r="AN1" s="84" t="s">
        <v>153</v>
      </c>
      <c r="AO1" s="84" t="s">
        <v>150</v>
      </c>
      <c r="AP1" t="s">
        <v>154</v>
      </c>
      <c r="AQ1" t="s">
        <v>155</v>
      </c>
      <c r="AR1" s="84" t="s">
        <v>11</v>
      </c>
      <c r="AS1" t="s">
        <v>156</v>
      </c>
      <c r="AT1" t="s">
        <v>157</v>
      </c>
      <c r="AU1" s="84" t="s">
        <v>158</v>
      </c>
      <c r="AV1" t="s">
        <v>159</v>
      </c>
      <c r="AW1" t="s">
        <v>160</v>
      </c>
      <c r="AX1" s="84" t="s">
        <v>18</v>
      </c>
      <c r="AY1" s="84" t="s">
        <v>162</v>
      </c>
      <c r="AZ1" t="s">
        <v>163</v>
      </c>
      <c r="BA1" t="s">
        <v>164</v>
      </c>
      <c r="BB1" t="s">
        <v>165</v>
      </c>
      <c r="BC1" t="s">
        <v>166</v>
      </c>
      <c r="BD1" t="s">
        <v>167</v>
      </c>
      <c r="BE1" s="84" t="s">
        <v>168</v>
      </c>
      <c r="BF1" s="84" t="s">
        <v>21</v>
      </c>
      <c r="BG1" s="84" t="s">
        <v>66</v>
      </c>
      <c r="BH1" t="s">
        <v>169</v>
      </c>
      <c r="BI1" t="s">
        <v>170</v>
      </c>
      <c r="BJ1" s="84" t="s">
        <v>171</v>
      </c>
      <c r="BK1" s="84" t="s">
        <v>172</v>
      </c>
      <c r="BL1" s="84" t="s">
        <v>173</v>
      </c>
      <c r="BM1" s="84" t="s">
        <v>174</v>
      </c>
      <c r="BN1" s="84" t="s">
        <v>175</v>
      </c>
      <c r="BO1" t="s">
        <v>176</v>
      </c>
    </row>
    <row r="2" spans="1:71" ht="30" x14ac:dyDescent="0.25">
      <c r="A2" s="19" t="s">
        <v>118</v>
      </c>
      <c r="B2" s="86">
        <v>1</v>
      </c>
      <c r="C2" s="19">
        <v>0</v>
      </c>
      <c r="D2" s="86">
        <v>0</v>
      </c>
      <c r="E2" s="19">
        <v>-0.8</v>
      </c>
      <c r="F2" s="19" t="s">
        <v>111</v>
      </c>
      <c r="G2" s="19">
        <v>0</v>
      </c>
      <c r="H2" s="19">
        <v>0</v>
      </c>
      <c r="I2" s="86" t="s">
        <v>112</v>
      </c>
      <c r="J2" s="86" t="s">
        <v>64</v>
      </c>
      <c r="K2" s="86">
        <v>9.6999999999999993</v>
      </c>
      <c r="L2" s="86">
        <v>0</v>
      </c>
      <c r="M2" s="19">
        <v>0</v>
      </c>
      <c r="N2" s="19">
        <v>0</v>
      </c>
      <c r="O2" s="86">
        <v>0</v>
      </c>
      <c r="P2" s="19">
        <v>0</v>
      </c>
      <c r="Q2" s="19">
        <v>0</v>
      </c>
      <c r="R2" s="19">
        <v>0</v>
      </c>
      <c r="S2" s="86">
        <v>40</v>
      </c>
      <c r="T2" s="19">
        <v>37</v>
      </c>
      <c r="U2" s="19">
        <v>43</v>
      </c>
      <c r="V2" s="19">
        <v>35</v>
      </c>
      <c r="W2" s="19">
        <v>32</v>
      </c>
      <c r="X2" s="19">
        <v>38</v>
      </c>
      <c r="Y2" s="86">
        <v>9100</v>
      </c>
      <c r="Z2" s="86">
        <v>0</v>
      </c>
      <c r="AA2" s="19">
        <v>9100</v>
      </c>
      <c r="AB2" s="19">
        <v>9100</v>
      </c>
      <c r="AC2" s="86">
        <v>0.5</v>
      </c>
      <c r="AD2" s="86">
        <v>0</v>
      </c>
      <c r="AE2" s="19">
        <v>0</v>
      </c>
      <c r="AF2" s="19">
        <v>0</v>
      </c>
      <c r="AG2" s="86">
        <v>0</v>
      </c>
      <c r="AH2" s="86">
        <v>0</v>
      </c>
      <c r="AI2" s="19">
        <v>0</v>
      </c>
      <c r="AJ2" s="19">
        <v>0</v>
      </c>
      <c r="AK2" s="86">
        <v>115</v>
      </c>
      <c r="AL2" s="19">
        <v>103.6</v>
      </c>
      <c r="AM2" s="19">
        <v>122.6</v>
      </c>
      <c r="AN2" s="86">
        <v>1</v>
      </c>
      <c r="AO2" s="86">
        <v>12000</v>
      </c>
      <c r="AP2" s="19">
        <v>10560</v>
      </c>
      <c r="AQ2" s="19">
        <v>12960</v>
      </c>
      <c r="AR2" s="86">
        <v>5000</v>
      </c>
      <c r="AS2" s="19">
        <v>0</v>
      </c>
      <c r="AT2" s="19">
        <v>10000</v>
      </c>
      <c r="AU2" s="86">
        <v>1087</v>
      </c>
      <c r="AV2" s="19">
        <v>1043.5</v>
      </c>
      <c r="AW2" s="19">
        <v>1043.5</v>
      </c>
      <c r="AX2" s="86">
        <v>0.2</v>
      </c>
      <c r="AY2" s="86">
        <v>0</v>
      </c>
      <c r="AZ2" s="19">
        <v>0</v>
      </c>
      <c r="BA2" s="19">
        <v>0</v>
      </c>
      <c r="BB2" s="19">
        <v>0</v>
      </c>
      <c r="BC2" s="19">
        <v>0</v>
      </c>
      <c r="BD2" s="19">
        <v>0</v>
      </c>
      <c r="BE2" s="86">
        <v>0</v>
      </c>
      <c r="BF2" s="86">
        <v>0</v>
      </c>
      <c r="BG2" s="86">
        <v>50</v>
      </c>
      <c r="BH2" s="19">
        <v>44</v>
      </c>
      <c r="BI2" s="19">
        <v>54</v>
      </c>
      <c r="BJ2" s="86">
        <v>1</v>
      </c>
      <c r="BK2" s="86">
        <v>1</v>
      </c>
      <c r="BL2" s="86">
        <v>1</v>
      </c>
      <c r="BM2" s="86">
        <v>1</v>
      </c>
      <c r="BN2" s="86">
        <v>0</v>
      </c>
      <c r="BO2" s="19">
        <v>0.9</v>
      </c>
      <c r="BP2" s="19" t="s">
        <v>113</v>
      </c>
      <c r="BQ2" s="19" t="s">
        <v>114</v>
      </c>
      <c r="BR2" s="19" t="s">
        <v>115</v>
      </c>
      <c r="BS2" s="85">
        <v>44270.637650462966</v>
      </c>
    </row>
    <row r="3" spans="1:71" ht="30" x14ac:dyDescent="0.25">
      <c r="A3" s="19" t="s">
        <v>118</v>
      </c>
      <c r="B3" s="86">
        <v>2</v>
      </c>
      <c r="C3" s="19">
        <v>0</v>
      </c>
      <c r="D3" s="86">
        <v>-0.8</v>
      </c>
      <c r="E3" s="19">
        <v>-1.5</v>
      </c>
      <c r="F3" s="19" t="s">
        <v>116</v>
      </c>
      <c r="G3" s="19">
        <v>0</v>
      </c>
      <c r="H3" s="19">
        <v>0</v>
      </c>
      <c r="I3" s="86" t="s">
        <v>107</v>
      </c>
      <c r="J3" s="86" t="s">
        <v>65</v>
      </c>
      <c r="K3" s="86">
        <v>10.199999999999999</v>
      </c>
      <c r="L3" s="86">
        <v>95</v>
      </c>
      <c r="M3" s="19">
        <v>73</v>
      </c>
      <c r="N3" s="19">
        <v>121</v>
      </c>
      <c r="O3" s="86">
        <v>1510</v>
      </c>
      <c r="P3" s="19">
        <v>1480</v>
      </c>
      <c r="Q3" s="19">
        <v>1535.7</v>
      </c>
      <c r="R3" s="19">
        <v>0</v>
      </c>
      <c r="S3" s="86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86">
        <v>13500</v>
      </c>
      <c r="Z3" s="86">
        <v>0</v>
      </c>
      <c r="AA3" s="19">
        <v>13500</v>
      </c>
      <c r="AB3" s="19">
        <v>13500</v>
      </c>
      <c r="AC3" s="86">
        <v>3</v>
      </c>
      <c r="AD3" s="86">
        <v>1.7999999999999999E-2</v>
      </c>
      <c r="AE3" s="19">
        <v>2.2499999999999999E-2</v>
      </c>
      <c r="AF3" s="19">
        <v>1.4999999999999999E-2</v>
      </c>
      <c r="AG3" s="86">
        <v>0</v>
      </c>
      <c r="AH3" s="86">
        <v>0.5</v>
      </c>
      <c r="AI3" s="19">
        <v>0</v>
      </c>
      <c r="AJ3" s="19">
        <v>0</v>
      </c>
      <c r="AK3" s="86">
        <v>0</v>
      </c>
      <c r="AL3" s="19">
        <v>0</v>
      </c>
      <c r="AM3" s="19">
        <v>0</v>
      </c>
      <c r="AN3" s="86">
        <v>1</v>
      </c>
      <c r="AO3" s="86">
        <v>0</v>
      </c>
      <c r="AP3" s="19">
        <v>0</v>
      </c>
      <c r="AQ3" s="19">
        <v>0</v>
      </c>
      <c r="AR3" s="86">
        <v>72000</v>
      </c>
      <c r="AS3" s="19">
        <v>45000</v>
      </c>
      <c r="AT3" s="19">
        <v>103000</v>
      </c>
      <c r="AU3" s="86">
        <v>478.3</v>
      </c>
      <c r="AV3" s="19">
        <v>434.8</v>
      </c>
      <c r="AW3" s="19">
        <v>434.8</v>
      </c>
      <c r="AX3" s="86">
        <v>0.49</v>
      </c>
      <c r="AY3" s="86">
        <v>0</v>
      </c>
      <c r="AZ3" s="19">
        <v>0</v>
      </c>
      <c r="BA3" s="19">
        <v>0</v>
      </c>
      <c r="BB3" s="19">
        <v>0</v>
      </c>
      <c r="BC3" s="19">
        <v>0</v>
      </c>
      <c r="BD3" s="19">
        <v>0</v>
      </c>
      <c r="BE3" s="86">
        <v>0</v>
      </c>
      <c r="BF3" s="86">
        <v>0</v>
      </c>
      <c r="BG3" s="86">
        <v>0</v>
      </c>
      <c r="BH3" s="19">
        <v>0</v>
      </c>
      <c r="BI3" s="19">
        <v>0</v>
      </c>
      <c r="BJ3" s="86">
        <v>1</v>
      </c>
      <c r="BK3" s="86">
        <v>1</v>
      </c>
      <c r="BL3" s="86">
        <v>1</v>
      </c>
      <c r="BM3" s="86">
        <v>1</v>
      </c>
      <c r="BN3" s="86">
        <v>0</v>
      </c>
      <c r="BO3" s="19">
        <v>0.9</v>
      </c>
      <c r="BP3" s="19" t="s">
        <v>113</v>
      </c>
      <c r="BQ3" s="19" t="s">
        <v>114</v>
      </c>
      <c r="BR3" s="19" t="s">
        <v>115</v>
      </c>
      <c r="BS3" s="85">
        <v>44270.89398148148</v>
      </c>
    </row>
    <row r="4" spans="1:71" ht="30" x14ac:dyDescent="0.25">
      <c r="A4" s="19" t="s">
        <v>118</v>
      </c>
      <c r="B4" s="86">
        <v>3</v>
      </c>
      <c r="C4" s="19">
        <v>0</v>
      </c>
      <c r="D4" s="86">
        <v>-1.5</v>
      </c>
      <c r="E4" s="19">
        <v>-5</v>
      </c>
      <c r="F4" s="19" t="s">
        <v>111</v>
      </c>
      <c r="G4" s="19">
        <v>0</v>
      </c>
      <c r="H4" s="19">
        <v>0</v>
      </c>
      <c r="I4" s="86" t="s">
        <v>112</v>
      </c>
      <c r="J4" s="86" t="s">
        <v>64</v>
      </c>
      <c r="K4" s="86">
        <v>10</v>
      </c>
      <c r="L4" s="86">
        <v>0</v>
      </c>
      <c r="M4" s="19">
        <v>0</v>
      </c>
      <c r="N4" s="19">
        <v>0</v>
      </c>
      <c r="O4" s="86">
        <v>0</v>
      </c>
      <c r="P4" s="19">
        <v>0</v>
      </c>
      <c r="Q4" s="19">
        <v>0</v>
      </c>
      <c r="R4" s="19">
        <v>0</v>
      </c>
      <c r="S4" s="86">
        <v>44</v>
      </c>
      <c r="T4" s="19">
        <v>41</v>
      </c>
      <c r="U4" s="19">
        <v>48</v>
      </c>
      <c r="V4" s="19">
        <v>39</v>
      </c>
      <c r="W4" s="19">
        <v>36</v>
      </c>
      <c r="X4" s="19">
        <v>43</v>
      </c>
      <c r="Y4" s="86">
        <v>62600</v>
      </c>
      <c r="Z4" s="86">
        <v>0</v>
      </c>
      <c r="AA4" s="19">
        <v>62600</v>
      </c>
      <c r="AB4" s="19">
        <v>62600</v>
      </c>
      <c r="AC4" s="86">
        <v>2.1</v>
      </c>
      <c r="AD4" s="86">
        <v>0</v>
      </c>
      <c r="AE4" s="19">
        <v>0</v>
      </c>
      <c r="AF4" s="19">
        <v>0</v>
      </c>
      <c r="AG4" s="86">
        <v>0</v>
      </c>
      <c r="AH4" s="86">
        <v>0</v>
      </c>
      <c r="AI4" s="19">
        <v>0</v>
      </c>
      <c r="AJ4" s="19">
        <v>0</v>
      </c>
      <c r="AK4" s="86">
        <v>122.6</v>
      </c>
      <c r="AL4" s="19">
        <v>118.8</v>
      </c>
      <c r="AM4" s="19">
        <v>122.6</v>
      </c>
      <c r="AN4" s="86">
        <v>1</v>
      </c>
      <c r="AO4" s="86">
        <v>12960</v>
      </c>
      <c r="AP4" s="19">
        <v>12480</v>
      </c>
      <c r="AQ4" s="19">
        <v>12960</v>
      </c>
      <c r="AR4" s="86">
        <v>57000</v>
      </c>
      <c r="AS4" s="19">
        <v>41000</v>
      </c>
      <c r="AT4" s="19">
        <v>73000</v>
      </c>
      <c r="AU4" s="86">
        <v>913</v>
      </c>
      <c r="AV4" s="19">
        <v>869.6</v>
      </c>
      <c r="AW4" s="19">
        <v>913</v>
      </c>
      <c r="AX4" s="86">
        <v>0.2</v>
      </c>
      <c r="AY4" s="86">
        <v>0</v>
      </c>
      <c r="AZ4" s="19">
        <v>0</v>
      </c>
      <c r="BA4" s="19">
        <v>0</v>
      </c>
      <c r="BB4" s="19">
        <v>0</v>
      </c>
      <c r="BC4" s="19">
        <v>0</v>
      </c>
      <c r="BD4" s="19">
        <v>0</v>
      </c>
      <c r="BE4" s="86">
        <v>0</v>
      </c>
      <c r="BF4" s="86">
        <v>0</v>
      </c>
      <c r="BG4" s="86">
        <v>54</v>
      </c>
      <c r="BH4" s="19">
        <v>52</v>
      </c>
      <c r="BI4" s="19">
        <v>54</v>
      </c>
      <c r="BJ4" s="86">
        <v>1</v>
      </c>
      <c r="BK4" s="86">
        <v>1</v>
      </c>
      <c r="BL4" s="86">
        <v>1</v>
      </c>
      <c r="BM4" s="86">
        <v>1</v>
      </c>
      <c r="BN4" s="86">
        <v>0</v>
      </c>
      <c r="BO4" s="19">
        <v>0.9</v>
      </c>
      <c r="BP4" s="19" t="s">
        <v>113</v>
      </c>
      <c r="BQ4" s="19" t="s">
        <v>114</v>
      </c>
      <c r="BR4" s="19" t="s">
        <v>115</v>
      </c>
      <c r="BS4" s="85">
        <v>44270.637650462966</v>
      </c>
    </row>
    <row r="5" spans="1:71" ht="30" x14ac:dyDescent="0.25">
      <c r="A5" s="19" t="s">
        <v>118</v>
      </c>
      <c r="B5" s="86">
        <v>4</v>
      </c>
      <c r="C5" s="19">
        <v>0</v>
      </c>
      <c r="D5" s="86">
        <v>-5</v>
      </c>
      <c r="E5" s="19">
        <v>-9</v>
      </c>
      <c r="F5" s="19" t="s">
        <v>111</v>
      </c>
      <c r="G5" s="19">
        <v>0</v>
      </c>
      <c r="H5" s="19">
        <v>0</v>
      </c>
      <c r="I5" s="86" t="s">
        <v>112</v>
      </c>
      <c r="J5" s="86" t="s">
        <v>64</v>
      </c>
      <c r="K5" s="86">
        <v>9.9</v>
      </c>
      <c r="L5" s="86">
        <v>0</v>
      </c>
      <c r="M5" s="19">
        <v>0</v>
      </c>
      <c r="N5" s="19">
        <v>0</v>
      </c>
      <c r="O5" s="86">
        <v>0</v>
      </c>
      <c r="P5" s="19">
        <v>0</v>
      </c>
      <c r="Q5" s="19">
        <v>0</v>
      </c>
      <c r="R5" s="19">
        <v>0</v>
      </c>
      <c r="S5" s="86">
        <v>41</v>
      </c>
      <c r="T5" s="19">
        <v>38</v>
      </c>
      <c r="U5" s="19">
        <v>45</v>
      </c>
      <c r="V5" s="19">
        <v>36</v>
      </c>
      <c r="W5" s="19">
        <v>33</v>
      </c>
      <c r="X5" s="19">
        <v>40</v>
      </c>
      <c r="Y5" s="86">
        <v>49700</v>
      </c>
      <c r="Z5" s="86">
        <v>0</v>
      </c>
      <c r="AA5" s="19">
        <v>49700</v>
      </c>
      <c r="AB5" s="19">
        <v>49700</v>
      </c>
      <c r="AC5" s="86">
        <v>1.2</v>
      </c>
      <c r="AD5" s="86">
        <v>0</v>
      </c>
      <c r="AE5" s="19">
        <v>0</v>
      </c>
      <c r="AF5" s="19">
        <v>0</v>
      </c>
      <c r="AG5" s="86">
        <v>0</v>
      </c>
      <c r="AH5" s="86">
        <v>0</v>
      </c>
      <c r="AI5" s="19">
        <v>0</v>
      </c>
      <c r="AJ5" s="19">
        <v>0</v>
      </c>
      <c r="AK5" s="86">
        <v>118.8</v>
      </c>
      <c r="AL5" s="19">
        <v>107.4</v>
      </c>
      <c r="AM5" s="19">
        <v>122.6</v>
      </c>
      <c r="AN5" s="86">
        <v>1</v>
      </c>
      <c r="AO5" s="86">
        <v>12480</v>
      </c>
      <c r="AP5" s="19">
        <v>11040</v>
      </c>
      <c r="AQ5" s="19">
        <v>12960</v>
      </c>
      <c r="AR5" s="86">
        <v>77000</v>
      </c>
      <c r="AS5" s="19">
        <v>57000</v>
      </c>
      <c r="AT5" s="19">
        <v>98000</v>
      </c>
      <c r="AU5" s="86">
        <v>652.20000000000005</v>
      </c>
      <c r="AV5" s="19">
        <v>652.20000000000005</v>
      </c>
      <c r="AW5" s="19">
        <v>608.70000000000005</v>
      </c>
      <c r="AX5" s="86">
        <v>0.2</v>
      </c>
      <c r="AY5" s="86">
        <v>0</v>
      </c>
      <c r="AZ5" s="19">
        <v>0</v>
      </c>
      <c r="BA5" s="19">
        <v>0</v>
      </c>
      <c r="BB5" s="19">
        <v>0</v>
      </c>
      <c r="BC5" s="19">
        <v>0</v>
      </c>
      <c r="BD5" s="19">
        <v>0</v>
      </c>
      <c r="BE5" s="86">
        <v>0</v>
      </c>
      <c r="BF5" s="86">
        <v>0</v>
      </c>
      <c r="BG5" s="86">
        <v>52</v>
      </c>
      <c r="BH5" s="19">
        <v>46</v>
      </c>
      <c r="BI5" s="19">
        <v>54</v>
      </c>
      <c r="BJ5" s="86">
        <v>1</v>
      </c>
      <c r="BK5" s="86">
        <v>1</v>
      </c>
      <c r="BL5" s="86">
        <v>1</v>
      </c>
      <c r="BM5" s="86">
        <v>1</v>
      </c>
      <c r="BN5" s="86">
        <v>0</v>
      </c>
      <c r="BO5" s="19">
        <v>0.9</v>
      </c>
      <c r="BP5" s="19" t="s">
        <v>113</v>
      </c>
      <c r="BQ5" s="19" t="s">
        <v>114</v>
      </c>
      <c r="BR5" s="19" t="s">
        <v>115</v>
      </c>
      <c r="BS5" s="85">
        <v>44270.637650462966</v>
      </c>
    </row>
    <row r="6" spans="1:71" ht="30" x14ac:dyDescent="0.25">
      <c r="A6" s="19" t="s">
        <v>118</v>
      </c>
      <c r="B6" s="86">
        <v>5</v>
      </c>
      <c r="C6" s="19">
        <v>0</v>
      </c>
      <c r="D6" s="86">
        <v>-9</v>
      </c>
      <c r="E6" s="19">
        <v>-9.5</v>
      </c>
      <c r="F6" s="19" t="s">
        <v>111</v>
      </c>
      <c r="G6" s="19">
        <v>0</v>
      </c>
      <c r="H6" s="19">
        <v>0</v>
      </c>
      <c r="I6" s="86" t="s">
        <v>112</v>
      </c>
      <c r="J6" s="86" t="s">
        <v>64</v>
      </c>
      <c r="K6" s="86">
        <v>9.9</v>
      </c>
      <c r="L6" s="86">
        <v>0</v>
      </c>
      <c r="M6" s="19">
        <v>0</v>
      </c>
      <c r="N6" s="19">
        <v>0</v>
      </c>
      <c r="O6" s="86">
        <v>0</v>
      </c>
      <c r="P6" s="19">
        <v>0</v>
      </c>
      <c r="Q6" s="19">
        <v>0</v>
      </c>
      <c r="R6" s="19">
        <v>0</v>
      </c>
      <c r="S6" s="86">
        <v>44</v>
      </c>
      <c r="T6" s="19">
        <v>41</v>
      </c>
      <c r="U6" s="19">
        <v>47</v>
      </c>
      <c r="V6" s="19">
        <v>39</v>
      </c>
      <c r="W6" s="19">
        <v>36</v>
      </c>
      <c r="X6" s="19">
        <v>42</v>
      </c>
      <c r="Y6" s="86">
        <v>99900</v>
      </c>
      <c r="Z6" s="86">
        <v>0</v>
      </c>
      <c r="AA6" s="19">
        <v>99900</v>
      </c>
      <c r="AB6" s="19">
        <v>99900</v>
      </c>
      <c r="AC6" s="86">
        <v>1.4</v>
      </c>
      <c r="AD6" s="86">
        <v>0</v>
      </c>
      <c r="AE6" s="19">
        <v>0</v>
      </c>
      <c r="AF6" s="19">
        <v>0</v>
      </c>
      <c r="AG6" s="86">
        <v>0</v>
      </c>
      <c r="AH6" s="86">
        <v>0</v>
      </c>
      <c r="AI6" s="19">
        <v>0</v>
      </c>
      <c r="AJ6" s="19">
        <v>0</v>
      </c>
      <c r="AK6" s="86">
        <v>122.6</v>
      </c>
      <c r="AL6" s="19">
        <v>118.8</v>
      </c>
      <c r="AM6" s="19">
        <v>122.6</v>
      </c>
      <c r="AN6" s="86">
        <v>1</v>
      </c>
      <c r="AO6" s="86">
        <v>12960</v>
      </c>
      <c r="AP6" s="19">
        <v>12480</v>
      </c>
      <c r="AQ6" s="19">
        <v>12960</v>
      </c>
      <c r="AR6" s="86">
        <v>104000</v>
      </c>
      <c r="AS6" s="19">
        <v>78000</v>
      </c>
      <c r="AT6" s="19">
        <v>131000</v>
      </c>
      <c r="AU6" s="86">
        <v>739.1</v>
      </c>
      <c r="AV6" s="19">
        <v>695.7</v>
      </c>
      <c r="AW6" s="19">
        <v>695.7</v>
      </c>
      <c r="AX6" s="86">
        <v>0.2</v>
      </c>
      <c r="AY6" s="86">
        <v>0</v>
      </c>
      <c r="AZ6" s="19">
        <v>0</v>
      </c>
      <c r="BA6" s="19">
        <v>0</v>
      </c>
      <c r="BB6" s="19">
        <v>0</v>
      </c>
      <c r="BC6" s="19">
        <v>0</v>
      </c>
      <c r="BD6" s="19">
        <v>0</v>
      </c>
      <c r="BE6" s="86">
        <v>0</v>
      </c>
      <c r="BF6" s="86">
        <v>0</v>
      </c>
      <c r="BG6" s="86">
        <v>54</v>
      </c>
      <c r="BH6" s="19">
        <v>52</v>
      </c>
      <c r="BI6" s="19">
        <v>54</v>
      </c>
      <c r="BJ6" s="86">
        <v>1</v>
      </c>
      <c r="BK6" s="86">
        <v>1</v>
      </c>
      <c r="BL6" s="86">
        <v>1</v>
      </c>
      <c r="BM6" s="86">
        <v>1</v>
      </c>
      <c r="BN6" s="86">
        <v>0</v>
      </c>
      <c r="BO6" s="19">
        <v>0.9</v>
      </c>
      <c r="BP6" s="19" t="s">
        <v>113</v>
      </c>
      <c r="BQ6" s="19" t="s">
        <v>114</v>
      </c>
      <c r="BR6" s="19" t="s">
        <v>115</v>
      </c>
      <c r="BS6" s="85">
        <v>44270.637650462966</v>
      </c>
    </row>
    <row r="7" spans="1:71" ht="30" x14ac:dyDescent="0.25">
      <c r="A7" s="19" t="s">
        <v>118</v>
      </c>
      <c r="B7" s="86">
        <v>6</v>
      </c>
      <c r="C7" s="19">
        <v>0</v>
      </c>
      <c r="D7" s="86">
        <v>-9.5</v>
      </c>
      <c r="E7" s="19">
        <v>-10.5</v>
      </c>
      <c r="F7" s="19" t="s">
        <v>111</v>
      </c>
      <c r="G7" s="19">
        <v>0</v>
      </c>
      <c r="H7" s="19">
        <v>0</v>
      </c>
      <c r="I7" s="86" t="s">
        <v>112</v>
      </c>
      <c r="J7" s="86" t="s">
        <v>64</v>
      </c>
      <c r="K7" s="86">
        <v>10</v>
      </c>
      <c r="L7" s="86">
        <v>0</v>
      </c>
      <c r="M7" s="19">
        <v>0</v>
      </c>
      <c r="N7" s="19">
        <v>0</v>
      </c>
      <c r="O7" s="86">
        <v>0</v>
      </c>
      <c r="P7" s="19">
        <v>0</v>
      </c>
      <c r="Q7" s="19">
        <v>0</v>
      </c>
      <c r="R7" s="19">
        <v>0</v>
      </c>
      <c r="S7" s="86">
        <v>32</v>
      </c>
      <c r="T7" s="19">
        <v>29</v>
      </c>
      <c r="U7" s="19">
        <v>34</v>
      </c>
      <c r="V7" s="19">
        <v>27</v>
      </c>
      <c r="W7" s="19">
        <v>24</v>
      </c>
      <c r="X7" s="19">
        <v>29</v>
      </c>
      <c r="Y7" s="86">
        <v>32800</v>
      </c>
      <c r="Z7" s="86">
        <v>0</v>
      </c>
      <c r="AA7" s="19">
        <v>32800</v>
      </c>
      <c r="AB7" s="19">
        <v>32800</v>
      </c>
      <c r="AC7" s="86">
        <v>2</v>
      </c>
      <c r="AD7" s="86">
        <v>0</v>
      </c>
      <c r="AE7" s="19">
        <v>0</v>
      </c>
      <c r="AF7" s="19">
        <v>0</v>
      </c>
      <c r="AG7" s="86">
        <v>0</v>
      </c>
      <c r="AH7" s="86">
        <v>0</v>
      </c>
      <c r="AI7" s="19">
        <v>0</v>
      </c>
      <c r="AJ7" s="19">
        <v>0</v>
      </c>
      <c r="AK7" s="86">
        <v>87</v>
      </c>
      <c r="AL7" s="19">
        <v>78.2</v>
      </c>
      <c r="AM7" s="19">
        <v>93</v>
      </c>
      <c r="AN7" s="86">
        <v>1</v>
      </c>
      <c r="AO7" s="86">
        <v>6720</v>
      </c>
      <c r="AP7" s="19">
        <v>4420</v>
      </c>
      <c r="AQ7" s="19">
        <v>8640</v>
      </c>
      <c r="AR7" s="86">
        <v>120000</v>
      </c>
      <c r="AS7" s="19">
        <v>94000</v>
      </c>
      <c r="AT7" s="19">
        <v>147000</v>
      </c>
      <c r="AU7" s="86">
        <v>-608.70000000000005</v>
      </c>
      <c r="AV7" s="19">
        <v>-652.20000000000005</v>
      </c>
      <c r="AW7" s="19">
        <v>-608.70000000000005</v>
      </c>
      <c r="AX7" s="86">
        <v>0.2</v>
      </c>
      <c r="AY7" s="86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86">
        <v>0</v>
      </c>
      <c r="BF7" s="86">
        <v>0</v>
      </c>
      <c r="BG7" s="86">
        <v>28</v>
      </c>
      <c r="BH7" s="19">
        <v>18.399999999999999</v>
      </c>
      <c r="BI7" s="19">
        <v>36</v>
      </c>
      <c r="BJ7" s="86">
        <v>1</v>
      </c>
      <c r="BK7" s="86">
        <v>1</v>
      </c>
      <c r="BL7" s="86">
        <v>1</v>
      </c>
      <c r="BM7" s="86">
        <v>1</v>
      </c>
      <c r="BN7" s="86">
        <v>0</v>
      </c>
      <c r="BO7" s="19">
        <v>0.9</v>
      </c>
      <c r="BP7" s="19" t="s">
        <v>113</v>
      </c>
      <c r="BQ7" s="19" t="s">
        <v>114</v>
      </c>
      <c r="BR7" s="19" t="s">
        <v>115</v>
      </c>
      <c r="BS7" s="85">
        <v>44270.637650462966</v>
      </c>
    </row>
    <row r="8" spans="1:71" ht="30" x14ac:dyDescent="0.25">
      <c r="A8" s="19" t="s">
        <v>118</v>
      </c>
      <c r="B8" s="86">
        <v>7</v>
      </c>
      <c r="C8" s="19">
        <v>0</v>
      </c>
      <c r="D8" s="86">
        <v>-10.5</v>
      </c>
      <c r="E8" s="19">
        <v>-14.5</v>
      </c>
      <c r="F8" s="19" t="s">
        <v>111</v>
      </c>
      <c r="G8" s="19">
        <v>0</v>
      </c>
      <c r="H8" s="19">
        <v>0</v>
      </c>
      <c r="I8" s="86" t="s">
        <v>112</v>
      </c>
      <c r="J8" s="86" t="s">
        <v>64</v>
      </c>
      <c r="K8" s="86">
        <v>10</v>
      </c>
      <c r="L8" s="86">
        <v>0</v>
      </c>
      <c r="M8" s="19">
        <v>0</v>
      </c>
      <c r="N8" s="19">
        <v>0</v>
      </c>
      <c r="O8" s="86">
        <v>0</v>
      </c>
      <c r="P8" s="19">
        <v>0</v>
      </c>
      <c r="Q8" s="19">
        <v>0</v>
      </c>
      <c r="R8" s="19">
        <v>0</v>
      </c>
      <c r="S8" s="86">
        <v>30</v>
      </c>
      <c r="T8" s="19">
        <v>28</v>
      </c>
      <c r="U8" s="19">
        <v>33</v>
      </c>
      <c r="V8" s="19">
        <v>25</v>
      </c>
      <c r="W8" s="19">
        <v>23</v>
      </c>
      <c r="X8" s="19">
        <v>28</v>
      </c>
      <c r="Y8" s="86">
        <v>22200</v>
      </c>
      <c r="Z8" s="86">
        <v>0</v>
      </c>
      <c r="AA8" s="19">
        <v>22200</v>
      </c>
      <c r="AB8" s="19">
        <v>22200</v>
      </c>
      <c r="AC8" s="86">
        <v>1.4</v>
      </c>
      <c r="AD8" s="86">
        <v>0</v>
      </c>
      <c r="AE8" s="19">
        <v>0</v>
      </c>
      <c r="AF8" s="19">
        <v>0</v>
      </c>
      <c r="AG8" s="86">
        <v>0</v>
      </c>
      <c r="AH8" s="86">
        <v>0</v>
      </c>
      <c r="AI8" s="19">
        <v>0</v>
      </c>
      <c r="AJ8" s="19">
        <v>0</v>
      </c>
      <c r="AK8" s="86">
        <v>81</v>
      </c>
      <c r="AL8" s="19">
        <v>75.400000000000006</v>
      </c>
      <c r="AM8" s="19">
        <v>90</v>
      </c>
      <c r="AN8" s="86">
        <v>1</v>
      </c>
      <c r="AO8" s="86">
        <v>4800</v>
      </c>
      <c r="AP8" s="19">
        <v>4040</v>
      </c>
      <c r="AQ8" s="19">
        <v>7680</v>
      </c>
      <c r="AR8" s="86">
        <v>98000</v>
      </c>
      <c r="AS8" s="19">
        <v>73000</v>
      </c>
      <c r="AT8" s="19">
        <v>124000</v>
      </c>
      <c r="AU8" s="86">
        <v>913</v>
      </c>
      <c r="AV8" s="19">
        <v>869.6</v>
      </c>
      <c r="AW8" s="19">
        <v>913</v>
      </c>
      <c r="AX8" s="86">
        <v>0.2</v>
      </c>
      <c r="AY8" s="86">
        <v>0</v>
      </c>
      <c r="AZ8" s="19">
        <v>0</v>
      </c>
      <c r="BA8" s="19">
        <v>0</v>
      </c>
      <c r="BB8" s="19">
        <v>0</v>
      </c>
      <c r="BC8" s="19">
        <v>0</v>
      </c>
      <c r="BD8" s="19">
        <v>0</v>
      </c>
      <c r="BE8" s="86">
        <v>0</v>
      </c>
      <c r="BF8" s="86">
        <v>0</v>
      </c>
      <c r="BG8" s="86">
        <v>20</v>
      </c>
      <c r="BH8" s="19">
        <v>16.8</v>
      </c>
      <c r="BI8" s="19">
        <v>32</v>
      </c>
      <c r="BJ8" s="86">
        <v>1</v>
      </c>
      <c r="BK8" s="86">
        <v>1</v>
      </c>
      <c r="BL8" s="86">
        <v>1</v>
      </c>
      <c r="BM8" s="86">
        <v>1</v>
      </c>
      <c r="BN8" s="86">
        <v>0</v>
      </c>
      <c r="BO8" s="19">
        <v>0.9</v>
      </c>
      <c r="BP8" s="19" t="s">
        <v>113</v>
      </c>
      <c r="BQ8" s="19" t="s">
        <v>114</v>
      </c>
      <c r="BR8" s="19" t="s">
        <v>115</v>
      </c>
      <c r="BS8" s="85">
        <v>44270.637650462966</v>
      </c>
    </row>
    <row r="9" spans="1:71" ht="30" x14ac:dyDescent="0.25">
      <c r="A9" s="19" t="s">
        <v>118</v>
      </c>
      <c r="B9" s="86">
        <v>8</v>
      </c>
      <c r="C9" s="19">
        <v>0</v>
      </c>
      <c r="D9" s="86">
        <v>-14.5</v>
      </c>
      <c r="E9" s="19">
        <v>-19</v>
      </c>
      <c r="F9" s="19" t="s">
        <v>111</v>
      </c>
      <c r="G9" s="19">
        <v>0</v>
      </c>
      <c r="H9" s="19">
        <v>0</v>
      </c>
      <c r="I9" s="86" t="s">
        <v>112</v>
      </c>
      <c r="J9" s="86" t="s">
        <v>64</v>
      </c>
      <c r="K9" s="86">
        <v>10</v>
      </c>
      <c r="L9" s="86">
        <v>0</v>
      </c>
      <c r="M9" s="19">
        <v>0</v>
      </c>
      <c r="N9" s="19">
        <v>0</v>
      </c>
      <c r="O9" s="86">
        <v>0</v>
      </c>
      <c r="P9" s="19">
        <v>0</v>
      </c>
      <c r="Q9" s="19">
        <v>0</v>
      </c>
      <c r="R9" s="19">
        <v>0</v>
      </c>
      <c r="S9" s="86">
        <v>30</v>
      </c>
      <c r="T9" s="19">
        <v>28</v>
      </c>
      <c r="U9" s="19">
        <v>32</v>
      </c>
      <c r="V9" s="19">
        <v>25</v>
      </c>
      <c r="W9" s="19">
        <v>23</v>
      </c>
      <c r="X9" s="19">
        <v>27</v>
      </c>
      <c r="Y9" s="86">
        <v>40000</v>
      </c>
      <c r="Z9" s="86">
        <v>0</v>
      </c>
      <c r="AA9" s="19">
        <v>40000</v>
      </c>
      <c r="AB9" s="19">
        <v>40000</v>
      </c>
      <c r="AC9" s="86">
        <v>1.2</v>
      </c>
      <c r="AD9" s="86">
        <v>0</v>
      </c>
      <c r="AE9" s="19">
        <v>0</v>
      </c>
      <c r="AF9" s="19">
        <v>0</v>
      </c>
      <c r="AG9" s="86">
        <v>0</v>
      </c>
      <c r="AH9" s="86">
        <v>0</v>
      </c>
      <c r="AI9" s="19">
        <v>0</v>
      </c>
      <c r="AJ9" s="19">
        <v>0</v>
      </c>
      <c r="AK9" s="86">
        <v>81</v>
      </c>
      <c r="AL9" s="19">
        <v>75.400000000000006</v>
      </c>
      <c r="AM9" s="19">
        <v>87</v>
      </c>
      <c r="AN9" s="86">
        <v>1</v>
      </c>
      <c r="AO9" s="86">
        <v>4800</v>
      </c>
      <c r="AP9" s="19">
        <v>4040</v>
      </c>
      <c r="AQ9" s="19">
        <v>6720</v>
      </c>
      <c r="AR9" s="86">
        <v>151000</v>
      </c>
      <c r="AS9" s="19">
        <v>121000</v>
      </c>
      <c r="AT9" s="19">
        <v>181000</v>
      </c>
      <c r="AU9" s="86">
        <v>-1565.2</v>
      </c>
      <c r="AV9" s="19">
        <v>-1565.2</v>
      </c>
      <c r="AW9" s="19">
        <v>-1565.2</v>
      </c>
      <c r="AX9" s="86">
        <v>0.2</v>
      </c>
      <c r="AY9" s="86">
        <v>0</v>
      </c>
      <c r="AZ9" s="19">
        <v>0</v>
      </c>
      <c r="BA9" s="19">
        <v>0</v>
      </c>
      <c r="BB9" s="19">
        <v>0</v>
      </c>
      <c r="BC9" s="19">
        <v>0</v>
      </c>
      <c r="BD9" s="19">
        <v>0</v>
      </c>
      <c r="BE9" s="86">
        <v>0</v>
      </c>
      <c r="BF9" s="86">
        <v>0</v>
      </c>
      <c r="BG9" s="86">
        <v>20</v>
      </c>
      <c r="BH9" s="19">
        <v>16.8</v>
      </c>
      <c r="BI9" s="19">
        <v>28</v>
      </c>
      <c r="BJ9" s="86">
        <v>1</v>
      </c>
      <c r="BK9" s="86">
        <v>1</v>
      </c>
      <c r="BL9" s="86">
        <v>1</v>
      </c>
      <c r="BM9" s="86">
        <v>1</v>
      </c>
      <c r="BN9" s="86">
        <v>0</v>
      </c>
      <c r="BO9" s="19">
        <v>0.9</v>
      </c>
      <c r="BP9" s="19" t="s">
        <v>113</v>
      </c>
      <c r="BQ9" s="19" t="s">
        <v>114</v>
      </c>
      <c r="BR9" s="19" t="s">
        <v>115</v>
      </c>
      <c r="BS9" s="85">
        <v>44270.637650462966</v>
      </c>
    </row>
    <row r="10" spans="1:71" ht="30" x14ac:dyDescent="0.25">
      <c r="A10" s="19" t="s">
        <v>118</v>
      </c>
      <c r="B10" s="86">
        <v>9</v>
      </c>
      <c r="C10" s="19">
        <v>0</v>
      </c>
      <c r="D10" s="86">
        <v>-19</v>
      </c>
      <c r="E10" s="19">
        <v>-23</v>
      </c>
      <c r="F10" s="19" t="s">
        <v>111</v>
      </c>
      <c r="G10" s="19">
        <v>0</v>
      </c>
      <c r="H10" s="19">
        <v>0</v>
      </c>
      <c r="I10" s="86" t="s">
        <v>112</v>
      </c>
      <c r="J10" s="86" t="s">
        <v>64</v>
      </c>
      <c r="K10" s="86">
        <v>10</v>
      </c>
      <c r="L10" s="86">
        <v>0</v>
      </c>
      <c r="M10" s="19">
        <v>0</v>
      </c>
      <c r="N10" s="19">
        <v>0</v>
      </c>
      <c r="O10" s="86">
        <v>0</v>
      </c>
      <c r="P10" s="19">
        <v>0</v>
      </c>
      <c r="Q10" s="19">
        <v>0</v>
      </c>
      <c r="R10" s="19">
        <v>0</v>
      </c>
      <c r="S10" s="86">
        <v>30</v>
      </c>
      <c r="T10" s="19">
        <v>28</v>
      </c>
      <c r="U10" s="19">
        <v>32</v>
      </c>
      <c r="V10" s="19">
        <v>25</v>
      </c>
      <c r="W10" s="19">
        <v>23</v>
      </c>
      <c r="X10" s="19">
        <v>27</v>
      </c>
      <c r="Y10" s="86">
        <v>25000</v>
      </c>
      <c r="Z10" s="86">
        <v>0</v>
      </c>
      <c r="AA10" s="19">
        <v>25000</v>
      </c>
      <c r="AB10" s="19">
        <v>25000</v>
      </c>
      <c r="AC10" s="86">
        <v>1.1000000000000001</v>
      </c>
      <c r="AD10" s="86">
        <v>0</v>
      </c>
      <c r="AE10" s="19">
        <v>0</v>
      </c>
      <c r="AF10" s="19">
        <v>0</v>
      </c>
      <c r="AG10" s="86">
        <v>0</v>
      </c>
      <c r="AH10" s="86">
        <v>0</v>
      </c>
      <c r="AI10" s="19">
        <v>0</v>
      </c>
      <c r="AJ10" s="19">
        <v>0</v>
      </c>
      <c r="AK10" s="86">
        <v>81</v>
      </c>
      <c r="AL10" s="19">
        <v>75.400000000000006</v>
      </c>
      <c r="AM10" s="19">
        <v>87</v>
      </c>
      <c r="AN10" s="86">
        <v>1</v>
      </c>
      <c r="AO10" s="86">
        <v>4800</v>
      </c>
      <c r="AP10" s="19">
        <v>4040</v>
      </c>
      <c r="AQ10" s="19">
        <v>6720</v>
      </c>
      <c r="AR10" s="86">
        <v>128000</v>
      </c>
      <c r="AS10" s="19">
        <v>96000</v>
      </c>
      <c r="AT10" s="19">
        <v>161000</v>
      </c>
      <c r="AU10" s="86">
        <v>739.1</v>
      </c>
      <c r="AV10" s="19">
        <v>739.1</v>
      </c>
      <c r="AW10" s="19">
        <v>695.7</v>
      </c>
      <c r="AX10" s="86">
        <v>0.2</v>
      </c>
      <c r="AY10" s="86">
        <v>0</v>
      </c>
      <c r="AZ10" s="19">
        <v>0</v>
      </c>
      <c r="BA10" s="19">
        <v>0</v>
      </c>
      <c r="BB10" s="19">
        <v>0</v>
      </c>
      <c r="BC10" s="19">
        <v>0</v>
      </c>
      <c r="BD10" s="19">
        <v>0</v>
      </c>
      <c r="BE10" s="86">
        <v>0</v>
      </c>
      <c r="BF10" s="86">
        <v>0</v>
      </c>
      <c r="BG10" s="86">
        <v>20</v>
      </c>
      <c r="BH10" s="19">
        <v>16.8</v>
      </c>
      <c r="BI10" s="19">
        <v>28</v>
      </c>
      <c r="BJ10" s="86">
        <v>1</v>
      </c>
      <c r="BK10" s="86">
        <v>1</v>
      </c>
      <c r="BL10" s="86">
        <v>1</v>
      </c>
      <c r="BM10" s="86">
        <v>1</v>
      </c>
      <c r="BN10" s="86">
        <v>0</v>
      </c>
      <c r="BO10" s="19">
        <v>0.9</v>
      </c>
      <c r="BP10" s="19" t="s">
        <v>113</v>
      </c>
      <c r="BQ10" s="19" t="s">
        <v>114</v>
      </c>
      <c r="BR10" s="19" t="s">
        <v>115</v>
      </c>
      <c r="BS10" s="85">
        <v>44270.637650462966</v>
      </c>
    </row>
    <row r="11" spans="1:71" ht="30" x14ac:dyDescent="0.25">
      <c r="A11" s="19" t="s">
        <v>118</v>
      </c>
      <c r="B11" s="86">
        <v>10</v>
      </c>
      <c r="C11" s="19">
        <v>0</v>
      </c>
      <c r="D11" s="86">
        <v>-23</v>
      </c>
      <c r="E11" s="19">
        <v>-26</v>
      </c>
      <c r="F11" s="19" t="s">
        <v>111</v>
      </c>
      <c r="G11" s="19">
        <v>0</v>
      </c>
      <c r="H11" s="19">
        <v>0</v>
      </c>
      <c r="I11" s="86" t="s">
        <v>112</v>
      </c>
      <c r="J11" s="86" t="s">
        <v>64</v>
      </c>
      <c r="K11" s="86">
        <v>9.8000000000000007</v>
      </c>
      <c r="L11" s="86">
        <v>0</v>
      </c>
      <c r="M11" s="19">
        <v>0</v>
      </c>
      <c r="N11" s="19">
        <v>0</v>
      </c>
      <c r="O11" s="86">
        <v>0</v>
      </c>
      <c r="P11" s="19">
        <v>0</v>
      </c>
      <c r="Q11" s="19">
        <v>0</v>
      </c>
      <c r="R11" s="19">
        <v>0</v>
      </c>
      <c r="S11" s="86">
        <v>29</v>
      </c>
      <c r="T11" s="19">
        <v>27</v>
      </c>
      <c r="U11" s="19">
        <v>31</v>
      </c>
      <c r="V11" s="19">
        <v>24</v>
      </c>
      <c r="W11" s="19">
        <v>22</v>
      </c>
      <c r="X11" s="19">
        <v>26</v>
      </c>
      <c r="Y11" s="86">
        <v>24700</v>
      </c>
      <c r="Z11" s="86">
        <v>0</v>
      </c>
      <c r="AA11" s="19">
        <v>24700</v>
      </c>
      <c r="AB11" s="19">
        <v>24700</v>
      </c>
      <c r="AC11" s="86">
        <v>0.9</v>
      </c>
      <c r="AD11" s="86">
        <v>0</v>
      </c>
      <c r="AE11" s="19">
        <v>0</v>
      </c>
      <c r="AF11" s="19">
        <v>0</v>
      </c>
      <c r="AG11" s="86">
        <v>0</v>
      </c>
      <c r="AH11" s="86">
        <v>0</v>
      </c>
      <c r="AI11" s="19">
        <v>0</v>
      </c>
      <c r="AJ11" s="19">
        <v>0</v>
      </c>
      <c r="AK11" s="86">
        <v>78.2</v>
      </c>
      <c r="AL11" s="19">
        <v>72.599999999999994</v>
      </c>
      <c r="AM11" s="19">
        <v>84</v>
      </c>
      <c r="AN11" s="86">
        <v>1</v>
      </c>
      <c r="AO11" s="86">
        <v>4420</v>
      </c>
      <c r="AP11" s="19">
        <v>3660</v>
      </c>
      <c r="AQ11" s="19">
        <v>5760</v>
      </c>
      <c r="AR11" s="86">
        <v>128000</v>
      </c>
      <c r="AS11" s="19">
        <v>95000</v>
      </c>
      <c r="AT11" s="19">
        <v>160000</v>
      </c>
      <c r="AU11" s="86">
        <v>608.70000000000005</v>
      </c>
      <c r="AV11" s="19">
        <v>652.20000000000005</v>
      </c>
      <c r="AW11" s="19">
        <v>608.70000000000005</v>
      </c>
      <c r="AX11" s="86">
        <v>0.2</v>
      </c>
      <c r="AY11" s="86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86">
        <v>0</v>
      </c>
      <c r="BF11" s="86">
        <v>0</v>
      </c>
      <c r="BG11" s="86">
        <v>18.399999999999999</v>
      </c>
      <c r="BH11" s="19">
        <v>15.2</v>
      </c>
      <c r="BI11" s="19">
        <v>24</v>
      </c>
      <c r="BJ11" s="86">
        <v>1</v>
      </c>
      <c r="BK11" s="86">
        <v>1</v>
      </c>
      <c r="BL11" s="86">
        <v>1</v>
      </c>
      <c r="BM11" s="86">
        <v>1</v>
      </c>
      <c r="BN11" s="86">
        <v>0</v>
      </c>
      <c r="BO11" s="19">
        <v>0.9</v>
      </c>
      <c r="BP11" s="19" t="s">
        <v>113</v>
      </c>
      <c r="BQ11" s="19" t="s">
        <v>114</v>
      </c>
      <c r="BR11" s="19" t="s">
        <v>115</v>
      </c>
      <c r="BS11" s="85">
        <v>44270.637650462966</v>
      </c>
    </row>
    <row r="12" spans="1:71" ht="30" x14ac:dyDescent="0.25">
      <c r="A12" s="19" t="s">
        <v>118</v>
      </c>
      <c r="B12" s="86">
        <v>11</v>
      </c>
      <c r="C12" s="19">
        <v>0</v>
      </c>
      <c r="D12" s="86">
        <v>-26</v>
      </c>
      <c r="E12" s="19">
        <v>-27.5</v>
      </c>
      <c r="F12" s="19" t="s">
        <v>111</v>
      </c>
      <c r="G12" s="19">
        <v>0</v>
      </c>
      <c r="H12" s="19">
        <v>0</v>
      </c>
      <c r="I12" s="86" t="s">
        <v>112</v>
      </c>
      <c r="J12" s="86" t="s">
        <v>64</v>
      </c>
      <c r="K12" s="86">
        <v>9.8000000000000007</v>
      </c>
      <c r="L12" s="86">
        <v>0</v>
      </c>
      <c r="M12" s="19">
        <v>0</v>
      </c>
      <c r="N12" s="19">
        <v>0</v>
      </c>
      <c r="O12" s="86">
        <v>0</v>
      </c>
      <c r="P12" s="19">
        <v>0</v>
      </c>
      <c r="Q12" s="19">
        <v>0</v>
      </c>
      <c r="R12" s="19">
        <v>0</v>
      </c>
      <c r="S12" s="86">
        <v>30</v>
      </c>
      <c r="T12" s="19">
        <v>27</v>
      </c>
      <c r="U12" s="19">
        <v>32</v>
      </c>
      <c r="V12" s="19">
        <v>25</v>
      </c>
      <c r="W12" s="19">
        <v>22</v>
      </c>
      <c r="X12" s="19">
        <v>27</v>
      </c>
      <c r="Y12" s="86">
        <v>34100</v>
      </c>
      <c r="Z12" s="86">
        <v>0</v>
      </c>
      <c r="AA12" s="19">
        <v>34100</v>
      </c>
      <c r="AB12" s="19">
        <v>34100</v>
      </c>
      <c r="AC12" s="86">
        <v>1</v>
      </c>
      <c r="AD12" s="86">
        <v>0</v>
      </c>
      <c r="AE12" s="19">
        <v>0</v>
      </c>
      <c r="AF12" s="19">
        <v>0</v>
      </c>
      <c r="AG12" s="86">
        <v>0</v>
      </c>
      <c r="AH12" s="86">
        <v>0</v>
      </c>
      <c r="AI12" s="19">
        <v>0</v>
      </c>
      <c r="AJ12" s="19">
        <v>0</v>
      </c>
      <c r="AK12" s="86">
        <v>81</v>
      </c>
      <c r="AL12" s="19">
        <v>72.599999999999994</v>
      </c>
      <c r="AM12" s="19">
        <v>87</v>
      </c>
      <c r="AN12" s="86">
        <v>1</v>
      </c>
      <c r="AO12" s="86">
        <v>4800</v>
      </c>
      <c r="AP12" s="19">
        <v>3660</v>
      </c>
      <c r="AQ12" s="19">
        <v>6720</v>
      </c>
      <c r="AR12" s="86">
        <v>130000</v>
      </c>
      <c r="AS12" s="19">
        <v>94000</v>
      </c>
      <c r="AT12" s="19">
        <v>165000</v>
      </c>
      <c r="AU12" s="86">
        <v>1608.7</v>
      </c>
      <c r="AV12" s="19">
        <v>1652.2</v>
      </c>
      <c r="AW12" s="19">
        <v>1608.7</v>
      </c>
      <c r="AX12" s="86">
        <v>0.2</v>
      </c>
      <c r="AY12" s="86">
        <v>0</v>
      </c>
      <c r="AZ12" s="19">
        <v>0</v>
      </c>
      <c r="BA12" s="19">
        <v>0</v>
      </c>
      <c r="BB12" s="19">
        <v>0</v>
      </c>
      <c r="BC12" s="19">
        <v>0</v>
      </c>
      <c r="BD12" s="19">
        <v>0</v>
      </c>
      <c r="BE12" s="86">
        <v>0</v>
      </c>
      <c r="BF12" s="86">
        <v>0</v>
      </c>
      <c r="BG12" s="86">
        <v>20</v>
      </c>
      <c r="BH12" s="19">
        <v>15.2</v>
      </c>
      <c r="BI12" s="19">
        <v>28</v>
      </c>
      <c r="BJ12" s="86">
        <v>1</v>
      </c>
      <c r="BK12" s="86">
        <v>1</v>
      </c>
      <c r="BL12" s="86">
        <v>1</v>
      </c>
      <c r="BM12" s="86">
        <v>1</v>
      </c>
      <c r="BN12" s="86">
        <v>0</v>
      </c>
      <c r="BO12" s="19">
        <v>0.9</v>
      </c>
      <c r="BP12" s="19" t="s">
        <v>113</v>
      </c>
      <c r="BQ12" s="19" t="s">
        <v>114</v>
      </c>
      <c r="BR12" s="19" t="s">
        <v>115</v>
      </c>
      <c r="BS12" s="85">
        <v>44270.637650462966</v>
      </c>
    </row>
    <row r="13" spans="1:71" ht="30" x14ac:dyDescent="0.25">
      <c r="A13" s="19" t="s">
        <v>118</v>
      </c>
      <c r="B13" s="86">
        <v>12</v>
      </c>
      <c r="C13" s="19">
        <v>0</v>
      </c>
      <c r="D13" s="86">
        <v>-27.5</v>
      </c>
      <c r="E13" s="19">
        <v>-30</v>
      </c>
      <c r="F13" s="19" t="s">
        <v>111</v>
      </c>
      <c r="G13" s="19">
        <v>0</v>
      </c>
      <c r="H13" s="19">
        <v>0</v>
      </c>
      <c r="I13" s="86" t="s">
        <v>112</v>
      </c>
      <c r="J13" s="86" t="s">
        <v>64</v>
      </c>
      <c r="K13" s="86">
        <v>9.8000000000000007</v>
      </c>
      <c r="L13" s="86">
        <v>0</v>
      </c>
      <c r="M13" s="19">
        <v>0</v>
      </c>
      <c r="N13" s="19">
        <v>0</v>
      </c>
      <c r="O13" s="86">
        <v>0</v>
      </c>
      <c r="P13" s="19">
        <v>0</v>
      </c>
      <c r="Q13" s="19">
        <v>0</v>
      </c>
      <c r="R13" s="19">
        <v>0</v>
      </c>
      <c r="S13" s="86">
        <v>30</v>
      </c>
      <c r="T13" s="19">
        <v>27</v>
      </c>
      <c r="U13" s="19">
        <v>32</v>
      </c>
      <c r="V13" s="19">
        <v>25</v>
      </c>
      <c r="W13" s="19">
        <v>22</v>
      </c>
      <c r="X13" s="19">
        <v>27</v>
      </c>
      <c r="Y13" s="86">
        <v>29100</v>
      </c>
      <c r="Z13" s="86">
        <v>0</v>
      </c>
      <c r="AA13" s="19">
        <v>29100</v>
      </c>
      <c r="AB13" s="19">
        <v>29100</v>
      </c>
      <c r="AC13" s="86">
        <v>0.9</v>
      </c>
      <c r="AD13" s="86">
        <v>0</v>
      </c>
      <c r="AE13" s="19">
        <v>0</v>
      </c>
      <c r="AF13" s="19">
        <v>0</v>
      </c>
      <c r="AG13" s="86">
        <v>0</v>
      </c>
      <c r="AH13" s="86">
        <v>0</v>
      </c>
      <c r="AI13" s="19">
        <v>0</v>
      </c>
      <c r="AJ13" s="19">
        <v>0</v>
      </c>
      <c r="AK13" s="86">
        <v>81</v>
      </c>
      <c r="AL13" s="19">
        <v>72.599999999999994</v>
      </c>
      <c r="AM13" s="19">
        <v>87</v>
      </c>
      <c r="AN13" s="86">
        <v>1</v>
      </c>
      <c r="AO13" s="86">
        <v>4800</v>
      </c>
      <c r="AP13" s="19">
        <v>3660</v>
      </c>
      <c r="AQ13" s="19">
        <v>6720</v>
      </c>
      <c r="AR13" s="86">
        <v>172000</v>
      </c>
      <c r="AS13" s="19">
        <v>135000</v>
      </c>
      <c r="AT13" s="19">
        <v>210000</v>
      </c>
      <c r="AU13" s="86">
        <v>-1000</v>
      </c>
      <c r="AV13" s="19">
        <v>-1000</v>
      </c>
      <c r="AW13" s="19">
        <v>-1000</v>
      </c>
      <c r="AX13" s="86">
        <v>0.2</v>
      </c>
      <c r="AY13" s="86">
        <v>0</v>
      </c>
      <c r="AZ13" s="19">
        <v>0</v>
      </c>
      <c r="BA13" s="19">
        <v>0</v>
      </c>
      <c r="BB13" s="19">
        <v>0</v>
      </c>
      <c r="BC13" s="19">
        <v>0</v>
      </c>
      <c r="BD13" s="19">
        <v>0</v>
      </c>
      <c r="BE13" s="86">
        <v>0</v>
      </c>
      <c r="BF13" s="86">
        <v>0</v>
      </c>
      <c r="BG13" s="86">
        <v>20</v>
      </c>
      <c r="BH13" s="19">
        <v>15.2</v>
      </c>
      <c r="BI13" s="19">
        <v>28</v>
      </c>
      <c r="BJ13" s="86">
        <v>1</v>
      </c>
      <c r="BK13" s="86">
        <v>1</v>
      </c>
      <c r="BL13" s="86">
        <v>1</v>
      </c>
      <c r="BM13" s="86">
        <v>1</v>
      </c>
      <c r="BN13" s="86">
        <v>0</v>
      </c>
      <c r="BO13" s="19">
        <v>0.9</v>
      </c>
      <c r="BP13" s="19" t="s">
        <v>113</v>
      </c>
      <c r="BQ13" s="19" t="s">
        <v>114</v>
      </c>
      <c r="BR13" s="19" t="s">
        <v>115</v>
      </c>
      <c r="BS13" s="85">
        <v>44270.637650462966</v>
      </c>
    </row>
    <row r="14" spans="1:71" ht="30" x14ac:dyDescent="0.25">
      <c r="A14" s="19" t="s">
        <v>118</v>
      </c>
      <c r="B14" s="86">
        <v>13</v>
      </c>
      <c r="C14" s="19">
        <v>0</v>
      </c>
      <c r="D14" s="86">
        <v>-30</v>
      </c>
      <c r="E14" s="19">
        <v>-40</v>
      </c>
      <c r="F14" s="19" t="s">
        <v>111</v>
      </c>
      <c r="G14" s="19">
        <v>0</v>
      </c>
      <c r="H14" s="19">
        <v>0</v>
      </c>
      <c r="I14" s="86" t="s">
        <v>112</v>
      </c>
      <c r="J14" s="86" t="s">
        <v>64</v>
      </c>
      <c r="K14" s="86">
        <v>9.8000000000000007</v>
      </c>
      <c r="L14" s="86">
        <v>0</v>
      </c>
      <c r="M14" s="19">
        <v>0</v>
      </c>
      <c r="N14" s="19">
        <v>0</v>
      </c>
      <c r="O14" s="86">
        <v>0</v>
      </c>
      <c r="P14" s="19">
        <v>0</v>
      </c>
      <c r="Q14" s="19">
        <v>0</v>
      </c>
      <c r="R14" s="19">
        <v>0</v>
      </c>
      <c r="S14" s="86">
        <v>29</v>
      </c>
      <c r="T14" s="19">
        <v>27</v>
      </c>
      <c r="U14" s="19">
        <v>31</v>
      </c>
      <c r="V14" s="19">
        <v>24</v>
      </c>
      <c r="W14" s="19">
        <v>22</v>
      </c>
      <c r="X14" s="19">
        <v>26</v>
      </c>
      <c r="Y14" s="86">
        <v>41900</v>
      </c>
      <c r="Z14" s="86">
        <v>0</v>
      </c>
      <c r="AA14" s="19">
        <v>41900</v>
      </c>
      <c r="AB14" s="19">
        <v>41900</v>
      </c>
      <c r="AC14" s="86">
        <v>0.7</v>
      </c>
      <c r="AD14" s="86">
        <v>0</v>
      </c>
      <c r="AE14" s="19">
        <v>0</v>
      </c>
      <c r="AF14" s="19">
        <v>0</v>
      </c>
      <c r="AG14" s="86">
        <v>0</v>
      </c>
      <c r="AH14" s="86">
        <v>0</v>
      </c>
      <c r="AI14" s="19">
        <v>0</v>
      </c>
      <c r="AJ14" s="19">
        <v>0</v>
      </c>
      <c r="AK14" s="86">
        <v>78.2</v>
      </c>
      <c r="AL14" s="19">
        <v>72.599999999999994</v>
      </c>
      <c r="AM14" s="19">
        <v>84</v>
      </c>
      <c r="AN14" s="86">
        <v>1</v>
      </c>
      <c r="AO14" s="86">
        <v>4420</v>
      </c>
      <c r="AP14" s="19">
        <v>3660</v>
      </c>
      <c r="AQ14" s="19">
        <v>5760</v>
      </c>
      <c r="AR14" s="86">
        <v>146000</v>
      </c>
      <c r="AS14" s="19">
        <v>108000</v>
      </c>
      <c r="AT14" s="19">
        <v>183000</v>
      </c>
      <c r="AU14" s="86">
        <v>1173.9000000000001</v>
      </c>
      <c r="AV14" s="19">
        <v>1217.4000000000001</v>
      </c>
      <c r="AW14" s="19">
        <v>1173.9000000000001</v>
      </c>
      <c r="AX14" s="86">
        <v>0.2</v>
      </c>
      <c r="AY14" s="86">
        <v>0</v>
      </c>
      <c r="AZ14" s="19">
        <v>0</v>
      </c>
      <c r="BA14" s="19">
        <v>0</v>
      </c>
      <c r="BB14" s="19">
        <v>0</v>
      </c>
      <c r="BC14" s="19">
        <v>0</v>
      </c>
      <c r="BD14" s="19">
        <v>0</v>
      </c>
      <c r="BE14" s="86">
        <v>0</v>
      </c>
      <c r="BF14" s="86">
        <v>0</v>
      </c>
      <c r="BG14" s="86">
        <v>18.399999999999999</v>
      </c>
      <c r="BH14" s="19">
        <v>15.2</v>
      </c>
      <c r="BI14" s="19">
        <v>24</v>
      </c>
      <c r="BJ14" s="86">
        <v>1</v>
      </c>
      <c r="BK14" s="86">
        <v>1</v>
      </c>
      <c r="BL14" s="86">
        <v>1</v>
      </c>
      <c r="BM14" s="86">
        <v>1</v>
      </c>
      <c r="BN14" s="86">
        <v>0</v>
      </c>
      <c r="BO14" s="19">
        <v>0.9</v>
      </c>
      <c r="BP14" s="19" t="s">
        <v>113</v>
      </c>
      <c r="BQ14" s="19" t="s">
        <v>114</v>
      </c>
      <c r="BR14" s="19" t="s">
        <v>115</v>
      </c>
      <c r="BS14" s="85">
        <v>44270.637650462966</v>
      </c>
    </row>
    <row r="15" spans="1:71" ht="30" x14ac:dyDescent="0.25">
      <c r="A15" s="19" t="s">
        <v>118</v>
      </c>
      <c r="B15" s="86">
        <v>14</v>
      </c>
      <c r="C15" s="19">
        <v>0</v>
      </c>
      <c r="D15" s="86">
        <v>-40</v>
      </c>
      <c r="E15" s="19">
        <v>-46</v>
      </c>
      <c r="F15" s="19" t="s">
        <v>111</v>
      </c>
      <c r="G15" s="19">
        <v>0</v>
      </c>
      <c r="H15" s="19">
        <v>0</v>
      </c>
      <c r="I15" s="86" t="s">
        <v>112</v>
      </c>
      <c r="J15" s="86" t="s">
        <v>64</v>
      </c>
      <c r="K15" s="86">
        <v>9.8000000000000007</v>
      </c>
      <c r="L15" s="86">
        <v>0</v>
      </c>
      <c r="M15" s="19">
        <v>0</v>
      </c>
      <c r="N15" s="19">
        <v>0</v>
      </c>
      <c r="O15" s="86">
        <v>0</v>
      </c>
      <c r="P15" s="19">
        <v>0</v>
      </c>
      <c r="Q15" s="19">
        <v>0</v>
      </c>
      <c r="R15" s="19">
        <v>0</v>
      </c>
      <c r="S15" s="86">
        <v>28</v>
      </c>
      <c r="T15" s="19">
        <v>26</v>
      </c>
      <c r="U15" s="19">
        <v>30</v>
      </c>
      <c r="V15" s="19">
        <v>23</v>
      </c>
      <c r="W15" s="19">
        <v>21</v>
      </c>
      <c r="X15" s="19">
        <v>25</v>
      </c>
      <c r="Y15" s="86">
        <v>42000</v>
      </c>
      <c r="Z15" s="86">
        <v>0</v>
      </c>
      <c r="AA15" s="19">
        <v>42000</v>
      </c>
      <c r="AB15" s="19">
        <v>42000</v>
      </c>
      <c r="AC15" s="86">
        <v>0.6</v>
      </c>
      <c r="AD15" s="86">
        <v>0</v>
      </c>
      <c r="AE15" s="19">
        <v>0</v>
      </c>
      <c r="AF15" s="19">
        <v>0</v>
      </c>
      <c r="AG15" s="86">
        <v>0</v>
      </c>
      <c r="AH15" s="86">
        <v>0</v>
      </c>
      <c r="AI15" s="19">
        <v>0</v>
      </c>
      <c r="AJ15" s="19">
        <v>0</v>
      </c>
      <c r="AK15" s="86">
        <v>75.400000000000006</v>
      </c>
      <c r="AL15" s="19">
        <v>69.8</v>
      </c>
      <c r="AM15" s="19">
        <v>81</v>
      </c>
      <c r="AN15" s="86">
        <v>1</v>
      </c>
      <c r="AO15" s="86">
        <v>4040</v>
      </c>
      <c r="AP15" s="19">
        <v>3280</v>
      </c>
      <c r="AQ15" s="19">
        <v>4800</v>
      </c>
      <c r="AR15" s="86">
        <v>156000</v>
      </c>
      <c r="AS15" s="19">
        <v>118000</v>
      </c>
      <c r="AT15" s="19">
        <v>194000</v>
      </c>
      <c r="AU15" s="86">
        <v>521.70000000000005</v>
      </c>
      <c r="AV15" s="19">
        <v>521.70000000000005</v>
      </c>
      <c r="AW15" s="19">
        <v>521.70000000000005</v>
      </c>
      <c r="AX15" s="86">
        <v>0.2</v>
      </c>
      <c r="AY15" s="86">
        <v>0</v>
      </c>
      <c r="AZ15" s="19">
        <v>0</v>
      </c>
      <c r="BA15" s="19">
        <v>0</v>
      </c>
      <c r="BB15" s="19">
        <v>0</v>
      </c>
      <c r="BC15" s="19">
        <v>0</v>
      </c>
      <c r="BD15" s="19">
        <v>0</v>
      </c>
      <c r="BE15" s="86">
        <v>0</v>
      </c>
      <c r="BF15" s="86">
        <v>0</v>
      </c>
      <c r="BG15" s="86">
        <v>16.8</v>
      </c>
      <c r="BH15" s="19">
        <v>13.6</v>
      </c>
      <c r="BI15" s="19">
        <v>20</v>
      </c>
      <c r="BJ15" s="86">
        <v>1</v>
      </c>
      <c r="BK15" s="86">
        <v>1</v>
      </c>
      <c r="BL15" s="86">
        <v>1</v>
      </c>
      <c r="BM15" s="86">
        <v>1</v>
      </c>
      <c r="BN15" s="86">
        <v>0</v>
      </c>
      <c r="BO15" s="19">
        <v>0.9</v>
      </c>
      <c r="BP15" s="19" t="s">
        <v>113</v>
      </c>
      <c r="BQ15" s="19" t="s">
        <v>114</v>
      </c>
      <c r="BR15" s="19" t="s">
        <v>115</v>
      </c>
      <c r="BS15" s="85">
        <v>44270.637650462966</v>
      </c>
    </row>
    <row r="16" spans="1:71" ht="30" x14ac:dyDescent="0.25">
      <c r="A16" s="19" t="s">
        <v>118</v>
      </c>
      <c r="B16" s="86">
        <v>15</v>
      </c>
      <c r="C16" s="19">
        <v>0</v>
      </c>
      <c r="D16" s="86">
        <v>-46</v>
      </c>
      <c r="E16" s="19">
        <v>-60</v>
      </c>
      <c r="F16" s="19" t="s">
        <v>116</v>
      </c>
      <c r="G16" s="19">
        <v>0</v>
      </c>
      <c r="H16" s="19">
        <v>0</v>
      </c>
      <c r="I16" s="86" t="s">
        <v>107</v>
      </c>
      <c r="J16" s="86" t="s">
        <v>65</v>
      </c>
      <c r="K16" s="86">
        <v>8.9</v>
      </c>
      <c r="L16" s="86">
        <v>304</v>
      </c>
      <c r="M16" s="19">
        <v>261</v>
      </c>
      <c r="N16" s="19">
        <v>349</v>
      </c>
      <c r="O16" s="86">
        <v>60.6</v>
      </c>
      <c r="P16" s="19">
        <v>60.6</v>
      </c>
      <c r="Q16" s="19">
        <v>60.5</v>
      </c>
      <c r="R16" s="19">
        <v>0</v>
      </c>
      <c r="S16" s="86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86">
        <v>27600</v>
      </c>
      <c r="Z16" s="86">
        <v>0</v>
      </c>
      <c r="AA16" s="19">
        <v>27600</v>
      </c>
      <c r="AB16" s="19">
        <v>27600</v>
      </c>
      <c r="AC16" s="86">
        <v>1.6</v>
      </c>
      <c r="AD16" s="86">
        <v>1.7999999999999999E-2</v>
      </c>
      <c r="AE16" s="19">
        <v>2.2499999999999999E-2</v>
      </c>
      <c r="AF16" s="19">
        <v>1.4999999999999999E-2</v>
      </c>
      <c r="AG16" s="86">
        <v>0</v>
      </c>
      <c r="AH16" s="86">
        <v>0.25</v>
      </c>
      <c r="AI16" s="19">
        <v>0</v>
      </c>
      <c r="AJ16" s="19">
        <v>0</v>
      </c>
      <c r="AK16" s="86">
        <v>0</v>
      </c>
      <c r="AL16" s="19">
        <v>0</v>
      </c>
      <c r="AM16" s="19">
        <v>0</v>
      </c>
      <c r="AN16" s="86">
        <v>1</v>
      </c>
      <c r="AO16" s="86">
        <v>0</v>
      </c>
      <c r="AP16" s="19">
        <v>0</v>
      </c>
      <c r="AQ16" s="19">
        <v>0</v>
      </c>
      <c r="AR16" s="86">
        <v>391000</v>
      </c>
      <c r="AS16" s="19">
        <v>304000</v>
      </c>
      <c r="AT16" s="19">
        <v>479000</v>
      </c>
      <c r="AU16" s="86">
        <v>4956.5</v>
      </c>
      <c r="AV16" s="19">
        <v>4956.5</v>
      </c>
      <c r="AW16" s="19">
        <v>4913</v>
      </c>
      <c r="AX16" s="86">
        <v>0.49</v>
      </c>
      <c r="AY16" s="86">
        <v>0</v>
      </c>
      <c r="AZ16" s="19">
        <v>0</v>
      </c>
      <c r="BA16" s="19">
        <v>0</v>
      </c>
      <c r="BB16" s="19">
        <v>0</v>
      </c>
      <c r="BC16" s="19">
        <v>0</v>
      </c>
      <c r="BD16" s="19">
        <v>0</v>
      </c>
      <c r="BE16" s="86">
        <v>0</v>
      </c>
      <c r="BF16" s="86">
        <v>0</v>
      </c>
      <c r="BG16" s="86">
        <v>0</v>
      </c>
      <c r="BH16" s="19">
        <v>0</v>
      </c>
      <c r="BI16" s="19">
        <v>0</v>
      </c>
      <c r="BJ16" s="86">
        <v>1</v>
      </c>
      <c r="BK16" s="86">
        <v>1</v>
      </c>
      <c r="BL16" s="86">
        <v>1</v>
      </c>
      <c r="BM16" s="86">
        <v>1</v>
      </c>
      <c r="BN16" s="86">
        <v>0</v>
      </c>
      <c r="BO16" s="19">
        <v>0.9</v>
      </c>
      <c r="BP16" s="19" t="s">
        <v>113</v>
      </c>
      <c r="BQ16" s="19" t="s">
        <v>114</v>
      </c>
      <c r="BR16" s="19" t="s">
        <v>115</v>
      </c>
      <c r="BS16" s="85">
        <v>44270.89398148148</v>
      </c>
    </row>
    <row r="17" spans="1:71" ht="30" x14ac:dyDescent="0.25">
      <c r="A17" s="19" t="s">
        <v>118</v>
      </c>
      <c r="B17" s="86">
        <v>16</v>
      </c>
      <c r="C17" s="19">
        <v>0</v>
      </c>
      <c r="D17" s="86">
        <v>-60</v>
      </c>
      <c r="E17" s="19">
        <v>-80</v>
      </c>
      <c r="F17" s="19" t="s">
        <v>116</v>
      </c>
      <c r="G17" s="19">
        <v>0</v>
      </c>
      <c r="H17" s="19">
        <v>0</v>
      </c>
      <c r="I17" s="86" t="s">
        <v>107</v>
      </c>
      <c r="J17" s="86" t="s">
        <v>65</v>
      </c>
      <c r="K17" s="86">
        <v>8.9</v>
      </c>
      <c r="L17" s="86">
        <v>535</v>
      </c>
      <c r="M17" s="19">
        <v>535</v>
      </c>
      <c r="N17" s="19">
        <v>579</v>
      </c>
      <c r="O17" s="86">
        <v>30.9</v>
      </c>
      <c r="P17" s="19">
        <v>28.7</v>
      </c>
      <c r="Q17" s="19">
        <v>30.9</v>
      </c>
      <c r="R17" s="19">
        <v>0</v>
      </c>
      <c r="S17" s="86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86">
        <v>50200</v>
      </c>
      <c r="Z17" s="86">
        <v>0</v>
      </c>
      <c r="AA17" s="19">
        <v>50200</v>
      </c>
      <c r="AB17" s="19">
        <v>50200</v>
      </c>
      <c r="AC17" s="86">
        <v>2</v>
      </c>
      <c r="AD17" s="86">
        <v>1.7999999999999999E-2</v>
      </c>
      <c r="AE17" s="19">
        <v>2.2499999999999999E-2</v>
      </c>
      <c r="AF17" s="19">
        <v>1.4999999999999999E-2</v>
      </c>
      <c r="AG17" s="86">
        <v>0</v>
      </c>
      <c r="AH17" s="86">
        <v>0.25</v>
      </c>
      <c r="AI17" s="19">
        <v>0</v>
      </c>
      <c r="AJ17" s="19">
        <v>0</v>
      </c>
      <c r="AK17" s="86">
        <v>0</v>
      </c>
      <c r="AL17" s="19">
        <v>0</v>
      </c>
      <c r="AM17" s="19">
        <v>0</v>
      </c>
      <c r="AN17" s="86">
        <v>1</v>
      </c>
      <c r="AO17" s="86">
        <v>0</v>
      </c>
      <c r="AP17" s="19">
        <v>0</v>
      </c>
      <c r="AQ17" s="19">
        <v>0</v>
      </c>
      <c r="AR17" s="86">
        <v>760000</v>
      </c>
      <c r="AS17" s="19">
        <v>673000</v>
      </c>
      <c r="AT17" s="19">
        <v>847000</v>
      </c>
      <c r="AU17" s="86">
        <v>14087</v>
      </c>
      <c r="AV17" s="19">
        <v>14087</v>
      </c>
      <c r="AW17" s="19">
        <v>14087</v>
      </c>
      <c r="AX17" s="86">
        <v>0.49</v>
      </c>
      <c r="AY17" s="86">
        <v>0</v>
      </c>
      <c r="AZ17" s="19">
        <v>0</v>
      </c>
      <c r="BA17" s="19">
        <v>0</v>
      </c>
      <c r="BB17" s="19">
        <v>0</v>
      </c>
      <c r="BC17" s="19">
        <v>0</v>
      </c>
      <c r="BD17" s="19">
        <v>0</v>
      </c>
      <c r="BE17" s="86">
        <v>0</v>
      </c>
      <c r="BF17" s="86">
        <v>0</v>
      </c>
      <c r="BG17" s="86">
        <v>0</v>
      </c>
      <c r="BH17" s="19">
        <v>0</v>
      </c>
      <c r="BI17" s="19">
        <v>0</v>
      </c>
      <c r="BJ17" s="86">
        <v>1</v>
      </c>
      <c r="BK17" s="86">
        <v>1</v>
      </c>
      <c r="BL17" s="86">
        <v>1</v>
      </c>
      <c r="BM17" s="86">
        <v>1</v>
      </c>
      <c r="BN17" s="86">
        <v>0</v>
      </c>
      <c r="BO17" s="19">
        <v>0.9</v>
      </c>
      <c r="BP17" s="19" t="s">
        <v>113</v>
      </c>
      <c r="BQ17" s="19" t="s">
        <v>114</v>
      </c>
      <c r="BR17" s="19" t="s">
        <v>115</v>
      </c>
      <c r="BS17" s="85">
        <v>44270.89398148148</v>
      </c>
    </row>
    <row r="18" spans="1:71" x14ac:dyDescent="0.25">
      <c r="A18" s="19"/>
      <c r="B18" s="86"/>
      <c r="C18" s="19"/>
      <c r="D18" s="86"/>
      <c r="E18" s="19"/>
      <c r="F18" s="19"/>
      <c r="G18" s="19"/>
      <c r="H18" s="19"/>
      <c r="I18" s="86"/>
      <c r="J18" s="86"/>
      <c r="K18" s="86"/>
      <c r="L18" s="86"/>
      <c r="M18" s="19"/>
      <c r="N18" s="19"/>
      <c r="O18" s="86"/>
      <c r="P18" s="19"/>
      <c r="Q18" s="19"/>
      <c r="R18" s="19"/>
      <c r="S18" s="86"/>
      <c r="T18" s="19"/>
      <c r="U18" s="19"/>
      <c r="V18" s="19"/>
      <c r="W18" s="19"/>
      <c r="X18" s="19"/>
      <c r="Y18" s="86"/>
      <c r="Z18" s="86"/>
      <c r="AA18" s="19"/>
      <c r="AB18" s="19"/>
      <c r="AC18" s="86"/>
      <c r="AD18" s="86"/>
      <c r="AE18" s="19"/>
      <c r="AF18" s="19"/>
      <c r="AG18" s="86"/>
      <c r="AH18" s="86"/>
      <c r="AI18" s="19"/>
      <c r="AJ18" s="19"/>
      <c r="AK18" s="86"/>
      <c r="AL18" s="19"/>
      <c r="AM18" s="19"/>
      <c r="AN18" s="86"/>
      <c r="AO18" s="86"/>
      <c r="AP18" s="19"/>
      <c r="AQ18" s="19"/>
      <c r="AR18" s="86"/>
      <c r="AS18" s="19"/>
      <c r="AT18" s="19"/>
      <c r="AU18" s="86"/>
      <c r="AV18" s="19"/>
      <c r="AW18" s="19"/>
      <c r="AX18" s="86"/>
      <c r="AY18" s="86"/>
      <c r="AZ18" s="19"/>
      <c r="BA18" s="19"/>
      <c r="BB18" s="19"/>
      <c r="BC18" s="19"/>
      <c r="BD18" s="19"/>
      <c r="BE18" s="86"/>
      <c r="BF18" s="86"/>
      <c r="BG18" s="86"/>
      <c r="BH18" s="19"/>
      <c r="BI18" s="19"/>
      <c r="BJ18" s="86"/>
      <c r="BK18" s="86"/>
      <c r="BL18" s="86"/>
      <c r="BM18" s="86"/>
      <c r="BN18" s="86"/>
      <c r="BO18" s="19"/>
      <c r="BP18" s="19"/>
      <c r="BQ18" s="19"/>
      <c r="BR18" s="19"/>
      <c r="BS18" s="19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21FC9-1561-466C-ABF5-43D4457E9E51}">
  <sheetPr>
    <tabColor theme="1" tint="0.249977111117893"/>
  </sheetPr>
  <dimension ref="A1:BS12"/>
  <sheetViews>
    <sheetView topLeftCell="AQ1" workbookViewId="0">
      <selection activeCell="AU2" sqref="AU2:AU3"/>
    </sheetView>
  </sheetViews>
  <sheetFormatPr defaultRowHeight="15" x14ac:dyDescent="0.25"/>
  <cols>
    <col min="2" max="2" width="9.140625" style="84"/>
    <col min="4" max="4" width="9.140625" style="84"/>
    <col min="9" max="12" width="9.140625" style="84"/>
    <col min="15" max="15" width="9.140625" style="84"/>
    <col min="19" max="19" width="9.140625" style="84"/>
    <col min="25" max="26" width="9.140625" style="84"/>
    <col min="29" max="30" width="9.140625" style="84"/>
    <col min="33" max="34" width="9.140625" style="84"/>
    <col min="37" max="37" width="9.140625" style="84"/>
    <col min="40" max="41" width="9.140625" style="84"/>
    <col min="44" max="44" width="9.140625" style="84"/>
    <col min="47" max="47" width="9.140625" style="84"/>
    <col min="50" max="51" width="9.140625" style="84"/>
    <col min="57" max="59" width="9.140625" style="84"/>
    <col min="62" max="66" width="9.140625" style="84"/>
  </cols>
  <sheetData>
    <row r="1" spans="1:71" x14ac:dyDescent="0.25">
      <c r="A1" t="s">
        <v>121</v>
      </c>
      <c r="B1" s="84" t="s">
        <v>0</v>
      </c>
      <c r="C1" t="s">
        <v>122</v>
      </c>
      <c r="D1" s="84" t="s">
        <v>123</v>
      </c>
      <c r="E1" t="s">
        <v>124</v>
      </c>
      <c r="F1" t="s">
        <v>125</v>
      </c>
      <c r="G1" t="s">
        <v>126</v>
      </c>
      <c r="H1" t="s">
        <v>42</v>
      </c>
      <c r="I1" s="84" t="s">
        <v>127</v>
      </c>
      <c r="J1" s="84" t="s">
        <v>128</v>
      </c>
      <c r="K1" s="84" t="s">
        <v>129</v>
      </c>
      <c r="L1" s="84" t="s">
        <v>4</v>
      </c>
      <c r="M1" t="s">
        <v>130</v>
      </c>
      <c r="N1" t="s">
        <v>131</v>
      </c>
      <c r="O1" s="84" t="s">
        <v>132</v>
      </c>
      <c r="P1" t="s">
        <v>133</v>
      </c>
      <c r="Q1" t="s">
        <v>134</v>
      </c>
      <c r="R1" t="s">
        <v>135</v>
      </c>
      <c r="S1" s="84" t="s">
        <v>7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s="84" t="s">
        <v>90</v>
      </c>
      <c r="Z1" s="84" t="s">
        <v>141</v>
      </c>
      <c r="AA1" t="s">
        <v>142</v>
      </c>
      <c r="AB1" t="s">
        <v>143</v>
      </c>
      <c r="AC1" s="84" t="s">
        <v>144</v>
      </c>
      <c r="AD1" s="84" t="s">
        <v>8</v>
      </c>
      <c r="AE1" t="s">
        <v>145</v>
      </c>
      <c r="AF1" t="s">
        <v>146</v>
      </c>
      <c r="AG1" s="84" t="s">
        <v>161</v>
      </c>
      <c r="AH1" s="84" t="s">
        <v>10</v>
      </c>
      <c r="AI1" t="s">
        <v>147</v>
      </c>
      <c r="AJ1" t="s">
        <v>148</v>
      </c>
      <c r="AK1" s="84" t="s">
        <v>149</v>
      </c>
      <c r="AL1" t="s">
        <v>151</v>
      </c>
      <c r="AM1" t="s">
        <v>152</v>
      </c>
      <c r="AN1" s="84" t="s">
        <v>153</v>
      </c>
      <c r="AO1" s="84" t="s">
        <v>150</v>
      </c>
      <c r="AP1" t="s">
        <v>154</v>
      </c>
      <c r="AQ1" t="s">
        <v>155</v>
      </c>
      <c r="AR1" s="84" t="s">
        <v>11</v>
      </c>
      <c r="AS1" t="s">
        <v>156</v>
      </c>
      <c r="AT1" t="s">
        <v>157</v>
      </c>
      <c r="AU1" s="84" t="s">
        <v>158</v>
      </c>
      <c r="AV1" t="s">
        <v>159</v>
      </c>
      <c r="AW1" t="s">
        <v>160</v>
      </c>
      <c r="AX1" s="84" t="s">
        <v>18</v>
      </c>
      <c r="AY1" s="84" t="s">
        <v>162</v>
      </c>
      <c r="AZ1" t="s">
        <v>163</v>
      </c>
      <c r="BA1" t="s">
        <v>164</v>
      </c>
      <c r="BB1" t="s">
        <v>165</v>
      </c>
      <c r="BC1" t="s">
        <v>166</v>
      </c>
      <c r="BD1" t="s">
        <v>167</v>
      </c>
      <c r="BE1" s="84" t="s">
        <v>168</v>
      </c>
      <c r="BF1" s="84" t="s">
        <v>21</v>
      </c>
      <c r="BG1" s="84" t="s">
        <v>66</v>
      </c>
      <c r="BH1" t="s">
        <v>169</v>
      </c>
      <c r="BI1" t="s">
        <v>170</v>
      </c>
      <c r="BJ1" s="84" t="s">
        <v>171</v>
      </c>
      <c r="BK1" s="84" t="s">
        <v>172</v>
      </c>
      <c r="BL1" s="84" t="s">
        <v>173</v>
      </c>
      <c r="BM1" s="84" t="s">
        <v>174</v>
      </c>
      <c r="BN1" s="84" t="s">
        <v>175</v>
      </c>
      <c r="BO1" t="s">
        <v>176</v>
      </c>
    </row>
    <row r="2" spans="1:71" ht="30" x14ac:dyDescent="0.25">
      <c r="A2" s="19" t="s">
        <v>119</v>
      </c>
      <c r="B2" s="86">
        <v>1</v>
      </c>
      <c r="C2" s="19">
        <v>0</v>
      </c>
      <c r="D2" s="86">
        <v>0</v>
      </c>
      <c r="E2" s="19">
        <v>-1.1000000000000001</v>
      </c>
      <c r="F2" s="19" t="s">
        <v>111</v>
      </c>
      <c r="G2" s="19">
        <v>0</v>
      </c>
      <c r="H2" s="19">
        <v>0</v>
      </c>
      <c r="I2" s="86" t="s">
        <v>112</v>
      </c>
      <c r="J2" s="86" t="s">
        <v>64</v>
      </c>
      <c r="K2" s="86">
        <v>9.6999999999999993</v>
      </c>
      <c r="L2" s="86">
        <v>0</v>
      </c>
      <c r="M2" s="19">
        <v>0</v>
      </c>
      <c r="N2" s="19">
        <v>0</v>
      </c>
      <c r="O2" s="86">
        <v>0</v>
      </c>
      <c r="P2" s="19">
        <v>0</v>
      </c>
      <c r="Q2" s="19">
        <v>0</v>
      </c>
      <c r="R2" s="19">
        <v>0</v>
      </c>
      <c r="S2" s="86">
        <v>34</v>
      </c>
      <c r="T2" s="19">
        <v>31</v>
      </c>
      <c r="U2" s="19">
        <v>37</v>
      </c>
      <c r="V2" s="19">
        <v>29</v>
      </c>
      <c r="W2" s="19">
        <v>26</v>
      </c>
      <c r="X2" s="19">
        <v>32</v>
      </c>
      <c r="Y2" s="86">
        <v>2800</v>
      </c>
      <c r="Z2" s="86">
        <v>0</v>
      </c>
      <c r="AA2" s="19">
        <v>2800</v>
      </c>
      <c r="AB2" s="19">
        <v>2800</v>
      </c>
      <c r="AC2" s="86">
        <v>0.5</v>
      </c>
      <c r="AD2" s="86">
        <v>0</v>
      </c>
      <c r="AE2" s="19">
        <v>0</v>
      </c>
      <c r="AF2" s="19">
        <v>0</v>
      </c>
      <c r="AG2" s="86">
        <v>0</v>
      </c>
      <c r="AH2" s="86">
        <v>0</v>
      </c>
      <c r="AI2" s="19">
        <v>0</v>
      </c>
      <c r="AJ2" s="19">
        <v>0</v>
      </c>
      <c r="AK2" s="86">
        <v>93</v>
      </c>
      <c r="AL2" s="19">
        <v>84</v>
      </c>
      <c r="AM2" s="19">
        <v>103.6</v>
      </c>
      <c r="AN2" s="86">
        <v>1</v>
      </c>
      <c r="AO2" s="86">
        <v>8640</v>
      </c>
      <c r="AP2" s="19">
        <v>5760</v>
      </c>
      <c r="AQ2" s="19">
        <v>10560</v>
      </c>
      <c r="AR2" s="86">
        <v>7000</v>
      </c>
      <c r="AS2" s="19">
        <v>3000</v>
      </c>
      <c r="AT2" s="19">
        <v>11000</v>
      </c>
      <c r="AU2" s="86">
        <v>652.20000000000005</v>
      </c>
      <c r="AV2" s="19">
        <v>652.20000000000005</v>
      </c>
      <c r="AW2" s="19">
        <v>652.20000000000005</v>
      </c>
      <c r="AX2" s="86">
        <v>0.2</v>
      </c>
      <c r="AY2" s="86">
        <v>0</v>
      </c>
      <c r="AZ2" s="19">
        <v>0</v>
      </c>
      <c r="BA2" s="19">
        <v>0</v>
      </c>
      <c r="BB2" s="19">
        <v>0</v>
      </c>
      <c r="BC2" s="19">
        <v>0</v>
      </c>
      <c r="BD2" s="19">
        <v>0</v>
      </c>
      <c r="BE2" s="86">
        <v>0</v>
      </c>
      <c r="BF2" s="86">
        <v>0</v>
      </c>
      <c r="BG2" s="86">
        <v>36</v>
      </c>
      <c r="BH2" s="19">
        <v>24</v>
      </c>
      <c r="BI2" s="19">
        <v>44</v>
      </c>
      <c r="BJ2" s="86">
        <v>1</v>
      </c>
      <c r="BK2" s="86">
        <v>1</v>
      </c>
      <c r="BL2" s="86">
        <v>1</v>
      </c>
      <c r="BM2" s="86">
        <v>1</v>
      </c>
      <c r="BN2" s="86">
        <v>0</v>
      </c>
      <c r="BO2" s="19">
        <v>0.9</v>
      </c>
      <c r="BP2" s="19" t="s">
        <v>113</v>
      </c>
      <c r="BQ2" s="19" t="s">
        <v>114</v>
      </c>
      <c r="BR2" s="19" t="s">
        <v>115</v>
      </c>
      <c r="BS2" s="85">
        <v>44270.637650462966</v>
      </c>
    </row>
    <row r="3" spans="1:71" ht="30" x14ac:dyDescent="0.25">
      <c r="A3" s="19" t="s">
        <v>119</v>
      </c>
      <c r="B3" s="86">
        <v>2</v>
      </c>
      <c r="C3" s="19">
        <v>0</v>
      </c>
      <c r="D3" s="86">
        <v>-1.1000000000000001</v>
      </c>
      <c r="E3" s="19">
        <v>-3</v>
      </c>
      <c r="F3" s="19" t="s">
        <v>111</v>
      </c>
      <c r="G3" s="19">
        <v>0</v>
      </c>
      <c r="H3" s="19">
        <v>0</v>
      </c>
      <c r="I3" s="86" t="s">
        <v>112</v>
      </c>
      <c r="J3" s="86" t="s">
        <v>64</v>
      </c>
      <c r="K3" s="86">
        <v>9.8000000000000007</v>
      </c>
      <c r="L3" s="86">
        <v>0</v>
      </c>
      <c r="M3" s="19">
        <v>0</v>
      </c>
      <c r="N3" s="19">
        <v>0</v>
      </c>
      <c r="O3" s="86">
        <v>0</v>
      </c>
      <c r="P3" s="19">
        <v>0</v>
      </c>
      <c r="Q3" s="19">
        <v>0</v>
      </c>
      <c r="R3" s="19">
        <v>0</v>
      </c>
      <c r="S3" s="86">
        <v>34</v>
      </c>
      <c r="T3" s="19">
        <v>31</v>
      </c>
      <c r="U3" s="19">
        <v>36</v>
      </c>
      <c r="V3" s="19">
        <v>29</v>
      </c>
      <c r="W3" s="19">
        <v>26</v>
      </c>
      <c r="X3" s="19">
        <v>31</v>
      </c>
      <c r="Y3" s="86">
        <v>32900</v>
      </c>
      <c r="Z3" s="86">
        <v>0</v>
      </c>
      <c r="AA3" s="19">
        <v>32900</v>
      </c>
      <c r="AB3" s="19">
        <v>32900</v>
      </c>
      <c r="AC3" s="86">
        <v>3</v>
      </c>
      <c r="AD3" s="86">
        <v>0</v>
      </c>
      <c r="AE3" s="19">
        <v>0</v>
      </c>
      <c r="AF3" s="19">
        <v>0</v>
      </c>
      <c r="AG3" s="86">
        <v>0</v>
      </c>
      <c r="AH3" s="86">
        <v>0</v>
      </c>
      <c r="AI3" s="19">
        <v>0</v>
      </c>
      <c r="AJ3" s="19">
        <v>0</v>
      </c>
      <c r="AK3" s="86">
        <v>93</v>
      </c>
      <c r="AL3" s="19">
        <v>84</v>
      </c>
      <c r="AM3" s="19">
        <v>99.8</v>
      </c>
      <c r="AN3" s="86">
        <v>1</v>
      </c>
      <c r="AO3" s="86">
        <v>8640</v>
      </c>
      <c r="AP3" s="19">
        <v>5760</v>
      </c>
      <c r="AQ3" s="19">
        <v>10080</v>
      </c>
      <c r="AR3" s="86">
        <v>45000</v>
      </c>
      <c r="AS3" s="19">
        <v>31000</v>
      </c>
      <c r="AT3" s="19">
        <v>60000</v>
      </c>
      <c r="AU3" s="86">
        <v>1347.8</v>
      </c>
      <c r="AV3" s="19">
        <v>1304.3</v>
      </c>
      <c r="AW3" s="19">
        <v>1304.3</v>
      </c>
      <c r="AX3" s="86">
        <v>0.2</v>
      </c>
      <c r="AY3" s="86">
        <v>0</v>
      </c>
      <c r="AZ3" s="19">
        <v>0</v>
      </c>
      <c r="BA3" s="19">
        <v>0</v>
      </c>
      <c r="BB3" s="19">
        <v>0</v>
      </c>
      <c r="BC3" s="19">
        <v>0</v>
      </c>
      <c r="BD3" s="19">
        <v>0</v>
      </c>
      <c r="BE3" s="86">
        <v>0</v>
      </c>
      <c r="BF3" s="86">
        <v>0</v>
      </c>
      <c r="BG3" s="86">
        <v>36</v>
      </c>
      <c r="BH3" s="19">
        <v>24</v>
      </c>
      <c r="BI3" s="19">
        <v>42</v>
      </c>
      <c r="BJ3" s="86">
        <v>1</v>
      </c>
      <c r="BK3" s="86">
        <v>1</v>
      </c>
      <c r="BL3" s="86">
        <v>1</v>
      </c>
      <c r="BM3" s="86">
        <v>1</v>
      </c>
      <c r="BN3" s="86">
        <v>0</v>
      </c>
      <c r="BO3" s="19">
        <v>0.9</v>
      </c>
      <c r="BP3" s="19" t="s">
        <v>113</v>
      </c>
      <c r="BQ3" s="19" t="s">
        <v>114</v>
      </c>
      <c r="BR3" s="19" t="s">
        <v>115</v>
      </c>
      <c r="BS3" s="85">
        <v>44270.637650462966</v>
      </c>
    </row>
    <row r="4" spans="1:71" ht="30" x14ac:dyDescent="0.25">
      <c r="A4" s="19" t="s">
        <v>119</v>
      </c>
      <c r="B4" s="86">
        <v>3</v>
      </c>
      <c r="C4" s="19">
        <v>0</v>
      </c>
      <c r="D4" s="86">
        <v>-3</v>
      </c>
      <c r="E4" s="19">
        <v>-5.3</v>
      </c>
      <c r="F4" s="19" t="s">
        <v>111</v>
      </c>
      <c r="G4" s="19">
        <v>0</v>
      </c>
      <c r="H4" s="19">
        <v>0</v>
      </c>
      <c r="I4" s="86" t="s">
        <v>112</v>
      </c>
      <c r="J4" s="86" t="s">
        <v>64</v>
      </c>
      <c r="K4" s="86">
        <v>9.8000000000000007</v>
      </c>
      <c r="L4" s="86">
        <v>0</v>
      </c>
      <c r="M4" s="19">
        <v>0</v>
      </c>
      <c r="N4" s="19">
        <v>0</v>
      </c>
      <c r="O4" s="86">
        <v>0</v>
      </c>
      <c r="P4" s="19">
        <v>0</v>
      </c>
      <c r="Q4" s="19">
        <v>0</v>
      </c>
      <c r="R4" s="19">
        <v>0</v>
      </c>
      <c r="S4" s="86">
        <v>34</v>
      </c>
      <c r="T4" s="19">
        <v>32</v>
      </c>
      <c r="U4" s="19">
        <v>37</v>
      </c>
      <c r="V4" s="19">
        <v>29</v>
      </c>
      <c r="W4" s="19">
        <v>27</v>
      </c>
      <c r="X4" s="19">
        <v>32</v>
      </c>
      <c r="Y4" s="86">
        <v>59400</v>
      </c>
      <c r="Z4" s="86">
        <v>0</v>
      </c>
      <c r="AA4" s="19">
        <v>59400</v>
      </c>
      <c r="AB4" s="19">
        <v>59400</v>
      </c>
      <c r="AC4" s="86">
        <v>3</v>
      </c>
      <c r="AD4" s="86">
        <v>0</v>
      </c>
      <c r="AE4" s="19">
        <v>0</v>
      </c>
      <c r="AF4" s="19">
        <v>0</v>
      </c>
      <c r="AG4" s="86">
        <v>0</v>
      </c>
      <c r="AH4" s="86">
        <v>0</v>
      </c>
      <c r="AI4" s="19">
        <v>0</v>
      </c>
      <c r="AJ4" s="19">
        <v>0</v>
      </c>
      <c r="AK4" s="86">
        <v>93</v>
      </c>
      <c r="AL4" s="19">
        <v>87</v>
      </c>
      <c r="AM4" s="19">
        <v>103.6</v>
      </c>
      <c r="AN4" s="86">
        <v>1</v>
      </c>
      <c r="AO4" s="86">
        <v>8640</v>
      </c>
      <c r="AP4" s="19">
        <v>6720</v>
      </c>
      <c r="AQ4" s="19">
        <v>10560</v>
      </c>
      <c r="AR4" s="86">
        <v>83000</v>
      </c>
      <c r="AS4" s="19">
        <v>61000</v>
      </c>
      <c r="AT4" s="19">
        <v>105000</v>
      </c>
      <c r="AU4" s="86">
        <v>869.6</v>
      </c>
      <c r="AV4" s="19">
        <v>869.6</v>
      </c>
      <c r="AW4" s="19">
        <v>869.6</v>
      </c>
      <c r="AX4" s="86">
        <v>0.2</v>
      </c>
      <c r="AY4" s="86">
        <v>0</v>
      </c>
      <c r="AZ4" s="19">
        <v>0</v>
      </c>
      <c r="BA4" s="19">
        <v>0</v>
      </c>
      <c r="BB4" s="19">
        <v>0</v>
      </c>
      <c r="BC4" s="19">
        <v>0</v>
      </c>
      <c r="BD4" s="19">
        <v>0</v>
      </c>
      <c r="BE4" s="86">
        <v>0</v>
      </c>
      <c r="BF4" s="86">
        <v>0</v>
      </c>
      <c r="BG4" s="86">
        <v>36</v>
      </c>
      <c r="BH4" s="19">
        <v>28</v>
      </c>
      <c r="BI4" s="19">
        <v>44</v>
      </c>
      <c r="BJ4" s="86">
        <v>1</v>
      </c>
      <c r="BK4" s="86">
        <v>1</v>
      </c>
      <c r="BL4" s="86">
        <v>1</v>
      </c>
      <c r="BM4" s="86">
        <v>1</v>
      </c>
      <c r="BN4" s="86">
        <v>0</v>
      </c>
      <c r="BO4" s="19">
        <v>0.9</v>
      </c>
      <c r="BP4" s="19" t="s">
        <v>113</v>
      </c>
      <c r="BQ4" s="19" t="s">
        <v>114</v>
      </c>
      <c r="BR4" s="19" t="s">
        <v>115</v>
      </c>
      <c r="BS4" s="85">
        <v>44270.637650462966</v>
      </c>
    </row>
    <row r="5" spans="1:71" ht="30" x14ac:dyDescent="0.25">
      <c r="A5" s="19" t="s">
        <v>119</v>
      </c>
      <c r="B5" s="86">
        <v>4</v>
      </c>
      <c r="C5" s="19">
        <v>0</v>
      </c>
      <c r="D5" s="86">
        <v>-5.3</v>
      </c>
      <c r="E5" s="19">
        <v>-7</v>
      </c>
      <c r="F5" s="19" t="s">
        <v>116</v>
      </c>
      <c r="G5" s="19">
        <v>0</v>
      </c>
      <c r="H5" s="19">
        <v>0</v>
      </c>
      <c r="I5" s="86" t="s">
        <v>107</v>
      </c>
      <c r="J5" s="86" t="s">
        <v>65</v>
      </c>
      <c r="K5" s="86">
        <v>9.3000000000000007</v>
      </c>
      <c r="L5" s="86">
        <v>205</v>
      </c>
      <c r="M5" s="19">
        <v>156</v>
      </c>
      <c r="N5" s="19">
        <v>271</v>
      </c>
      <c r="O5" s="86">
        <v>77.599999999999994</v>
      </c>
      <c r="P5" s="19">
        <v>78.2</v>
      </c>
      <c r="Q5" s="19">
        <v>77.599999999999994</v>
      </c>
      <c r="R5" s="19">
        <v>0</v>
      </c>
      <c r="S5" s="86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86">
        <v>21400</v>
      </c>
      <c r="Z5" s="86">
        <v>0</v>
      </c>
      <c r="AA5" s="19">
        <v>21400</v>
      </c>
      <c r="AB5" s="19">
        <v>21400</v>
      </c>
      <c r="AC5" s="86">
        <v>3</v>
      </c>
      <c r="AD5" s="86">
        <v>1.7999999999999999E-2</v>
      </c>
      <c r="AE5" s="19">
        <v>2.2499999999999999E-2</v>
      </c>
      <c r="AF5" s="19">
        <v>1.4999999999999999E-2</v>
      </c>
      <c r="AG5" s="86">
        <v>0</v>
      </c>
      <c r="AH5" s="86">
        <v>0.25</v>
      </c>
      <c r="AI5" s="19">
        <v>0</v>
      </c>
      <c r="AJ5" s="19">
        <v>0</v>
      </c>
      <c r="AK5" s="86">
        <v>0</v>
      </c>
      <c r="AL5" s="19">
        <v>0</v>
      </c>
      <c r="AM5" s="19">
        <v>0</v>
      </c>
      <c r="AN5" s="86">
        <v>1</v>
      </c>
      <c r="AO5" s="86">
        <v>0</v>
      </c>
      <c r="AP5" s="19">
        <v>0</v>
      </c>
      <c r="AQ5" s="19">
        <v>0</v>
      </c>
      <c r="AR5" s="86">
        <v>185000</v>
      </c>
      <c r="AS5" s="19">
        <v>105000</v>
      </c>
      <c r="AT5" s="19">
        <v>282000</v>
      </c>
      <c r="AU5" s="86">
        <v>6869.6</v>
      </c>
      <c r="AV5" s="19">
        <v>6869.6</v>
      </c>
      <c r="AW5" s="19">
        <v>6869.6</v>
      </c>
      <c r="AX5" s="86">
        <v>0.49</v>
      </c>
      <c r="AY5" s="86">
        <v>0</v>
      </c>
      <c r="AZ5" s="19">
        <v>0</v>
      </c>
      <c r="BA5" s="19">
        <v>0</v>
      </c>
      <c r="BB5" s="19">
        <v>0</v>
      </c>
      <c r="BC5" s="19">
        <v>0</v>
      </c>
      <c r="BD5" s="19">
        <v>0</v>
      </c>
      <c r="BE5" s="86">
        <v>0</v>
      </c>
      <c r="BF5" s="86">
        <v>0</v>
      </c>
      <c r="BG5" s="86">
        <v>0</v>
      </c>
      <c r="BH5" s="19">
        <v>0</v>
      </c>
      <c r="BI5" s="19">
        <v>0</v>
      </c>
      <c r="BJ5" s="86">
        <v>1</v>
      </c>
      <c r="BK5" s="86">
        <v>1</v>
      </c>
      <c r="BL5" s="86">
        <v>1</v>
      </c>
      <c r="BM5" s="86">
        <v>1</v>
      </c>
      <c r="BN5" s="86">
        <v>0</v>
      </c>
      <c r="BO5" s="19">
        <v>0.9</v>
      </c>
      <c r="BP5" s="19" t="s">
        <v>113</v>
      </c>
      <c r="BQ5" s="19" t="s">
        <v>114</v>
      </c>
      <c r="BR5" s="19" t="s">
        <v>115</v>
      </c>
      <c r="BS5" s="85">
        <v>44270.893993055557</v>
      </c>
    </row>
    <row r="6" spans="1:71" ht="30" x14ac:dyDescent="0.25">
      <c r="A6" s="19" t="s">
        <v>119</v>
      </c>
      <c r="B6" s="86">
        <v>5</v>
      </c>
      <c r="C6" s="19">
        <v>0</v>
      </c>
      <c r="D6" s="86">
        <v>-7</v>
      </c>
      <c r="E6" s="19">
        <v>-8</v>
      </c>
      <c r="F6" s="19" t="s">
        <v>116</v>
      </c>
      <c r="G6" s="19">
        <v>0</v>
      </c>
      <c r="H6" s="19">
        <v>0</v>
      </c>
      <c r="I6" s="86" t="s">
        <v>107</v>
      </c>
      <c r="J6" s="86" t="s">
        <v>65</v>
      </c>
      <c r="K6" s="86">
        <v>8.3000000000000007</v>
      </c>
      <c r="L6" s="86">
        <v>281</v>
      </c>
      <c r="M6" s="19">
        <v>238</v>
      </c>
      <c r="N6" s="19">
        <v>324</v>
      </c>
      <c r="O6" s="86">
        <v>-92</v>
      </c>
      <c r="P6" s="19">
        <v>-92</v>
      </c>
      <c r="Q6" s="19">
        <v>-92</v>
      </c>
      <c r="R6" s="19">
        <v>0</v>
      </c>
      <c r="S6" s="86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86">
        <v>20000</v>
      </c>
      <c r="Z6" s="86">
        <v>0</v>
      </c>
      <c r="AA6" s="19">
        <v>20000</v>
      </c>
      <c r="AB6" s="19">
        <v>20000</v>
      </c>
      <c r="AC6" s="86">
        <v>3</v>
      </c>
      <c r="AD6" s="86">
        <v>1.7999999999999999E-2</v>
      </c>
      <c r="AE6" s="19">
        <v>2.2499999999999999E-2</v>
      </c>
      <c r="AF6" s="19">
        <v>1.4999999999999999E-2</v>
      </c>
      <c r="AG6" s="86">
        <v>0</v>
      </c>
      <c r="AH6" s="86">
        <v>0.25</v>
      </c>
      <c r="AI6" s="19">
        <v>0</v>
      </c>
      <c r="AJ6" s="19">
        <v>0</v>
      </c>
      <c r="AK6" s="86">
        <v>0</v>
      </c>
      <c r="AL6" s="19">
        <v>0</v>
      </c>
      <c r="AM6" s="19">
        <v>0</v>
      </c>
      <c r="AN6" s="86">
        <v>1</v>
      </c>
      <c r="AO6" s="86">
        <v>0</v>
      </c>
      <c r="AP6" s="19">
        <v>0</v>
      </c>
      <c r="AQ6" s="19">
        <v>0</v>
      </c>
      <c r="AR6" s="86">
        <v>297000</v>
      </c>
      <c r="AS6" s="19">
        <v>212000</v>
      </c>
      <c r="AT6" s="19">
        <v>381000</v>
      </c>
      <c r="AU6" s="86">
        <v>-4956.5</v>
      </c>
      <c r="AV6" s="19">
        <v>-4913</v>
      </c>
      <c r="AW6" s="19">
        <v>-4956.5</v>
      </c>
      <c r="AX6" s="86">
        <v>0.49</v>
      </c>
      <c r="AY6" s="86">
        <v>0</v>
      </c>
      <c r="AZ6" s="19">
        <v>0</v>
      </c>
      <c r="BA6" s="19">
        <v>0</v>
      </c>
      <c r="BB6" s="19">
        <v>0</v>
      </c>
      <c r="BC6" s="19">
        <v>0</v>
      </c>
      <c r="BD6" s="19">
        <v>0</v>
      </c>
      <c r="BE6" s="86">
        <v>0</v>
      </c>
      <c r="BF6" s="86">
        <v>0</v>
      </c>
      <c r="BG6" s="86">
        <v>0</v>
      </c>
      <c r="BH6" s="19">
        <v>0</v>
      </c>
      <c r="BI6" s="19">
        <v>0</v>
      </c>
      <c r="BJ6" s="86">
        <v>1</v>
      </c>
      <c r="BK6" s="86">
        <v>1</v>
      </c>
      <c r="BL6" s="86">
        <v>1</v>
      </c>
      <c r="BM6" s="86">
        <v>1</v>
      </c>
      <c r="BN6" s="86">
        <v>0</v>
      </c>
      <c r="BO6" s="19">
        <v>0.9</v>
      </c>
      <c r="BP6" s="19" t="s">
        <v>113</v>
      </c>
      <c r="BQ6" s="19" t="s">
        <v>114</v>
      </c>
      <c r="BR6" s="19" t="s">
        <v>115</v>
      </c>
      <c r="BS6" s="85">
        <v>44270.893993055557</v>
      </c>
    </row>
    <row r="7" spans="1:71" ht="30" x14ac:dyDescent="0.25">
      <c r="A7" s="19" t="s">
        <v>119</v>
      </c>
      <c r="B7" s="86">
        <v>6</v>
      </c>
      <c r="C7" s="19">
        <v>0</v>
      </c>
      <c r="D7" s="86">
        <v>-8</v>
      </c>
      <c r="E7" s="19">
        <v>-24.5</v>
      </c>
      <c r="F7" s="19" t="s">
        <v>116</v>
      </c>
      <c r="G7" s="19">
        <v>0</v>
      </c>
      <c r="H7" s="19">
        <v>0</v>
      </c>
      <c r="I7" s="86" t="s">
        <v>107</v>
      </c>
      <c r="J7" s="86" t="s">
        <v>65</v>
      </c>
      <c r="K7" s="86">
        <v>8.3000000000000007</v>
      </c>
      <c r="L7" s="86">
        <v>140</v>
      </c>
      <c r="M7" s="19">
        <v>102</v>
      </c>
      <c r="N7" s="19">
        <v>179</v>
      </c>
      <c r="O7" s="86">
        <v>10.199999999999999</v>
      </c>
      <c r="P7" s="19">
        <v>10.199999999999999</v>
      </c>
      <c r="Q7" s="19">
        <v>10.199999999999999</v>
      </c>
      <c r="R7" s="19">
        <v>0</v>
      </c>
      <c r="S7" s="86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86">
        <v>17600</v>
      </c>
      <c r="Z7" s="86">
        <v>0</v>
      </c>
      <c r="AA7" s="19">
        <v>17600</v>
      </c>
      <c r="AB7" s="19">
        <v>17600</v>
      </c>
      <c r="AC7" s="86">
        <v>3</v>
      </c>
      <c r="AD7" s="86">
        <v>1.7999999999999999E-2</v>
      </c>
      <c r="AE7" s="19">
        <v>2.2499999999999999E-2</v>
      </c>
      <c r="AF7" s="19">
        <v>1.4999999999999999E-2</v>
      </c>
      <c r="AG7" s="86">
        <v>0</v>
      </c>
      <c r="AH7" s="86">
        <v>0.5</v>
      </c>
      <c r="AI7" s="19">
        <v>0</v>
      </c>
      <c r="AJ7" s="19">
        <v>0</v>
      </c>
      <c r="AK7" s="86">
        <v>0</v>
      </c>
      <c r="AL7" s="19">
        <v>0</v>
      </c>
      <c r="AM7" s="19">
        <v>0</v>
      </c>
      <c r="AN7" s="86">
        <v>1</v>
      </c>
      <c r="AO7" s="86">
        <v>0</v>
      </c>
      <c r="AP7" s="19">
        <v>0</v>
      </c>
      <c r="AQ7" s="19">
        <v>0</v>
      </c>
      <c r="AR7" s="86">
        <v>126000</v>
      </c>
      <c r="AS7" s="19">
        <v>45000</v>
      </c>
      <c r="AT7" s="19">
        <v>207000</v>
      </c>
      <c r="AU7" s="86">
        <v>9652.2000000000007</v>
      </c>
      <c r="AV7" s="19">
        <v>9652.2000000000007</v>
      </c>
      <c r="AW7" s="19">
        <v>9652.2000000000007</v>
      </c>
      <c r="AX7" s="86">
        <v>0.49</v>
      </c>
      <c r="AY7" s="86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86">
        <v>0</v>
      </c>
      <c r="BF7" s="86">
        <v>0</v>
      </c>
      <c r="BG7" s="86">
        <v>0</v>
      </c>
      <c r="BH7" s="19">
        <v>0</v>
      </c>
      <c r="BI7" s="19">
        <v>0</v>
      </c>
      <c r="BJ7" s="86">
        <v>1</v>
      </c>
      <c r="BK7" s="86">
        <v>1</v>
      </c>
      <c r="BL7" s="86">
        <v>1</v>
      </c>
      <c r="BM7" s="86">
        <v>1</v>
      </c>
      <c r="BN7" s="86">
        <v>0</v>
      </c>
      <c r="BO7" s="19">
        <v>0.9</v>
      </c>
      <c r="BP7" s="19" t="s">
        <v>113</v>
      </c>
      <c r="BQ7" s="19" t="s">
        <v>114</v>
      </c>
      <c r="BR7" s="19" t="s">
        <v>115</v>
      </c>
      <c r="BS7" s="85">
        <v>44270.893993055557</v>
      </c>
    </row>
    <row r="8" spans="1:71" ht="30" x14ac:dyDescent="0.25">
      <c r="A8" s="19" t="s">
        <v>119</v>
      </c>
      <c r="B8" s="86">
        <v>7</v>
      </c>
      <c r="C8" s="19">
        <v>0</v>
      </c>
      <c r="D8" s="86">
        <v>-24.5</v>
      </c>
      <c r="E8" s="19">
        <v>-27.3</v>
      </c>
      <c r="F8" s="19" t="s">
        <v>111</v>
      </c>
      <c r="G8" s="19">
        <v>0</v>
      </c>
      <c r="H8" s="19">
        <v>0</v>
      </c>
      <c r="I8" s="86" t="s">
        <v>112</v>
      </c>
      <c r="J8" s="86" t="s">
        <v>64</v>
      </c>
      <c r="K8" s="86">
        <v>9.1</v>
      </c>
      <c r="L8" s="86">
        <v>0</v>
      </c>
      <c r="M8" s="19">
        <v>0</v>
      </c>
      <c r="N8" s="19">
        <v>0</v>
      </c>
      <c r="O8" s="86">
        <v>0</v>
      </c>
      <c r="P8" s="19">
        <v>0</v>
      </c>
      <c r="Q8" s="19">
        <v>0</v>
      </c>
      <c r="R8" s="19">
        <v>0</v>
      </c>
      <c r="S8" s="86">
        <v>29</v>
      </c>
      <c r="T8" s="19">
        <v>27</v>
      </c>
      <c r="U8" s="19">
        <v>31</v>
      </c>
      <c r="V8" s="19">
        <v>24</v>
      </c>
      <c r="W8" s="19">
        <v>22</v>
      </c>
      <c r="X8" s="19">
        <v>26</v>
      </c>
      <c r="Y8" s="86">
        <v>20000</v>
      </c>
      <c r="Z8" s="86">
        <v>0</v>
      </c>
      <c r="AA8" s="19">
        <v>20000</v>
      </c>
      <c r="AB8" s="19">
        <v>20000</v>
      </c>
      <c r="AC8" s="86">
        <v>0.8</v>
      </c>
      <c r="AD8" s="86">
        <v>0</v>
      </c>
      <c r="AE8" s="19">
        <v>0</v>
      </c>
      <c r="AF8" s="19">
        <v>0</v>
      </c>
      <c r="AG8" s="86">
        <v>0</v>
      </c>
      <c r="AH8" s="86">
        <v>0</v>
      </c>
      <c r="AI8" s="19">
        <v>0</v>
      </c>
      <c r="AJ8" s="19">
        <v>0</v>
      </c>
      <c r="AK8" s="86">
        <v>78.2</v>
      </c>
      <c r="AL8" s="19">
        <v>72.599999999999994</v>
      </c>
      <c r="AM8" s="19">
        <v>84</v>
      </c>
      <c r="AN8" s="86">
        <v>1</v>
      </c>
      <c r="AO8" s="86">
        <v>4420</v>
      </c>
      <c r="AP8" s="19">
        <v>3660</v>
      </c>
      <c r="AQ8" s="19">
        <v>5760</v>
      </c>
      <c r="AR8" s="86">
        <v>133000</v>
      </c>
      <c r="AS8" s="19">
        <v>102000</v>
      </c>
      <c r="AT8" s="19">
        <v>164000</v>
      </c>
      <c r="AU8" s="86">
        <v>-217.4</v>
      </c>
      <c r="AV8" s="19">
        <v>-217.4</v>
      </c>
      <c r="AW8" s="19">
        <v>-260.89999999999998</v>
      </c>
      <c r="AX8" s="86">
        <v>0.2</v>
      </c>
      <c r="AY8" s="86">
        <v>0</v>
      </c>
      <c r="AZ8" s="19">
        <v>0</v>
      </c>
      <c r="BA8" s="19">
        <v>0</v>
      </c>
      <c r="BB8" s="19">
        <v>0</v>
      </c>
      <c r="BC8" s="19">
        <v>0</v>
      </c>
      <c r="BD8" s="19">
        <v>0</v>
      </c>
      <c r="BE8" s="86">
        <v>0</v>
      </c>
      <c r="BF8" s="86">
        <v>0</v>
      </c>
      <c r="BG8" s="86">
        <v>18.399999999999999</v>
      </c>
      <c r="BH8" s="19">
        <v>15.2</v>
      </c>
      <c r="BI8" s="19">
        <v>24</v>
      </c>
      <c r="BJ8" s="86">
        <v>1</v>
      </c>
      <c r="BK8" s="86">
        <v>1</v>
      </c>
      <c r="BL8" s="86">
        <v>1</v>
      </c>
      <c r="BM8" s="86">
        <v>1</v>
      </c>
      <c r="BN8" s="86">
        <v>0</v>
      </c>
      <c r="BO8" s="19">
        <v>0.9</v>
      </c>
      <c r="BP8" s="19" t="s">
        <v>113</v>
      </c>
      <c r="BQ8" s="19" t="s">
        <v>114</v>
      </c>
      <c r="BR8" s="19" t="s">
        <v>115</v>
      </c>
      <c r="BS8" s="85">
        <v>44270.637650462966</v>
      </c>
    </row>
    <row r="9" spans="1:71" ht="30" x14ac:dyDescent="0.25">
      <c r="A9" s="19" t="s">
        <v>119</v>
      </c>
      <c r="B9" s="86">
        <v>8</v>
      </c>
      <c r="C9" s="19">
        <v>0</v>
      </c>
      <c r="D9" s="86">
        <v>-27.3</v>
      </c>
      <c r="E9" s="19">
        <v>-42</v>
      </c>
      <c r="F9" s="19" t="s">
        <v>116</v>
      </c>
      <c r="G9" s="19">
        <v>0</v>
      </c>
      <c r="H9" s="19">
        <v>0</v>
      </c>
      <c r="I9" s="86" t="s">
        <v>107</v>
      </c>
      <c r="J9" s="86" t="s">
        <v>65</v>
      </c>
      <c r="K9" s="86">
        <v>8.8000000000000007</v>
      </c>
      <c r="L9" s="86">
        <v>144</v>
      </c>
      <c r="M9" s="19">
        <v>101</v>
      </c>
      <c r="N9" s="19">
        <v>187</v>
      </c>
      <c r="O9" s="86">
        <v>24.4</v>
      </c>
      <c r="P9" s="19">
        <v>24.4</v>
      </c>
      <c r="Q9" s="19">
        <v>24.5</v>
      </c>
      <c r="R9" s="19">
        <v>0</v>
      </c>
      <c r="S9" s="86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86">
        <v>27400</v>
      </c>
      <c r="Z9" s="86">
        <v>0</v>
      </c>
      <c r="AA9" s="19">
        <v>27400</v>
      </c>
      <c r="AB9" s="19">
        <v>27400</v>
      </c>
      <c r="AC9" s="86">
        <v>2.7</v>
      </c>
      <c r="AD9" s="86">
        <v>1.7999999999999999E-2</v>
      </c>
      <c r="AE9" s="19">
        <v>2.2499999999999999E-2</v>
      </c>
      <c r="AF9" s="19">
        <v>1.4999999999999999E-2</v>
      </c>
      <c r="AG9" s="86">
        <v>0</v>
      </c>
      <c r="AH9" s="86">
        <v>0.5</v>
      </c>
      <c r="AI9" s="19">
        <v>0</v>
      </c>
      <c r="AJ9" s="19">
        <v>0</v>
      </c>
      <c r="AK9" s="86">
        <v>0</v>
      </c>
      <c r="AL9" s="19">
        <v>0</v>
      </c>
      <c r="AM9" s="19">
        <v>0</v>
      </c>
      <c r="AN9" s="86">
        <v>1</v>
      </c>
      <c r="AO9" s="86">
        <v>0</v>
      </c>
      <c r="AP9" s="19">
        <v>0</v>
      </c>
      <c r="AQ9" s="19">
        <v>0</v>
      </c>
      <c r="AR9" s="86">
        <v>146000</v>
      </c>
      <c r="AS9" s="19">
        <v>59000</v>
      </c>
      <c r="AT9" s="19">
        <v>233000</v>
      </c>
      <c r="AU9" s="86">
        <v>22521.7</v>
      </c>
      <c r="AV9" s="19">
        <v>22521.7</v>
      </c>
      <c r="AW9" s="19">
        <v>22521.7</v>
      </c>
      <c r="AX9" s="86">
        <v>0.49</v>
      </c>
      <c r="AY9" s="86">
        <v>0</v>
      </c>
      <c r="AZ9" s="19">
        <v>0</v>
      </c>
      <c r="BA9" s="19">
        <v>0</v>
      </c>
      <c r="BB9" s="19">
        <v>0</v>
      </c>
      <c r="BC9" s="19">
        <v>0</v>
      </c>
      <c r="BD9" s="19">
        <v>0</v>
      </c>
      <c r="BE9" s="86">
        <v>0</v>
      </c>
      <c r="BF9" s="86">
        <v>0</v>
      </c>
      <c r="BG9" s="86">
        <v>0</v>
      </c>
      <c r="BH9" s="19">
        <v>0</v>
      </c>
      <c r="BI9" s="19">
        <v>0</v>
      </c>
      <c r="BJ9" s="86">
        <v>1</v>
      </c>
      <c r="BK9" s="86">
        <v>1</v>
      </c>
      <c r="BL9" s="86">
        <v>1</v>
      </c>
      <c r="BM9" s="86">
        <v>1</v>
      </c>
      <c r="BN9" s="86">
        <v>0</v>
      </c>
      <c r="BO9" s="19">
        <v>0.9</v>
      </c>
      <c r="BP9" s="19" t="s">
        <v>113</v>
      </c>
      <c r="BQ9" s="19" t="s">
        <v>114</v>
      </c>
      <c r="BR9" s="19" t="s">
        <v>115</v>
      </c>
      <c r="BS9" s="85">
        <v>44270.893993055557</v>
      </c>
    </row>
    <row r="10" spans="1:71" ht="30" x14ac:dyDescent="0.25">
      <c r="A10" s="19" t="s">
        <v>119</v>
      </c>
      <c r="B10" s="86">
        <v>9</v>
      </c>
      <c r="C10" s="19">
        <v>0</v>
      </c>
      <c r="D10" s="86">
        <v>-42</v>
      </c>
      <c r="E10" s="19">
        <v>-48</v>
      </c>
      <c r="F10" s="19" t="s">
        <v>116</v>
      </c>
      <c r="G10" s="19">
        <v>0</v>
      </c>
      <c r="H10" s="19">
        <v>0</v>
      </c>
      <c r="I10" s="86" t="s">
        <v>107</v>
      </c>
      <c r="J10" s="86" t="s">
        <v>65</v>
      </c>
      <c r="K10" s="86">
        <v>8.5</v>
      </c>
      <c r="L10" s="86">
        <v>110</v>
      </c>
      <c r="M10" s="19">
        <v>90</v>
      </c>
      <c r="N10" s="19">
        <v>131</v>
      </c>
      <c r="O10" s="86">
        <v>1.8</v>
      </c>
      <c r="P10" s="19">
        <v>1.8</v>
      </c>
      <c r="Q10" s="19">
        <v>1.8</v>
      </c>
      <c r="R10" s="19">
        <v>0</v>
      </c>
      <c r="S10" s="86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86">
        <v>9700</v>
      </c>
      <c r="Z10" s="86">
        <v>0</v>
      </c>
      <c r="AA10" s="19">
        <v>9700</v>
      </c>
      <c r="AB10" s="19">
        <v>9700</v>
      </c>
      <c r="AC10" s="86">
        <v>0.7</v>
      </c>
      <c r="AD10" s="86">
        <v>1.7999999999999999E-2</v>
      </c>
      <c r="AE10" s="19">
        <v>2.2499999999999999E-2</v>
      </c>
      <c r="AF10" s="19">
        <v>1.4999999999999999E-2</v>
      </c>
      <c r="AG10" s="86">
        <v>0</v>
      </c>
      <c r="AH10" s="86">
        <v>0.5</v>
      </c>
      <c r="AI10" s="19">
        <v>0</v>
      </c>
      <c r="AJ10" s="19">
        <v>0</v>
      </c>
      <c r="AK10" s="86">
        <v>0</v>
      </c>
      <c r="AL10" s="19">
        <v>0</v>
      </c>
      <c r="AM10" s="19">
        <v>0</v>
      </c>
      <c r="AN10" s="86">
        <v>1</v>
      </c>
      <c r="AO10" s="86">
        <v>0</v>
      </c>
      <c r="AP10" s="19">
        <v>0</v>
      </c>
      <c r="AQ10" s="19">
        <v>0</v>
      </c>
      <c r="AR10" s="86">
        <v>134000</v>
      </c>
      <c r="AS10" s="19">
        <v>84000</v>
      </c>
      <c r="AT10" s="19">
        <v>183000</v>
      </c>
      <c r="AU10" s="86">
        <v>695.7</v>
      </c>
      <c r="AV10" s="19">
        <v>695.7</v>
      </c>
      <c r="AW10" s="19">
        <v>695.7</v>
      </c>
      <c r="AX10" s="86">
        <v>0.49</v>
      </c>
      <c r="AY10" s="86">
        <v>0</v>
      </c>
      <c r="AZ10" s="19">
        <v>0</v>
      </c>
      <c r="BA10" s="19">
        <v>0</v>
      </c>
      <c r="BB10" s="19">
        <v>0</v>
      </c>
      <c r="BC10" s="19">
        <v>0</v>
      </c>
      <c r="BD10" s="19">
        <v>0</v>
      </c>
      <c r="BE10" s="86">
        <v>0</v>
      </c>
      <c r="BF10" s="86">
        <v>0</v>
      </c>
      <c r="BG10" s="86">
        <v>0</v>
      </c>
      <c r="BH10" s="19">
        <v>0</v>
      </c>
      <c r="BI10" s="19">
        <v>0</v>
      </c>
      <c r="BJ10" s="86">
        <v>1</v>
      </c>
      <c r="BK10" s="86">
        <v>1</v>
      </c>
      <c r="BL10" s="86">
        <v>1</v>
      </c>
      <c r="BM10" s="86">
        <v>1</v>
      </c>
      <c r="BN10" s="86">
        <v>0</v>
      </c>
      <c r="BO10" s="19">
        <v>0.9</v>
      </c>
      <c r="BP10" s="19" t="s">
        <v>113</v>
      </c>
      <c r="BQ10" s="19" t="s">
        <v>114</v>
      </c>
      <c r="BR10" s="19" t="s">
        <v>115</v>
      </c>
      <c r="BS10" s="85">
        <v>44270.893993055557</v>
      </c>
    </row>
    <row r="11" spans="1:71" ht="30" x14ac:dyDescent="0.25">
      <c r="A11" s="19" t="s">
        <v>119</v>
      </c>
      <c r="B11" s="86">
        <v>10</v>
      </c>
      <c r="C11" s="19">
        <v>0</v>
      </c>
      <c r="D11" s="86">
        <v>-48</v>
      </c>
      <c r="E11" s="19">
        <v>-80</v>
      </c>
      <c r="F11" s="19" t="s">
        <v>116</v>
      </c>
      <c r="G11" s="19">
        <v>0</v>
      </c>
      <c r="H11" s="19">
        <v>0</v>
      </c>
      <c r="I11" s="86" t="s">
        <v>107</v>
      </c>
      <c r="J11" s="86" t="s">
        <v>65</v>
      </c>
      <c r="K11" s="86">
        <v>8.6999999999999993</v>
      </c>
      <c r="L11" s="86">
        <v>602</v>
      </c>
      <c r="M11" s="19">
        <v>559</v>
      </c>
      <c r="N11" s="19">
        <v>646</v>
      </c>
      <c r="O11" s="86">
        <v>2.2000000000000002</v>
      </c>
      <c r="P11" s="19">
        <v>2.2000000000000002</v>
      </c>
      <c r="Q11" s="19">
        <v>2.2000000000000002</v>
      </c>
      <c r="R11" s="19">
        <v>0</v>
      </c>
      <c r="S11" s="86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86">
        <v>51400</v>
      </c>
      <c r="Z11" s="86">
        <v>0</v>
      </c>
      <c r="AA11" s="19">
        <v>51400</v>
      </c>
      <c r="AB11" s="19">
        <v>51400</v>
      </c>
      <c r="AC11" s="86">
        <v>2.5</v>
      </c>
      <c r="AD11" s="86">
        <v>1.7999999999999999E-2</v>
      </c>
      <c r="AE11" s="19">
        <v>2.2499999999999999E-2</v>
      </c>
      <c r="AF11" s="19">
        <v>1.4999999999999999E-2</v>
      </c>
      <c r="AG11" s="86">
        <v>0</v>
      </c>
      <c r="AH11" s="86">
        <v>0.25</v>
      </c>
      <c r="AI11" s="19">
        <v>0</v>
      </c>
      <c r="AJ11" s="19">
        <v>0</v>
      </c>
      <c r="AK11" s="86">
        <v>0</v>
      </c>
      <c r="AL11" s="19">
        <v>0</v>
      </c>
      <c r="AM11" s="19">
        <v>0</v>
      </c>
      <c r="AN11" s="86">
        <v>1</v>
      </c>
      <c r="AO11" s="86">
        <v>0</v>
      </c>
      <c r="AP11" s="19">
        <v>0</v>
      </c>
      <c r="AQ11" s="19">
        <v>0</v>
      </c>
      <c r="AR11" s="86">
        <v>839000</v>
      </c>
      <c r="AS11" s="19">
        <v>753000</v>
      </c>
      <c r="AT11" s="19">
        <v>926000</v>
      </c>
      <c r="AU11" s="86">
        <v>6956.5</v>
      </c>
      <c r="AV11" s="19">
        <v>6956.5</v>
      </c>
      <c r="AW11" s="19">
        <v>6956.5</v>
      </c>
      <c r="AX11" s="86">
        <v>0.49</v>
      </c>
      <c r="AY11" s="86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86">
        <v>0</v>
      </c>
      <c r="BF11" s="86">
        <v>0</v>
      </c>
      <c r="BG11" s="86">
        <v>0</v>
      </c>
      <c r="BH11" s="19">
        <v>0</v>
      </c>
      <c r="BI11" s="19">
        <v>0</v>
      </c>
      <c r="BJ11" s="86">
        <v>1</v>
      </c>
      <c r="BK11" s="86">
        <v>1</v>
      </c>
      <c r="BL11" s="86">
        <v>1</v>
      </c>
      <c r="BM11" s="86">
        <v>1</v>
      </c>
      <c r="BN11" s="86">
        <v>0</v>
      </c>
      <c r="BO11" s="19">
        <v>0.9</v>
      </c>
      <c r="BP11" s="19" t="s">
        <v>113</v>
      </c>
      <c r="BQ11" s="19" t="s">
        <v>114</v>
      </c>
      <c r="BR11" s="19" t="s">
        <v>115</v>
      </c>
      <c r="BS11" s="85">
        <v>44270.893993055557</v>
      </c>
    </row>
    <row r="12" spans="1:71" x14ac:dyDescent="0.25">
      <c r="A12" s="19"/>
      <c r="B12" s="86"/>
      <c r="C12" s="19"/>
      <c r="D12" s="86"/>
      <c r="E12" s="19"/>
      <c r="F12" s="19"/>
      <c r="G12" s="19"/>
      <c r="H12" s="19"/>
      <c r="I12" s="86"/>
      <c r="J12" s="86"/>
      <c r="K12" s="86"/>
      <c r="L12" s="86"/>
      <c r="M12" s="19"/>
      <c r="N12" s="19"/>
      <c r="O12" s="86"/>
      <c r="P12" s="19"/>
      <c r="Q12" s="19"/>
      <c r="R12" s="19"/>
      <c r="S12" s="86"/>
      <c r="T12" s="19"/>
      <c r="U12" s="19"/>
      <c r="V12" s="19"/>
      <c r="W12" s="19"/>
      <c r="X12" s="19"/>
      <c r="Y12" s="86"/>
      <c r="Z12" s="86"/>
      <c r="AA12" s="19"/>
      <c r="AB12" s="19"/>
      <c r="AC12" s="86"/>
      <c r="AD12" s="86"/>
      <c r="AE12" s="19"/>
      <c r="AF12" s="19"/>
      <c r="AG12" s="86"/>
      <c r="AH12" s="86"/>
      <c r="AI12" s="19"/>
      <c r="AJ12" s="19"/>
      <c r="AK12" s="86"/>
      <c r="AL12" s="19"/>
      <c r="AM12" s="19"/>
      <c r="AN12" s="86"/>
      <c r="AO12" s="86"/>
      <c r="AP12" s="19"/>
      <c r="AQ12" s="19"/>
      <c r="AR12" s="86"/>
      <c r="AS12" s="19"/>
      <c r="AT12" s="19"/>
      <c r="AU12" s="86"/>
      <c r="AV12" s="19"/>
      <c r="AW12" s="19"/>
      <c r="AX12" s="86"/>
      <c r="AY12" s="86"/>
      <c r="AZ12" s="19"/>
      <c r="BA12" s="19"/>
      <c r="BB12" s="19"/>
      <c r="BC12" s="19"/>
      <c r="BD12" s="19"/>
      <c r="BE12" s="86"/>
      <c r="BF12" s="86"/>
      <c r="BG12" s="86"/>
      <c r="BH12" s="19"/>
      <c r="BI12" s="19"/>
      <c r="BJ12" s="86"/>
      <c r="BK12" s="86"/>
      <c r="BL12" s="86"/>
      <c r="BM12" s="86"/>
      <c r="BN12" s="86"/>
      <c r="BO12" s="19"/>
      <c r="BP12" s="19"/>
      <c r="BQ12" s="19"/>
      <c r="BR12" s="19"/>
      <c r="BS12" s="19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E4E7F-D1F4-4EF1-A3D1-5037FC4AB3DA}">
  <sheetPr>
    <tabColor theme="1" tint="0.249977111117893"/>
  </sheetPr>
  <dimension ref="A1:BS13"/>
  <sheetViews>
    <sheetView topLeftCell="AP1" workbookViewId="0">
      <selection activeCell="BB15" sqref="BB15"/>
    </sheetView>
  </sheetViews>
  <sheetFormatPr defaultRowHeight="15" x14ac:dyDescent="0.25"/>
  <cols>
    <col min="2" max="2" width="9.140625" style="84"/>
    <col min="4" max="4" width="9.140625" style="84"/>
    <col min="9" max="12" width="9.140625" style="84"/>
    <col min="15" max="15" width="9.140625" style="84"/>
    <col min="19" max="19" width="9.140625" style="84"/>
    <col min="25" max="26" width="9.140625" style="84"/>
    <col min="29" max="30" width="9.140625" style="84"/>
    <col min="33" max="34" width="9.140625" style="84"/>
    <col min="37" max="37" width="9.140625" style="84"/>
    <col min="40" max="41" width="9.140625" style="84"/>
    <col min="44" max="44" width="9.140625" style="84"/>
    <col min="47" max="47" width="9.140625" style="84"/>
    <col min="50" max="51" width="9.140625" style="84"/>
    <col min="57" max="59" width="9.140625" style="84"/>
    <col min="62" max="66" width="9.140625" style="84"/>
  </cols>
  <sheetData>
    <row r="1" spans="1:71" x14ac:dyDescent="0.25">
      <c r="A1" t="s">
        <v>121</v>
      </c>
      <c r="B1" s="84" t="s">
        <v>0</v>
      </c>
      <c r="C1" t="s">
        <v>122</v>
      </c>
      <c r="D1" s="84" t="s">
        <v>123</v>
      </c>
      <c r="E1" t="s">
        <v>124</v>
      </c>
      <c r="F1" t="s">
        <v>125</v>
      </c>
      <c r="G1" t="s">
        <v>126</v>
      </c>
      <c r="H1" t="s">
        <v>42</v>
      </c>
      <c r="I1" s="84" t="s">
        <v>127</v>
      </c>
      <c r="J1" s="84" t="s">
        <v>128</v>
      </c>
      <c r="K1" s="84" t="s">
        <v>129</v>
      </c>
      <c r="L1" s="84" t="s">
        <v>4</v>
      </c>
      <c r="M1" t="s">
        <v>130</v>
      </c>
      <c r="N1" t="s">
        <v>131</v>
      </c>
      <c r="O1" s="84" t="s">
        <v>132</v>
      </c>
      <c r="P1" t="s">
        <v>133</v>
      </c>
      <c r="Q1" t="s">
        <v>134</v>
      </c>
      <c r="R1" t="s">
        <v>135</v>
      </c>
      <c r="S1" s="84" t="s">
        <v>7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s="84" t="s">
        <v>90</v>
      </c>
      <c r="Z1" s="84" t="s">
        <v>141</v>
      </c>
      <c r="AA1" t="s">
        <v>142</v>
      </c>
      <c r="AB1" t="s">
        <v>143</v>
      </c>
      <c r="AC1" s="84" t="s">
        <v>144</v>
      </c>
      <c r="AD1" s="84" t="s">
        <v>8</v>
      </c>
      <c r="AE1" t="s">
        <v>145</v>
      </c>
      <c r="AF1" t="s">
        <v>146</v>
      </c>
      <c r="AG1" s="84" t="s">
        <v>161</v>
      </c>
      <c r="AH1" s="84" t="s">
        <v>10</v>
      </c>
      <c r="AI1" t="s">
        <v>147</v>
      </c>
      <c r="AJ1" t="s">
        <v>148</v>
      </c>
      <c r="AK1" s="84" t="s">
        <v>149</v>
      </c>
      <c r="AL1" t="s">
        <v>151</v>
      </c>
      <c r="AM1" t="s">
        <v>152</v>
      </c>
      <c r="AN1" s="84" t="s">
        <v>153</v>
      </c>
      <c r="AO1" s="84" t="s">
        <v>150</v>
      </c>
      <c r="AP1" t="s">
        <v>154</v>
      </c>
      <c r="AQ1" t="s">
        <v>155</v>
      </c>
      <c r="AR1" s="84" t="s">
        <v>11</v>
      </c>
      <c r="AS1" t="s">
        <v>156</v>
      </c>
      <c r="AT1" t="s">
        <v>157</v>
      </c>
      <c r="AU1" s="84" t="s">
        <v>158</v>
      </c>
      <c r="AV1" t="s">
        <v>159</v>
      </c>
      <c r="AW1" t="s">
        <v>160</v>
      </c>
      <c r="AX1" s="84" t="s">
        <v>18</v>
      </c>
      <c r="AY1" s="84" t="s">
        <v>162</v>
      </c>
      <c r="AZ1" t="s">
        <v>163</v>
      </c>
      <c r="BA1" t="s">
        <v>164</v>
      </c>
      <c r="BB1" t="s">
        <v>165</v>
      </c>
      <c r="BC1" t="s">
        <v>166</v>
      </c>
      <c r="BD1" t="s">
        <v>167</v>
      </c>
      <c r="BE1" s="84" t="s">
        <v>168</v>
      </c>
      <c r="BF1" s="84" t="s">
        <v>21</v>
      </c>
      <c r="BG1" s="84" t="s">
        <v>66</v>
      </c>
      <c r="BH1" t="s">
        <v>169</v>
      </c>
      <c r="BI1" t="s">
        <v>170</v>
      </c>
      <c r="BJ1" s="84" t="s">
        <v>171</v>
      </c>
      <c r="BK1" s="84" t="s">
        <v>172</v>
      </c>
      <c r="BL1" s="84" t="s">
        <v>173</v>
      </c>
      <c r="BM1" s="84" t="s">
        <v>174</v>
      </c>
      <c r="BN1" s="84" t="s">
        <v>175</v>
      </c>
      <c r="BO1" t="s">
        <v>176</v>
      </c>
    </row>
    <row r="2" spans="1:71" ht="30" x14ac:dyDescent="0.25">
      <c r="A2" s="19" t="s">
        <v>120</v>
      </c>
      <c r="B2" s="86">
        <v>1</v>
      </c>
      <c r="C2" s="19">
        <v>0</v>
      </c>
      <c r="D2" s="86">
        <v>0</v>
      </c>
      <c r="E2" s="19">
        <v>-0.5</v>
      </c>
      <c r="F2" s="19" t="s">
        <v>111</v>
      </c>
      <c r="G2" s="19">
        <v>0</v>
      </c>
      <c r="H2" s="19">
        <v>0</v>
      </c>
      <c r="I2" s="86" t="s">
        <v>112</v>
      </c>
      <c r="J2" s="86" t="s">
        <v>64</v>
      </c>
      <c r="K2" s="86">
        <v>9.6999999999999993</v>
      </c>
      <c r="L2" s="86">
        <v>0</v>
      </c>
      <c r="M2" s="19">
        <v>0</v>
      </c>
      <c r="N2" s="19">
        <v>0</v>
      </c>
      <c r="O2" s="86">
        <v>0</v>
      </c>
      <c r="P2" s="19">
        <v>0</v>
      </c>
      <c r="Q2" s="19">
        <v>0</v>
      </c>
      <c r="R2" s="19">
        <v>0</v>
      </c>
      <c r="S2" s="86">
        <v>36</v>
      </c>
      <c r="T2" s="19">
        <v>33</v>
      </c>
      <c r="U2" s="19">
        <v>39</v>
      </c>
      <c r="V2" s="19">
        <v>31</v>
      </c>
      <c r="W2" s="19">
        <v>28</v>
      </c>
      <c r="X2" s="19">
        <v>34</v>
      </c>
      <c r="Y2" s="86">
        <v>2800</v>
      </c>
      <c r="Z2" s="86">
        <v>0</v>
      </c>
      <c r="AA2" s="19">
        <v>2800</v>
      </c>
      <c r="AB2" s="19">
        <v>2800</v>
      </c>
      <c r="AC2" s="86">
        <v>0.5</v>
      </c>
      <c r="AD2" s="86">
        <v>0</v>
      </c>
      <c r="AE2" s="19">
        <v>0</v>
      </c>
      <c r="AF2" s="19">
        <v>0</v>
      </c>
      <c r="AG2" s="86">
        <v>0</v>
      </c>
      <c r="AH2" s="86">
        <v>0</v>
      </c>
      <c r="AI2" s="19">
        <v>0</v>
      </c>
      <c r="AJ2" s="19">
        <v>0</v>
      </c>
      <c r="AK2" s="86">
        <v>99.8</v>
      </c>
      <c r="AL2" s="19">
        <v>90</v>
      </c>
      <c r="AM2" s="19">
        <v>111.2</v>
      </c>
      <c r="AN2" s="86">
        <v>1</v>
      </c>
      <c r="AO2" s="86">
        <v>10080</v>
      </c>
      <c r="AP2" s="19">
        <v>7680</v>
      </c>
      <c r="AQ2" s="19">
        <v>11520</v>
      </c>
      <c r="AR2" s="86">
        <v>5000</v>
      </c>
      <c r="AS2" s="19">
        <v>2000</v>
      </c>
      <c r="AT2" s="19">
        <v>8000</v>
      </c>
      <c r="AU2" s="86">
        <v>521.70000000000005</v>
      </c>
      <c r="AV2" s="19">
        <v>521.70000000000005</v>
      </c>
      <c r="AW2" s="19">
        <v>521.70000000000005</v>
      </c>
      <c r="AX2" s="86">
        <v>0.2</v>
      </c>
      <c r="AY2" s="86">
        <v>0</v>
      </c>
      <c r="AZ2" s="19">
        <v>0</v>
      </c>
      <c r="BA2" s="19">
        <v>0</v>
      </c>
      <c r="BB2" s="19">
        <v>0</v>
      </c>
      <c r="BC2" s="19">
        <v>0</v>
      </c>
      <c r="BD2" s="19">
        <v>0</v>
      </c>
      <c r="BE2" s="86">
        <v>0</v>
      </c>
      <c r="BF2" s="86">
        <v>0</v>
      </c>
      <c r="BG2" s="86">
        <v>42</v>
      </c>
      <c r="BH2" s="19">
        <v>32</v>
      </c>
      <c r="BI2" s="19">
        <v>48</v>
      </c>
      <c r="BJ2" s="86">
        <v>1</v>
      </c>
      <c r="BK2" s="86">
        <v>1</v>
      </c>
      <c r="BL2" s="86">
        <v>1</v>
      </c>
      <c r="BM2" s="86">
        <v>1</v>
      </c>
      <c r="BN2" s="86">
        <v>0</v>
      </c>
      <c r="BO2" s="19">
        <v>0.9</v>
      </c>
      <c r="BP2" s="19" t="s">
        <v>113</v>
      </c>
      <c r="BQ2" s="19" t="s">
        <v>114</v>
      </c>
      <c r="BR2" s="19" t="s">
        <v>115</v>
      </c>
      <c r="BS2" s="85">
        <v>44270.637650462966</v>
      </c>
    </row>
    <row r="3" spans="1:71" ht="30" x14ac:dyDescent="0.25">
      <c r="A3" s="19" t="s">
        <v>120</v>
      </c>
      <c r="B3" s="86">
        <v>2</v>
      </c>
      <c r="C3" s="19">
        <v>0</v>
      </c>
      <c r="D3" s="86">
        <v>-0.5</v>
      </c>
      <c r="E3" s="19">
        <v>-1</v>
      </c>
      <c r="F3" s="19" t="s">
        <v>111</v>
      </c>
      <c r="G3" s="19">
        <v>0</v>
      </c>
      <c r="H3" s="19">
        <v>0</v>
      </c>
      <c r="I3" s="86" t="s">
        <v>112</v>
      </c>
      <c r="J3" s="86" t="s">
        <v>64</v>
      </c>
      <c r="K3" s="86">
        <v>9.6999999999999993</v>
      </c>
      <c r="L3" s="86">
        <v>0</v>
      </c>
      <c r="M3" s="19">
        <v>0</v>
      </c>
      <c r="N3" s="19">
        <v>0</v>
      </c>
      <c r="O3" s="86">
        <v>0</v>
      </c>
      <c r="P3" s="19">
        <v>0</v>
      </c>
      <c r="Q3" s="19">
        <v>0</v>
      </c>
      <c r="R3" s="19">
        <v>0</v>
      </c>
      <c r="S3" s="86">
        <v>41</v>
      </c>
      <c r="T3" s="19">
        <v>38</v>
      </c>
      <c r="U3" s="19">
        <v>44</v>
      </c>
      <c r="V3" s="19">
        <v>36</v>
      </c>
      <c r="W3" s="19">
        <v>33</v>
      </c>
      <c r="X3" s="19">
        <v>39</v>
      </c>
      <c r="Y3" s="86">
        <v>15200</v>
      </c>
      <c r="Z3" s="86">
        <v>0</v>
      </c>
      <c r="AA3" s="19">
        <v>15200</v>
      </c>
      <c r="AB3" s="19">
        <v>15200</v>
      </c>
      <c r="AC3" s="86">
        <v>0.5</v>
      </c>
      <c r="AD3" s="86">
        <v>0</v>
      </c>
      <c r="AE3" s="19">
        <v>0</v>
      </c>
      <c r="AF3" s="19">
        <v>0</v>
      </c>
      <c r="AG3" s="86">
        <v>0</v>
      </c>
      <c r="AH3" s="86">
        <v>0</v>
      </c>
      <c r="AI3" s="19">
        <v>0</v>
      </c>
      <c r="AJ3" s="19">
        <v>0</v>
      </c>
      <c r="AK3" s="86">
        <v>118.8</v>
      </c>
      <c r="AL3" s="19">
        <v>107.4</v>
      </c>
      <c r="AM3" s="19">
        <v>122.6</v>
      </c>
      <c r="AN3" s="86">
        <v>1</v>
      </c>
      <c r="AO3" s="86">
        <v>12480</v>
      </c>
      <c r="AP3" s="19">
        <v>11040</v>
      </c>
      <c r="AQ3" s="19">
        <v>12960</v>
      </c>
      <c r="AR3" s="86">
        <v>22000</v>
      </c>
      <c r="AS3" s="19">
        <v>15000</v>
      </c>
      <c r="AT3" s="19">
        <v>29000</v>
      </c>
      <c r="AU3" s="86">
        <v>391.3</v>
      </c>
      <c r="AV3" s="19">
        <v>391.3</v>
      </c>
      <c r="AW3" s="19">
        <v>391.3</v>
      </c>
      <c r="AX3" s="86">
        <v>0.2</v>
      </c>
      <c r="AY3" s="86">
        <v>0</v>
      </c>
      <c r="AZ3" s="19">
        <v>0</v>
      </c>
      <c r="BA3" s="19">
        <v>0</v>
      </c>
      <c r="BB3" s="19">
        <v>0</v>
      </c>
      <c r="BC3" s="19">
        <v>0</v>
      </c>
      <c r="BD3" s="19">
        <v>0</v>
      </c>
      <c r="BE3" s="86">
        <v>0</v>
      </c>
      <c r="BF3" s="86">
        <v>0</v>
      </c>
      <c r="BG3" s="86">
        <v>52</v>
      </c>
      <c r="BH3" s="19">
        <v>46</v>
      </c>
      <c r="BI3" s="19">
        <v>54</v>
      </c>
      <c r="BJ3" s="86">
        <v>1</v>
      </c>
      <c r="BK3" s="86">
        <v>1</v>
      </c>
      <c r="BL3" s="86">
        <v>1</v>
      </c>
      <c r="BM3" s="86">
        <v>1</v>
      </c>
      <c r="BN3" s="86">
        <v>0</v>
      </c>
      <c r="BO3" s="19">
        <v>0.9</v>
      </c>
      <c r="BP3" s="19" t="s">
        <v>113</v>
      </c>
      <c r="BQ3" s="19" t="s">
        <v>114</v>
      </c>
      <c r="BR3" s="19" t="s">
        <v>115</v>
      </c>
      <c r="BS3" s="85">
        <v>44270.637650462966</v>
      </c>
    </row>
    <row r="4" spans="1:71" ht="30" x14ac:dyDescent="0.25">
      <c r="A4" s="19" t="s">
        <v>120</v>
      </c>
      <c r="B4" s="86">
        <v>3</v>
      </c>
      <c r="C4" s="19">
        <v>0</v>
      </c>
      <c r="D4" s="86">
        <v>-1</v>
      </c>
      <c r="E4" s="19">
        <v>-2</v>
      </c>
      <c r="F4" s="19" t="s">
        <v>111</v>
      </c>
      <c r="G4" s="19">
        <v>0</v>
      </c>
      <c r="H4" s="19">
        <v>0</v>
      </c>
      <c r="I4" s="86" t="s">
        <v>112</v>
      </c>
      <c r="J4" s="86" t="s">
        <v>64</v>
      </c>
      <c r="K4" s="86">
        <v>9.6999999999999993</v>
      </c>
      <c r="L4" s="86">
        <v>0</v>
      </c>
      <c r="M4" s="19">
        <v>0</v>
      </c>
      <c r="N4" s="19">
        <v>0</v>
      </c>
      <c r="O4" s="86">
        <v>0</v>
      </c>
      <c r="P4" s="19">
        <v>0</v>
      </c>
      <c r="Q4" s="19">
        <v>0</v>
      </c>
      <c r="R4" s="19">
        <v>0</v>
      </c>
      <c r="S4" s="86">
        <v>42</v>
      </c>
      <c r="T4" s="19">
        <v>39</v>
      </c>
      <c r="U4" s="19">
        <v>45</v>
      </c>
      <c r="V4" s="19">
        <v>37</v>
      </c>
      <c r="W4" s="19">
        <v>34</v>
      </c>
      <c r="X4" s="19">
        <v>40</v>
      </c>
      <c r="Y4" s="86">
        <v>25700</v>
      </c>
      <c r="Z4" s="86">
        <v>0</v>
      </c>
      <c r="AA4" s="19">
        <v>25700</v>
      </c>
      <c r="AB4" s="19">
        <v>25700</v>
      </c>
      <c r="AC4" s="86">
        <v>0.5</v>
      </c>
      <c r="AD4" s="86">
        <v>0</v>
      </c>
      <c r="AE4" s="19">
        <v>0</v>
      </c>
      <c r="AF4" s="19">
        <v>0</v>
      </c>
      <c r="AG4" s="86">
        <v>0</v>
      </c>
      <c r="AH4" s="86">
        <v>0</v>
      </c>
      <c r="AI4" s="19">
        <v>0</v>
      </c>
      <c r="AJ4" s="19">
        <v>0</v>
      </c>
      <c r="AK4" s="86">
        <v>122.6</v>
      </c>
      <c r="AL4" s="19">
        <v>111.2</v>
      </c>
      <c r="AM4" s="19">
        <v>122.6</v>
      </c>
      <c r="AN4" s="86">
        <v>1</v>
      </c>
      <c r="AO4" s="86">
        <v>12960</v>
      </c>
      <c r="AP4" s="19">
        <v>11520</v>
      </c>
      <c r="AQ4" s="19">
        <v>12960</v>
      </c>
      <c r="AR4" s="86">
        <v>36000</v>
      </c>
      <c r="AS4" s="19">
        <v>26000</v>
      </c>
      <c r="AT4" s="19">
        <v>46000</v>
      </c>
      <c r="AU4" s="86">
        <v>304.3</v>
      </c>
      <c r="AV4" s="19">
        <v>347.8</v>
      </c>
      <c r="AW4" s="19">
        <v>304.3</v>
      </c>
      <c r="AX4" s="86">
        <v>0.2</v>
      </c>
      <c r="AY4" s="86">
        <v>0</v>
      </c>
      <c r="AZ4" s="19">
        <v>0</v>
      </c>
      <c r="BA4" s="19">
        <v>0</v>
      </c>
      <c r="BB4" s="19">
        <v>0</v>
      </c>
      <c r="BC4" s="19">
        <v>0</v>
      </c>
      <c r="BD4" s="19">
        <v>0</v>
      </c>
      <c r="BE4" s="86">
        <v>0</v>
      </c>
      <c r="BF4" s="86">
        <v>0</v>
      </c>
      <c r="BG4" s="86">
        <v>54</v>
      </c>
      <c r="BH4" s="19">
        <v>48</v>
      </c>
      <c r="BI4" s="19">
        <v>54</v>
      </c>
      <c r="BJ4" s="86">
        <v>1</v>
      </c>
      <c r="BK4" s="86">
        <v>1</v>
      </c>
      <c r="BL4" s="86">
        <v>1</v>
      </c>
      <c r="BM4" s="86">
        <v>1</v>
      </c>
      <c r="BN4" s="86">
        <v>0</v>
      </c>
      <c r="BO4" s="19">
        <v>0.9</v>
      </c>
      <c r="BP4" s="19" t="s">
        <v>113</v>
      </c>
      <c r="BQ4" s="19" t="s">
        <v>114</v>
      </c>
      <c r="BR4" s="19" t="s">
        <v>115</v>
      </c>
      <c r="BS4" s="85">
        <v>44270.637650462966</v>
      </c>
    </row>
    <row r="5" spans="1:71" ht="30" x14ac:dyDescent="0.25">
      <c r="A5" s="19" t="s">
        <v>120</v>
      </c>
      <c r="B5" s="86">
        <v>4</v>
      </c>
      <c r="C5" s="19">
        <v>0</v>
      </c>
      <c r="D5" s="86">
        <v>-2</v>
      </c>
      <c r="E5" s="19">
        <v>-3.6</v>
      </c>
      <c r="F5" s="19" t="s">
        <v>111</v>
      </c>
      <c r="G5" s="19">
        <v>0</v>
      </c>
      <c r="H5" s="19">
        <v>0</v>
      </c>
      <c r="I5" s="86" t="s">
        <v>112</v>
      </c>
      <c r="J5" s="86" t="s">
        <v>64</v>
      </c>
      <c r="K5" s="86">
        <v>9.6</v>
      </c>
      <c r="L5" s="86">
        <v>0</v>
      </c>
      <c r="M5" s="19">
        <v>0</v>
      </c>
      <c r="N5" s="19">
        <v>0</v>
      </c>
      <c r="O5" s="86">
        <v>0</v>
      </c>
      <c r="P5" s="19">
        <v>0</v>
      </c>
      <c r="Q5" s="19">
        <v>0</v>
      </c>
      <c r="R5" s="19">
        <v>0</v>
      </c>
      <c r="S5" s="86">
        <v>42</v>
      </c>
      <c r="T5" s="19">
        <v>39</v>
      </c>
      <c r="U5" s="19">
        <v>45</v>
      </c>
      <c r="V5" s="19">
        <v>37</v>
      </c>
      <c r="W5" s="19">
        <v>34</v>
      </c>
      <c r="X5" s="19">
        <v>40</v>
      </c>
      <c r="Y5" s="86">
        <v>35000</v>
      </c>
      <c r="Z5" s="86">
        <v>0</v>
      </c>
      <c r="AA5" s="19">
        <v>35000</v>
      </c>
      <c r="AB5" s="19">
        <v>35000</v>
      </c>
      <c r="AC5" s="86">
        <v>1.8</v>
      </c>
      <c r="AD5" s="86">
        <v>0</v>
      </c>
      <c r="AE5" s="19">
        <v>0</v>
      </c>
      <c r="AF5" s="19">
        <v>0</v>
      </c>
      <c r="AG5" s="86">
        <v>0</v>
      </c>
      <c r="AH5" s="86">
        <v>0</v>
      </c>
      <c r="AI5" s="19">
        <v>0</v>
      </c>
      <c r="AJ5" s="19">
        <v>0</v>
      </c>
      <c r="AK5" s="86">
        <v>122.6</v>
      </c>
      <c r="AL5" s="19">
        <v>111.2</v>
      </c>
      <c r="AM5" s="19">
        <v>122.6</v>
      </c>
      <c r="AN5" s="86">
        <v>1</v>
      </c>
      <c r="AO5" s="86">
        <v>12960</v>
      </c>
      <c r="AP5" s="19">
        <v>11520</v>
      </c>
      <c r="AQ5" s="19">
        <v>12960</v>
      </c>
      <c r="AR5" s="86">
        <v>55000</v>
      </c>
      <c r="AS5" s="19">
        <v>41000</v>
      </c>
      <c r="AT5" s="19">
        <v>68000</v>
      </c>
      <c r="AU5" s="86">
        <v>-43.5</v>
      </c>
      <c r="AV5" s="19">
        <v>0</v>
      </c>
      <c r="AW5" s="19">
        <v>-43.5</v>
      </c>
      <c r="AX5" s="86">
        <v>0.2</v>
      </c>
      <c r="AY5" s="86">
        <v>0</v>
      </c>
      <c r="AZ5" s="19">
        <v>0</v>
      </c>
      <c r="BA5" s="19">
        <v>0</v>
      </c>
      <c r="BB5" s="19">
        <v>0</v>
      </c>
      <c r="BC5" s="19">
        <v>0</v>
      </c>
      <c r="BD5" s="19">
        <v>0</v>
      </c>
      <c r="BE5" s="86">
        <v>0</v>
      </c>
      <c r="BF5" s="86">
        <v>0</v>
      </c>
      <c r="BG5" s="86">
        <v>54</v>
      </c>
      <c r="BH5" s="19">
        <v>48</v>
      </c>
      <c r="BI5" s="19">
        <v>54</v>
      </c>
      <c r="BJ5" s="86">
        <v>1</v>
      </c>
      <c r="BK5" s="86">
        <v>1</v>
      </c>
      <c r="BL5" s="86">
        <v>1</v>
      </c>
      <c r="BM5" s="86">
        <v>1</v>
      </c>
      <c r="BN5" s="86">
        <v>0</v>
      </c>
      <c r="BO5" s="19">
        <v>0.9</v>
      </c>
      <c r="BP5" s="19" t="s">
        <v>113</v>
      </c>
      <c r="BQ5" s="19" t="s">
        <v>114</v>
      </c>
      <c r="BR5" s="19" t="s">
        <v>115</v>
      </c>
      <c r="BS5" s="85">
        <v>44270.637650462966</v>
      </c>
    </row>
    <row r="6" spans="1:71" ht="30" x14ac:dyDescent="0.25">
      <c r="A6" s="19" t="s">
        <v>120</v>
      </c>
      <c r="B6" s="86">
        <v>5</v>
      </c>
      <c r="C6" s="19">
        <v>0</v>
      </c>
      <c r="D6" s="86">
        <v>-3.6</v>
      </c>
      <c r="E6" s="19">
        <v>-13</v>
      </c>
      <c r="F6" s="19" t="s">
        <v>116</v>
      </c>
      <c r="G6" s="19">
        <v>0</v>
      </c>
      <c r="H6" s="19">
        <v>0</v>
      </c>
      <c r="I6" s="86" t="s">
        <v>107</v>
      </c>
      <c r="J6" s="86" t="s">
        <v>65</v>
      </c>
      <c r="K6" s="86">
        <v>9.5</v>
      </c>
      <c r="L6" s="86">
        <v>258</v>
      </c>
      <c r="M6" s="19">
        <v>206</v>
      </c>
      <c r="N6" s="19">
        <v>311</v>
      </c>
      <c r="O6" s="86">
        <v>6.6</v>
      </c>
      <c r="P6" s="19">
        <v>6.6</v>
      </c>
      <c r="Q6" s="19">
        <v>6.6</v>
      </c>
      <c r="R6" s="19">
        <v>0</v>
      </c>
      <c r="S6" s="86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86">
        <v>42100</v>
      </c>
      <c r="Z6" s="86">
        <v>0</v>
      </c>
      <c r="AA6" s="19">
        <v>42100</v>
      </c>
      <c r="AB6" s="19">
        <v>42100</v>
      </c>
      <c r="AC6" s="86">
        <v>3</v>
      </c>
      <c r="AD6" s="86">
        <v>1.7999999999999999E-2</v>
      </c>
      <c r="AE6" s="19">
        <v>2.2499999999999999E-2</v>
      </c>
      <c r="AF6" s="19">
        <v>1.4999999999999999E-2</v>
      </c>
      <c r="AG6" s="86">
        <v>0</v>
      </c>
      <c r="AH6" s="86">
        <v>0.25</v>
      </c>
      <c r="AI6" s="19">
        <v>0</v>
      </c>
      <c r="AJ6" s="19">
        <v>0</v>
      </c>
      <c r="AK6" s="86">
        <v>0</v>
      </c>
      <c r="AL6" s="19">
        <v>0</v>
      </c>
      <c r="AM6" s="19">
        <v>0</v>
      </c>
      <c r="AN6" s="86">
        <v>1</v>
      </c>
      <c r="AO6" s="86">
        <v>0</v>
      </c>
      <c r="AP6" s="19">
        <v>0</v>
      </c>
      <c r="AQ6" s="19">
        <v>0</v>
      </c>
      <c r="AR6" s="86">
        <v>247000</v>
      </c>
      <c r="AS6" s="19">
        <v>160000</v>
      </c>
      <c r="AT6" s="19">
        <v>334000</v>
      </c>
      <c r="AU6" s="86">
        <v>3739.1</v>
      </c>
      <c r="AV6" s="19">
        <v>3739.1</v>
      </c>
      <c r="AW6" s="19">
        <v>3739.1</v>
      </c>
      <c r="AX6" s="86">
        <v>0.49</v>
      </c>
      <c r="AY6" s="86">
        <v>0</v>
      </c>
      <c r="AZ6" s="19">
        <v>0</v>
      </c>
      <c r="BA6" s="19">
        <v>0</v>
      </c>
      <c r="BB6" s="19">
        <v>0</v>
      </c>
      <c r="BC6" s="19">
        <v>0</v>
      </c>
      <c r="BD6" s="19">
        <v>0</v>
      </c>
      <c r="BE6" s="86">
        <v>0</v>
      </c>
      <c r="BF6" s="86">
        <v>0</v>
      </c>
      <c r="BG6" s="86">
        <v>0</v>
      </c>
      <c r="BH6" s="19">
        <v>0</v>
      </c>
      <c r="BI6" s="19">
        <v>0</v>
      </c>
      <c r="BJ6" s="86">
        <v>1</v>
      </c>
      <c r="BK6" s="86">
        <v>1</v>
      </c>
      <c r="BL6" s="86">
        <v>1</v>
      </c>
      <c r="BM6" s="86">
        <v>1</v>
      </c>
      <c r="BN6" s="86">
        <v>0</v>
      </c>
      <c r="BO6" s="19">
        <v>0.9</v>
      </c>
      <c r="BP6" s="19" t="s">
        <v>113</v>
      </c>
      <c r="BQ6" s="19" t="s">
        <v>114</v>
      </c>
      <c r="BR6" s="19" t="s">
        <v>115</v>
      </c>
      <c r="BS6" s="85">
        <v>44270.893993055557</v>
      </c>
    </row>
    <row r="7" spans="1:71" ht="30" x14ac:dyDescent="0.25">
      <c r="A7" s="19" t="s">
        <v>120</v>
      </c>
      <c r="B7" s="86">
        <v>6</v>
      </c>
      <c r="C7" s="19">
        <v>0</v>
      </c>
      <c r="D7" s="86">
        <v>-13</v>
      </c>
      <c r="E7" s="19">
        <v>-15.5</v>
      </c>
      <c r="F7" s="19" t="s">
        <v>116</v>
      </c>
      <c r="G7" s="19">
        <v>0</v>
      </c>
      <c r="H7" s="19">
        <v>0</v>
      </c>
      <c r="I7" s="86" t="s">
        <v>107</v>
      </c>
      <c r="J7" s="86" t="s">
        <v>65</v>
      </c>
      <c r="K7" s="86">
        <v>9.5</v>
      </c>
      <c r="L7" s="86">
        <v>122</v>
      </c>
      <c r="M7" s="19">
        <v>93</v>
      </c>
      <c r="N7" s="19">
        <v>152</v>
      </c>
      <c r="O7" s="86">
        <v>11.2</v>
      </c>
      <c r="P7" s="19">
        <v>11.2</v>
      </c>
      <c r="Q7" s="19">
        <v>11.2</v>
      </c>
      <c r="R7" s="19">
        <v>0</v>
      </c>
      <c r="S7" s="86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86">
        <v>20400</v>
      </c>
      <c r="Z7" s="86">
        <v>0</v>
      </c>
      <c r="AA7" s="19">
        <v>20400</v>
      </c>
      <c r="AB7" s="19">
        <v>20400</v>
      </c>
      <c r="AC7" s="86">
        <v>2.5</v>
      </c>
      <c r="AD7" s="86">
        <v>1.7999999999999999E-2</v>
      </c>
      <c r="AE7" s="19">
        <v>2.2499999999999999E-2</v>
      </c>
      <c r="AF7" s="19">
        <v>1.4999999999999999E-2</v>
      </c>
      <c r="AG7" s="86">
        <v>0</v>
      </c>
      <c r="AH7" s="86">
        <v>0.25</v>
      </c>
      <c r="AI7" s="19">
        <v>0</v>
      </c>
      <c r="AJ7" s="19">
        <v>0</v>
      </c>
      <c r="AK7" s="86">
        <v>0</v>
      </c>
      <c r="AL7" s="19">
        <v>0</v>
      </c>
      <c r="AM7" s="19">
        <v>0</v>
      </c>
      <c r="AN7" s="86">
        <v>1</v>
      </c>
      <c r="AO7" s="86">
        <v>0</v>
      </c>
      <c r="AP7" s="19">
        <v>0</v>
      </c>
      <c r="AQ7" s="19">
        <v>0</v>
      </c>
      <c r="AR7" s="86">
        <v>107000</v>
      </c>
      <c r="AS7" s="19">
        <v>64000</v>
      </c>
      <c r="AT7" s="19">
        <v>151000</v>
      </c>
      <c r="AU7" s="86">
        <v>1478.3</v>
      </c>
      <c r="AV7" s="19">
        <v>1478.3</v>
      </c>
      <c r="AW7" s="19">
        <v>1478.3</v>
      </c>
      <c r="AX7" s="86">
        <v>0.49</v>
      </c>
      <c r="AY7" s="86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86">
        <v>0</v>
      </c>
      <c r="BF7" s="86">
        <v>0</v>
      </c>
      <c r="BG7" s="86">
        <v>0</v>
      </c>
      <c r="BH7" s="19">
        <v>0</v>
      </c>
      <c r="BI7" s="19">
        <v>0</v>
      </c>
      <c r="BJ7" s="86">
        <v>1</v>
      </c>
      <c r="BK7" s="86">
        <v>1</v>
      </c>
      <c r="BL7" s="86">
        <v>1</v>
      </c>
      <c r="BM7" s="86">
        <v>1</v>
      </c>
      <c r="BN7" s="86">
        <v>0</v>
      </c>
      <c r="BO7" s="19">
        <v>0.9</v>
      </c>
      <c r="BP7" s="19" t="s">
        <v>113</v>
      </c>
      <c r="BQ7" s="19" t="s">
        <v>114</v>
      </c>
      <c r="BR7" s="19" t="s">
        <v>115</v>
      </c>
      <c r="BS7" s="85">
        <v>44270.893993055557</v>
      </c>
    </row>
    <row r="8" spans="1:71" ht="30" x14ac:dyDescent="0.25">
      <c r="A8" s="19" t="s">
        <v>120</v>
      </c>
      <c r="B8" s="86">
        <v>7</v>
      </c>
      <c r="C8" s="19">
        <v>0</v>
      </c>
      <c r="D8" s="86">
        <v>-15.5</v>
      </c>
      <c r="E8" s="19">
        <v>-18</v>
      </c>
      <c r="F8" s="19" t="s">
        <v>116</v>
      </c>
      <c r="G8" s="19">
        <v>0</v>
      </c>
      <c r="H8" s="19">
        <v>0</v>
      </c>
      <c r="I8" s="86" t="s">
        <v>107</v>
      </c>
      <c r="J8" s="86" t="s">
        <v>65</v>
      </c>
      <c r="K8" s="86">
        <v>9</v>
      </c>
      <c r="L8" s="86">
        <v>363</v>
      </c>
      <c r="M8" s="19">
        <v>291</v>
      </c>
      <c r="N8" s="19">
        <v>451</v>
      </c>
      <c r="O8" s="86">
        <v>25.2</v>
      </c>
      <c r="P8" s="19">
        <v>25.2</v>
      </c>
      <c r="Q8" s="19">
        <v>25.2</v>
      </c>
      <c r="R8" s="19">
        <v>0</v>
      </c>
      <c r="S8" s="86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86">
        <v>28500</v>
      </c>
      <c r="Z8" s="86">
        <v>0</v>
      </c>
      <c r="AA8" s="19">
        <v>28500</v>
      </c>
      <c r="AB8" s="19">
        <v>28500</v>
      </c>
      <c r="AC8" s="86">
        <v>3</v>
      </c>
      <c r="AD8" s="86">
        <v>1.7999999999999999E-2</v>
      </c>
      <c r="AE8" s="19">
        <v>2.2499999999999999E-2</v>
      </c>
      <c r="AF8" s="19">
        <v>1.4999999999999999E-2</v>
      </c>
      <c r="AG8" s="86">
        <v>0</v>
      </c>
      <c r="AH8" s="86">
        <v>0.25</v>
      </c>
      <c r="AI8" s="19">
        <v>0</v>
      </c>
      <c r="AJ8" s="19">
        <v>0</v>
      </c>
      <c r="AK8" s="86">
        <v>0</v>
      </c>
      <c r="AL8" s="19">
        <v>0</v>
      </c>
      <c r="AM8" s="19">
        <v>0</v>
      </c>
      <c r="AN8" s="86">
        <v>1</v>
      </c>
      <c r="AO8" s="86">
        <v>0</v>
      </c>
      <c r="AP8" s="19">
        <v>0</v>
      </c>
      <c r="AQ8" s="19">
        <v>0</v>
      </c>
      <c r="AR8" s="86">
        <v>506000</v>
      </c>
      <c r="AS8" s="19">
        <v>389000</v>
      </c>
      <c r="AT8" s="19">
        <v>659000</v>
      </c>
      <c r="AU8" s="86">
        <v>4217.3999999999996</v>
      </c>
      <c r="AV8" s="19">
        <v>4260.8999999999996</v>
      </c>
      <c r="AW8" s="19">
        <v>4260.8999999999996</v>
      </c>
      <c r="AX8" s="86">
        <v>0.49</v>
      </c>
      <c r="AY8" s="86">
        <v>0</v>
      </c>
      <c r="AZ8" s="19">
        <v>0</v>
      </c>
      <c r="BA8" s="19">
        <v>0</v>
      </c>
      <c r="BB8" s="19">
        <v>0</v>
      </c>
      <c r="BC8" s="19">
        <v>0</v>
      </c>
      <c r="BD8" s="19">
        <v>0</v>
      </c>
      <c r="BE8" s="86">
        <v>0</v>
      </c>
      <c r="BF8" s="86">
        <v>0</v>
      </c>
      <c r="BG8" s="86">
        <v>0</v>
      </c>
      <c r="BH8" s="19">
        <v>0</v>
      </c>
      <c r="BI8" s="19">
        <v>0</v>
      </c>
      <c r="BJ8" s="86">
        <v>1</v>
      </c>
      <c r="BK8" s="86">
        <v>1</v>
      </c>
      <c r="BL8" s="86">
        <v>1</v>
      </c>
      <c r="BM8" s="86">
        <v>1</v>
      </c>
      <c r="BN8" s="86">
        <v>0</v>
      </c>
      <c r="BO8" s="19">
        <v>0.9</v>
      </c>
      <c r="BP8" s="19" t="s">
        <v>113</v>
      </c>
      <c r="BQ8" s="19" t="s">
        <v>114</v>
      </c>
      <c r="BR8" s="19" t="s">
        <v>115</v>
      </c>
      <c r="BS8" s="85">
        <v>44270.893993055557</v>
      </c>
    </row>
    <row r="9" spans="1:71" ht="30" x14ac:dyDescent="0.25">
      <c r="A9" s="19" t="s">
        <v>120</v>
      </c>
      <c r="B9" s="86">
        <v>8</v>
      </c>
      <c r="C9" s="19">
        <v>0</v>
      </c>
      <c r="D9" s="86">
        <v>-18</v>
      </c>
      <c r="E9" s="19">
        <v>-21</v>
      </c>
      <c r="F9" s="19" t="s">
        <v>111</v>
      </c>
      <c r="G9" s="19">
        <v>0</v>
      </c>
      <c r="H9" s="19">
        <v>0</v>
      </c>
      <c r="I9" s="86" t="s">
        <v>112</v>
      </c>
      <c r="J9" s="86" t="s">
        <v>64</v>
      </c>
      <c r="K9" s="86">
        <v>8.5</v>
      </c>
      <c r="L9" s="86">
        <v>0</v>
      </c>
      <c r="M9" s="19">
        <v>0</v>
      </c>
      <c r="N9" s="19">
        <v>0</v>
      </c>
      <c r="O9" s="86">
        <v>0</v>
      </c>
      <c r="P9" s="19">
        <v>0</v>
      </c>
      <c r="Q9" s="19">
        <v>0</v>
      </c>
      <c r="R9" s="19">
        <v>0</v>
      </c>
      <c r="S9" s="86">
        <v>30</v>
      </c>
      <c r="T9" s="19">
        <v>28</v>
      </c>
      <c r="U9" s="19">
        <v>32</v>
      </c>
      <c r="V9" s="19">
        <v>25</v>
      </c>
      <c r="W9" s="19">
        <v>23</v>
      </c>
      <c r="X9" s="19">
        <v>27</v>
      </c>
      <c r="Y9" s="86">
        <v>23600</v>
      </c>
      <c r="Z9" s="86">
        <v>0</v>
      </c>
      <c r="AA9" s="19">
        <v>23600</v>
      </c>
      <c r="AB9" s="19">
        <v>23600</v>
      </c>
      <c r="AC9" s="86">
        <v>1.2</v>
      </c>
      <c r="AD9" s="86">
        <v>0</v>
      </c>
      <c r="AE9" s="19">
        <v>0</v>
      </c>
      <c r="AF9" s="19">
        <v>0</v>
      </c>
      <c r="AG9" s="86">
        <v>0</v>
      </c>
      <c r="AH9" s="86">
        <v>0</v>
      </c>
      <c r="AI9" s="19">
        <v>0</v>
      </c>
      <c r="AJ9" s="19">
        <v>0</v>
      </c>
      <c r="AK9" s="86">
        <v>81</v>
      </c>
      <c r="AL9" s="19">
        <v>75.400000000000006</v>
      </c>
      <c r="AM9" s="19">
        <v>87</v>
      </c>
      <c r="AN9" s="86">
        <v>1</v>
      </c>
      <c r="AO9" s="86">
        <v>4800</v>
      </c>
      <c r="AP9" s="19">
        <v>4040</v>
      </c>
      <c r="AQ9" s="19">
        <v>6720</v>
      </c>
      <c r="AR9" s="86">
        <v>138000</v>
      </c>
      <c r="AS9" s="19">
        <v>108000</v>
      </c>
      <c r="AT9" s="19">
        <v>168000</v>
      </c>
      <c r="AU9" s="86">
        <v>-956.5</v>
      </c>
      <c r="AV9" s="19">
        <v>-956.5</v>
      </c>
      <c r="AW9" s="19">
        <v>-956.5</v>
      </c>
      <c r="AX9" s="86">
        <v>0.2</v>
      </c>
      <c r="AY9" s="86">
        <v>0</v>
      </c>
      <c r="AZ9" s="19">
        <v>0</v>
      </c>
      <c r="BA9" s="19">
        <v>0</v>
      </c>
      <c r="BB9" s="19">
        <v>0</v>
      </c>
      <c r="BC9" s="19">
        <v>0</v>
      </c>
      <c r="BD9" s="19">
        <v>0</v>
      </c>
      <c r="BE9" s="86">
        <v>0</v>
      </c>
      <c r="BF9" s="86">
        <v>0</v>
      </c>
      <c r="BG9" s="86">
        <v>20</v>
      </c>
      <c r="BH9" s="19">
        <v>16.8</v>
      </c>
      <c r="BI9" s="19">
        <v>28</v>
      </c>
      <c r="BJ9" s="86">
        <v>1</v>
      </c>
      <c r="BK9" s="86">
        <v>1</v>
      </c>
      <c r="BL9" s="86">
        <v>1</v>
      </c>
      <c r="BM9" s="86">
        <v>1</v>
      </c>
      <c r="BN9" s="86">
        <v>0</v>
      </c>
      <c r="BO9" s="19">
        <v>0.9</v>
      </c>
      <c r="BP9" s="19" t="s">
        <v>113</v>
      </c>
      <c r="BQ9" s="19" t="s">
        <v>114</v>
      </c>
      <c r="BR9" s="19" t="s">
        <v>115</v>
      </c>
      <c r="BS9" s="85">
        <v>44270.637650462966</v>
      </c>
    </row>
    <row r="10" spans="1:71" ht="30" x14ac:dyDescent="0.25">
      <c r="A10" s="19" t="s">
        <v>120</v>
      </c>
      <c r="B10" s="86">
        <v>9</v>
      </c>
      <c r="C10" s="19">
        <v>0</v>
      </c>
      <c r="D10" s="86">
        <v>-21</v>
      </c>
      <c r="E10" s="19">
        <v>-26.8</v>
      </c>
      <c r="F10" s="19" t="s">
        <v>111</v>
      </c>
      <c r="G10" s="19">
        <v>0</v>
      </c>
      <c r="H10" s="19">
        <v>0</v>
      </c>
      <c r="I10" s="86" t="s">
        <v>112</v>
      </c>
      <c r="J10" s="86" t="s">
        <v>64</v>
      </c>
      <c r="K10" s="86">
        <v>8.5</v>
      </c>
      <c r="L10" s="86">
        <v>0</v>
      </c>
      <c r="M10" s="19">
        <v>0</v>
      </c>
      <c r="N10" s="19">
        <v>0</v>
      </c>
      <c r="O10" s="86">
        <v>0</v>
      </c>
      <c r="P10" s="19">
        <v>0</v>
      </c>
      <c r="Q10" s="19">
        <v>0</v>
      </c>
      <c r="R10" s="19">
        <v>0</v>
      </c>
      <c r="S10" s="86">
        <v>30</v>
      </c>
      <c r="T10" s="19">
        <v>28</v>
      </c>
      <c r="U10" s="19">
        <v>33</v>
      </c>
      <c r="V10" s="19">
        <v>25</v>
      </c>
      <c r="W10" s="19">
        <v>23</v>
      </c>
      <c r="X10" s="19">
        <v>28</v>
      </c>
      <c r="Y10" s="86">
        <v>30300</v>
      </c>
      <c r="Z10" s="86">
        <v>0</v>
      </c>
      <c r="AA10" s="19">
        <v>30300</v>
      </c>
      <c r="AB10" s="19">
        <v>30300</v>
      </c>
      <c r="AC10" s="86">
        <v>1.2</v>
      </c>
      <c r="AD10" s="86">
        <v>0</v>
      </c>
      <c r="AE10" s="19">
        <v>0</v>
      </c>
      <c r="AF10" s="19">
        <v>0</v>
      </c>
      <c r="AG10" s="86">
        <v>0</v>
      </c>
      <c r="AH10" s="86">
        <v>0</v>
      </c>
      <c r="AI10" s="19">
        <v>0</v>
      </c>
      <c r="AJ10" s="19">
        <v>0</v>
      </c>
      <c r="AK10" s="86">
        <v>81</v>
      </c>
      <c r="AL10" s="19">
        <v>75.400000000000006</v>
      </c>
      <c r="AM10" s="19">
        <v>90</v>
      </c>
      <c r="AN10" s="86">
        <v>1</v>
      </c>
      <c r="AO10" s="86">
        <v>4800</v>
      </c>
      <c r="AP10" s="19">
        <v>4040</v>
      </c>
      <c r="AQ10" s="19">
        <v>7680</v>
      </c>
      <c r="AR10" s="86">
        <v>122000</v>
      </c>
      <c r="AS10" s="19">
        <v>88000</v>
      </c>
      <c r="AT10" s="19">
        <v>155000</v>
      </c>
      <c r="AU10" s="86">
        <v>1739.1</v>
      </c>
      <c r="AV10" s="19">
        <v>1782.6</v>
      </c>
      <c r="AW10" s="19">
        <v>1782.6</v>
      </c>
      <c r="AX10" s="86">
        <v>0.2</v>
      </c>
      <c r="AY10" s="86">
        <v>0</v>
      </c>
      <c r="AZ10" s="19">
        <v>0</v>
      </c>
      <c r="BA10" s="19">
        <v>0</v>
      </c>
      <c r="BB10" s="19">
        <v>0</v>
      </c>
      <c r="BC10" s="19">
        <v>0</v>
      </c>
      <c r="BD10" s="19">
        <v>0</v>
      </c>
      <c r="BE10" s="86">
        <v>0</v>
      </c>
      <c r="BF10" s="86">
        <v>0</v>
      </c>
      <c r="BG10" s="86">
        <v>20</v>
      </c>
      <c r="BH10" s="19">
        <v>16.8</v>
      </c>
      <c r="BI10" s="19">
        <v>32</v>
      </c>
      <c r="BJ10" s="86">
        <v>1</v>
      </c>
      <c r="BK10" s="86">
        <v>1</v>
      </c>
      <c r="BL10" s="86">
        <v>1</v>
      </c>
      <c r="BM10" s="86">
        <v>1</v>
      </c>
      <c r="BN10" s="86">
        <v>0</v>
      </c>
      <c r="BO10" s="19">
        <v>0.9</v>
      </c>
      <c r="BP10" s="19" t="s">
        <v>113</v>
      </c>
      <c r="BQ10" s="19" t="s">
        <v>114</v>
      </c>
      <c r="BR10" s="19" t="s">
        <v>115</v>
      </c>
      <c r="BS10" s="85">
        <v>44270.637650462966</v>
      </c>
    </row>
    <row r="11" spans="1:71" ht="30" x14ac:dyDescent="0.25">
      <c r="A11" s="19" t="s">
        <v>120</v>
      </c>
      <c r="B11" s="86">
        <v>10</v>
      </c>
      <c r="C11" s="19">
        <v>0</v>
      </c>
      <c r="D11" s="86">
        <v>-26.8</v>
      </c>
      <c r="E11" s="19">
        <v>-45.8</v>
      </c>
      <c r="F11" s="19" t="s">
        <v>111</v>
      </c>
      <c r="G11" s="19">
        <v>0</v>
      </c>
      <c r="H11" s="19">
        <v>0</v>
      </c>
      <c r="I11" s="86" t="s">
        <v>112</v>
      </c>
      <c r="J11" s="86" t="s">
        <v>64</v>
      </c>
      <c r="K11" s="86">
        <v>9.8000000000000007</v>
      </c>
      <c r="L11" s="86">
        <v>0</v>
      </c>
      <c r="M11" s="19">
        <v>0</v>
      </c>
      <c r="N11" s="19">
        <v>0</v>
      </c>
      <c r="O11" s="86">
        <v>0</v>
      </c>
      <c r="P11" s="19">
        <v>0</v>
      </c>
      <c r="Q11" s="19">
        <v>0</v>
      </c>
      <c r="R11" s="19">
        <v>0</v>
      </c>
      <c r="S11" s="86">
        <v>26</v>
      </c>
      <c r="T11" s="19">
        <v>25.5</v>
      </c>
      <c r="U11" s="19">
        <v>28</v>
      </c>
      <c r="V11" s="19">
        <v>21</v>
      </c>
      <c r="W11" s="19">
        <v>20.5</v>
      </c>
      <c r="X11" s="19">
        <v>23</v>
      </c>
      <c r="Y11" s="86">
        <v>20200</v>
      </c>
      <c r="Z11" s="86">
        <v>0</v>
      </c>
      <c r="AA11" s="19">
        <v>20200</v>
      </c>
      <c r="AB11" s="19">
        <v>20200</v>
      </c>
      <c r="AC11" s="86">
        <v>0.5</v>
      </c>
      <c r="AD11" s="86">
        <v>0</v>
      </c>
      <c r="AE11" s="19">
        <v>0</v>
      </c>
      <c r="AF11" s="19">
        <v>0</v>
      </c>
      <c r="AG11" s="86">
        <v>0</v>
      </c>
      <c r="AH11" s="86">
        <v>0</v>
      </c>
      <c r="AI11" s="19">
        <v>0</v>
      </c>
      <c r="AJ11" s="19">
        <v>0</v>
      </c>
      <c r="AK11" s="86">
        <v>69.8</v>
      </c>
      <c r="AL11" s="19">
        <v>67</v>
      </c>
      <c r="AM11" s="19">
        <v>75.400000000000006</v>
      </c>
      <c r="AN11" s="86">
        <v>1</v>
      </c>
      <c r="AO11" s="86">
        <v>3280</v>
      </c>
      <c r="AP11" s="19">
        <v>2900</v>
      </c>
      <c r="AQ11" s="19">
        <v>4040</v>
      </c>
      <c r="AR11" s="86">
        <v>119000</v>
      </c>
      <c r="AS11" s="19">
        <v>91000</v>
      </c>
      <c r="AT11" s="19">
        <v>148000</v>
      </c>
      <c r="AU11" s="86">
        <v>130.4</v>
      </c>
      <c r="AV11" s="19">
        <v>130.4</v>
      </c>
      <c r="AW11" s="19">
        <v>130.4</v>
      </c>
      <c r="AX11" s="86">
        <v>0.2</v>
      </c>
      <c r="AY11" s="86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86">
        <v>0</v>
      </c>
      <c r="BF11" s="86">
        <v>0</v>
      </c>
      <c r="BG11" s="86">
        <v>13.6</v>
      </c>
      <c r="BH11" s="19">
        <v>12</v>
      </c>
      <c r="BI11" s="19">
        <v>16.8</v>
      </c>
      <c r="BJ11" s="86">
        <v>1</v>
      </c>
      <c r="BK11" s="86">
        <v>1</v>
      </c>
      <c r="BL11" s="86">
        <v>1</v>
      </c>
      <c r="BM11" s="86">
        <v>1</v>
      </c>
      <c r="BN11" s="86">
        <v>0</v>
      </c>
      <c r="BO11" s="19">
        <v>0.9</v>
      </c>
      <c r="BP11" s="19" t="s">
        <v>113</v>
      </c>
      <c r="BQ11" s="19" t="s">
        <v>114</v>
      </c>
      <c r="BR11" s="19" t="s">
        <v>115</v>
      </c>
      <c r="BS11" s="85">
        <v>44270.637650462966</v>
      </c>
    </row>
    <row r="12" spans="1:71" ht="30" x14ac:dyDescent="0.25">
      <c r="A12" s="19" t="s">
        <v>120</v>
      </c>
      <c r="B12" s="86">
        <v>11</v>
      </c>
      <c r="C12" s="19">
        <v>0</v>
      </c>
      <c r="D12" s="86">
        <v>-45.8</v>
      </c>
      <c r="E12" s="19">
        <v>-80</v>
      </c>
      <c r="F12" s="19" t="s">
        <v>116</v>
      </c>
      <c r="G12" s="19">
        <v>0</v>
      </c>
      <c r="H12" s="19">
        <v>0</v>
      </c>
      <c r="I12" s="86" t="s">
        <v>107</v>
      </c>
      <c r="J12" s="86" t="s">
        <v>65</v>
      </c>
      <c r="K12" s="86">
        <v>8.9</v>
      </c>
      <c r="L12" s="86">
        <v>404</v>
      </c>
      <c r="M12" s="19">
        <v>361</v>
      </c>
      <c r="N12" s="19">
        <v>449</v>
      </c>
      <c r="O12" s="86">
        <v>6</v>
      </c>
      <c r="P12" s="19">
        <v>6</v>
      </c>
      <c r="Q12" s="19">
        <v>5.9</v>
      </c>
      <c r="R12" s="19">
        <v>0</v>
      </c>
      <c r="S12" s="86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86">
        <v>40900</v>
      </c>
      <c r="Z12" s="86">
        <v>0</v>
      </c>
      <c r="AA12" s="19">
        <v>40900</v>
      </c>
      <c r="AB12" s="19">
        <v>40900</v>
      </c>
      <c r="AC12" s="86">
        <v>1.9</v>
      </c>
      <c r="AD12" s="86">
        <v>1.7999999999999999E-2</v>
      </c>
      <c r="AE12" s="19">
        <v>2.2499999999999999E-2</v>
      </c>
      <c r="AF12" s="19">
        <v>1.4999999999999999E-2</v>
      </c>
      <c r="AG12" s="86">
        <v>0</v>
      </c>
      <c r="AH12" s="86">
        <v>0.25</v>
      </c>
      <c r="AI12" s="19">
        <v>0</v>
      </c>
      <c r="AJ12" s="19">
        <v>0</v>
      </c>
      <c r="AK12" s="86">
        <v>0</v>
      </c>
      <c r="AL12" s="19">
        <v>0</v>
      </c>
      <c r="AM12" s="19">
        <v>0</v>
      </c>
      <c r="AN12" s="86">
        <v>1</v>
      </c>
      <c r="AO12" s="86">
        <v>0</v>
      </c>
      <c r="AP12" s="19">
        <v>0</v>
      </c>
      <c r="AQ12" s="19">
        <v>0</v>
      </c>
      <c r="AR12" s="86">
        <v>534000</v>
      </c>
      <c r="AS12" s="19">
        <v>447000</v>
      </c>
      <c r="AT12" s="19">
        <v>621000</v>
      </c>
      <c r="AU12" s="86">
        <v>16173.9</v>
      </c>
      <c r="AV12" s="19">
        <v>16173.9</v>
      </c>
      <c r="AW12" s="19">
        <v>16173.9</v>
      </c>
      <c r="AX12" s="86">
        <v>0.49</v>
      </c>
      <c r="AY12" s="86">
        <v>0</v>
      </c>
      <c r="AZ12" s="19">
        <v>0</v>
      </c>
      <c r="BA12" s="19">
        <v>0</v>
      </c>
      <c r="BB12" s="19">
        <v>0</v>
      </c>
      <c r="BC12" s="19">
        <v>0</v>
      </c>
      <c r="BD12" s="19">
        <v>0</v>
      </c>
      <c r="BE12" s="86">
        <v>0</v>
      </c>
      <c r="BF12" s="86">
        <v>0</v>
      </c>
      <c r="BG12" s="86">
        <v>0</v>
      </c>
      <c r="BH12" s="19">
        <v>0</v>
      </c>
      <c r="BI12" s="19">
        <v>0</v>
      </c>
      <c r="BJ12" s="86">
        <v>1</v>
      </c>
      <c r="BK12" s="86">
        <v>1</v>
      </c>
      <c r="BL12" s="86">
        <v>1</v>
      </c>
      <c r="BM12" s="86">
        <v>1</v>
      </c>
      <c r="BN12" s="86">
        <v>0</v>
      </c>
      <c r="BO12" s="19">
        <v>0.9</v>
      </c>
      <c r="BP12" s="19" t="s">
        <v>113</v>
      </c>
      <c r="BQ12" s="19" t="s">
        <v>114</v>
      </c>
      <c r="BR12" s="19" t="s">
        <v>115</v>
      </c>
      <c r="BS12" s="85">
        <v>44270.893993055557</v>
      </c>
    </row>
    <row r="13" spans="1:71" x14ac:dyDescent="0.25">
      <c r="A13" s="19"/>
      <c r="B13" s="86"/>
      <c r="C13" s="19"/>
      <c r="D13" s="86"/>
      <c r="E13" s="19"/>
      <c r="F13" s="19"/>
      <c r="G13" s="19"/>
      <c r="H13" s="19"/>
      <c r="I13" s="86"/>
      <c r="J13" s="86"/>
      <c r="K13" s="86"/>
      <c r="L13" s="86"/>
      <c r="M13" s="19"/>
      <c r="N13" s="19"/>
      <c r="O13" s="86"/>
      <c r="P13" s="19"/>
      <c r="Q13" s="19"/>
      <c r="R13" s="19"/>
      <c r="S13" s="86"/>
      <c r="T13" s="19"/>
      <c r="U13" s="19"/>
      <c r="V13" s="19"/>
      <c r="W13" s="19"/>
      <c r="X13" s="19"/>
      <c r="Y13" s="86"/>
      <c r="Z13" s="86"/>
      <c r="AA13" s="19"/>
      <c r="AB13" s="19"/>
      <c r="AC13" s="86"/>
      <c r="AD13" s="86"/>
      <c r="AE13" s="19"/>
      <c r="AF13" s="19"/>
      <c r="AG13" s="86"/>
      <c r="AH13" s="86"/>
      <c r="AI13" s="19"/>
      <c r="AJ13" s="19"/>
      <c r="AK13" s="86"/>
      <c r="AL13" s="19"/>
      <c r="AM13" s="19"/>
      <c r="AN13" s="86"/>
      <c r="AO13" s="86"/>
      <c r="AP13" s="19"/>
      <c r="AQ13" s="19"/>
      <c r="AR13" s="86"/>
      <c r="AS13" s="19"/>
      <c r="AT13" s="19"/>
      <c r="AU13" s="86"/>
      <c r="AV13" s="19"/>
      <c r="AW13" s="19"/>
      <c r="AX13" s="86"/>
      <c r="AY13" s="86"/>
      <c r="AZ13" s="19"/>
      <c r="BA13" s="19"/>
      <c r="BB13" s="19"/>
      <c r="BC13" s="19"/>
      <c r="BD13" s="19"/>
      <c r="BE13" s="86"/>
      <c r="BF13" s="86"/>
      <c r="BG13" s="86"/>
      <c r="BH13" s="19"/>
      <c r="BI13" s="19"/>
      <c r="BJ13" s="86"/>
      <c r="BK13" s="86"/>
      <c r="BL13" s="86"/>
      <c r="BM13" s="86"/>
      <c r="BN13" s="86"/>
      <c r="BO13" s="19"/>
      <c r="BP13" s="19"/>
      <c r="BQ13" s="19"/>
      <c r="BR13" s="19"/>
      <c r="BS13" s="19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A5F95-748D-4B2E-B2FD-C99FB8A609BD}">
  <dimension ref="A1:K80"/>
  <sheetViews>
    <sheetView topLeftCell="A2" workbookViewId="0">
      <selection activeCell="K34" sqref="K34"/>
    </sheetView>
  </sheetViews>
  <sheetFormatPr defaultRowHeight="15" x14ac:dyDescent="0.25"/>
  <sheetData>
    <row r="1" spans="1:11" x14ac:dyDescent="0.25">
      <c r="A1" s="33">
        <v>94</v>
      </c>
      <c r="C1" cm="1">
        <f t="array" ref="C1:C28">_xlfn.UNIQUE(A1:A80)</f>
        <v>94</v>
      </c>
      <c r="G1" cm="1">
        <f t="array" ref="G1:K16">_xlfn.UNIQUE(A1:E16)</f>
        <v>94</v>
      </c>
      <c r="H1">
        <v>0</v>
      </c>
      <c r="I1">
        <v>94</v>
      </c>
      <c r="J1">
        <v>0</v>
      </c>
      <c r="K1">
        <v>0</v>
      </c>
    </row>
    <row r="2" spans="1:11" x14ac:dyDescent="0.25">
      <c r="A2" s="56">
        <v>77</v>
      </c>
      <c r="C2">
        <v>77</v>
      </c>
      <c r="E2" cm="1">
        <f t="array" ref="E2:E28">_xlfn._xlws.SORT(C2:C28)</f>
        <v>0</v>
      </c>
      <c r="G2">
        <v>77</v>
      </c>
      <c r="H2">
        <v>0</v>
      </c>
      <c r="I2">
        <v>77</v>
      </c>
      <c r="J2">
        <v>0</v>
      </c>
      <c r="K2">
        <v>0</v>
      </c>
    </row>
    <row r="3" spans="1:11" x14ac:dyDescent="0.25">
      <c r="A3" s="56">
        <v>51</v>
      </c>
      <c r="C3">
        <v>51</v>
      </c>
      <c r="E3">
        <v>22</v>
      </c>
      <c r="G3">
        <v>51</v>
      </c>
      <c r="H3">
        <v>0</v>
      </c>
      <c r="I3">
        <v>51</v>
      </c>
      <c r="J3">
        <v>0</v>
      </c>
      <c r="K3">
        <v>22</v>
      </c>
    </row>
    <row r="4" spans="1:11" x14ac:dyDescent="0.25">
      <c r="A4" s="33">
        <v>0</v>
      </c>
      <c r="C4">
        <v>0</v>
      </c>
      <c r="E4">
        <v>32</v>
      </c>
      <c r="G4">
        <v>0</v>
      </c>
      <c r="H4">
        <v>0</v>
      </c>
      <c r="I4">
        <v>0</v>
      </c>
      <c r="J4">
        <v>0</v>
      </c>
      <c r="K4">
        <v>32</v>
      </c>
    </row>
    <row r="5" spans="1:11" x14ac:dyDescent="0.25">
      <c r="A5" s="33">
        <v>59</v>
      </c>
      <c r="C5">
        <v>59</v>
      </c>
      <c r="E5">
        <v>42</v>
      </c>
      <c r="G5">
        <v>59</v>
      </c>
      <c r="H5">
        <v>0</v>
      </c>
      <c r="I5">
        <v>59</v>
      </c>
      <c r="J5">
        <v>0</v>
      </c>
      <c r="K5">
        <v>42</v>
      </c>
    </row>
    <row r="6" spans="1:11" x14ac:dyDescent="0.25">
      <c r="A6" s="33">
        <v>70</v>
      </c>
      <c r="C6">
        <v>70</v>
      </c>
      <c r="E6">
        <v>50</v>
      </c>
      <c r="G6">
        <v>70</v>
      </c>
      <c r="H6">
        <v>0</v>
      </c>
      <c r="I6">
        <v>70</v>
      </c>
      <c r="J6">
        <v>0</v>
      </c>
      <c r="K6">
        <v>50</v>
      </c>
    </row>
    <row r="7" spans="1:11" x14ac:dyDescent="0.25">
      <c r="A7" s="56">
        <v>0</v>
      </c>
      <c r="C7">
        <v>89</v>
      </c>
      <c r="E7">
        <v>51</v>
      </c>
      <c r="G7">
        <v>0</v>
      </c>
      <c r="H7">
        <v>0</v>
      </c>
      <c r="I7">
        <v>89</v>
      </c>
      <c r="J7">
        <v>0</v>
      </c>
      <c r="K7">
        <v>51</v>
      </c>
    </row>
    <row r="8" spans="1:11" x14ac:dyDescent="0.25">
      <c r="A8" s="33">
        <v>0</v>
      </c>
      <c r="C8">
        <v>82</v>
      </c>
      <c r="E8">
        <v>57</v>
      </c>
      <c r="G8">
        <v>0</v>
      </c>
      <c r="H8">
        <v>0</v>
      </c>
      <c r="I8">
        <v>82</v>
      </c>
      <c r="J8">
        <v>0</v>
      </c>
      <c r="K8">
        <v>57</v>
      </c>
    </row>
    <row r="9" spans="1:11" x14ac:dyDescent="0.25">
      <c r="A9" s="33">
        <v>0</v>
      </c>
      <c r="C9">
        <v>64</v>
      </c>
      <c r="E9">
        <v>59</v>
      </c>
      <c r="G9">
        <v>0</v>
      </c>
      <c r="H9">
        <v>0</v>
      </c>
      <c r="I9">
        <v>64</v>
      </c>
      <c r="J9">
        <v>0</v>
      </c>
      <c r="K9">
        <v>59</v>
      </c>
    </row>
    <row r="10" spans="1:11" x14ac:dyDescent="0.25">
      <c r="A10" s="33">
        <v>0</v>
      </c>
      <c r="C10">
        <v>84</v>
      </c>
      <c r="E10">
        <v>60</v>
      </c>
      <c r="G10">
        <v>0</v>
      </c>
      <c r="H10">
        <v>0</v>
      </c>
      <c r="I10">
        <v>84</v>
      </c>
      <c r="J10">
        <v>0</v>
      </c>
      <c r="K10">
        <v>60</v>
      </c>
    </row>
    <row r="11" spans="1:11" x14ac:dyDescent="0.25">
      <c r="A11" s="56">
        <v>0</v>
      </c>
      <c r="C11">
        <v>79</v>
      </c>
      <c r="E11">
        <v>62</v>
      </c>
      <c r="G11">
        <v>0</v>
      </c>
      <c r="H11">
        <v>0</v>
      </c>
      <c r="I11">
        <v>79</v>
      </c>
      <c r="J11">
        <v>0</v>
      </c>
      <c r="K11">
        <v>62</v>
      </c>
    </row>
    <row r="12" spans="1:11" x14ac:dyDescent="0.25">
      <c r="A12" s="56">
        <v>0</v>
      </c>
      <c r="C12">
        <v>67</v>
      </c>
      <c r="E12">
        <v>64</v>
      </c>
      <c r="G12">
        <v>0</v>
      </c>
      <c r="H12">
        <v>0</v>
      </c>
      <c r="I12">
        <v>67</v>
      </c>
      <c r="J12">
        <v>0</v>
      </c>
      <c r="K12">
        <v>64</v>
      </c>
    </row>
    <row r="13" spans="1:11" x14ac:dyDescent="0.25">
      <c r="A13" s="33">
        <v>0</v>
      </c>
      <c r="C13">
        <v>66</v>
      </c>
      <c r="E13">
        <v>65</v>
      </c>
      <c r="G13">
        <v>0</v>
      </c>
      <c r="H13">
        <v>0</v>
      </c>
      <c r="I13">
        <v>66</v>
      </c>
      <c r="J13">
        <v>0</v>
      </c>
      <c r="K13">
        <v>65</v>
      </c>
    </row>
    <row r="14" spans="1:11" x14ac:dyDescent="0.25">
      <c r="A14" s="33">
        <v>0</v>
      </c>
      <c r="C14">
        <v>68</v>
      </c>
      <c r="E14">
        <v>66</v>
      </c>
      <c r="G14">
        <v>0</v>
      </c>
      <c r="H14">
        <v>0</v>
      </c>
      <c r="I14">
        <v>68</v>
      </c>
      <c r="J14">
        <v>0</v>
      </c>
      <c r="K14">
        <v>66</v>
      </c>
    </row>
    <row r="15" spans="1:11" x14ac:dyDescent="0.25">
      <c r="A15" s="56">
        <v>0</v>
      </c>
      <c r="C15">
        <v>50</v>
      </c>
      <c r="E15">
        <v>67</v>
      </c>
      <c r="G15">
        <v>0</v>
      </c>
      <c r="H15">
        <v>0</v>
      </c>
      <c r="I15">
        <v>50</v>
      </c>
      <c r="J15">
        <v>0</v>
      </c>
      <c r="K15">
        <v>67</v>
      </c>
    </row>
    <row r="16" spans="1:11" x14ac:dyDescent="0.25">
      <c r="A16" s="33">
        <v>0</v>
      </c>
      <c r="C16">
        <v>60</v>
      </c>
      <c r="E16">
        <v>68</v>
      </c>
      <c r="G16">
        <v>0</v>
      </c>
      <c r="H16">
        <v>0</v>
      </c>
      <c r="I16">
        <v>60</v>
      </c>
      <c r="J16">
        <v>0</v>
      </c>
      <c r="K16">
        <v>68</v>
      </c>
    </row>
    <row r="17" spans="1:5" x14ac:dyDescent="0.25">
      <c r="A17" s="33">
        <v>89</v>
      </c>
      <c r="C17">
        <v>42</v>
      </c>
      <c r="E17">
        <v>70</v>
      </c>
    </row>
    <row r="18" spans="1:5" x14ac:dyDescent="0.25">
      <c r="A18" s="56">
        <v>0</v>
      </c>
      <c r="C18">
        <v>81</v>
      </c>
      <c r="E18">
        <v>71</v>
      </c>
    </row>
    <row r="19" spans="1:5" x14ac:dyDescent="0.25">
      <c r="A19" s="33">
        <v>82</v>
      </c>
      <c r="C19">
        <v>65</v>
      </c>
      <c r="E19">
        <v>74</v>
      </c>
    </row>
    <row r="20" spans="1:5" x14ac:dyDescent="0.25">
      <c r="A20" s="33">
        <v>64</v>
      </c>
      <c r="C20">
        <v>57</v>
      </c>
      <c r="E20">
        <v>76</v>
      </c>
    </row>
    <row r="21" spans="1:5" x14ac:dyDescent="0.25">
      <c r="A21" s="33">
        <v>84</v>
      </c>
      <c r="C21">
        <v>74</v>
      </c>
      <c r="E21">
        <v>77</v>
      </c>
    </row>
    <row r="22" spans="1:5" x14ac:dyDescent="0.25">
      <c r="A22" s="33">
        <v>79</v>
      </c>
      <c r="C22">
        <v>62</v>
      </c>
      <c r="E22">
        <v>79</v>
      </c>
    </row>
    <row r="23" spans="1:5" x14ac:dyDescent="0.25">
      <c r="A23" s="56">
        <v>67</v>
      </c>
      <c r="C23">
        <v>32</v>
      </c>
      <c r="E23">
        <v>81</v>
      </c>
    </row>
    <row r="24" spans="1:5" x14ac:dyDescent="0.25">
      <c r="A24" s="33">
        <v>66</v>
      </c>
      <c r="C24">
        <v>99</v>
      </c>
      <c r="E24">
        <v>82</v>
      </c>
    </row>
    <row r="25" spans="1:5" x14ac:dyDescent="0.25">
      <c r="A25" s="33">
        <v>68</v>
      </c>
      <c r="C25">
        <v>100</v>
      </c>
      <c r="E25">
        <v>84</v>
      </c>
    </row>
    <row r="26" spans="1:5" x14ac:dyDescent="0.25">
      <c r="A26" s="56">
        <v>50</v>
      </c>
      <c r="C26">
        <v>71</v>
      </c>
      <c r="E26">
        <v>89</v>
      </c>
    </row>
    <row r="27" spans="1:5" x14ac:dyDescent="0.25">
      <c r="A27" s="33">
        <v>60</v>
      </c>
      <c r="C27">
        <v>76</v>
      </c>
      <c r="E27">
        <v>99</v>
      </c>
    </row>
    <row r="28" spans="1:5" x14ac:dyDescent="0.25">
      <c r="A28" s="33">
        <v>60</v>
      </c>
      <c r="C28">
        <v>22</v>
      </c>
      <c r="E28">
        <v>100</v>
      </c>
    </row>
    <row r="29" spans="1:5" x14ac:dyDescent="0.25">
      <c r="A29" s="56">
        <v>51</v>
      </c>
    </row>
    <row r="30" spans="1:5" x14ac:dyDescent="0.25">
      <c r="A30" s="56">
        <v>42</v>
      </c>
    </row>
    <row r="31" spans="1:5" x14ac:dyDescent="0.25">
      <c r="A31" s="33">
        <v>0</v>
      </c>
    </row>
    <row r="32" spans="1:5" x14ac:dyDescent="0.25">
      <c r="A32" s="33">
        <v>0</v>
      </c>
    </row>
    <row r="33" spans="1:1" x14ac:dyDescent="0.25">
      <c r="A33" s="33">
        <v>81</v>
      </c>
    </row>
    <row r="34" spans="1:1" x14ac:dyDescent="0.25">
      <c r="A34" s="56">
        <v>65</v>
      </c>
    </row>
    <row r="35" spans="1:1" x14ac:dyDescent="0.25">
      <c r="A35" s="33">
        <v>0</v>
      </c>
    </row>
    <row r="36" spans="1:1" x14ac:dyDescent="0.25">
      <c r="A36" s="33">
        <v>66</v>
      </c>
    </row>
    <row r="37" spans="1:1" x14ac:dyDescent="0.25">
      <c r="A37" s="33">
        <v>57</v>
      </c>
    </row>
    <row r="38" spans="1:1" x14ac:dyDescent="0.25">
      <c r="A38" s="33">
        <v>0</v>
      </c>
    </row>
    <row r="39" spans="1:1" x14ac:dyDescent="0.25">
      <c r="A39" s="56">
        <v>67</v>
      </c>
    </row>
    <row r="40" spans="1:1" x14ac:dyDescent="0.25">
      <c r="A40" s="33">
        <v>74</v>
      </c>
    </row>
    <row r="41" spans="1:1" x14ac:dyDescent="0.25">
      <c r="A41" s="33">
        <v>62</v>
      </c>
    </row>
    <row r="42" spans="1:1" x14ac:dyDescent="0.25">
      <c r="A42" s="56">
        <v>0</v>
      </c>
    </row>
    <row r="43" spans="1:1" x14ac:dyDescent="0.25">
      <c r="A43" s="33">
        <v>0</v>
      </c>
    </row>
    <row r="44" spans="1:1" x14ac:dyDescent="0.25">
      <c r="A44" s="33">
        <v>0</v>
      </c>
    </row>
    <row r="45" spans="1:1" x14ac:dyDescent="0.25">
      <c r="A45" s="56">
        <v>0</v>
      </c>
    </row>
    <row r="46" spans="1:1" x14ac:dyDescent="0.25">
      <c r="A46" s="56">
        <v>0</v>
      </c>
    </row>
    <row r="47" spans="1:1" x14ac:dyDescent="0.25">
      <c r="A47" s="88">
        <v>0</v>
      </c>
    </row>
    <row r="48" spans="1:1" x14ac:dyDescent="0.25">
      <c r="A48" s="88">
        <v>0</v>
      </c>
    </row>
    <row r="49" spans="1:1" x14ac:dyDescent="0.25">
      <c r="A49" s="33">
        <v>32</v>
      </c>
    </row>
    <row r="50" spans="1:1" x14ac:dyDescent="0.25">
      <c r="A50" s="56">
        <v>99</v>
      </c>
    </row>
    <row r="51" spans="1:1" x14ac:dyDescent="0.25">
      <c r="A51" s="33">
        <v>100</v>
      </c>
    </row>
    <row r="52" spans="1:1" x14ac:dyDescent="0.25">
      <c r="A52" s="33">
        <v>0</v>
      </c>
    </row>
    <row r="53" spans="1:1" x14ac:dyDescent="0.25">
      <c r="A53" s="33">
        <v>0</v>
      </c>
    </row>
    <row r="54" spans="1:1" x14ac:dyDescent="0.25">
      <c r="A54" s="33">
        <v>0</v>
      </c>
    </row>
    <row r="55" spans="1:1" x14ac:dyDescent="0.25">
      <c r="A55" s="56">
        <v>64</v>
      </c>
    </row>
    <row r="56" spans="1:1" x14ac:dyDescent="0.25">
      <c r="A56" s="33">
        <v>0</v>
      </c>
    </row>
    <row r="57" spans="1:1" x14ac:dyDescent="0.25">
      <c r="A57" s="33">
        <v>0</v>
      </c>
    </row>
    <row r="58" spans="1:1" x14ac:dyDescent="0.25">
      <c r="A58" s="56">
        <v>0</v>
      </c>
    </row>
    <row r="59" spans="1:1" x14ac:dyDescent="0.25">
      <c r="A59" s="87">
        <v>0</v>
      </c>
    </row>
    <row r="60" spans="1:1" x14ac:dyDescent="0.25">
      <c r="A60" s="87">
        <v>0</v>
      </c>
    </row>
    <row r="61" spans="1:1" x14ac:dyDescent="0.25">
      <c r="A61" s="87">
        <v>0</v>
      </c>
    </row>
    <row r="62" spans="1:1" x14ac:dyDescent="0.25">
      <c r="A62" s="87">
        <v>0</v>
      </c>
    </row>
    <row r="63" spans="1:1" x14ac:dyDescent="0.25">
      <c r="A63" s="87">
        <v>0</v>
      </c>
    </row>
    <row r="64" spans="1:1" x14ac:dyDescent="0.25">
      <c r="A64" s="87">
        <v>0</v>
      </c>
    </row>
    <row r="65" spans="1:1" x14ac:dyDescent="0.25">
      <c r="A65" s="33">
        <v>71</v>
      </c>
    </row>
    <row r="66" spans="1:1" x14ac:dyDescent="0.25">
      <c r="A66" s="56">
        <v>77</v>
      </c>
    </row>
    <row r="67" spans="1:1" x14ac:dyDescent="0.25">
      <c r="A67" s="33">
        <v>76</v>
      </c>
    </row>
    <row r="68" spans="1:1" x14ac:dyDescent="0.25">
      <c r="A68" s="33">
        <v>70</v>
      </c>
    </row>
    <row r="69" spans="1:1" x14ac:dyDescent="0.25">
      <c r="A69" s="33">
        <v>0</v>
      </c>
    </row>
    <row r="70" spans="1:1" x14ac:dyDescent="0.25">
      <c r="A70" s="33">
        <v>0</v>
      </c>
    </row>
    <row r="71" spans="1:1" x14ac:dyDescent="0.25">
      <c r="A71" s="56">
        <v>0</v>
      </c>
    </row>
    <row r="72" spans="1:1" x14ac:dyDescent="0.25">
      <c r="A72" s="33">
        <v>71</v>
      </c>
    </row>
    <row r="73" spans="1:1" x14ac:dyDescent="0.25">
      <c r="A73" s="33">
        <v>76</v>
      </c>
    </row>
    <row r="74" spans="1:1" x14ac:dyDescent="0.25">
      <c r="A74" s="56">
        <v>22</v>
      </c>
    </row>
    <row r="75" spans="1:1" x14ac:dyDescent="0.25">
      <c r="A75" s="33">
        <v>0</v>
      </c>
    </row>
    <row r="76" spans="1:1" x14ac:dyDescent="0.25">
      <c r="A76" s="56">
        <v>0</v>
      </c>
    </row>
    <row r="77" spans="1:1" x14ac:dyDescent="0.25">
      <c r="A77" s="33">
        <v>0</v>
      </c>
    </row>
    <row r="78" spans="1:1" x14ac:dyDescent="0.25">
      <c r="A78" s="88">
        <v>0</v>
      </c>
    </row>
    <row r="79" spans="1:1" x14ac:dyDescent="0.25">
      <c r="A79" s="87">
        <v>0</v>
      </c>
    </row>
    <row r="80" spans="1:1" x14ac:dyDescent="0.25">
      <c r="A80" s="88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4C610-052F-4CBF-96B5-ABA12EEB6140}">
  <sheetPr>
    <tabColor theme="6" tint="0.59999389629810485"/>
  </sheetPr>
  <dimension ref="C3:E9"/>
  <sheetViews>
    <sheetView workbookViewId="0">
      <selection activeCell="N28" sqref="N28"/>
    </sheetView>
  </sheetViews>
  <sheetFormatPr defaultRowHeight="15" x14ac:dyDescent="0.25"/>
  <sheetData>
    <row r="3" spans="3:5" ht="15.75" thickBot="1" x14ac:dyDescent="0.3"/>
    <row r="4" spans="3:5" ht="15.75" thickBot="1" x14ac:dyDescent="0.3">
      <c r="C4" s="89" t="s">
        <v>210</v>
      </c>
      <c r="D4" s="90" t="s">
        <v>211</v>
      </c>
      <c r="E4" s="91" t="s">
        <v>212</v>
      </c>
    </row>
    <row r="5" spans="3:5" x14ac:dyDescent="0.25">
      <c r="C5" s="92">
        <v>8</v>
      </c>
      <c r="D5" s="98">
        <v>1</v>
      </c>
      <c r="E5" s="95">
        <v>2</v>
      </c>
    </row>
    <row r="6" spans="3:5" x14ac:dyDescent="0.25">
      <c r="C6" s="93">
        <v>12</v>
      </c>
      <c r="D6" s="99">
        <v>2</v>
      </c>
      <c r="E6" s="96">
        <v>3</v>
      </c>
    </row>
    <row r="7" spans="3:5" x14ac:dyDescent="0.25">
      <c r="C7" s="93">
        <v>11</v>
      </c>
      <c r="D7" s="99">
        <v>4</v>
      </c>
      <c r="E7" s="96">
        <v>1</v>
      </c>
    </row>
    <row r="8" spans="3:5" x14ac:dyDescent="0.25">
      <c r="C8" s="93">
        <v>32</v>
      </c>
      <c r="D8" s="99">
        <v>3</v>
      </c>
      <c r="E8" s="96">
        <v>4</v>
      </c>
    </row>
    <row r="9" spans="3:5" ht="15.75" thickBot="1" x14ac:dyDescent="0.3">
      <c r="C9" s="94">
        <v>57</v>
      </c>
      <c r="D9" s="100">
        <v>5</v>
      </c>
      <c r="E9" s="97">
        <v>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17EA-2CB2-494B-AE6C-54318414A5FE}">
  <sheetPr>
    <tabColor theme="2"/>
  </sheetPr>
  <dimension ref="A1:AO255"/>
  <sheetViews>
    <sheetView topLeftCell="Q1" zoomScaleNormal="100" workbookViewId="0">
      <selection activeCell="AE19" sqref="AE19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140625" style="33" customWidth="1"/>
    <col min="22" max="22" width="19.42578125" style="33" customWidth="1"/>
    <col min="23" max="23" width="6.5703125" style="33" customWidth="1"/>
    <col min="24" max="24" width="11.855468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85546875" style="33" customWidth="1"/>
    <col min="30" max="30" width="11.85546875" style="33" customWidth="1"/>
    <col min="31" max="31" width="10.28515625" style="33" customWidth="1"/>
    <col min="32" max="32" width="8.140625" style="33" customWidth="1"/>
    <col min="33" max="33" width="13.7109375" style="33" customWidth="1"/>
    <col min="34" max="34" width="8.42578125" style="33" customWidth="1"/>
    <col min="35" max="35" width="7.855468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16384" width="9.140625" style="33"/>
  </cols>
  <sheetData>
    <row r="1" spans="1:41" x14ac:dyDescent="0.25">
      <c r="A1" s="34" t="str">
        <f ca="1">TRIM(MID(CELL("filename",A1),FIND("]",CELL("filename",A1),1)+1,255))</f>
        <v>Zone_2_HE</v>
      </c>
      <c r="D1" s="34"/>
    </row>
    <row r="3" spans="1:41" s="35" customFormat="1" ht="45" customHeight="1" x14ac:dyDescent="0.25">
      <c r="F3" s="36" t="s">
        <v>39</v>
      </c>
      <c r="J3" s="37" t="s">
        <v>22</v>
      </c>
      <c r="Q3" s="72"/>
      <c r="R3" s="155"/>
      <c r="S3" s="155"/>
      <c r="T3" s="72"/>
      <c r="U3" s="155"/>
      <c r="V3" s="155"/>
      <c r="W3" s="72"/>
      <c r="X3" s="69"/>
      <c r="Y3" s="72"/>
      <c r="Z3" s="72"/>
      <c r="AA3" s="72"/>
      <c r="AB3" s="72"/>
      <c r="AC3" s="69"/>
      <c r="AD3" s="39"/>
      <c r="AE3" s="39"/>
      <c r="AF3" s="39"/>
      <c r="AG3" s="39"/>
      <c r="AH3" s="39"/>
      <c r="AI3" s="39"/>
      <c r="AJ3" s="72"/>
      <c r="AK3" s="72"/>
      <c r="AL3" s="72"/>
      <c r="AM3" s="72"/>
      <c r="AN3" s="72"/>
    </row>
    <row r="4" spans="1:41" s="41" customFormat="1" x14ac:dyDescent="0.25">
      <c r="A4" s="40" t="s">
        <v>60</v>
      </c>
      <c r="B4" s="41">
        <f>COUNTIF(J:J,"&gt;0")</f>
        <v>7</v>
      </c>
      <c r="C4" s="42" t="s">
        <v>58</v>
      </c>
      <c r="D4" s="43"/>
      <c r="F4" s="41" t="s">
        <v>40</v>
      </c>
      <c r="G4" s="44">
        <v>0</v>
      </c>
      <c r="H4" s="42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68" t="s">
        <v>102</v>
      </c>
    </row>
    <row r="5" spans="1:41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44">
        <v>0</v>
      </c>
      <c r="H5" s="45" t="s">
        <v>28</v>
      </c>
      <c r="J5" s="38" t="s">
        <v>38</v>
      </c>
      <c r="K5" s="38" t="s">
        <v>30</v>
      </c>
      <c r="L5" s="38" t="s">
        <v>31</v>
      </c>
      <c r="M5" s="38" t="s">
        <v>31</v>
      </c>
      <c r="N5" s="38" t="s">
        <v>32</v>
      </c>
      <c r="O5" s="38" t="s">
        <v>33</v>
      </c>
      <c r="P5" s="38" t="s">
        <v>35</v>
      </c>
      <c r="Q5" s="38" t="s">
        <v>36</v>
      </c>
      <c r="R5" s="38" t="s">
        <v>36</v>
      </c>
      <c r="S5" s="38" t="s">
        <v>34</v>
      </c>
      <c r="T5" s="38" t="s">
        <v>33</v>
      </c>
      <c r="U5" s="38" t="s">
        <v>34</v>
      </c>
      <c r="V5" s="38" t="s">
        <v>62</v>
      </c>
      <c r="W5" s="38" t="s">
        <v>34</v>
      </c>
      <c r="X5" s="38" t="s">
        <v>33</v>
      </c>
      <c r="Y5" s="38" t="s">
        <v>35</v>
      </c>
      <c r="Z5" s="38" t="s">
        <v>33</v>
      </c>
      <c r="AA5" s="38" t="s">
        <v>34</v>
      </c>
      <c r="AB5" s="38" t="s">
        <v>33</v>
      </c>
      <c r="AC5" s="38" t="s">
        <v>33</v>
      </c>
      <c r="AD5" s="38" t="s">
        <v>35</v>
      </c>
      <c r="AE5" s="38" t="s">
        <v>34</v>
      </c>
      <c r="AF5" s="38" t="s">
        <v>33</v>
      </c>
      <c r="AG5" s="38" t="s">
        <v>35</v>
      </c>
      <c r="AH5" s="38" t="s">
        <v>34</v>
      </c>
      <c r="AI5" s="38" t="s">
        <v>34</v>
      </c>
      <c r="AJ5" s="38" t="s">
        <v>34</v>
      </c>
      <c r="AK5" s="38" t="s">
        <v>34</v>
      </c>
      <c r="AL5" s="38" t="s">
        <v>34</v>
      </c>
      <c r="AM5" s="38" t="s">
        <v>34</v>
      </c>
      <c r="AN5" s="38" t="s">
        <v>34</v>
      </c>
      <c r="AO5" s="38" t="s">
        <v>103</v>
      </c>
    </row>
    <row r="6" spans="1:41" x14ac:dyDescent="0.25">
      <c r="C6" s="45"/>
      <c r="F6" s="33" t="s">
        <v>67</v>
      </c>
      <c r="G6" s="46">
        <v>23</v>
      </c>
      <c r="H6" s="45" t="s">
        <v>28</v>
      </c>
      <c r="J6" s="47">
        <v>1</v>
      </c>
      <c r="K6" s="47">
        <v>0</v>
      </c>
      <c r="L6" s="70" t="s">
        <v>106</v>
      </c>
      <c r="M6" s="49" t="s">
        <v>64</v>
      </c>
      <c r="N6" s="50">
        <v>9.8000000000000007</v>
      </c>
      <c r="O6" s="51"/>
      <c r="P6" s="51"/>
      <c r="Q6" s="50">
        <v>45</v>
      </c>
      <c r="R6" s="50">
        <f>Q6-5</f>
        <v>40</v>
      </c>
      <c r="S6" s="50">
        <v>0.5</v>
      </c>
      <c r="T6" s="50">
        <v>0</v>
      </c>
      <c r="U6" s="52"/>
      <c r="V6" s="52"/>
      <c r="W6" s="50">
        <v>0.5</v>
      </c>
      <c r="X6" s="50">
        <v>26200</v>
      </c>
      <c r="Y6" s="50">
        <v>0</v>
      </c>
      <c r="Z6" s="50">
        <f>VLOOKUP(R6,$AE$39:$AF$59,2)</f>
        <v>114.99999999999996</v>
      </c>
      <c r="AA6" s="53"/>
      <c r="AB6" s="50">
        <f>VLOOKUP(R6,$AE$39:$AG$59,3)</f>
        <v>12000</v>
      </c>
      <c r="AC6" s="51"/>
      <c r="AD6" s="51"/>
      <c r="AE6" s="51"/>
      <c r="AF6" s="51"/>
      <c r="AG6" s="51"/>
      <c r="AH6" s="51"/>
      <c r="AI6" s="51"/>
      <c r="AJ6" s="50">
        <f>VLOOKUP(R6,$AE$39:$AH$59,4)</f>
        <v>50.000000000000007</v>
      </c>
      <c r="AK6" s="50">
        <v>1</v>
      </c>
      <c r="AL6" s="50">
        <v>1</v>
      </c>
      <c r="AM6" s="50">
        <v>1</v>
      </c>
      <c r="AN6" s="50">
        <v>1</v>
      </c>
      <c r="AO6" s="50">
        <v>0</v>
      </c>
    </row>
    <row r="7" spans="1:41" x14ac:dyDescent="0.25">
      <c r="A7" s="54" t="s">
        <v>23</v>
      </c>
      <c r="C7" s="45"/>
      <c r="F7" s="55" t="s">
        <v>48</v>
      </c>
      <c r="G7" s="56"/>
      <c r="H7" s="39"/>
      <c r="I7" s="56"/>
      <c r="J7" s="47">
        <v>2</v>
      </c>
      <c r="K7" s="47">
        <v>-1.5</v>
      </c>
      <c r="L7" s="33" t="s">
        <v>107</v>
      </c>
      <c r="M7" s="49" t="s">
        <v>65</v>
      </c>
      <c r="N7" s="50">
        <v>9.8000000000000007</v>
      </c>
      <c r="O7" s="51">
        <v>123</v>
      </c>
      <c r="P7" s="51">
        <v>0</v>
      </c>
      <c r="Q7" s="50"/>
      <c r="R7" s="50"/>
      <c r="S7" s="50"/>
      <c r="T7" s="50"/>
      <c r="U7" s="52">
        <v>1.7999999999999999E-2</v>
      </c>
      <c r="V7" s="52">
        <v>0</v>
      </c>
      <c r="W7" s="50"/>
      <c r="X7" s="50"/>
      <c r="Y7" s="50"/>
      <c r="Z7" s="50"/>
      <c r="AA7" s="53">
        <f>VLOOKUP(R6,$AE$39:$AF$59,2)</f>
        <v>114.99999999999996</v>
      </c>
      <c r="AB7" s="50"/>
      <c r="AC7" s="51">
        <v>77860</v>
      </c>
      <c r="AD7" s="51">
        <v>0</v>
      </c>
      <c r="AE7" s="51">
        <v>0.46</v>
      </c>
      <c r="AF7" s="51">
        <v>0</v>
      </c>
      <c r="AG7" s="51">
        <v>0</v>
      </c>
      <c r="AH7" s="51">
        <v>0</v>
      </c>
      <c r="AI7" s="51">
        <v>0</v>
      </c>
      <c r="AJ7" s="50"/>
      <c r="AK7" s="50">
        <v>1</v>
      </c>
      <c r="AL7" s="50">
        <v>1</v>
      </c>
      <c r="AM7" s="50">
        <v>1</v>
      </c>
      <c r="AN7" s="50">
        <v>1</v>
      </c>
      <c r="AO7" s="50">
        <v>0</v>
      </c>
    </row>
    <row r="8" spans="1:4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2278.1</v>
      </c>
      <c r="H8" s="45" t="s">
        <v>53</v>
      </c>
      <c r="J8" s="47">
        <v>3</v>
      </c>
      <c r="K8" s="47">
        <v>-1.8</v>
      </c>
      <c r="L8" s="70" t="s">
        <v>106</v>
      </c>
      <c r="M8" s="49" t="s">
        <v>64</v>
      </c>
      <c r="N8" s="50">
        <v>9.8000000000000007</v>
      </c>
      <c r="O8" s="51"/>
      <c r="P8" s="51"/>
      <c r="Q8" s="50">
        <v>44</v>
      </c>
      <c r="R8" s="50">
        <f>Q8-5</f>
        <v>39</v>
      </c>
      <c r="S8" s="50">
        <v>2.4</v>
      </c>
      <c r="T8" s="50">
        <v>0</v>
      </c>
      <c r="U8" s="52"/>
      <c r="V8" s="52"/>
      <c r="W8" s="50">
        <v>0.5</v>
      </c>
      <c r="X8" s="50">
        <v>12700</v>
      </c>
      <c r="Y8" s="50">
        <v>0</v>
      </c>
      <c r="Z8" s="50">
        <f>VLOOKUP(R8,$AE$39:$AF$59,2)</f>
        <v>114.99999999999996</v>
      </c>
      <c r="AA8" s="53"/>
      <c r="AB8" s="50">
        <f t="shared" ref="AB8:AB9" si="0">VLOOKUP(R8,$AE$39:$AG$59,3)</f>
        <v>12000</v>
      </c>
      <c r="AC8" s="51"/>
      <c r="AD8" s="51"/>
      <c r="AE8" s="51"/>
      <c r="AF8" s="51"/>
      <c r="AG8" s="51"/>
      <c r="AH8" s="51"/>
      <c r="AI8" s="51"/>
      <c r="AJ8" s="50">
        <f t="shared" ref="AJ8:AJ11" si="1">VLOOKUP(R8,$AE$39:$AH$59,4)</f>
        <v>50.000000000000007</v>
      </c>
      <c r="AK8" s="50">
        <v>1</v>
      </c>
      <c r="AL8" s="50">
        <v>1</v>
      </c>
      <c r="AM8" s="50">
        <v>1</v>
      </c>
      <c r="AN8" s="50">
        <v>1</v>
      </c>
      <c r="AO8" s="50">
        <v>0</v>
      </c>
    </row>
    <row r="9" spans="1:41" x14ac:dyDescent="0.25">
      <c r="A9" s="33" t="s">
        <v>68</v>
      </c>
      <c r="B9" s="57">
        <v>33</v>
      </c>
      <c r="C9" s="45" t="s">
        <v>28</v>
      </c>
      <c r="D9" s="57">
        <v>28</v>
      </c>
      <c r="F9" s="33" t="s">
        <v>96</v>
      </c>
      <c r="G9" s="71">
        <v>-122786</v>
      </c>
      <c r="H9" s="45" t="s">
        <v>54</v>
      </c>
      <c r="J9" s="47">
        <v>4</v>
      </c>
      <c r="K9" s="47">
        <v>-5</v>
      </c>
      <c r="L9" s="70" t="s">
        <v>106</v>
      </c>
      <c r="M9" s="49" t="s">
        <v>64</v>
      </c>
      <c r="N9" s="50">
        <v>9.8000000000000007</v>
      </c>
      <c r="O9" s="51"/>
      <c r="P9" s="51"/>
      <c r="Q9" s="50">
        <v>43</v>
      </c>
      <c r="R9" s="50">
        <f>Q9-5</f>
        <v>38</v>
      </c>
      <c r="S9" s="50">
        <v>1.6</v>
      </c>
      <c r="T9" s="50">
        <v>0</v>
      </c>
      <c r="U9" s="52"/>
      <c r="V9" s="52"/>
      <c r="W9" s="50">
        <v>0.5</v>
      </c>
      <c r="X9" s="50">
        <v>22500</v>
      </c>
      <c r="Y9" s="50">
        <v>0</v>
      </c>
      <c r="Z9" s="50">
        <f t="shared" ref="Z9:Z11" si="2">VLOOKUP(R9,$AE$39:$AF$59,2)</f>
        <v>114.99999999999996</v>
      </c>
      <c r="AA9" s="53"/>
      <c r="AB9" s="50">
        <f t="shared" si="0"/>
        <v>12000</v>
      </c>
      <c r="AC9" s="51"/>
      <c r="AD9" s="51"/>
      <c r="AE9" s="51"/>
      <c r="AF9" s="51"/>
      <c r="AG9" s="51"/>
      <c r="AH9" s="51"/>
      <c r="AI9" s="51"/>
      <c r="AJ9" s="50">
        <f t="shared" si="1"/>
        <v>50.000000000000007</v>
      </c>
      <c r="AK9" s="50">
        <v>1</v>
      </c>
      <c r="AL9" s="50">
        <v>1</v>
      </c>
      <c r="AM9" s="50">
        <v>1</v>
      </c>
      <c r="AN9" s="50">
        <v>1</v>
      </c>
      <c r="AO9" s="50">
        <v>0</v>
      </c>
    </row>
    <row r="10" spans="1:41" s="56" customFormat="1" x14ac:dyDescent="0.25">
      <c r="A10" s="56" t="s">
        <v>69</v>
      </c>
      <c r="B10" s="58">
        <v>33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/>
      <c r="J10" s="47">
        <v>5</v>
      </c>
      <c r="K10" s="47">
        <v>-17</v>
      </c>
      <c r="L10" s="33" t="s">
        <v>107</v>
      </c>
      <c r="M10" s="49" t="s">
        <v>65</v>
      </c>
      <c r="N10" s="50">
        <v>8.6</v>
      </c>
      <c r="O10" s="51">
        <v>483.2</v>
      </c>
      <c r="P10" s="51">
        <v>-0.93</v>
      </c>
      <c r="Q10" s="50"/>
      <c r="R10" s="50"/>
      <c r="S10" s="50"/>
      <c r="T10" s="50"/>
      <c r="U10" s="52">
        <v>1.7999999999999999E-2</v>
      </c>
      <c r="V10" s="52">
        <v>0</v>
      </c>
      <c r="W10" s="50"/>
      <c r="X10" s="50"/>
      <c r="Y10" s="50"/>
      <c r="Z10" s="50"/>
      <c r="AA10" s="53">
        <f t="shared" ref="AA10:AA12" si="3">VLOOKUP(R9,$AE$39:$AF$59,2)</f>
        <v>114.99999999999996</v>
      </c>
      <c r="AB10" s="50"/>
      <c r="AC10" s="51">
        <v>602500</v>
      </c>
      <c r="AD10" s="51">
        <v>0</v>
      </c>
      <c r="AE10" s="51">
        <v>0.46</v>
      </c>
      <c r="AF10" s="51">
        <v>0</v>
      </c>
      <c r="AG10" s="51">
        <v>0</v>
      </c>
      <c r="AH10" s="51">
        <v>0</v>
      </c>
      <c r="AI10" s="51">
        <v>0</v>
      </c>
      <c r="AJ10" s="50"/>
      <c r="AK10" s="50">
        <v>1</v>
      </c>
      <c r="AL10" s="50">
        <v>1</v>
      </c>
      <c r="AM10" s="50">
        <v>1</v>
      </c>
      <c r="AN10" s="50">
        <v>1</v>
      </c>
      <c r="AO10" s="50">
        <v>0</v>
      </c>
    </row>
    <row r="11" spans="1:41" x14ac:dyDescent="0.25">
      <c r="A11" s="33" t="s">
        <v>70</v>
      </c>
      <c r="B11" s="57">
        <v>0.5</v>
      </c>
      <c r="C11" s="45" t="s">
        <v>28</v>
      </c>
      <c r="F11" s="33" t="s">
        <v>52</v>
      </c>
      <c r="G11" s="71">
        <v>0</v>
      </c>
      <c r="H11" s="45" t="s">
        <v>53</v>
      </c>
      <c r="J11" s="47">
        <v>6</v>
      </c>
      <c r="K11" s="47">
        <v>-27</v>
      </c>
      <c r="L11" s="33" t="s">
        <v>106</v>
      </c>
      <c r="M11" s="49" t="s">
        <v>64</v>
      </c>
      <c r="N11" s="50">
        <v>8.6999999999999993</v>
      </c>
      <c r="O11" s="51"/>
      <c r="P11" s="51"/>
      <c r="Q11" s="50">
        <v>42</v>
      </c>
      <c r="R11" s="50">
        <f t="shared" ref="R11" si="4">Q11-5</f>
        <v>37</v>
      </c>
      <c r="S11" s="50">
        <v>0.8</v>
      </c>
      <c r="T11" s="50">
        <v>0</v>
      </c>
      <c r="U11" s="52"/>
      <c r="V11" s="52"/>
      <c r="W11" s="50">
        <v>0.5</v>
      </c>
      <c r="X11" s="50">
        <v>28900</v>
      </c>
      <c r="Y11" s="50">
        <v>0</v>
      </c>
      <c r="Z11" s="50">
        <f t="shared" si="2"/>
        <v>114.99999999999996</v>
      </c>
      <c r="AA11" s="53"/>
      <c r="AB11" s="50">
        <v>0</v>
      </c>
      <c r="AC11" s="51"/>
      <c r="AD11" s="51"/>
      <c r="AE11" s="51"/>
      <c r="AF11" s="51"/>
      <c r="AG11" s="51"/>
      <c r="AH11" s="51"/>
      <c r="AI11" s="51"/>
      <c r="AJ11" s="50">
        <f t="shared" si="1"/>
        <v>50.000000000000007</v>
      </c>
      <c r="AK11" s="50">
        <v>1</v>
      </c>
      <c r="AL11" s="50">
        <v>1</v>
      </c>
      <c r="AM11" s="50">
        <v>1</v>
      </c>
      <c r="AN11" s="50">
        <v>1</v>
      </c>
      <c r="AO11" s="50">
        <v>0</v>
      </c>
    </row>
    <row r="12" spans="1:41" x14ac:dyDescent="0.25">
      <c r="A12" s="33" t="s">
        <v>74</v>
      </c>
      <c r="B12" s="46">
        <v>5.5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/>
      <c r="J12" s="47">
        <v>7</v>
      </c>
      <c r="K12" s="47">
        <v>-31</v>
      </c>
      <c r="L12" s="33" t="s">
        <v>107</v>
      </c>
      <c r="M12" s="49" t="s">
        <v>65</v>
      </c>
      <c r="N12" s="50">
        <v>9</v>
      </c>
      <c r="O12" s="51">
        <v>720.1</v>
      </c>
      <c r="P12" s="51">
        <v>26.83</v>
      </c>
      <c r="Q12" s="50">
        <v>0</v>
      </c>
      <c r="R12" s="50"/>
      <c r="S12" s="50"/>
      <c r="T12" s="50"/>
      <c r="U12" s="52">
        <v>1.7999999999999999E-2</v>
      </c>
      <c r="V12" s="52">
        <v>0</v>
      </c>
      <c r="W12" s="50"/>
      <c r="X12" s="50"/>
      <c r="Y12" s="50"/>
      <c r="Z12" s="50"/>
      <c r="AA12" s="53">
        <f t="shared" si="3"/>
        <v>114.99999999999996</v>
      </c>
      <c r="AB12" s="50"/>
      <c r="AC12" s="51">
        <v>1021000</v>
      </c>
      <c r="AD12" s="51">
        <v>49333</v>
      </c>
      <c r="AE12" s="51">
        <v>0.46</v>
      </c>
      <c r="AF12" s="51">
        <v>0</v>
      </c>
      <c r="AG12" s="51">
        <v>0</v>
      </c>
      <c r="AH12" s="51">
        <v>0</v>
      </c>
      <c r="AI12" s="51">
        <v>0</v>
      </c>
      <c r="AJ12" s="50"/>
      <c r="AK12" s="50">
        <v>1</v>
      </c>
      <c r="AL12" s="50">
        <v>1</v>
      </c>
      <c r="AM12" s="50">
        <v>1</v>
      </c>
      <c r="AN12" s="50">
        <v>1</v>
      </c>
      <c r="AO12" s="50">
        <v>0</v>
      </c>
    </row>
    <row r="13" spans="1:4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J13" s="47"/>
      <c r="K13" s="47"/>
      <c r="M13" s="49"/>
      <c r="N13" s="50"/>
      <c r="O13" s="51"/>
      <c r="P13" s="51"/>
      <c r="Q13" s="50"/>
      <c r="R13" s="50"/>
      <c r="S13" s="50"/>
      <c r="T13" s="50"/>
      <c r="U13" s="52"/>
      <c r="V13" s="52"/>
      <c r="W13" s="50"/>
      <c r="X13" s="50"/>
      <c r="Y13" s="50"/>
      <c r="Z13" s="50"/>
      <c r="AA13" s="53"/>
      <c r="AB13" s="50"/>
      <c r="AC13" s="51"/>
      <c r="AD13" s="51"/>
      <c r="AE13" s="51"/>
      <c r="AF13" s="51"/>
      <c r="AG13" s="51"/>
      <c r="AH13" s="51"/>
      <c r="AI13" s="51"/>
      <c r="AJ13" s="50"/>
      <c r="AK13" s="50"/>
      <c r="AL13" s="50"/>
      <c r="AM13" s="50"/>
      <c r="AN13" s="50"/>
      <c r="AO13" s="50"/>
    </row>
    <row r="14" spans="1:4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J14" s="47"/>
      <c r="K14" s="47"/>
      <c r="M14" s="49"/>
      <c r="N14" s="50"/>
      <c r="O14" s="51"/>
      <c r="P14" s="51"/>
      <c r="Q14" s="50"/>
      <c r="R14" s="50"/>
      <c r="S14" s="50"/>
      <c r="T14" s="50"/>
      <c r="U14" s="52"/>
      <c r="V14" s="52"/>
      <c r="W14" s="50"/>
      <c r="X14" s="50"/>
      <c r="Y14" s="50"/>
      <c r="Z14" s="50"/>
      <c r="AA14" s="53"/>
      <c r="AB14" s="50"/>
      <c r="AC14" s="51"/>
      <c r="AD14" s="51"/>
      <c r="AE14" s="51"/>
      <c r="AF14" s="51"/>
      <c r="AG14" s="51"/>
      <c r="AH14" s="51"/>
      <c r="AI14" s="51"/>
      <c r="AJ14" s="50"/>
      <c r="AK14" s="50"/>
      <c r="AL14" s="50"/>
      <c r="AM14" s="50"/>
      <c r="AN14" s="50"/>
      <c r="AO14" s="50"/>
    </row>
    <row r="15" spans="1:41" x14ac:dyDescent="0.25">
      <c r="A15" s="33" t="s">
        <v>44</v>
      </c>
      <c r="B15" s="61">
        <v>207000000</v>
      </c>
      <c r="C15" s="45" t="s">
        <v>47</v>
      </c>
      <c r="J15" s="47"/>
      <c r="K15" s="47"/>
      <c r="M15" s="49"/>
      <c r="N15" s="50"/>
      <c r="O15" s="51"/>
      <c r="P15" s="51"/>
      <c r="Q15" s="50"/>
      <c r="R15" s="50"/>
      <c r="S15" s="50"/>
      <c r="T15" s="50"/>
      <c r="U15" s="52"/>
      <c r="V15" s="52"/>
      <c r="W15" s="50"/>
      <c r="X15" s="50"/>
      <c r="Y15" s="50"/>
      <c r="Z15" s="50"/>
      <c r="AA15" s="53"/>
      <c r="AB15" s="50"/>
      <c r="AC15" s="51"/>
      <c r="AD15" s="51"/>
      <c r="AE15" s="51"/>
      <c r="AF15" s="51"/>
      <c r="AG15" s="51"/>
      <c r="AH15" s="51"/>
      <c r="AI15" s="51"/>
      <c r="AJ15" s="50"/>
      <c r="AK15" s="50"/>
      <c r="AL15" s="50"/>
      <c r="AM15" s="50"/>
      <c r="AN15" s="50"/>
      <c r="AO15" s="50"/>
    </row>
    <row r="16" spans="1:4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/>
      <c r="J16" s="47"/>
      <c r="K16" s="47"/>
      <c r="M16" s="49"/>
      <c r="N16" s="50"/>
      <c r="O16" s="51"/>
      <c r="P16" s="51"/>
      <c r="Q16" s="50"/>
      <c r="R16" s="50"/>
      <c r="S16" s="50"/>
      <c r="T16" s="50"/>
      <c r="U16" s="52"/>
      <c r="V16" s="52"/>
      <c r="W16" s="50"/>
      <c r="X16" s="50"/>
      <c r="Y16" s="50"/>
      <c r="Z16" s="50"/>
      <c r="AA16" s="53"/>
      <c r="AB16" s="50"/>
      <c r="AC16" s="51"/>
      <c r="AD16" s="51"/>
      <c r="AE16" s="51"/>
      <c r="AF16" s="51"/>
      <c r="AG16" s="51"/>
      <c r="AH16" s="51"/>
      <c r="AI16" s="51"/>
      <c r="AJ16" s="50"/>
      <c r="AK16" s="50"/>
      <c r="AL16" s="50"/>
      <c r="AM16" s="50"/>
      <c r="AN16" s="50"/>
      <c r="AO16" s="50"/>
    </row>
    <row r="17" spans="1:41" s="56" customFormat="1" x14ac:dyDescent="0.25">
      <c r="A17" s="33" t="s">
        <v>98</v>
      </c>
      <c r="B17" s="57">
        <v>0.53</v>
      </c>
      <c r="C17" s="45"/>
      <c r="D17" s="38"/>
      <c r="E17" s="38"/>
      <c r="J17" s="47"/>
      <c r="K17" s="47"/>
      <c r="L17" s="33"/>
      <c r="M17" s="49"/>
      <c r="N17" s="50"/>
      <c r="O17" s="51"/>
      <c r="P17" s="51"/>
      <c r="Q17" s="50"/>
      <c r="R17" s="50"/>
      <c r="S17" s="50"/>
      <c r="T17" s="50"/>
      <c r="U17" s="52"/>
      <c r="V17" s="52"/>
      <c r="W17" s="50"/>
      <c r="X17" s="50"/>
      <c r="Y17" s="50"/>
      <c r="Z17" s="50"/>
      <c r="AA17" s="53"/>
      <c r="AB17" s="50"/>
      <c r="AC17" s="51"/>
      <c r="AD17" s="51"/>
      <c r="AE17" s="51"/>
      <c r="AF17" s="51"/>
      <c r="AG17" s="51"/>
      <c r="AH17" s="51"/>
      <c r="AI17" s="51"/>
      <c r="AJ17" s="50"/>
      <c r="AK17" s="50"/>
      <c r="AL17" s="50"/>
      <c r="AM17" s="50"/>
      <c r="AN17" s="50"/>
      <c r="AO17" s="50"/>
    </row>
    <row r="18" spans="1:41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L18" s="48"/>
      <c r="M18" s="49" t="s">
        <v>94</v>
      </c>
      <c r="N18" s="47"/>
      <c r="O18" s="63"/>
      <c r="P18" s="47"/>
      <c r="Q18" s="47"/>
      <c r="R18" s="64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</row>
    <row r="19" spans="1:41" x14ac:dyDescent="0.25">
      <c r="A19" s="38" t="s">
        <v>38</v>
      </c>
      <c r="B19" s="38" t="s">
        <v>30</v>
      </c>
      <c r="C19" s="38" t="s">
        <v>59</v>
      </c>
      <c r="D19" s="43"/>
      <c r="E19" s="35"/>
      <c r="L19" s="48"/>
      <c r="M19" s="49" t="s">
        <v>94</v>
      </c>
      <c r="N19" s="47"/>
      <c r="O19" s="50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</row>
    <row r="20" spans="1:41" x14ac:dyDescent="0.25">
      <c r="A20" s="66">
        <v>1</v>
      </c>
      <c r="B20" s="66">
        <v>0</v>
      </c>
      <c r="C20" s="67">
        <v>0.09</v>
      </c>
      <c r="D20" s="43"/>
      <c r="L20" s="48"/>
      <c r="M20" s="49" t="s">
        <v>94</v>
      </c>
      <c r="N20" s="47"/>
      <c r="O20" s="50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</row>
    <row r="21" spans="1:41" x14ac:dyDescent="0.25">
      <c r="A21" s="66"/>
      <c r="B21" s="66"/>
      <c r="C21" s="67"/>
      <c r="D21" s="43"/>
      <c r="L21" s="48"/>
      <c r="M21" s="49" t="s">
        <v>94</v>
      </c>
      <c r="N21" s="47"/>
      <c r="O21" s="50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</row>
    <row r="22" spans="1:41" x14ac:dyDescent="0.25">
      <c r="A22" s="66"/>
      <c r="B22" s="66"/>
      <c r="C22" s="67"/>
      <c r="D22" s="35"/>
      <c r="L22" s="48"/>
      <c r="M22" s="49" t="s">
        <v>94</v>
      </c>
      <c r="N22" s="47"/>
      <c r="O22" s="50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</row>
    <row r="23" spans="1:41" x14ac:dyDescent="0.25">
      <c r="A23" s="66"/>
      <c r="B23" s="66"/>
      <c r="C23" s="67"/>
      <c r="D23" s="35"/>
      <c r="L23" s="48"/>
      <c r="M23" s="49" t="s">
        <v>94</v>
      </c>
      <c r="N23" s="47"/>
      <c r="O23" s="50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</row>
    <row r="24" spans="1:41" x14ac:dyDescent="0.25">
      <c r="A24" s="66"/>
      <c r="B24" s="66"/>
      <c r="C24" s="67"/>
      <c r="D24" s="35"/>
      <c r="L24" s="48"/>
      <c r="M24" s="49" t="s">
        <v>94</v>
      </c>
      <c r="N24" s="47"/>
      <c r="O24" s="50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</row>
    <row r="25" spans="1:41" x14ac:dyDescent="0.25">
      <c r="A25" s="66"/>
      <c r="B25" s="66"/>
      <c r="C25" s="67"/>
      <c r="D25" s="35"/>
      <c r="L25" s="48"/>
      <c r="M25" s="49" t="s">
        <v>94</v>
      </c>
      <c r="N25" s="47"/>
      <c r="O25" s="50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</row>
    <row r="26" spans="1:41" x14ac:dyDescent="0.25">
      <c r="A26" s="66"/>
      <c r="B26" s="66"/>
      <c r="C26" s="67"/>
      <c r="D26" s="35"/>
      <c r="L26" s="48"/>
      <c r="M26" s="49" t="s">
        <v>94</v>
      </c>
      <c r="N26" s="47"/>
      <c r="O26" s="50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</row>
    <row r="27" spans="1:41" x14ac:dyDescent="0.25">
      <c r="A27" s="66"/>
      <c r="B27" s="66"/>
      <c r="C27" s="67"/>
      <c r="D27" s="35"/>
      <c r="L27" s="48"/>
      <c r="M27" s="49" t="s">
        <v>94</v>
      </c>
      <c r="N27" s="47"/>
      <c r="O27" s="50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</row>
    <row r="28" spans="1:41" x14ac:dyDescent="0.25">
      <c r="A28" s="66"/>
      <c r="B28" s="66"/>
      <c r="C28" s="67"/>
      <c r="D28" s="35"/>
      <c r="L28" s="48"/>
      <c r="M28" s="49" t="s">
        <v>94</v>
      </c>
      <c r="N28" s="47"/>
      <c r="O28" s="50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</row>
    <row r="29" spans="1:41" x14ac:dyDescent="0.25">
      <c r="A29" s="66"/>
      <c r="B29" s="66"/>
      <c r="C29" s="67"/>
      <c r="D29" s="35"/>
      <c r="L29" s="48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</row>
    <row r="30" spans="1:41" x14ac:dyDescent="0.25">
      <c r="A30" s="66"/>
      <c r="B30" s="66"/>
      <c r="C30" s="67"/>
      <c r="D30" s="35"/>
      <c r="L30" s="48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</row>
    <row r="31" spans="1:41" x14ac:dyDescent="0.25">
      <c r="A31" s="66"/>
      <c r="B31" s="66"/>
      <c r="C31" s="67"/>
      <c r="D31" s="35"/>
      <c r="L31" s="48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</row>
    <row r="32" spans="1:41" x14ac:dyDescent="0.25">
      <c r="A32" s="66"/>
      <c r="B32" s="66"/>
      <c r="C32" s="67"/>
      <c r="D32" s="35"/>
      <c r="L32" s="48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</row>
    <row r="33" spans="1:40" x14ac:dyDescent="0.25">
      <c r="A33" s="66"/>
      <c r="B33" s="66"/>
      <c r="C33" s="67"/>
      <c r="D33" s="35"/>
      <c r="L33" s="48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</row>
    <row r="34" spans="1:40" x14ac:dyDescent="0.25">
      <c r="L34" s="48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</row>
    <row r="35" spans="1:40" x14ac:dyDescent="0.25">
      <c r="L35" s="48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</row>
    <row r="36" spans="1:40" x14ac:dyDescent="0.25">
      <c r="L36" s="48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</row>
    <row r="37" spans="1:40" x14ac:dyDescent="0.25">
      <c r="L37" s="48"/>
      <c r="AE37" s="47"/>
      <c r="AF37" s="47" t="s">
        <v>104</v>
      </c>
      <c r="AG37" s="47" t="s">
        <v>105</v>
      </c>
      <c r="AH37" s="47" t="s">
        <v>66</v>
      </c>
    </row>
    <row r="38" spans="1:40" x14ac:dyDescent="0.25">
      <c r="L38" s="48"/>
      <c r="AE38" s="33" t="s">
        <v>99</v>
      </c>
      <c r="AF38" s="33" t="s">
        <v>100</v>
      </c>
      <c r="AG38" s="33" t="s">
        <v>101</v>
      </c>
    </row>
    <row r="39" spans="1:40" x14ac:dyDescent="0.25">
      <c r="L39" s="48"/>
      <c r="AE39" s="33">
        <v>15</v>
      </c>
      <c r="AF39" s="33">
        <v>48</v>
      </c>
      <c r="AG39" s="33">
        <v>1900</v>
      </c>
      <c r="AH39" s="33">
        <v>8</v>
      </c>
    </row>
    <row r="40" spans="1:40" x14ac:dyDescent="0.25">
      <c r="L40" s="48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0" x14ac:dyDescent="0.25">
      <c r="L41" s="48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</row>
    <row r="42" spans="1:40" x14ac:dyDescent="0.25">
      <c r="L42" s="48"/>
      <c r="AE42" s="33">
        <v>18</v>
      </c>
      <c r="AF42" s="33">
        <f t="shared" si="5"/>
        <v>59.399999999999991</v>
      </c>
      <c r="AG42" s="33">
        <f t="shared" si="6"/>
        <v>2500</v>
      </c>
      <c r="AH42" s="33">
        <f t="shared" si="7"/>
        <v>10.400000000000002</v>
      </c>
    </row>
    <row r="43" spans="1:40" x14ac:dyDescent="0.25">
      <c r="L43" s="48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</row>
    <row r="44" spans="1:40" x14ac:dyDescent="0.25">
      <c r="L44" s="48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</row>
    <row r="45" spans="1:40" x14ac:dyDescent="0.25">
      <c r="L45" s="48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0" x14ac:dyDescent="0.25">
      <c r="L46" s="48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0" x14ac:dyDescent="0.25">
      <c r="L47" s="48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0" x14ac:dyDescent="0.25">
      <c r="L48" s="48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8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8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8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8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8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8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8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8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8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8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8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8"/>
      <c r="AE60" s="33">
        <v>36</v>
      </c>
    </row>
    <row r="61" spans="12:34" x14ac:dyDescent="0.25">
      <c r="L61" s="48"/>
      <c r="AE61" s="33">
        <v>37</v>
      </c>
    </row>
    <row r="62" spans="12:34" x14ac:dyDescent="0.25">
      <c r="L62" s="48"/>
    </row>
    <row r="63" spans="12:34" x14ac:dyDescent="0.25">
      <c r="L63" s="48"/>
    </row>
    <row r="64" spans="12:34" x14ac:dyDescent="0.25">
      <c r="L64" s="48"/>
    </row>
    <row r="65" spans="12:12" x14ac:dyDescent="0.25">
      <c r="L65" s="48"/>
    </row>
    <row r="66" spans="12:12" x14ac:dyDescent="0.25">
      <c r="L66" s="48"/>
    </row>
    <row r="67" spans="12:12" x14ac:dyDescent="0.25">
      <c r="L67" s="48"/>
    </row>
    <row r="68" spans="12:12" x14ac:dyDescent="0.25">
      <c r="L68" s="48"/>
    </row>
    <row r="69" spans="12:12" x14ac:dyDescent="0.25">
      <c r="L69" s="48"/>
    </row>
    <row r="70" spans="12:12" x14ac:dyDescent="0.25">
      <c r="L70" s="48"/>
    </row>
    <row r="71" spans="12:12" x14ac:dyDescent="0.25">
      <c r="L71" s="48"/>
    </row>
    <row r="72" spans="12:12" x14ac:dyDescent="0.25">
      <c r="L72" s="48"/>
    </row>
    <row r="73" spans="12:12" x14ac:dyDescent="0.25">
      <c r="L73" s="48"/>
    </row>
    <row r="74" spans="12:12" x14ac:dyDescent="0.25">
      <c r="L74" s="48"/>
    </row>
    <row r="75" spans="12:12" x14ac:dyDescent="0.25">
      <c r="L75" s="48"/>
    </row>
    <row r="76" spans="12:12" x14ac:dyDescent="0.25">
      <c r="L76" s="48"/>
    </row>
    <row r="77" spans="12:12" x14ac:dyDescent="0.25">
      <c r="L77" s="48"/>
    </row>
    <row r="78" spans="12:12" x14ac:dyDescent="0.25">
      <c r="L78" s="48"/>
    </row>
    <row r="79" spans="12:12" x14ac:dyDescent="0.25">
      <c r="L79" s="48"/>
    </row>
    <row r="80" spans="12:12" x14ac:dyDescent="0.25">
      <c r="L80" s="48"/>
    </row>
    <row r="81" spans="12:12" x14ac:dyDescent="0.25">
      <c r="L81" s="48"/>
    </row>
    <row r="82" spans="12:12" x14ac:dyDescent="0.25">
      <c r="L82" s="48"/>
    </row>
    <row r="83" spans="12:12" x14ac:dyDescent="0.25">
      <c r="L83" s="48"/>
    </row>
    <row r="84" spans="12:12" x14ac:dyDescent="0.25">
      <c r="L84" s="48"/>
    </row>
    <row r="85" spans="12:12" x14ac:dyDescent="0.25">
      <c r="L85" s="48"/>
    </row>
    <row r="86" spans="12:12" x14ac:dyDescent="0.25">
      <c r="L86" s="48"/>
    </row>
    <row r="87" spans="12:12" x14ac:dyDescent="0.25">
      <c r="L87" s="48"/>
    </row>
    <row r="88" spans="12:12" x14ac:dyDescent="0.25">
      <c r="L88" s="48"/>
    </row>
    <row r="89" spans="12:12" x14ac:dyDescent="0.25">
      <c r="L89" s="48"/>
    </row>
    <row r="90" spans="12:12" x14ac:dyDescent="0.25">
      <c r="L90" s="48"/>
    </row>
    <row r="91" spans="12:12" x14ac:dyDescent="0.25">
      <c r="L91" s="48"/>
    </row>
    <row r="92" spans="12:12" x14ac:dyDescent="0.25">
      <c r="L92" s="48"/>
    </row>
    <row r="93" spans="12:12" x14ac:dyDescent="0.25">
      <c r="L93" s="48"/>
    </row>
    <row r="94" spans="12:12" x14ac:dyDescent="0.25">
      <c r="L94" s="48"/>
    </row>
    <row r="95" spans="12:12" x14ac:dyDescent="0.25">
      <c r="L95" s="48"/>
    </row>
    <row r="96" spans="12:12" x14ac:dyDescent="0.25">
      <c r="L96" s="48"/>
    </row>
    <row r="97" spans="12:12" x14ac:dyDescent="0.25">
      <c r="L97" s="48"/>
    </row>
    <row r="98" spans="12:12" x14ac:dyDescent="0.25">
      <c r="L98" s="48"/>
    </row>
    <row r="99" spans="12:12" x14ac:dyDescent="0.25">
      <c r="L99" s="48"/>
    </row>
    <row r="100" spans="12:12" x14ac:dyDescent="0.25">
      <c r="L100" s="48"/>
    </row>
    <row r="101" spans="12:12" x14ac:dyDescent="0.25">
      <c r="L101" s="48"/>
    </row>
    <row r="102" spans="12:12" x14ac:dyDescent="0.25">
      <c r="L102" s="48"/>
    </row>
    <row r="103" spans="12:12" x14ac:dyDescent="0.25">
      <c r="L103" s="48"/>
    </row>
    <row r="104" spans="12:12" x14ac:dyDescent="0.25">
      <c r="L104" s="48"/>
    </row>
    <row r="105" spans="12:12" x14ac:dyDescent="0.25">
      <c r="L105" s="48"/>
    </row>
    <row r="106" spans="12:12" x14ac:dyDescent="0.25">
      <c r="L106" s="48"/>
    </row>
    <row r="107" spans="12:12" x14ac:dyDescent="0.25">
      <c r="L107" s="48"/>
    </row>
    <row r="108" spans="12:12" x14ac:dyDescent="0.25">
      <c r="L108" s="48"/>
    </row>
    <row r="109" spans="12:12" x14ac:dyDescent="0.25">
      <c r="L109" s="48"/>
    </row>
    <row r="110" spans="12:12" x14ac:dyDescent="0.25">
      <c r="L110" s="48"/>
    </row>
    <row r="111" spans="12:12" x14ac:dyDescent="0.25">
      <c r="L111" s="48"/>
    </row>
    <row r="112" spans="12:12" x14ac:dyDescent="0.25">
      <c r="L112" s="48"/>
    </row>
    <row r="113" spans="12:12" x14ac:dyDescent="0.25">
      <c r="L113" s="48"/>
    </row>
    <row r="114" spans="12:12" x14ac:dyDescent="0.25">
      <c r="L114" s="48"/>
    </row>
    <row r="115" spans="12:12" x14ac:dyDescent="0.25">
      <c r="L115" s="48"/>
    </row>
    <row r="116" spans="12:12" x14ac:dyDescent="0.25">
      <c r="L116" s="48"/>
    </row>
    <row r="117" spans="12:12" x14ac:dyDescent="0.25">
      <c r="L117" s="48"/>
    </row>
    <row r="118" spans="12:12" x14ac:dyDescent="0.25">
      <c r="L118" s="48"/>
    </row>
    <row r="119" spans="12:12" x14ac:dyDescent="0.25">
      <c r="L119" s="48"/>
    </row>
    <row r="120" spans="12:12" x14ac:dyDescent="0.25">
      <c r="L120" s="48"/>
    </row>
    <row r="121" spans="12:12" x14ac:dyDescent="0.25">
      <c r="L121" s="48"/>
    </row>
    <row r="122" spans="12:12" x14ac:dyDescent="0.25">
      <c r="L122" s="48"/>
    </row>
    <row r="123" spans="12:12" x14ac:dyDescent="0.25">
      <c r="L123" s="48"/>
    </row>
    <row r="124" spans="12:12" x14ac:dyDescent="0.25">
      <c r="L124" s="48"/>
    </row>
    <row r="125" spans="12:12" x14ac:dyDescent="0.25">
      <c r="L125" s="48"/>
    </row>
    <row r="126" spans="12:12" x14ac:dyDescent="0.25">
      <c r="L126" s="48"/>
    </row>
    <row r="127" spans="12:12" x14ac:dyDescent="0.25">
      <c r="L127" s="48"/>
    </row>
    <row r="128" spans="12:12" x14ac:dyDescent="0.25">
      <c r="L128" s="48"/>
    </row>
    <row r="129" spans="12:12" x14ac:dyDescent="0.25">
      <c r="L129" s="48"/>
    </row>
    <row r="130" spans="12:12" x14ac:dyDescent="0.25">
      <c r="L130" s="48"/>
    </row>
    <row r="131" spans="12:12" x14ac:dyDescent="0.25">
      <c r="L131" s="48"/>
    </row>
    <row r="132" spans="12:12" x14ac:dyDescent="0.25">
      <c r="L132" s="48"/>
    </row>
    <row r="133" spans="12:12" x14ac:dyDescent="0.25">
      <c r="L133" s="48"/>
    </row>
    <row r="134" spans="12:12" x14ac:dyDescent="0.25">
      <c r="L134" s="48"/>
    </row>
    <row r="135" spans="12:12" x14ac:dyDescent="0.25">
      <c r="L135" s="48"/>
    </row>
    <row r="136" spans="12:12" x14ac:dyDescent="0.25">
      <c r="L136" s="48"/>
    </row>
    <row r="137" spans="12:12" x14ac:dyDescent="0.25">
      <c r="L137" s="48"/>
    </row>
    <row r="138" spans="12:12" x14ac:dyDescent="0.25">
      <c r="L138" s="48"/>
    </row>
    <row r="139" spans="12:12" x14ac:dyDescent="0.25">
      <c r="L139" s="48"/>
    </row>
    <row r="140" spans="12:12" x14ac:dyDescent="0.25">
      <c r="L140" s="48"/>
    </row>
    <row r="141" spans="12:12" x14ac:dyDescent="0.25">
      <c r="L141" s="48"/>
    </row>
    <row r="142" spans="12:12" x14ac:dyDescent="0.25">
      <c r="L142" s="48"/>
    </row>
    <row r="143" spans="12:12" x14ac:dyDescent="0.25">
      <c r="L143" s="48"/>
    </row>
    <row r="144" spans="12:12" x14ac:dyDescent="0.25">
      <c r="L144" s="48"/>
    </row>
    <row r="145" spans="12:12" x14ac:dyDescent="0.25">
      <c r="L145" s="48"/>
    </row>
    <row r="146" spans="12:12" x14ac:dyDescent="0.25">
      <c r="L146" s="48"/>
    </row>
    <row r="147" spans="12:12" x14ac:dyDescent="0.25">
      <c r="L147" s="48"/>
    </row>
    <row r="148" spans="12:12" x14ac:dyDescent="0.25">
      <c r="L148" s="48"/>
    </row>
    <row r="149" spans="12:12" x14ac:dyDescent="0.25">
      <c r="L149" s="48"/>
    </row>
    <row r="150" spans="12:12" x14ac:dyDescent="0.25">
      <c r="L150" s="48"/>
    </row>
    <row r="151" spans="12:12" x14ac:dyDescent="0.25">
      <c r="L151" s="48"/>
    </row>
    <row r="152" spans="12:12" x14ac:dyDescent="0.25">
      <c r="L152" s="48"/>
    </row>
    <row r="153" spans="12:12" x14ac:dyDescent="0.25">
      <c r="L153" s="48"/>
    </row>
    <row r="154" spans="12:12" x14ac:dyDescent="0.25">
      <c r="L154" s="48"/>
    </row>
    <row r="155" spans="12:12" x14ac:dyDescent="0.25">
      <c r="L155" s="48"/>
    </row>
    <row r="156" spans="12:12" x14ac:dyDescent="0.25">
      <c r="L156" s="48"/>
    </row>
    <row r="157" spans="12:12" x14ac:dyDescent="0.25">
      <c r="L157" s="48"/>
    </row>
    <row r="158" spans="12:12" x14ac:dyDescent="0.25">
      <c r="L158" s="48"/>
    </row>
    <row r="159" spans="12:12" x14ac:dyDescent="0.25">
      <c r="L159" s="48"/>
    </row>
    <row r="160" spans="12:12" x14ac:dyDescent="0.25">
      <c r="L160" s="48"/>
    </row>
    <row r="161" spans="12:12" x14ac:dyDescent="0.25">
      <c r="L161" s="48"/>
    </row>
    <row r="162" spans="12:12" x14ac:dyDescent="0.25">
      <c r="L162" s="48"/>
    </row>
    <row r="163" spans="12:12" x14ac:dyDescent="0.25">
      <c r="L163" s="48"/>
    </row>
    <row r="164" spans="12:12" x14ac:dyDescent="0.25">
      <c r="L164" s="48"/>
    </row>
    <row r="165" spans="12:12" x14ac:dyDescent="0.25">
      <c r="L165" s="48"/>
    </row>
    <row r="166" spans="12:12" x14ac:dyDescent="0.25">
      <c r="L166" s="48"/>
    </row>
    <row r="167" spans="12:12" x14ac:dyDescent="0.25">
      <c r="L167" s="48"/>
    </row>
    <row r="168" spans="12:12" x14ac:dyDescent="0.25">
      <c r="L168" s="48"/>
    </row>
    <row r="169" spans="12:12" x14ac:dyDescent="0.25">
      <c r="L169" s="48"/>
    </row>
    <row r="170" spans="12:12" x14ac:dyDescent="0.25">
      <c r="L170" s="48"/>
    </row>
    <row r="171" spans="12:12" x14ac:dyDescent="0.25">
      <c r="L171" s="48"/>
    </row>
    <row r="172" spans="12:12" x14ac:dyDescent="0.25">
      <c r="L172" s="48"/>
    </row>
    <row r="173" spans="12:12" x14ac:dyDescent="0.25">
      <c r="L173" s="48"/>
    </row>
    <row r="174" spans="12:12" x14ac:dyDescent="0.25">
      <c r="L174" s="48"/>
    </row>
    <row r="175" spans="12:12" x14ac:dyDescent="0.25">
      <c r="L175" s="48"/>
    </row>
    <row r="176" spans="12:12" x14ac:dyDescent="0.25">
      <c r="L176" s="48"/>
    </row>
    <row r="177" spans="12:12" x14ac:dyDescent="0.25">
      <c r="L177" s="48"/>
    </row>
    <row r="178" spans="12:12" x14ac:dyDescent="0.25">
      <c r="L178" s="48"/>
    </row>
    <row r="179" spans="12:12" x14ac:dyDescent="0.25">
      <c r="L179" s="48"/>
    </row>
    <row r="180" spans="12:12" x14ac:dyDescent="0.25">
      <c r="L180" s="48"/>
    </row>
    <row r="181" spans="12:12" x14ac:dyDescent="0.25">
      <c r="L181" s="48"/>
    </row>
    <row r="182" spans="12:12" x14ac:dyDescent="0.25">
      <c r="L182" s="48"/>
    </row>
    <row r="183" spans="12:12" x14ac:dyDescent="0.25">
      <c r="L183" s="48"/>
    </row>
    <row r="184" spans="12:12" x14ac:dyDescent="0.25">
      <c r="L184" s="48"/>
    </row>
    <row r="185" spans="12:12" x14ac:dyDescent="0.25">
      <c r="L185" s="48"/>
    </row>
    <row r="186" spans="12:12" x14ac:dyDescent="0.25">
      <c r="L186" s="48"/>
    </row>
    <row r="187" spans="12:12" x14ac:dyDescent="0.25">
      <c r="L187" s="48"/>
    </row>
    <row r="188" spans="12:12" x14ac:dyDescent="0.25">
      <c r="L188" s="48"/>
    </row>
    <row r="189" spans="12:12" x14ac:dyDescent="0.25">
      <c r="L189" s="48"/>
    </row>
    <row r="190" spans="12:12" x14ac:dyDescent="0.25">
      <c r="L190" s="48"/>
    </row>
    <row r="191" spans="12:12" x14ac:dyDescent="0.25">
      <c r="L191" s="48"/>
    </row>
    <row r="192" spans="12:12" x14ac:dyDescent="0.25">
      <c r="L192" s="48"/>
    </row>
    <row r="193" spans="12:12" x14ac:dyDescent="0.25">
      <c r="L193" s="48"/>
    </row>
    <row r="194" spans="12:12" x14ac:dyDescent="0.25">
      <c r="L194" s="48"/>
    </row>
    <row r="195" spans="12:12" x14ac:dyDescent="0.25">
      <c r="L195" s="48"/>
    </row>
    <row r="196" spans="12:12" x14ac:dyDescent="0.25">
      <c r="L196" s="48"/>
    </row>
    <row r="197" spans="12:12" x14ac:dyDescent="0.25">
      <c r="L197" s="48"/>
    </row>
    <row r="198" spans="12:12" x14ac:dyDescent="0.25">
      <c r="L198" s="48"/>
    </row>
    <row r="199" spans="12:12" x14ac:dyDescent="0.25">
      <c r="L199" s="48"/>
    </row>
    <row r="200" spans="12:12" x14ac:dyDescent="0.25">
      <c r="L200" s="48"/>
    </row>
    <row r="201" spans="12:12" x14ac:dyDescent="0.25">
      <c r="L201" s="48"/>
    </row>
    <row r="202" spans="12:12" x14ac:dyDescent="0.25">
      <c r="L202" s="48"/>
    </row>
    <row r="203" spans="12:12" x14ac:dyDescent="0.25">
      <c r="L203" s="48"/>
    </row>
    <row r="204" spans="12:12" x14ac:dyDescent="0.25">
      <c r="L204" s="48"/>
    </row>
    <row r="205" spans="12:12" x14ac:dyDescent="0.25">
      <c r="L205" s="48"/>
    </row>
    <row r="206" spans="12:12" x14ac:dyDescent="0.25">
      <c r="L206" s="48"/>
    </row>
    <row r="207" spans="12:12" x14ac:dyDescent="0.25">
      <c r="L207" s="48"/>
    </row>
    <row r="208" spans="12:12" x14ac:dyDescent="0.25">
      <c r="L208" s="48"/>
    </row>
    <row r="209" spans="12:12" x14ac:dyDescent="0.25">
      <c r="L209" s="48"/>
    </row>
    <row r="210" spans="12:12" x14ac:dyDescent="0.25">
      <c r="L210" s="48"/>
    </row>
    <row r="211" spans="12:12" x14ac:dyDescent="0.25">
      <c r="L211" s="48"/>
    </row>
    <row r="212" spans="12:12" x14ac:dyDescent="0.25">
      <c r="L212" s="48"/>
    </row>
    <row r="213" spans="12:12" x14ac:dyDescent="0.25">
      <c r="L213" s="48"/>
    </row>
    <row r="214" spans="12:12" x14ac:dyDescent="0.25">
      <c r="L214" s="48"/>
    </row>
    <row r="215" spans="12:12" x14ac:dyDescent="0.25">
      <c r="L215" s="48"/>
    </row>
    <row r="216" spans="12:12" x14ac:dyDescent="0.25">
      <c r="L216" s="48"/>
    </row>
    <row r="217" spans="12:12" x14ac:dyDescent="0.25">
      <c r="L217" s="48"/>
    </row>
    <row r="218" spans="12:12" x14ac:dyDescent="0.25">
      <c r="L218" s="48"/>
    </row>
    <row r="219" spans="12:12" x14ac:dyDescent="0.25">
      <c r="L219" s="48"/>
    </row>
    <row r="220" spans="12:12" x14ac:dyDescent="0.25">
      <c r="L220" s="48"/>
    </row>
    <row r="221" spans="12:12" x14ac:dyDescent="0.25">
      <c r="L221" s="48"/>
    </row>
    <row r="222" spans="12:12" x14ac:dyDescent="0.25">
      <c r="L222" s="48"/>
    </row>
    <row r="223" spans="12:12" x14ac:dyDescent="0.25">
      <c r="L223" s="48"/>
    </row>
    <row r="224" spans="12:12" x14ac:dyDescent="0.25">
      <c r="L224" s="48"/>
    </row>
    <row r="225" spans="12:12" x14ac:dyDescent="0.25">
      <c r="L225" s="48"/>
    </row>
    <row r="226" spans="12:12" x14ac:dyDescent="0.25">
      <c r="L226" s="48"/>
    </row>
    <row r="227" spans="12:12" x14ac:dyDescent="0.25">
      <c r="L227" s="48"/>
    </row>
    <row r="228" spans="12:12" x14ac:dyDescent="0.25">
      <c r="L228" s="48"/>
    </row>
    <row r="229" spans="12:12" x14ac:dyDescent="0.25">
      <c r="L229" s="48"/>
    </row>
    <row r="230" spans="12:12" x14ac:dyDescent="0.25">
      <c r="L230" s="48"/>
    </row>
    <row r="231" spans="12:12" x14ac:dyDescent="0.25">
      <c r="L231" s="48"/>
    </row>
    <row r="232" spans="12:12" x14ac:dyDescent="0.25">
      <c r="L232" s="48"/>
    </row>
    <row r="233" spans="12:12" x14ac:dyDescent="0.25">
      <c r="L233" s="48"/>
    </row>
    <row r="234" spans="12:12" x14ac:dyDescent="0.25">
      <c r="L234" s="48"/>
    </row>
    <row r="235" spans="12:12" x14ac:dyDescent="0.25">
      <c r="L235" s="48"/>
    </row>
    <row r="236" spans="12:12" x14ac:dyDescent="0.25">
      <c r="L236" s="48"/>
    </row>
    <row r="237" spans="12:12" x14ac:dyDescent="0.25">
      <c r="L237" s="48"/>
    </row>
    <row r="238" spans="12:12" x14ac:dyDescent="0.25">
      <c r="L238" s="48"/>
    </row>
    <row r="239" spans="12:12" x14ac:dyDescent="0.25">
      <c r="L239" s="48"/>
    </row>
    <row r="240" spans="12:12" x14ac:dyDescent="0.25">
      <c r="L240" s="48"/>
    </row>
    <row r="241" spans="12:12" x14ac:dyDescent="0.25">
      <c r="L241" s="48"/>
    </row>
    <row r="242" spans="12:12" x14ac:dyDescent="0.25">
      <c r="L242" s="48"/>
    </row>
    <row r="243" spans="12:12" x14ac:dyDescent="0.25">
      <c r="L243" s="48"/>
    </row>
    <row r="244" spans="12:12" x14ac:dyDescent="0.25">
      <c r="L244" s="48"/>
    </row>
    <row r="245" spans="12:12" x14ac:dyDescent="0.25">
      <c r="L245" s="48"/>
    </row>
    <row r="246" spans="12:12" x14ac:dyDescent="0.25">
      <c r="L246" s="48"/>
    </row>
    <row r="247" spans="12:12" x14ac:dyDescent="0.25">
      <c r="L247" s="48"/>
    </row>
    <row r="248" spans="12:12" x14ac:dyDescent="0.25">
      <c r="L248" s="48"/>
    </row>
    <row r="249" spans="12:12" x14ac:dyDescent="0.25">
      <c r="L249" s="48"/>
    </row>
    <row r="250" spans="12:12" x14ac:dyDescent="0.25">
      <c r="L250" s="48"/>
    </row>
    <row r="251" spans="12:12" x14ac:dyDescent="0.25">
      <c r="L251" s="48"/>
    </row>
    <row r="252" spans="12:12" x14ac:dyDescent="0.25">
      <c r="L252" s="48"/>
    </row>
    <row r="253" spans="12:12" x14ac:dyDescent="0.25">
      <c r="L253" s="48"/>
    </row>
    <row r="254" spans="12:12" x14ac:dyDescent="0.25">
      <c r="L254" s="48"/>
    </row>
    <row r="255" spans="12:12" x14ac:dyDescent="0.25">
      <c r="L255" s="48"/>
    </row>
  </sheetData>
  <mergeCells count="2">
    <mergeCell ref="R3:S3"/>
    <mergeCell ref="U3:V3"/>
  </mergeCells>
  <conditionalFormatting sqref="W10:Y13 AB6:AB15 N6:N14 AM6:AO14 S10:T13 Q6:R14 Z6:Z15 AJ6:AJ15">
    <cfRule type="expression" dxfId="1010" priority="202">
      <formula>$L6="API sand"</formula>
    </cfRule>
  </conditionalFormatting>
  <conditionalFormatting sqref="R18:S20 R29:S36 S21:S28 AD21:AD28 AB18:AB35 AK6:AL14 N6:N14">
    <cfRule type="expression" dxfId="1009" priority="201">
      <formula>$M6="API sand"</formula>
    </cfRule>
  </conditionalFormatting>
  <conditionalFormatting sqref="R18:T20 R29:T36 S21:T28 AD21:AD28 AB18:AB35 AK6:AL14 N6:N14">
    <cfRule type="expression" dxfId="1008" priority="200">
      <formula>$M6="API clay"</formula>
    </cfRule>
  </conditionalFormatting>
  <conditionalFormatting sqref="U18:W36 AM6:AN14 N6:P14 AC6:AI13 U6:V14 AA6:AA14">
    <cfRule type="expression" dxfId="1007" priority="197">
      <formula>$L6="Stiff clay w/o free water"</formula>
    </cfRule>
    <cfRule type="expression" dxfId="1006" priority="199">
      <formula>$L6="API clay"</formula>
    </cfRule>
  </conditionalFormatting>
  <conditionalFormatting sqref="U18:Y36 AM6:AN14 N6:P14 AC6:AI13 U6:V14 AA6:AA14">
    <cfRule type="expression" dxfId="1005" priority="198">
      <formula>$L6="Kirsch soft clay"</formula>
    </cfRule>
  </conditionalFormatting>
  <conditionalFormatting sqref="U18:Y36 AM6:AN14 N6:P14 AC6:AI13 U6:V14 AA6:AA14">
    <cfRule type="expression" dxfId="1004" priority="196">
      <formula>$L6="Kirsch stiff clay"</formula>
    </cfRule>
  </conditionalFormatting>
  <conditionalFormatting sqref="W10:Y13 AB6:AB15 N6:N14 AM6:AO14 S10:T13 Q6:R14 Z6:Z15 AJ6:AJ15">
    <cfRule type="expression" dxfId="1003" priority="195">
      <formula>$L6="Kirsch sand"</formula>
    </cfRule>
  </conditionalFormatting>
  <conditionalFormatting sqref="AC18:AI18 AC19:AD19 AI19 AM6:AN14 N6:N14">
    <cfRule type="expression" dxfId="1002" priority="194">
      <formula>$L6="Modified Weak rock"</formula>
    </cfRule>
  </conditionalFormatting>
  <conditionalFormatting sqref="U18:V36 AM6:AN14 N6:P14 AC6:AI13 U6:V14 AA6:AA14">
    <cfRule type="expression" dxfId="1001" priority="193">
      <formula>$L6="Reese stiff clay"</formula>
    </cfRule>
  </conditionalFormatting>
  <conditionalFormatting sqref="N18:N36 Q18:Q36 AM18:AN36">
    <cfRule type="expression" dxfId="1000" priority="192">
      <formula>$L18="API sand"</formula>
    </cfRule>
  </conditionalFormatting>
  <conditionalFormatting sqref="N18:N36 AB36 AJ18:AL36 Z18:Z36">
    <cfRule type="expression" dxfId="999" priority="191">
      <formula>$M18="API sand"</formula>
    </cfRule>
  </conditionalFormatting>
  <conditionalFormatting sqref="Z36:AB36 AK18:AL36 N18:N36 Z18:AA35">
    <cfRule type="expression" dxfId="998" priority="190">
      <formula>$M18="API clay"</formula>
    </cfRule>
  </conditionalFormatting>
  <conditionalFormatting sqref="N18:P18 AM18:AN36 N29:P36 N19:N28 P19:P28">
    <cfRule type="expression" dxfId="997" priority="187">
      <formula>$L18="Stiff clay w/o free water"</formula>
    </cfRule>
    <cfRule type="expression" dxfId="996" priority="189">
      <formula>$L18="API clay"</formula>
    </cfRule>
  </conditionalFormatting>
  <conditionalFormatting sqref="N18:P18 AM18:AN36 N29:P36 N19:N28 P19:P28">
    <cfRule type="expression" dxfId="995" priority="188">
      <formula>$L18="Kirsch soft clay"</formula>
    </cfRule>
  </conditionalFormatting>
  <conditionalFormatting sqref="N18:P18 AM18:AN36 N29:P36 N19:N28 P19:P28">
    <cfRule type="expression" dxfId="994" priority="186">
      <formula>$L18="Kirsch stiff clay"</formula>
    </cfRule>
  </conditionalFormatting>
  <conditionalFormatting sqref="N18:N36 Q18:Q36 X18:Y36 AM18:AN36">
    <cfRule type="expression" dxfId="993" priority="185">
      <formula>$L18="Kirsch sand"</formula>
    </cfRule>
  </conditionalFormatting>
  <conditionalFormatting sqref="N18:N36 AM18:AN36 AC20:AD36 AI20:AI36">
    <cfRule type="expression" dxfId="992" priority="184">
      <formula>$L18="Modified Weak rock"</formula>
    </cfRule>
  </conditionalFormatting>
  <conditionalFormatting sqref="N18:P18 AM18:AN36 N29:P36 N19:N28 P19:P28">
    <cfRule type="expression" dxfId="991" priority="183">
      <formula>$L18="Reese stiff clay"</formula>
    </cfRule>
  </conditionalFormatting>
  <conditionalFormatting sqref="AM6:AN14 N6:P14 AC6:AI13 U6:V14 AA6:AA14">
    <cfRule type="expression" dxfId="990" priority="182">
      <formula>$L6="PISA clay"</formula>
    </cfRule>
  </conditionalFormatting>
  <conditionalFormatting sqref="AM6:AN14 N6:N14">
    <cfRule type="expression" dxfId="989" priority="181">
      <formula>$L6="PISA sand"</formula>
    </cfRule>
  </conditionalFormatting>
  <conditionalFormatting sqref="O19:O21">
    <cfRule type="expression" dxfId="988" priority="180">
      <formula>$L19="API sand"</formula>
    </cfRule>
  </conditionalFormatting>
  <conditionalFormatting sqref="O19:O21">
    <cfRule type="expression" dxfId="987" priority="179">
      <formula>$L19="Kirsch sand"</formula>
    </cfRule>
  </conditionalFormatting>
  <conditionalFormatting sqref="O22:O28">
    <cfRule type="expression" dxfId="986" priority="178">
      <formula>$L22="API sand"</formula>
    </cfRule>
  </conditionalFormatting>
  <conditionalFormatting sqref="O22:O28">
    <cfRule type="expression" dxfId="985" priority="177">
      <formula>$L22="Kirsch sand"</formula>
    </cfRule>
  </conditionalFormatting>
  <conditionalFormatting sqref="S6:T9 W6:Y9">
    <cfRule type="expression" dxfId="984" priority="176">
      <formula>$L6="API sand"</formula>
    </cfRule>
  </conditionalFormatting>
  <conditionalFormatting sqref="S6:T9 W6:Y9">
    <cfRule type="expression" dxfId="983" priority="175">
      <formula>$L6="Kirsch sand"</formula>
    </cfRule>
  </conditionalFormatting>
  <conditionalFormatting sqref="AE37:AH37">
    <cfRule type="expression" dxfId="982" priority="203">
      <formula>$L19="Modified Weak rock"</formula>
    </cfRule>
  </conditionalFormatting>
  <conditionalFormatting sqref="S14:T14 W14:Y14">
    <cfRule type="expression" dxfId="981" priority="174">
      <formula>$L14="API sand"</formula>
    </cfRule>
  </conditionalFormatting>
  <conditionalFormatting sqref="S14:T14 W14:Y14">
    <cfRule type="expression" dxfId="980" priority="173">
      <formula>$L14="Kirsch sand"</formula>
    </cfRule>
  </conditionalFormatting>
  <conditionalFormatting sqref="AD14:AI14">
    <cfRule type="expression" dxfId="979" priority="170">
      <formula>$L14="Stiff clay w/o free water"</formula>
    </cfRule>
    <cfRule type="expression" dxfId="978" priority="172">
      <formula>$L14="API clay"</formula>
    </cfRule>
  </conditionalFormatting>
  <conditionalFormatting sqref="AD14:AI14">
    <cfRule type="expression" dxfId="977" priority="171">
      <formula>$L14="Kirsch soft clay"</formula>
    </cfRule>
  </conditionalFormatting>
  <conditionalFormatting sqref="AD14:AI14">
    <cfRule type="expression" dxfId="976" priority="169">
      <formula>$L14="Kirsch stiff clay"</formula>
    </cfRule>
  </conditionalFormatting>
  <conditionalFormatting sqref="AD14:AI14">
    <cfRule type="expression" dxfId="975" priority="168">
      <formula>$L14="Reese stiff clay"</formula>
    </cfRule>
  </conditionalFormatting>
  <conditionalFormatting sqref="AD14:AI14">
    <cfRule type="expression" dxfId="974" priority="167">
      <formula>$L14="PISA clay"</formula>
    </cfRule>
  </conditionalFormatting>
  <conditionalFormatting sqref="AM15:AN15">
    <cfRule type="expression" dxfId="973" priority="166">
      <formula>$L15="API sand"</formula>
    </cfRule>
  </conditionalFormatting>
  <conditionalFormatting sqref="AK15:AL15">
    <cfRule type="expression" dxfId="972" priority="165">
      <formula>$M15="API sand"</formula>
    </cfRule>
  </conditionalFormatting>
  <conditionalFormatting sqref="AK15:AL15">
    <cfRule type="expression" dxfId="971" priority="164">
      <formula>$M15="API clay"</formula>
    </cfRule>
  </conditionalFormatting>
  <conditionalFormatting sqref="AM15:AN15">
    <cfRule type="expression" dxfId="970" priority="161">
      <formula>$L15="Stiff clay w/o free water"</formula>
    </cfRule>
    <cfRule type="expression" dxfId="969" priority="163">
      <formula>$L15="API clay"</formula>
    </cfRule>
  </conditionalFormatting>
  <conditionalFormatting sqref="AM15:AN15">
    <cfRule type="expression" dxfId="968" priority="162">
      <formula>$L15="Kirsch soft clay"</formula>
    </cfRule>
  </conditionalFormatting>
  <conditionalFormatting sqref="AM15:AN15">
    <cfRule type="expression" dxfId="967" priority="160">
      <formula>$L15="Kirsch stiff clay"</formula>
    </cfRule>
  </conditionalFormatting>
  <conditionalFormatting sqref="AM15:AN15">
    <cfRule type="expression" dxfId="966" priority="159">
      <formula>$L15="Kirsch sand"</formula>
    </cfRule>
  </conditionalFormatting>
  <conditionalFormatting sqref="AM15:AN15">
    <cfRule type="expression" dxfId="965" priority="158">
      <formula>$L15="Modified Weak rock"</formula>
    </cfRule>
  </conditionalFormatting>
  <conditionalFormatting sqref="AM15:AN15">
    <cfRule type="expression" dxfId="964" priority="157">
      <formula>$L15="Reese stiff clay"</formula>
    </cfRule>
  </conditionalFormatting>
  <conditionalFormatting sqref="AM15:AN15">
    <cfRule type="expression" dxfId="963" priority="156">
      <formula>$L15="PISA clay"</formula>
    </cfRule>
  </conditionalFormatting>
  <conditionalFormatting sqref="AM15:AN15">
    <cfRule type="expression" dxfId="962" priority="155">
      <formula>$L15="PISA sand"</formula>
    </cfRule>
  </conditionalFormatting>
  <conditionalFormatting sqref="N15 Q15 S15:T15 W15 Y15">
    <cfRule type="expression" dxfId="961" priority="154">
      <formula>$L15="API sand"</formula>
    </cfRule>
  </conditionalFormatting>
  <conditionalFormatting sqref="N15">
    <cfRule type="expression" dxfId="960" priority="153">
      <formula>$M15="API sand"</formula>
    </cfRule>
  </conditionalFormatting>
  <conditionalFormatting sqref="N15">
    <cfRule type="expression" dxfId="959" priority="152">
      <formula>$M15="API clay"</formula>
    </cfRule>
  </conditionalFormatting>
  <conditionalFormatting sqref="N15:P15">
    <cfRule type="expression" dxfId="958" priority="149">
      <formula>$L15="Stiff clay w/o free water"</formula>
    </cfRule>
    <cfRule type="expression" dxfId="957" priority="151">
      <formula>$L15="API clay"</formula>
    </cfRule>
  </conditionalFormatting>
  <conditionalFormatting sqref="N15:P15">
    <cfRule type="expression" dxfId="956" priority="150">
      <formula>$L15="Kirsch soft clay"</formula>
    </cfRule>
  </conditionalFormatting>
  <conditionalFormatting sqref="N15:P15">
    <cfRule type="expression" dxfId="955" priority="148">
      <formula>$L15="Kirsch stiff clay"</formula>
    </cfRule>
  </conditionalFormatting>
  <conditionalFormatting sqref="N15 Q15 S15:T15 W15 Y15">
    <cfRule type="expression" dxfId="954" priority="147">
      <formula>$L15="Kirsch sand"</formula>
    </cfRule>
  </conditionalFormatting>
  <conditionalFormatting sqref="N15">
    <cfRule type="expression" dxfId="953" priority="146">
      <formula>$L15="Modified Weak rock"</formula>
    </cfRule>
  </conditionalFormatting>
  <conditionalFormatting sqref="N15:P15">
    <cfRule type="expression" dxfId="952" priority="145">
      <formula>$L15="Reese stiff clay"</formula>
    </cfRule>
  </conditionalFormatting>
  <conditionalFormatting sqref="N15:P15">
    <cfRule type="expression" dxfId="951" priority="144">
      <formula>$L15="PISA clay"</formula>
    </cfRule>
  </conditionalFormatting>
  <conditionalFormatting sqref="N15">
    <cfRule type="expression" dxfId="950" priority="143">
      <formula>$L15="PISA sand"</formula>
    </cfRule>
  </conditionalFormatting>
  <conditionalFormatting sqref="R15">
    <cfRule type="expression" dxfId="949" priority="142">
      <formula>$L15="API sand"</formula>
    </cfRule>
  </conditionalFormatting>
  <conditionalFormatting sqref="R15">
    <cfRule type="expression" dxfId="948" priority="141">
      <formula>$L15="Kirsch sand"</formula>
    </cfRule>
  </conditionalFormatting>
  <conditionalFormatting sqref="AD15:AI15">
    <cfRule type="expression" dxfId="947" priority="138">
      <formula>$L15="Stiff clay w/o free water"</formula>
    </cfRule>
    <cfRule type="expression" dxfId="946" priority="140">
      <formula>$L15="API clay"</formula>
    </cfRule>
  </conditionalFormatting>
  <conditionalFormatting sqref="AD15:AI15">
    <cfRule type="expression" dxfId="945" priority="139">
      <formula>$L15="Kirsch soft clay"</formula>
    </cfRule>
  </conditionalFormatting>
  <conditionalFormatting sqref="AD15:AI15">
    <cfRule type="expression" dxfId="944" priority="137">
      <formula>$L15="Kirsch stiff clay"</formula>
    </cfRule>
  </conditionalFormatting>
  <conditionalFormatting sqref="AD15:AI15">
    <cfRule type="expression" dxfId="943" priority="136">
      <formula>$L15="Reese stiff clay"</formula>
    </cfRule>
  </conditionalFormatting>
  <conditionalFormatting sqref="AD15:AI15">
    <cfRule type="expression" dxfId="942" priority="135">
      <formula>$L15="PISA clay"</formula>
    </cfRule>
  </conditionalFormatting>
  <conditionalFormatting sqref="AA15">
    <cfRule type="expression" dxfId="941" priority="132">
      <formula>$L15="Stiff clay w/o free water"</formula>
    </cfRule>
    <cfRule type="expression" dxfId="940" priority="134">
      <formula>$L15="API clay"</formula>
    </cfRule>
  </conditionalFormatting>
  <conditionalFormatting sqref="AA15">
    <cfRule type="expression" dxfId="939" priority="133">
      <formula>$L15="Kirsch soft clay"</formula>
    </cfRule>
  </conditionalFormatting>
  <conditionalFormatting sqref="AA15">
    <cfRule type="expression" dxfId="938" priority="131">
      <formula>$L15="Kirsch stiff clay"</formula>
    </cfRule>
  </conditionalFormatting>
  <conditionalFormatting sqref="AA15">
    <cfRule type="expression" dxfId="937" priority="130">
      <formula>$L15="Reese stiff clay"</formula>
    </cfRule>
  </conditionalFormatting>
  <conditionalFormatting sqref="AA15">
    <cfRule type="expression" dxfId="936" priority="129">
      <formula>$L15="PISA clay"</formula>
    </cfRule>
  </conditionalFormatting>
  <conditionalFormatting sqref="AC15">
    <cfRule type="expression" dxfId="935" priority="126">
      <formula>$L15="Stiff clay w/o free water"</formula>
    </cfRule>
    <cfRule type="expression" dxfId="934" priority="128">
      <formula>$L15="API clay"</formula>
    </cfRule>
  </conditionalFormatting>
  <conditionalFormatting sqref="AC15">
    <cfRule type="expression" dxfId="933" priority="127">
      <formula>$L15="Kirsch soft clay"</formula>
    </cfRule>
  </conditionalFormatting>
  <conditionalFormatting sqref="AC15">
    <cfRule type="expression" dxfId="932" priority="125">
      <formula>$L15="Kirsch stiff clay"</formula>
    </cfRule>
  </conditionalFormatting>
  <conditionalFormatting sqref="AC15">
    <cfRule type="expression" dxfId="931" priority="124">
      <formula>$L15="Reese stiff clay"</formula>
    </cfRule>
  </conditionalFormatting>
  <conditionalFormatting sqref="AC15">
    <cfRule type="expression" dxfId="930" priority="123">
      <formula>$L15="PISA clay"</formula>
    </cfRule>
  </conditionalFormatting>
  <conditionalFormatting sqref="X15">
    <cfRule type="expression" dxfId="929" priority="122">
      <formula>$L15="API sand"</formula>
    </cfRule>
  </conditionalFormatting>
  <conditionalFormatting sqref="X15">
    <cfRule type="expression" dxfId="928" priority="121">
      <formula>$L15="Kirsch sand"</formula>
    </cfRule>
  </conditionalFormatting>
  <conditionalFormatting sqref="AM16:AN16">
    <cfRule type="expression" dxfId="927" priority="120">
      <formula>$L16="API sand"</formula>
    </cfRule>
  </conditionalFormatting>
  <conditionalFormatting sqref="AK16:AL16">
    <cfRule type="expression" dxfId="926" priority="119">
      <formula>$M16="API sand"</formula>
    </cfRule>
  </conditionalFormatting>
  <conditionalFormatting sqref="AK16:AL16">
    <cfRule type="expression" dxfId="925" priority="118">
      <formula>$M16="API clay"</formula>
    </cfRule>
  </conditionalFormatting>
  <conditionalFormatting sqref="AM16:AN16">
    <cfRule type="expression" dxfId="924" priority="115">
      <formula>$L16="Stiff clay w/o free water"</formula>
    </cfRule>
    <cfRule type="expression" dxfId="923" priority="117">
      <formula>$L16="API clay"</formula>
    </cfRule>
  </conditionalFormatting>
  <conditionalFormatting sqref="AM16:AN16">
    <cfRule type="expression" dxfId="922" priority="116">
      <formula>$L16="Kirsch soft clay"</formula>
    </cfRule>
  </conditionalFormatting>
  <conditionalFormatting sqref="AM16:AN16">
    <cfRule type="expression" dxfId="921" priority="114">
      <formula>$L16="Kirsch stiff clay"</formula>
    </cfRule>
  </conditionalFormatting>
  <conditionalFormatting sqref="AM16:AN16">
    <cfRule type="expression" dxfId="920" priority="113">
      <formula>$L16="Kirsch sand"</formula>
    </cfRule>
  </conditionalFormatting>
  <conditionalFormatting sqref="AM16:AN16">
    <cfRule type="expression" dxfId="919" priority="112">
      <formula>$L16="Modified Weak rock"</formula>
    </cfRule>
  </conditionalFormatting>
  <conditionalFormatting sqref="AM16:AN16">
    <cfRule type="expression" dxfId="918" priority="111">
      <formula>$L16="Reese stiff clay"</formula>
    </cfRule>
  </conditionalFormatting>
  <conditionalFormatting sqref="AM16:AN16">
    <cfRule type="expression" dxfId="917" priority="110">
      <formula>$L16="PISA clay"</formula>
    </cfRule>
  </conditionalFormatting>
  <conditionalFormatting sqref="AM16:AN16">
    <cfRule type="expression" dxfId="916" priority="109">
      <formula>$L16="PISA sand"</formula>
    </cfRule>
  </conditionalFormatting>
  <conditionalFormatting sqref="N16 Q16 S16:T16 W16:Y16">
    <cfRule type="expression" dxfId="915" priority="108">
      <formula>$L16="API sand"</formula>
    </cfRule>
  </conditionalFormatting>
  <conditionalFormatting sqref="N16">
    <cfRule type="expression" dxfId="914" priority="107">
      <formula>$M16="API sand"</formula>
    </cfRule>
  </conditionalFormatting>
  <conditionalFormatting sqref="N16">
    <cfRule type="expression" dxfId="913" priority="106">
      <formula>$M16="API clay"</formula>
    </cfRule>
  </conditionalFormatting>
  <conditionalFormatting sqref="N16:P16">
    <cfRule type="expression" dxfId="912" priority="103">
      <formula>$L16="Stiff clay w/o free water"</formula>
    </cfRule>
    <cfRule type="expression" dxfId="911" priority="105">
      <formula>$L16="API clay"</formula>
    </cfRule>
  </conditionalFormatting>
  <conditionalFormatting sqref="N16:P16">
    <cfRule type="expression" dxfId="910" priority="104">
      <formula>$L16="Kirsch soft clay"</formula>
    </cfRule>
  </conditionalFormatting>
  <conditionalFormatting sqref="N16:P16">
    <cfRule type="expression" dxfId="909" priority="102">
      <formula>$L16="Kirsch stiff clay"</formula>
    </cfRule>
  </conditionalFormatting>
  <conditionalFormatting sqref="N16 Q16 S16:T16 W16:Y16">
    <cfRule type="expression" dxfId="908" priority="101">
      <formula>$L16="Kirsch sand"</formula>
    </cfRule>
  </conditionalFormatting>
  <conditionalFormatting sqref="N16">
    <cfRule type="expression" dxfId="907" priority="100">
      <formula>$L16="Modified Weak rock"</formula>
    </cfRule>
  </conditionalFormatting>
  <conditionalFormatting sqref="N16:P16">
    <cfRule type="expression" dxfId="906" priority="99">
      <formula>$L16="Reese stiff clay"</formula>
    </cfRule>
  </conditionalFormatting>
  <conditionalFormatting sqref="N16:P16">
    <cfRule type="expression" dxfId="905" priority="98">
      <formula>$L16="PISA clay"</formula>
    </cfRule>
  </conditionalFormatting>
  <conditionalFormatting sqref="N16">
    <cfRule type="expression" dxfId="904" priority="97">
      <formula>$L16="PISA sand"</formula>
    </cfRule>
  </conditionalFormatting>
  <conditionalFormatting sqref="R16">
    <cfRule type="expression" dxfId="903" priority="96">
      <formula>$L16="API sand"</formula>
    </cfRule>
  </conditionalFormatting>
  <conditionalFormatting sqref="R16">
    <cfRule type="expression" dxfId="902" priority="95">
      <formula>$L16="Kirsch sand"</formula>
    </cfRule>
  </conditionalFormatting>
  <conditionalFormatting sqref="AC16:AI16">
    <cfRule type="expression" dxfId="901" priority="92">
      <formula>$L16="Stiff clay w/o free water"</formula>
    </cfRule>
    <cfRule type="expression" dxfId="900" priority="94">
      <formula>$L16="API clay"</formula>
    </cfRule>
  </conditionalFormatting>
  <conditionalFormatting sqref="AC16:AI16">
    <cfRule type="expression" dxfId="899" priority="93">
      <formula>$L16="Kirsch soft clay"</formula>
    </cfRule>
  </conditionalFormatting>
  <conditionalFormatting sqref="AC16:AI16">
    <cfRule type="expression" dxfId="898" priority="91">
      <formula>$L16="Kirsch stiff clay"</formula>
    </cfRule>
  </conditionalFormatting>
  <conditionalFormatting sqref="AC16:AI16">
    <cfRule type="expression" dxfId="897" priority="90">
      <formula>$L16="Reese stiff clay"</formula>
    </cfRule>
  </conditionalFormatting>
  <conditionalFormatting sqref="AC16:AI16">
    <cfRule type="expression" dxfId="896" priority="89">
      <formula>$L16="PISA clay"</formula>
    </cfRule>
  </conditionalFormatting>
  <conditionalFormatting sqref="AA16">
    <cfRule type="expression" dxfId="895" priority="86">
      <formula>$L16="Stiff clay w/o free water"</formula>
    </cfRule>
    <cfRule type="expression" dxfId="894" priority="88">
      <formula>$L16="API clay"</formula>
    </cfRule>
  </conditionalFormatting>
  <conditionalFormatting sqref="AA16">
    <cfRule type="expression" dxfId="893" priority="87">
      <formula>$L16="Kirsch soft clay"</formula>
    </cfRule>
  </conditionalFormatting>
  <conditionalFormatting sqref="AA16">
    <cfRule type="expression" dxfId="892" priority="85">
      <formula>$L16="Kirsch stiff clay"</formula>
    </cfRule>
  </conditionalFormatting>
  <conditionalFormatting sqref="AA16">
    <cfRule type="expression" dxfId="891" priority="84">
      <formula>$L16="Reese stiff clay"</formula>
    </cfRule>
  </conditionalFormatting>
  <conditionalFormatting sqref="AA16">
    <cfRule type="expression" dxfId="890" priority="83">
      <formula>$L16="PISA clay"</formula>
    </cfRule>
  </conditionalFormatting>
  <conditionalFormatting sqref="AM17:AN17">
    <cfRule type="expression" dxfId="889" priority="82">
      <formula>$L17="API sand"</formula>
    </cfRule>
  </conditionalFormatting>
  <conditionalFormatting sqref="AK17:AL17">
    <cfRule type="expression" dxfId="888" priority="81">
      <formula>$M17="API sand"</formula>
    </cfRule>
  </conditionalFormatting>
  <conditionalFormatting sqref="AK17:AL17">
    <cfRule type="expression" dxfId="887" priority="80">
      <formula>$M17="API clay"</formula>
    </cfRule>
  </conditionalFormatting>
  <conditionalFormatting sqref="AM17:AN17">
    <cfRule type="expression" dxfId="886" priority="77">
      <formula>$L17="Stiff clay w/o free water"</formula>
    </cfRule>
    <cfRule type="expression" dxfId="885" priority="79">
      <formula>$L17="API clay"</formula>
    </cfRule>
  </conditionalFormatting>
  <conditionalFormatting sqref="AM17:AN17">
    <cfRule type="expression" dxfId="884" priority="78">
      <formula>$L17="Kirsch soft clay"</formula>
    </cfRule>
  </conditionalFormatting>
  <conditionalFormatting sqref="AM17:AN17">
    <cfRule type="expression" dxfId="883" priority="76">
      <formula>$L17="Kirsch stiff clay"</formula>
    </cfRule>
  </conditionalFormatting>
  <conditionalFormatting sqref="AM17:AN17">
    <cfRule type="expression" dxfId="882" priority="75">
      <formula>$L17="Kirsch sand"</formula>
    </cfRule>
  </conditionalFormatting>
  <conditionalFormatting sqref="AM17:AN17">
    <cfRule type="expression" dxfId="881" priority="74">
      <formula>$L17="Modified Weak rock"</formula>
    </cfRule>
  </conditionalFormatting>
  <conditionalFormatting sqref="AM17:AN17">
    <cfRule type="expression" dxfId="880" priority="73">
      <formula>$L17="Reese stiff clay"</formula>
    </cfRule>
  </conditionalFormatting>
  <conditionalFormatting sqref="AM17:AN17">
    <cfRule type="expression" dxfId="879" priority="72">
      <formula>$L17="PISA clay"</formula>
    </cfRule>
  </conditionalFormatting>
  <conditionalFormatting sqref="AM17:AN17">
    <cfRule type="expression" dxfId="878" priority="71">
      <formula>$L17="PISA sand"</formula>
    </cfRule>
  </conditionalFormatting>
  <conditionalFormatting sqref="N17 Q17 S17:T17 W17 Y17">
    <cfRule type="expression" dxfId="877" priority="70">
      <formula>$L17="API sand"</formula>
    </cfRule>
  </conditionalFormatting>
  <conditionalFormatting sqref="N17">
    <cfRule type="expression" dxfId="876" priority="69">
      <formula>$M17="API sand"</formula>
    </cfRule>
  </conditionalFormatting>
  <conditionalFormatting sqref="N17">
    <cfRule type="expression" dxfId="875" priority="68">
      <formula>$M17="API clay"</formula>
    </cfRule>
  </conditionalFormatting>
  <conditionalFormatting sqref="N17:P17">
    <cfRule type="expression" dxfId="874" priority="65">
      <formula>$L17="Stiff clay w/o free water"</formula>
    </cfRule>
    <cfRule type="expression" dxfId="873" priority="67">
      <formula>$L17="API clay"</formula>
    </cfRule>
  </conditionalFormatting>
  <conditionalFormatting sqref="N17:P17">
    <cfRule type="expression" dxfId="872" priority="66">
      <formula>$L17="Kirsch soft clay"</formula>
    </cfRule>
  </conditionalFormatting>
  <conditionalFormatting sqref="N17:P17">
    <cfRule type="expression" dxfId="871" priority="64">
      <formula>$L17="Kirsch stiff clay"</formula>
    </cfRule>
  </conditionalFormatting>
  <conditionalFormatting sqref="N17 Q17 S17:T17 W17 Y17">
    <cfRule type="expression" dxfId="870" priority="63">
      <formula>$L17="Kirsch sand"</formula>
    </cfRule>
  </conditionalFormatting>
  <conditionalFormatting sqref="N17">
    <cfRule type="expression" dxfId="869" priority="62">
      <formula>$L17="Modified Weak rock"</formula>
    </cfRule>
  </conditionalFormatting>
  <conditionalFormatting sqref="N17:P17">
    <cfRule type="expression" dxfId="868" priority="61">
      <formula>$L17="Reese stiff clay"</formula>
    </cfRule>
  </conditionalFormatting>
  <conditionalFormatting sqref="N17:P17">
    <cfRule type="expression" dxfId="867" priority="60">
      <formula>$L17="PISA clay"</formula>
    </cfRule>
  </conditionalFormatting>
  <conditionalFormatting sqref="N17">
    <cfRule type="expression" dxfId="866" priority="59">
      <formula>$L17="PISA sand"</formula>
    </cfRule>
  </conditionalFormatting>
  <conditionalFormatting sqref="R17">
    <cfRule type="expression" dxfId="865" priority="58">
      <formula>$L17="API sand"</formula>
    </cfRule>
  </conditionalFormatting>
  <conditionalFormatting sqref="R17">
    <cfRule type="expression" dxfId="864" priority="57">
      <formula>$L17="Kirsch sand"</formula>
    </cfRule>
  </conditionalFormatting>
  <conditionalFormatting sqref="AD17:AI17">
    <cfRule type="expression" dxfId="863" priority="54">
      <formula>$L17="Stiff clay w/o free water"</formula>
    </cfRule>
    <cfRule type="expression" dxfId="862" priority="56">
      <formula>$L17="API clay"</formula>
    </cfRule>
  </conditionalFormatting>
  <conditionalFormatting sqref="AD17:AI17">
    <cfRule type="expression" dxfId="861" priority="55">
      <formula>$L17="Kirsch soft clay"</formula>
    </cfRule>
  </conditionalFormatting>
  <conditionalFormatting sqref="AD17:AI17">
    <cfRule type="expression" dxfId="860" priority="53">
      <formula>$L17="Kirsch stiff clay"</formula>
    </cfRule>
  </conditionalFormatting>
  <conditionalFormatting sqref="AD17:AI17">
    <cfRule type="expression" dxfId="859" priority="52">
      <formula>$L17="Reese stiff clay"</formula>
    </cfRule>
  </conditionalFormatting>
  <conditionalFormatting sqref="AD17:AI17">
    <cfRule type="expression" dxfId="858" priority="51">
      <formula>$L17="PISA clay"</formula>
    </cfRule>
  </conditionalFormatting>
  <conditionalFormatting sqref="AA17">
    <cfRule type="expression" dxfId="857" priority="48">
      <formula>$L17="Stiff clay w/o free water"</formula>
    </cfRule>
    <cfRule type="expression" dxfId="856" priority="50">
      <formula>$L17="API clay"</formula>
    </cfRule>
  </conditionalFormatting>
  <conditionalFormatting sqref="AA17">
    <cfRule type="expression" dxfId="855" priority="49">
      <formula>$L17="Kirsch soft clay"</formula>
    </cfRule>
  </conditionalFormatting>
  <conditionalFormatting sqref="AA17">
    <cfRule type="expression" dxfId="854" priority="47">
      <formula>$L17="Kirsch stiff clay"</formula>
    </cfRule>
  </conditionalFormatting>
  <conditionalFormatting sqref="AA17">
    <cfRule type="expression" dxfId="853" priority="46">
      <formula>$L17="Reese stiff clay"</formula>
    </cfRule>
  </conditionalFormatting>
  <conditionalFormatting sqref="AA17">
    <cfRule type="expression" dxfId="852" priority="45">
      <formula>$L17="PISA clay"</formula>
    </cfRule>
  </conditionalFormatting>
  <conditionalFormatting sqref="AC17">
    <cfRule type="expression" dxfId="851" priority="42">
      <formula>$L17="Stiff clay w/o free water"</formula>
    </cfRule>
    <cfRule type="expression" dxfId="850" priority="44">
      <formula>$L17="API clay"</formula>
    </cfRule>
  </conditionalFormatting>
  <conditionalFormatting sqref="AC17">
    <cfRule type="expression" dxfId="849" priority="43">
      <formula>$L17="Kirsch soft clay"</formula>
    </cfRule>
  </conditionalFormatting>
  <conditionalFormatting sqref="AC17">
    <cfRule type="expression" dxfId="848" priority="41">
      <formula>$L17="Kirsch stiff clay"</formula>
    </cfRule>
  </conditionalFormatting>
  <conditionalFormatting sqref="AC17">
    <cfRule type="expression" dxfId="847" priority="40">
      <formula>$L17="Reese stiff clay"</formula>
    </cfRule>
  </conditionalFormatting>
  <conditionalFormatting sqref="AC17">
    <cfRule type="expression" dxfId="846" priority="39">
      <formula>$L17="PISA clay"</formula>
    </cfRule>
  </conditionalFormatting>
  <conditionalFormatting sqref="X17">
    <cfRule type="expression" dxfId="845" priority="38">
      <formula>$L17="API sand"</formula>
    </cfRule>
  </conditionalFormatting>
  <conditionalFormatting sqref="X17">
    <cfRule type="expression" dxfId="844" priority="37">
      <formula>$L17="Kirsch sand"</formula>
    </cfRule>
  </conditionalFormatting>
  <conditionalFormatting sqref="Z16:Z17">
    <cfRule type="expression" dxfId="843" priority="36">
      <formula>$L16="API sand"</formula>
    </cfRule>
  </conditionalFormatting>
  <conditionalFormatting sqref="Z16:Z17">
    <cfRule type="expression" dxfId="842" priority="35">
      <formula>$L16="Kirsch sand"</formula>
    </cfRule>
  </conditionalFormatting>
  <conditionalFormatting sqref="AB16:AB17">
    <cfRule type="expression" dxfId="841" priority="34">
      <formula>$L16="API sand"</formula>
    </cfRule>
  </conditionalFormatting>
  <conditionalFormatting sqref="AB16:AB17">
    <cfRule type="expression" dxfId="840" priority="33">
      <formula>$L16="Kirsch sand"</formula>
    </cfRule>
  </conditionalFormatting>
  <conditionalFormatting sqref="AJ16:AJ17">
    <cfRule type="expression" dxfId="839" priority="32">
      <formula>$L16="API sand"</formula>
    </cfRule>
  </conditionalFormatting>
  <conditionalFormatting sqref="AJ16:AJ17">
    <cfRule type="expression" dxfId="838" priority="31">
      <formula>$L16="Kirsch sand"</formula>
    </cfRule>
  </conditionalFormatting>
  <conditionalFormatting sqref="U15:V15">
    <cfRule type="expression" dxfId="837" priority="28">
      <formula>$L15="Stiff clay w/o free water"</formula>
    </cfRule>
    <cfRule type="expression" dxfId="836" priority="30">
      <formula>$L15="API clay"</formula>
    </cfRule>
  </conditionalFormatting>
  <conditionalFormatting sqref="U15:V15">
    <cfRule type="expression" dxfId="835" priority="29">
      <formula>$L15="Kirsch soft clay"</formula>
    </cfRule>
  </conditionalFormatting>
  <conditionalFormatting sqref="U15:V15">
    <cfRule type="expression" dxfId="834" priority="27">
      <formula>$L15="Kirsch stiff clay"</formula>
    </cfRule>
  </conditionalFormatting>
  <conditionalFormatting sqref="U15:V15">
    <cfRule type="expression" dxfId="833" priority="26">
      <formula>$L15="Reese stiff clay"</formula>
    </cfRule>
  </conditionalFormatting>
  <conditionalFormatting sqref="U15:V15">
    <cfRule type="expression" dxfId="832" priority="25">
      <formula>$L15="PISA clay"</formula>
    </cfRule>
  </conditionalFormatting>
  <conditionalFormatting sqref="U16:V16">
    <cfRule type="expression" dxfId="831" priority="22">
      <formula>$L16="Stiff clay w/o free water"</formula>
    </cfRule>
    <cfRule type="expression" dxfId="830" priority="24">
      <formula>$L16="API clay"</formula>
    </cfRule>
  </conditionalFormatting>
  <conditionalFormatting sqref="U16:V16">
    <cfRule type="expression" dxfId="829" priority="23">
      <formula>$L16="Kirsch soft clay"</formula>
    </cfRule>
  </conditionalFormatting>
  <conditionalFormatting sqref="U16:V16">
    <cfRule type="expression" dxfId="828" priority="21">
      <formula>$L16="Kirsch stiff clay"</formula>
    </cfRule>
  </conditionalFormatting>
  <conditionalFormatting sqref="U16:V16">
    <cfRule type="expression" dxfId="827" priority="20">
      <formula>$L16="Reese stiff clay"</formula>
    </cfRule>
  </conditionalFormatting>
  <conditionalFormatting sqref="U16:V16">
    <cfRule type="expression" dxfId="826" priority="19">
      <formula>$L16="PISA clay"</formula>
    </cfRule>
  </conditionalFormatting>
  <conditionalFormatting sqref="U17:V17">
    <cfRule type="expression" dxfId="825" priority="16">
      <formula>$L17="Stiff clay w/o free water"</formula>
    </cfRule>
    <cfRule type="expression" dxfId="824" priority="18">
      <formula>$L17="API clay"</formula>
    </cfRule>
  </conditionalFormatting>
  <conditionalFormatting sqref="U17:V17">
    <cfRule type="expression" dxfId="823" priority="17">
      <formula>$L17="Kirsch soft clay"</formula>
    </cfRule>
  </conditionalFormatting>
  <conditionalFormatting sqref="U17:V17">
    <cfRule type="expression" dxfId="822" priority="15">
      <formula>$L17="Kirsch stiff clay"</formula>
    </cfRule>
  </conditionalFormatting>
  <conditionalFormatting sqref="U17:V17">
    <cfRule type="expression" dxfId="821" priority="14">
      <formula>$L17="Reese stiff clay"</formula>
    </cfRule>
  </conditionalFormatting>
  <conditionalFormatting sqref="U17:V17">
    <cfRule type="expression" dxfId="820" priority="13">
      <formula>$L17="PISA clay"</formula>
    </cfRule>
  </conditionalFormatting>
  <conditionalFormatting sqref="AO15">
    <cfRule type="expression" dxfId="819" priority="12">
      <formula>$L15="API sand"</formula>
    </cfRule>
  </conditionalFormatting>
  <conditionalFormatting sqref="AO15">
    <cfRule type="expression" dxfId="818" priority="11">
      <formula>$L15="Kirsch sand"</formula>
    </cfRule>
  </conditionalFormatting>
  <conditionalFormatting sqref="AO16">
    <cfRule type="expression" dxfId="817" priority="10">
      <formula>$L16="API sand"</formula>
    </cfRule>
  </conditionalFormatting>
  <conditionalFormatting sqref="AO16">
    <cfRule type="expression" dxfId="816" priority="9">
      <formula>$L16="Kirsch sand"</formula>
    </cfRule>
  </conditionalFormatting>
  <conditionalFormatting sqref="AO17">
    <cfRule type="expression" dxfId="815" priority="8">
      <formula>$L17="API sand"</formula>
    </cfRule>
  </conditionalFormatting>
  <conditionalFormatting sqref="AO17">
    <cfRule type="expression" dxfId="814" priority="7">
      <formula>$L17="Kirsch sand"</formula>
    </cfRule>
  </conditionalFormatting>
  <conditionalFormatting sqref="AC14">
    <cfRule type="expression" dxfId="813" priority="4">
      <formula>$L14="Stiff clay w/o free water"</formula>
    </cfRule>
    <cfRule type="expression" dxfId="812" priority="6">
      <formula>$L14="API clay"</formula>
    </cfRule>
  </conditionalFormatting>
  <conditionalFormatting sqref="AC14">
    <cfRule type="expression" dxfId="811" priority="5">
      <formula>$L14="Kirsch soft clay"</formula>
    </cfRule>
  </conditionalFormatting>
  <conditionalFormatting sqref="AC14">
    <cfRule type="expression" dxfId="810" priority="3">
      <formula>$L14="Kirsch stiff clay"</formula>
    </cfRule>
  </conditionalFormatting>
  <conditionalFormatting sqref="AC14">
    <cfRule type="expression" dxfId="809" priority="2">
      <formula>$L14="Reese stiff clay"</formula>
    </cfRule>
  </conditionalFormatting>
  <conditionalFormatting sqref="AC14">
    <cfRule type="expression" dxfId="808" priority="1">
      <formula>$L14="PISA clay"</formula>
    </cfRule>
  </conditionalFormatting>
  <dataValidations count="3">
    <dataValidation type="list" showInputMessage="1" showErrorMessage="1" sqref="M18:M36" xr:uid="{49EA9D71-1B1E-4C6C-9CC2-643478A526F6}">
      <formula1>"',API sand,API clay"</formula1>
    </dataValidation>
    <dataValidation type="list" showInputMessage="1" showErrorMessage="1" sqref="L6:L255" xr:uid="{ADE8C7DB-A996-4675-9B25-8DC0B473837F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7" xr:uid="{66A34587-41EF-4EA7-A8B7-45A9F999B667}">
      <formula1>"Zero soil,API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08C7F-DFC9-46C2-988C-C4784AFAE0A5}">
  <sheetPr>
    <tabColor theme="2"/>
  </sheetPr>
  <dimension ref="A1:AO255"/>
  <sheetViews>
    <sheetView topLeftCell="K1" zoomScaleNormal="100" workbookViewId="0">
      <selection activeCell="O8" sqref="O8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140625" style="33" customWidth="1"/>
    <col min="22" max="22" width="19.42578125" style="33" customWidth="1"/>
    <col min="23" max="23" width="6.5703125" style="33" customWidth="1"/>
    <col min="24" max="24" width="11.855468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85546875" style="33" customWidth="1"/>
    <col min="30" max="30" width="11.85546875" style="33" customWidth="1"/>
    <col min="31" max="31" width="10.28515625" style="33" customWidth="1"/>
    <col min="32" max="32" width="8.140625" style="33" customWidth="1"/>
    <col min="33" max="33" width="13.7109375" style="33" customWidth="1"/>
    <col min="34" max="34" width="8.42578125" style="33" customWidth="1"/>
    <col min="35" max="35" width="7.855468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16384" width="9.140625" style="33"/>
  </cols>
  <sheetData>
    <row r="1" spans="1:41" x14ac:dyDescent="0.25">
      <c r="A1" s="34" t="str">
        <f ca="1">TRIM(MID(CELL("filename",A1),FIND("]",CELL("filename",A1),1)+1,255))</f>
        <v>Zone_4_LE</v>
      </c>
      <c r="D1" s="34"/>
    </row>
    <row r="3" spans="1:41" s="35" customFormat="1" ht="45" customHeight="1" x14ac:dyDescent="0.25">
      <c r="F3" s="36" t="s">
        <v>39</v>
      </c>
      <c r="J3" s="37" t="s">
        <v>22</v>
      </c>
      <c r="Q3" s="72"/>
      <c r="R3" s="155"/>
      <c r="S3" s="155"/>
      <c r="T3" s="72"/>
      <c r="U3" s="155"/>
      <c r="V3" s="155"/>
      <c r="W3" s="72"/>
      <c r="X3" s="69"/>
      <c r="Y3" s="72"/>
      <c r="Z3" s="72"/>
      <c r="AA3" s="72"/>
      <c r="AB3" s="72"/>
      <c r="AC3" s="69"/>
      <c r="AD3" s="39"/>
      <c r="AE3" s="39"/>
      <c r="AF3" s="39"/>
      <c r="AG3" s="39"/>
      <c r="AH3" s="39"/>
      <c r="AI3" s="39"/>
      <c r="AJ3" s="72"/>
      <c r="AK3" s="72"/>
      <c r="AL3" s="72"/>
      <c r="AM3" s="72"/>
      <c r="AN3" s="72"/>
    </row>
    <row r="4" spans="1:41" s="41" customFormat="1" x14ac:dyDescent="0.25">
      <c r="A4" s="40" t="s">
        <v>60</v>
      </c>
      <c r="B4" s="41">
        <f>COUNTIF(J:J,"&gt;0")</f>
        <v>7</v>
      </c>
      <c r="C4" s="42" t="s">
        <v>58</v>
      </c>
      <c r="D4" s="43"/>
      <c r="F4" s="41" t="s">
        <v>40</v>
      </c>
      <c r="G4" s="44">
        <v>0</v>
      </c>
      <c r="H4" s="42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68" t="s">
        <v>102</v>
      </c>
    </row>
    <row r="5" spans="1:41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44">
        <v>0</v>
      </c>
      <c r="H5" s="45" t="s">
        <v>28</v>
      </c>
      <c r="J5" s="38" t="s">
        <v>38</v>
      </c>
      <c r="K5" s="38" t="s">
        <v>30</v>
      </c>
      <c r="L5" s="38" t="s">
        <v>31</v>
      </c>
      <c r="M5" s="38" t="s">
        <v>31</v>
      </c>
      <c r="N5" s="38" t="s">
        <v>32</v>
      </c>
      <c r="O5" s="38" t="s">
        <v>33</v>
      </c>
      <c r="P5" s="38" t="s">
        <v>35</v>
      </c>
      <c r="Q5" s="38" t="s">
        <v>36</v>
      </c>
      <c r="R5" s="38" t="s">
        <v>36</v>
      </c>
      <c r="S5" s="38" t="s">
        <v>34</v>
      </c>
      <c r="T5" s="38" t="s">
        <v>33</v>
      </c>
      <c r="U5" s="38" t="s">
        <v>34</v>
      </c>
      <c r="V5" s="38" t="s">
        <v>62</v>
      </c>
      <c r="W5" s="38" t="s">
        <v>34</v>
      </c>
      <c r="X5" s="38" t="s">
        <v>33</v>
      </c>
      <c r="Y5" s="38" t="s">
        <v>35</v>
      </c>
      <c r="Z5" s="38" t="s">
        <v>33</v>
      </c>
      <c r="AA5" s="38" t="s">
        <v>34</v>
      </c>
      <c r="AB5" s="38" t="s">
        <v>33</v>
      </c>
      <c r="AC5" s="38" t="s">
        <v>33</v>
      </c>
      <c r="AD5" s="38" t="s">
        <v>35</v>
      </c>
      <c r="AE5" s="38" t="s">
        <v>34</v>
      </c>
      <c r="AF5" s="38" t="s">
        <v>33</v>
      </c>
      <c r="AG5" s="38" t="s">
        <v>35</v>
      </c>
      <c r="AH5" s="38" t="s">
        <v>34</v>
      </c>
      <c r="AI5" s="38" t="s">
        <v>34</v>
      </c>
      <c r="AJ5" s="38" t="s">
        <v>34</v>
      </c>
      <c r="AK5" s="38" t="s">
        <v>34</v>
      </c>
      <c r="AL5" s="38" t="s">
        <v>34</v>
      </c>
      <c r="AM5" s="38" t="s">
        <v>34</v>
      </c>
      <c r="AN5" s="38" t="s">
        <v>34</v>
      </c>
      <c r="AO5" s="38" t="s">
        <v>103</v>
      </c>
    </row>
    <row r="6" spans="1:41" x14ac:dyDescent="0.25">
      <c r="C6" s="45"/>
      <c r="F6" s="33" t="s">
        <v>67</v>
      </c>
      <c r="G6" s="46">
        <v>32</v>
      </c>
      <c r="H6" s="45" t="s">
        <v>28</v>
      </c>
      <c r="J6" s="47">
        <v>1</v>
      </c>
      <c r="K6" s="47">
        <v>0</v>
      </c>
      <c r="L6" s="70" t="s">
        <v>106</v>
      </c>
      <c r="M6" s="49" t="s">
        <v>64</v>
      </c>
      <c r="N6" s="50">
        <v>9.8000000000000007</v>
      </c>
      <c r="O6" s="51"/>
      <c r="P6" s="51"/>
      <c r="Q6" s="50">
        <v>32</v>
      </c>
      <c r="R6" s="50">
        <f>Q6-5</f>
        <v>27</v>
      </c>
      <c r="S6" s="50">
        <v>0.5</v>
      </c>
      <c r="T6" s="50">
        <v>0</v>
      </c>
      <c r="U6" s="52"/>
      <c r="V6" s="52"/>
      <c r="W6" s="50">
        <v>0.5</v>
      </c>
      <c r="X6" s="50">
        <v>20100</v>
      </c>
      <c r="Y6" s="50">
        <v>0</v>
      </c>
      <c r="Z6" s="50">
        <f>VLOOKUP(R6,$AE$39:$AF$59,2)</f>
        <v>86.999999999999972</v>
      </c>
      <c r="AA6" s="53"/>
      <c r="AB6" s="50">
        <f>VLOOKUP(R6,$AE$39:$AG$59,3)</f>
        <v>6720</v>
      </c>
      <c r="AC6" s="51"/>
      <c r="AD6" s="51"/>
      <c r="AE6" s="51"/>
      <c r="AF6" s="51"/>
      <c r="AG6" s="51"/>
      <c r="AH6" s="51"/>
      <c r="AI6" s="51"/>
      <c r="AJ6" s="50">
        <f t="shared" ref="AJ6" si="0">VLOOKUP(R6,$AE$39:$AH$59,4)</f>
        <v>28.000000000000007</v>
      </c>
      <c r="AK6" s="50">
        <v>1</v>
      </c>
      <c r="AL6" s="50">
        <v>1</v>
      </c>
      <c r="AM6" s="50">
        <v>1</v>
      </c>
      <c r="AN6" s="50">
        <v>1</v>
      </c>
      <c r="AO6" s="50">
        <v>0</v>
      </c>
    </row>
    <row r="7" spans="1:41" x14ac:dyDescent="0.25">
      <c r="A7" s="54" t="s">
        <v>23</v>
      </c>
      <c r="C7" s="45"/>
      <c r="F7" s="55" t="s">
        <v>48</v>
      </c>
      <c r="G7" s="56"/>
      <c r="H7" s="39"/>
      <c r="I7" s="56"/>
      <c r="J7" s="47">
        <v>2</v>
      </c>
      <c r="K7" s="47">
        <v>-1.5</v>
      </c>
      <c r="L7" s="33" t="s">
        <v>107</v>
      </c>
      <c r="M7" s="49" t="s">
        <v>65</v>
      </c>
      <c r="N7" s="50">
        <v>9.8000000000000007</v>
      </c>
      <c r="O7" s="51">
        <f>AVERAGE(20.7,25.6)</f>
        <v>23.15</v>
      </c>
      <c r="P7" s="51">
        <v>0</v>
      </c>
      <c r="Q7" s="50"/>
      <c r="R7" s="50"/>
      <c r="S7" s="50"/>
      <c r="T7" s="50"/>
      <c r="U7" s="52">
        <v>1.7999999999999999E-2</v>
      </c>
      <c r="V7" s="52">
        <v>0</v>
      </c>
      <c r="W7" s="50"/>
      <c r="X7" s="50"/>
      <c r="Y7" s="50"/>
      <c r="Z7" s="50"/>
      <c r="AA7" s="53">
        <v>1</v>
      </c>
      <c r="AB7" s="50"/>
      <c r="AC7" s="51">
        <v>11380</v>
      </c>
      <c r="AD7" s="51">
        <v>7326</v>
      </c>
      <c r="AE7" s="51">
        <v>0.46</v>
      </c>
      <c r="AF7" s="51">
        <v>0</v>
      </c>
      <c r="AG7" s="51">
        <v>0</v>
      </c>
      <c r="AH7" s="51">
        <v>0</v>
      </c>
      <c r="AI7" s="51">
        <v>0</v>
      </c>
      <c r="AJ7" s="50"/>
      <c r="AK7" s="50">
        <v>1</v>
      </c>
      <c r="AL7" s="50">
        <v>1</v>
      </c>
      <c r="AM7" s="50">
        <v>1</v>
      </c>
      <c r="AN7" s="50">
        <v>1</v>
      </c>
      <c r="AO7" s="50">
        <v>0</v>
      </c>
    </row>
    <row r="8" spans="1:4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2278.1</v>
      </c>
      <c r="H8" s="45" t="s">
        <v>53</v>
      </c>
      <c r="J8" s="47">
        <v>3</v>
      </c>
      <c r="K8" s="47">
        <v>-2</v>
      </c>
      <c r="L8" s="70" t="s">
        <v>107</v>
      </c>
      <c r="M8" s="49" t="s">
        <v>65</v>
      </c>
      <c r="N8" s="50">
        <v>9.5</v>
      </c>
      <c r="O8" s="51">
        <v>26.1</v>
      </c>
      <c r="P8" s="51">
        <v>54</v>
      </c>
      <c r="Q8" s="50"/>
      <c r="R8" s="50"/>
      <c r="S8" s="50"/>
      <c r="T8" s="50"/>
      <c r="U8" s="52">
        <v>1.7999999999999999E-2</v>
      </c>
      <c r="V8" s="52">
        <v>0</v>
      </c>
      <c r="W8" s="50"/>
      <c r="X8" s="50"/>
      <c r="Y8" s="50"/>
      <c r="Z8" s="50"/>
      <c r="AA8" s="53">
        <v>1</v>
      </c>
      <c r="AB8" s="50"/>
      <c r="AC8" s="51">
        <v>14510</v>
      </c>
      <c r="AD8" s="51">
        <v>43560</v>
      </c>
      <c r="AE8" s="51">
        <v>0.46</v>
      </c>
      <c r="AF8" s="51">
        <v>0</v>
      </c>
      <c r="AG8" s="51">
        <v>0</v>
      </c>
      <c r="AH8" s="51">
        <v>0</v>
      </c>
      <c r="AI8" s="51">
        <v>0</v>
      </c>
      <c r="AJ8" s="50"/>
      <c r="AK8" s="50">
        <v>1</v>
      </c>
      <c r="AL8" s="50">
        <v>1</v>
      </c>
      <c r="AM8" s="50">
        <v>1</v>
      </c>
      <c r="AN8" s="50">
        <v>1</v>
      </c>
      <c r="AO8" s="50">
        <v>0</v>
      </c>
    </row>
    <row r="9" spans="1:41" x14ac:dyDescent="0.25">
      <c r="A9" s="33" t="s">
        <v>68</v>
      </c>
      <c r="B9" s="57">
        <v>33</v>
      </c>
      <c r="C9" s="45" t="s">
        <v>28</v>
      </c>
      <c r="D9" s="57">
        <v>28</v>
      </c>
      <c r="F9" s="33" t="s">
        <v>96</v>
      </c>
      <c r="G9" s="71">
        <v>-122786</v>
      </c>
      <c r="H9" s="45" t="s">
        <v>54</v>
      </c>
      <c r="J9" s="47">
        <v>3</v>
      </c>
      <c r="K9" s="47">
        <v>-3</v>
      </c>
      <c r="L9" s="70" t="s">
        <v>107</v>
      </c>
      <c r="M9" s="49" t="s">
        <v>65</v>
      </c>
      <c r="N9" s="50">
        <v>9.5</v>
      </c>
      <c r="O9" s="51">
        <v>80.099999999999994</v>
      </c>
      <c r="P9" s="51">
        <v>4.46</v>
      </c>
      <c r="Q9" s="50"/>
      <c r="R9" s="50"/>
      <c r="S9" s="50"/>
      <c r="T9" s="50"/>
      <c r="U9" s="52">
        <v>1.7999999999999999E-2</v>
      </c>
      <c r="V9" s="52">
        <v>0</v>
      </c>
      <c r="W9" s="50"/>
      <c r="X9" s="50"/>
      <c r="Y9" s="50"/>
      <c r="Z9" s="50"/>
      <c r="AA9" s="53">
        <v>1</v>
      </c>
      <c r="AB9" s="50"/>
      <c r="AC9" s="51">
        <v>58400</v>
      </c>
      <c r="AD9" s="51">
        <v>5076</v>
      </c>
      <c r="AE9" s="51">
        <v>0.46</v>
      </c>
      <c r="AF9" s="51">
        <v>0</v>
      </c>
      <c r="AG9" s="51">
        <v>0</v>
      </c>
      <c r="AH9" s="51">
        <v>0</v>
      </c>
      <c r="AI9" s="51">
        <v>0</v>
      </c>
      <c r="AJ9" s="50"/>
      <c r="AK9" s="50">
        <v>1</v>
      </c>
      <c r="AL9" s="50">
        <v>1</v>
      </c>
      <c r="AM9" s="50">
        <v>1</v>
      </c>
      <c r="AN9" s="50">
        <v>1</v>
      </c>
      <c r="AO9" s="50">
        <v>0</v>
      </c>
    </row>
    <row r="10" spans="1:41" s="56" customFormat="1" x14ac:dyDescent="0.25">
      <c r="A10" s="56" t="s">
        <v>69</v>
      </c>
      <c r="B10" s="58">
        <v>33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/>
      <c r="J10" s="47">
        <v>5</v>
      </c>
      <c r="K10" s="47">
        <v>-8</v>
      </c>
      <c r="L10" s="70" t="s">
        <v>106</v>
      </c>
      <c r="M10" s="49" t="s">
        <v>64</v>
      </c>
      <c r="N10" s="50">
        <v>9.8000000000000007</v>
      </c>
      <c r="O10" s="51"/>
      <c r="P10" s="51"/>
      <c r="Q10" s="50">
        <v>34</v>
      </c>
      <c r="R10" s="50">
        <f t="shared" ref="R10:R11" si="1">Q10-5</f>
        <v>29</v>
      </c>
      <c r="S10" s="50">
        <v>1.4</v>
      </c>
      <c r="T10" s="50">
        <v>0</v>
      </c>
      <c r="U10" s="52"/>
      <c r="V10" s="52"/>
      <c r="W10" s="50">
        <v>0.5</v>
      </c>
      <c r="X10" s="50">
        <v>14200</v>
      </c>
      <c r="Y10" s="50">
        <v>0</v>
      </c>
      <c r="Z10" s="50">
        <f t="shared" ref="Z10:Z11" si="2">VLOOKUP(R10,$AE$39:$AF$59,2)</f>
        <v>92.999999999999972</v>
      </c>
      <c r="AA10" s="53"/>
      <c r="AB10" s="50">
        <f t="shared" ref="AB10:AB11" si="3">VLOOKUP(R10,$AE$39:$AG$59,3)</f>
        <v>8640</v>
      </c>
      <c r="AC10" s="51"/>
      <c r="AD10" s="51"/>
      <c r="AE10" s="51"/>
      <c r="AF10" s="51"/>
      <c r="AG10" s="51"/>
      <c r="AH10" s="51"/>
      <c r="AI10" s="51"/>
      <c r="AJ10" s="50">
        <f>VLOOKUP(R10,$AE$39:$AH$59,4)</f>
        <v>36.000000000000007</v>
      </c>
      <c r="AK10" s="50">
        <v>1</v>
      </c>
      <c r="AL10" s="50">
        <v>1</v>
      </c>
      <c r="AM10" s="50">
        <v>1</v>
      </c>
      <c r="AN10" s="50">
        <v>1</v>
      </c>
      <c r="AO10" s="50">
        <v>0</v>
      </c>
    </row>
    <row r="11" spans="1:41" x14ac:dyDescent="0.25">
      <c r="A11" s="33" t="s">
        <v>70</v>
      </c>
      <c r="B11" s="57">
        <v>0.5</v>
      </c>
      <c r="C11" s="45" t="s">
        <v>28</v>
      </c>
      <c r="F11" s="33" t="s">
        <v>52</v>
      </c>
      <c r="G11" s="71">
        <v>0</v>
      </c>
      <c r="H11" s="45" t="s">
        <v>53</v>
      </c>
      <c r="J11" s="47">
        <v>6</v>
      </c>
      <c r="K11" s="47">
        <v>-10</v>
      </c>
      <c r="L11" s="33" t="s">
        <v>106</v>
      </c>
      <c r="M11" s="49" t="s">
        <v>64</v>
      </c>
      <c r="N11" s="50">
        <v>8.6</v>
      </c>
      <c r="O11" s="51"/>
      <c r="P11" s="51"/>
      <c r="Q11" s="50">
        <v>34</v>
      </c>
      <c r="R11" s="50">
        <f t="shared" si="1"/>
        <v>29</v>
      </c>
      <c r="S11" s="50">
        <v>1.1000000000000001</v>
      </c>
      <c r="T11" s="50">
        <v>0</v>
      </c>
      <c r="U11" s="52"/>
      <c r="V11" s="52"/>
      <c r="W11" s="50">
        <v>0.5</v>
      </c>
      <c r="X11" s="50">
        <v>26300</v>
      </c>
      <c r="Y11" s="50">
        <v>0</v>
      </c>
      <c r="Z11" s="50">
        <f t="shared" si="2"/>
        <v>92.999999999999972</v>
      </c>
      <c r="AA11" s="53"/>
      <c r="AB11" s="50">
        <f t="shared" si="3"/>
        <v>8640</v>
      </c>
      <c r="AC11" s="51"/>
      <c r="AD11" s="51"/>
      <c r="AE11" s="51"/>
      <c r="AF11" s="51"/>
      <c r="AG11" s="51"/>
      <c r="AH11" s="51"/>
      <c r="AI11" s="51"/>
      <c r="AJ11" s="50">
        <f>VLOOKUP(R11,$AE$39:$AH$59,4)</f>
        <v>36.000000000000007</v>
      </c>
      <c r="AK11" s="50">
        <v>1</v>
      </c>
      <c r="AL11" s="50">
        <v>1</v>
      </c>
      <c r="AM11" s="50">
        <v>1</v>
      </c>
      <c r="AN11" s="50">
        <v>1</v>
      </c>
      <c r="AO11" s="50">
        <v>0</v>
      </c>
    </row>
    <row r="12" spans="1:41" x14ac:dyDescent="0.25">
      <c r="A12" s="33" t="s">
        <v>74</v>
      </c>
      <c r="B12" s="46">
        <v>5.5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/>
      <c r="J12" s="47">
        <v>7</v>
      </c>
      <c r="K12" s="47">
        <v>-34</v>
      </c>
      <c r="L12" s="33" t="s">
        <v>107</v>
      </c>
      <c r="M12" s="49" t="s">
        <v>64</v>
      </c>
      <c r="N12" s="50">
        <v>9</v>
      </c>
      <c r="O12" s="51">
        <v>266.5</v>
      </c>
      <c r="P12" s="51">
        <v>7.38</v>
      </c>
      <c r="Q12" s="50"/>
      <c r="R12" s="50"/>
      <c r="S12" s="50"/>
      <c r="T12" s="50"/>
      <c r="U12" s="52">
        <v>1.7999999999999999E-2</v>
      </c>
      <c r="V12" s="52">
        <v>0</v>
      </c>
      <c r="W12" s="50"/>
      <c r="X12" s="50"/>
      <c r="Y12" s="50"/>
      <c r="Z12" s="50"/>
      <c r="AA12" s="53">
        <v>1</v>
      </c>
      <c r="AB12" s="50"/>
      <c r="AC12" s="51">
        <v>464700</v>
      </c>
      <c r="AD12" s="51">
        <v>25000</v>
      </c>
      <c r="AE12" s="51">
        <v>0.46</v>
      </c>
      <c r="AF12" s="51">
        <v>0</v>
      </c>
      <c r="AG12" s="51">
        <v>0</v>
      </c>
      <c r="AH12" s="51">
        <v>0</v>
      </c>
      <c r="AI12" s="51">
        <v>0</v>
      </c>
      <c r="AJ12" s="50"/>
      <c r="AK12" s="50">
        <v>1</v>
      </c>
      <c r="AL12" s="50">
        <v>1</v>
      </c>
      <c r="AM12" s="50">
        <v>1</v>
      </c>
      <c r="AN12" s="50">
        <v>1</v>
      </c>
      <c r="AO12" s="50">
        <v>0</v>
      </c>
    </row>
    <row r="13" spans="1:4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J13" s="47"/>
      <c r="K13" s="47"/>
      <c r="M13" s="49"/>
      <c r="N13" s="50"/>
      <c r="O13" s="51"/>
      <c r="P13" s="51"/>
      <c r="Q13" s="50"/>
      <c r="R13" s="50"/>
      <c r="S13" s="50"/>
      <c r="T13" s="50"/>
      <c r="U13" s="52"/>
      <c r="V13" s="52"/>
      <c r="W13" s="50"/>
      <c r="X13" s="50"/>
      <c r="Y13" s="50"/>
      <c r="Z13" s="50"/>
      <c r="AA13" s="53"/>
      <c r="AB13" s="50"/>
      <c r="AC13" s="51"/>
      <c r="AD13" s="51"/>
      <c r="AE13" s="51"/>
      <c r="AF13" s="51"/>
      <c r="AG13" s="51"/>
      <c r="AH13" s="51"/>
      <c r="AI13" s="51"/>
      <c r="AJ13" s="50"/>
      <c r="AK13" s="50"/>
      <c r="AL13" s="50"/>
      <c r="AM13" s="50"/>
      <c r="AN13" s="50"/>
      <c r="AO13" s="50"/>
    </row>
    <row r="14" spans="1:4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J14" s="47"/>
      <c r="K14" s="47"/>
      <c r="M14" s="49"/>
      <c r="N14" s="50"/>
      <c r="O14" s="51"/>
      <c r="P14" s="51"/>
      <c r="Q14" s="50"/>
      <c r="R14" s="50"/>
      <c r="S14" s="50"/>
      <c r="T14" s="50"/>
      <c r="U14" s="52"/>
      <c r="V14" s="52"/>
      <c r="W14" s="50"/>
      <c r="X14" s="50"/>
      <c r="Y14" s="50"/>
      <c r="Z14" s="50"/>
      <c r="AA14" s="53"/>
      <c r="AB14" s="50"/>
      <c r="AC14" s="51"/>
      <c r="AD14" s="51"/>
      <c r="AE14" s="51"/>
      <c r="AF14" s="51"/>
      <c r="AG14" s="51"/>
      <c r="AH14" s="51"/>
      <c r="AI14" s="51"/>
      <c r="AJ14" s="50"/>
      <c r="AK14" s="50"/>
      <c r="AL14" s="50"/>
      <c r="AM14" s="50"/>
      <c r="AN14" s="50"/>
      <c r="AO14" s="50"/>
    </row>
    <row r="15" spans="1:41" x14ac:dyDescent="0.25">
      <c r="A15" s="33" t="s">
        <v>44</v>
      </c>
      <c r="B15" s="61">
        <v>207000000</v>
      </c>
      <c r="C15" s="45" t="s">
        <v>47</v>
      </c>
      <c r="J15" s="47"/>
      <c r="K15" s="47"/>
      <c r="M15" s="49"/>
      <c r="N15" s="50"/>
      <c r="O15" s="51"/>
      <c r="P15" s="51"/>
      <c r="Q15" s="50"/>
      <c r="R15" s="50"/>
      <c r="S15" s="50"/>
      <c r="T15" s="50"/>
      <c r="U15" s="52"/>
      <c r="V15" s="52"/>
      <c r="W15" s="50"/>
      <c r="X15" s="50"/>
      <c r="Y15" s="50"/>
      <c r="Z15" s="50"/>
      <c r="AA15" s="53"/>
      <c r="AB15" s="50"/>
      <c r="AC15" s="51"/>
      <c r="AD15" s="51"/>
      <c r="AE15" s="51"/>
      <c r="AF15" s="51"/>
      <c r="AG15" s="51"/>
      <c r="AH15" s="51"/>
      <c r="AI15" s="51"/>
      <c r="AJ15" s="50"/>
      <c r="AK15" s="50"/>
      <c r="AL15" s="50"/>
      <c r="AM15" s="50"/>
      <c r="AN15" s="50"/>
      <c r="AO15" s="50"/>
    </row>
    <row r="16" spans="1:4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/>
      <c r="J16" s="47"/>
      <c r="K16" s="47"/>
      <c r="M16" s="49"/>
      <c r="N16" s="50"/>
      <c r="O16" s="51"/>
      <c r="P16" s="51"/>
      <c r="Q16" s="50"/>
      <c r="R16" s="50"/>
      <c r="S16" s="50"/>
      <c r="T16" s="50"/>
      <c r="U16" s="52"/>
      <c r="V16" s="52"/>
      <c r="W16" s="50"/>
      <c r="X16" s="50"/>
      <c r="Y16" s="50"/>
      <c r="Z16" s="50"/>
      <c r="AA16" s="53"/>
      <c r="AB16" s="50"/>
      <c r="AC16" s="51"/>
      <c r="AD16" s="51"/>
      <c r="AE16" s="51"/>
      <c r="AF16" s="51"/>
      <c r="AG16" s="51"/>
      <c r="AH16" s="51"/>
      <c r="AI16" s="51"/>
      <c r="AJ16" s="50"/>
      <c r="AK16" s="50"/>
      <c r="AL16" s="50"/>
      <c r="AM16" s="50"/>
      <c r="AN16" s="50"/>
      <c r="AO16" s="50"/>
    </row>
    <row r="17" spans="1:41" s="56" customFormat="1" x14ac:dyDescent="0.25">
      <c r="A17" s="33" t="s">
        <v>98</v>
      </c>
      <c r="B17" s="57">
        <v>0.53</v>
      </c>
      <c r="C17" s="45"/>
      <c r="D17" s="38"/>
      <c r="E17" s="38"/>
      <c r="J17" s="47"/>
      <c r="K17" s="47"/>
      <c r="L17" s="33"/>
      <c r="M17" s="49"/>
      <c r="N17" s="50"/>
      <c r="O17" s="51"/>
      <c r="P17" s="51"/>
      <c r="Q17" s="50"/>
      <c r="R17" s="50"/>
      <c r="S17" s="50"/>
      <c r="T17" s="50"/>
      <c r="U17" s="52"/>
      <c r="V17" s="52"/>
      <c r="W17" s="50"/>
      <c r="X17" s="50"/>
      <c r="Y17" s="50"/>
      <c r="Z17" s="50"/>
      <c r="AA17" s="53"/>
      <c r="AB17" s="50"/>
      <c r="AC17" s="51"/>
      <c r="AD17" s="51"/>
      <c r="AE17" s="51"/>
      <c r="AF17" s="51"/>
      <c r="AG17" s="51"/>
      <c r="AH17" s="51"/>
      <c r="AI17" s="51"/>
      <c r="AJ17" s="50"/>
      <c r="AK17" s="50"/>
      <c r="AL17" s="50"/>
      <c r="AM17" s="50"/>
      <c r="AN17" s="50"/>
      <c r="AO17" s="50"/>
    </row>
    <row r="18" spans="1:41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L18" s="48"/>
      <c r="M18" s="49" t="s">
        <v>94</v>
      </c>
      <c r="N18" s="47"/>
      <c r="O18" s="63"/>
      <c r="P18" s="47"/>
      <c r="Q18" s="47"/>
      <c r="R18" s="64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</row>
    <row r="19" spans="1:41" x14ac:dyDescent="0.25">
      <c r="A19" s="38" t="s">
        <v>38</v>
      </c>
      <c r="B19" s="38" t="s">
        <v>30</v>
      </c>
      <c r="C19" s="38" t="s">
        <v>59</v>
      </c>
      <c r="D19" s="43"/>
      <c r="E19" s="35"/>
      <c r="L19" s="48"/>
      <c r="M19" s="49" t="s">
        <v>94</v>
      </c>
      <c r="N19" s="47"/>
      <c r="O19" s="50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</row>
    <row r="20" spans="1:41" x14ac:dyDescent="0.25">
      <c r="A20" s="66">
        <v>1</v>
      </c>
      <c r="B20" s="66">
        <v>0</v>
      </c>
      <c r="C20" s="67">
        <v>0.09</v>
      </c>
      <c r="D20" s="43"/>
      <c r="L20" s="48"/>
      <c r="M20" s="49" t="s">
        <v>94</v>
      </c>
      <c r="N20" s="47"/>
      <c r="O20" s="50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</row>
    <row r="21" spans="1:41" x14ac:dyDescent="0.25">
      <c r="A21" s="66"/>
      <c r="B21" s="66"/>
      <c r="C21" s="67"/>
      <c r="D21" s="43"/>
      <c r="L21" s="48"/>
      <c r="M21" s="49" t="s">
        <v>94</v>
      </c>
      <c r="N21" s="47"/>
      <c r="O21" s="50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</row>
    <row r="22" spans="1:41" x14ac:dyDescent="0.25">
      <c r="A22" s="66"/>
      <c r="B22" s="66"/>
      <c r="C22" s="67"/>
      <c r="D22" s="35"/>
      <c r="L22" s="48"/>
      <c r="M22" s="49" t="s">
        <v>94</v>
      </c>
      <c r="N22" s="47"/>
      <c r="O22" s="50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</row>
    <row r="23" spans="1:41" x14ac:dyDescent="0.25">
      <c r="A23" s="66"/>
      <c r="B23" s="66"/>
      <c r="C23" s="67"/>
      <c r="D23" s="35"/>
      <c r="L23" s="48"/>
      <c r="M23" s="49" t="s">
        <v>94</v>
      </c>
      <c r="N23" s="47"/>
      <c r="O23" s="50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</row>
    <row r="24" spans="1:41" x14ac:dyDescent="0.25">
      <c r="A24" s="66"/>
      <c r="B24" s="66"/>
      <c r="C24" s="67"/>
      <c r="D24" s="35"/>
      <c r="L24" s="48"/>
      <c r="M24" s="49" t="s">
        <v>94</v>
      </c>
      <c r="N24" s="47"/>
      <c r="O24" s="50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</row>
    <row r="25" spans="1:41" x14ac:dyDescent="0.25">
      <c r="A25" s="66"/>
      <c r="B25" s="66"/>
      <c r="C25" s="67"/>
      <c r="D25" s="35"/>
      <c r="L25" s="48"/>
      <c r="M25" s="49" t="s">
        <v>94</v>
      </c>
      <c r="N25" s="47"/>
      <c r="O25" s="50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</row>
    <row r="26" spans="1:41" x14ac:dyDescent="0.25">
      <c r="A26" s="66"/>
      <c r="B26" s="66"/>
      <c r="C26" s="67"/>
      <c r="D26" s="35"/>
      <c r="L26" s="48"/>
      <c r="M26" s="49" t="s">
        <v>94</v>
      </c>
      <c r="N26" s="47"/>
      <c r="O26" s="50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</row>
    <row r="27" spans="1:41" x14ac:dyDescent="0.25">
      <c r="A27" s="66"/>
      <c r="B27" s="66"/>
      <c r="C27" s="67"/>
      <c r="D27" s="35"/>
      <c r="L27" s="48"/>
      <c r="M27" s="49" t="s">
        <v>94</v>
      </c>
      <c r="N27" s="47"/>
      <c r="O27" s="50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</row>
    <row r="28" spans="1:41" x14ac:dyDescent="0.25">
      <c r="A28" s="66"/>
      <c r="B28" s="66"/>
      <c r="C28" s="67"/>
      <c r="D28" s="35"/>
      <c r="L28" s="48"/>
      <c r="M28" s="49" t="s">
        <v>94</v>
      </c>
      <c r="N28" s="47"/>
      <c r="O28" s="50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</row>
    <row r="29" spans="1:41" x14ac:dyDescent="0.25">
      <c r="A29" s="66"/>
      <c r="B29" s="66"/>
      <c r="C29" s="67"/>
      <c r="D29" s="35"/>
      <c r="L29" s="48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</row>
    <row r="30" spans="1:41" x14ac:dyDescent="0.25">
      <c r="A30" s="66"/>
      <c r="B30" s="66"/>
      <c r="C30" s="67"/>
      <c r="D30" s="35"/>
      <c r="L30" s="48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</row>
    <row r="31" spans="1:41" x14ac:dyDescent="0.25">
      <c r="A31" s="66"/>
      <c r="B31" s="66"/>
      <c r="C31" s="67"/>
      <c r="D31" s="35"/>
      <c r="L31" s="48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</row>
    <row r="32" spans="1:41" x14ac:dyDescent="0.25">
      <c r="A32" s="66"/>
      <c r="B32" s="66"/>
      <c r="C32" s="67"/>
      <c r="D32" s="35"/>
      <c r="L32" s="48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</row>
    <row r="33" spans="1:40" x14ac:dyDescent="0.25">
      <c r="A33" s="66"/>
      <c r="B33" s="66"/>
      <c r="C33" s="67"/>
      <c r="D33" s="35"/>
      <c r="L33" s="48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</row>
    <row r="34" spans="1:40" x14ac:dyDescent="0.25">
      <c r="L34" s="48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</row>
    <row r="35" spans="1:40" x14ac:dyDescent="0.25">
      <c r="L35" s="48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</row>
    <row r="36" spans="1:40" x14ac:dyDescent="0.25">
      <c r="L36" s="48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</row>
    <row r="37" spans="1:40" x14ac:dyDescent="0.25">
      <c r="L37" s="48"/>
      <c r="AE37" s="47"/>
      <c r="AF37" s="47" t="s">
        <v>104</v>
      </c>
      <c r="AG37" s="47" t="s">
        <v>105</v>
      </c>
      <c r="AH37" s="47" t="s">
        <v>66</v>
      </c>
    </row>
    <row r="38" spans="1:40" x14ac:dyDescent="0.25">
      <c r="L38" s="48"/>
      <c r="AE38" s="33" t="s">
        <v>99</v>
      </c>
      <c r="AF38" s="33" t="s">
        <v>100</v>
      </c>
      <c r="AG38" s="33" t="s">
        <v>101</v>
      </c>
    </row>
    <row r="39" spans="1:40" x14ac:dyDescent="0.25">
      <c r="L39" s="48"/>
      <c r="AE39" s="33">
        <v>15</v>
      </c>
      <c r="AF39" s="33">
        <v>48</v>
      </c>
      <c r="AG39" s="33">
        <v>1900</v>
      </c>
      <c r="AH39" s="33">
        <v>8</v>
      </c>
    </row>
    <row r="40" spans="1:40" x14ac:dyDescent="0.25">
      <c r="L40" s="48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0" x14ac:dyDescent="0.25">
      <c r="L41" s="48"/>
      <c r="AE41" s="33">
        <v>17</v>
      </c>
      <c r="AF41" s="33">
        <f t="shared" ref="AF41:AF44" si="4">AF40+3.8</f>
        <v>55.599999999999994</v>
      </c>
      <c r="AG41" s="33">
        <f t="shared" ref="AG41:AG43" si="5">AG40+200</f>
        <v>2300</v>
      </c>
      <c r="AH41" s="33">
        <f t="shared" ref="AH41:AH44" si="6">AH40+0.8</f>
        <v>9.6000000000000014</v>
      </c>
    </row>
    <row r="42" spans="1:40" x14ac:dyDescent="0.25">
      <c r="L42" s="48"/>
      <c r="AE42" s="33">
        <v>18</v>
      </c>
      <c r="AF42" s="33">
        <f t="shared" si="4"/>
        <v>59.399999999999991</v>
      </c>
      <c r="AG42" s="33">
        <f t="shared" si="5"/>
        <v>2500</v>
      </c>
      <c r="AH42" s="33">
        <f t="shared" si="6"/>
        <v>10.400000000000002</v>
      </c>
    </row>
    <row r="43" spans="1:40" x14ac:dyDescent="0.25">
      <c r="L43" s="48"/>
      <c r="AE43" s="33">
        <v>19</v>
      </c>
      <c r="AF43" s="33">
        <f t="shared" si="4"/>
        <v>63.199999999999989</v>
      </c>
      <c r="AG43" s="33">
        <f t="shared" si="5"/>
        <v>2700</v>
      </c>
      <c r="AH43" s="33">
        <f t="shared" si="6"/>
        <v>11.200000000000003</v>
      </c>
    </row>
    <row r="44" spans="1:40" x14ac:dyDescent="0.25">
      <c r="L44" s="48"/>
      <c r="AE44" s="33">
        <v>20</v>
      </c>
      <c r="AF44" s="33">
        <f t="shared" si="4"/>
        <v>66.999999999999986</v>
      </c>
      <c r="AG44" s="33">
        <f>AG43+200</f>
        <v>2900</v>
      </c>
      <c r="AH44" s="33">
        <f t="shared" si="6"/>
        <v>12.000000000000004</v>
      </c>
    </row>
    <row r="45" spans="1:40" x14ac:dyDescent="0.25">
      <c r="L45" s="48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0" x14ac:dyDescent="0.25">
      <c r="L46" s="48"/>
      <c r="AE46" s="33">
        <v>22</v>
      </c>
      <c r="AF46" s="33">
        <f t="shared" ref="AF46:AF49" si="7">AF45+2.8</f>
        <v>72.59999999999998</v>
      </c>
      <c r="AG46" s="33">
        <f t="shared" ref="AG46:AG48" si="8">AG45+380</f>
        <v>3660</v>
      </c>
      <c r="AH46" s="33">
        <f t="shared" ref="AH46:AH49" si="9">AH45+1.6</f>
        <v>15.200000000000003</v>
      </c>
    </row>
    <row r="47" spans="1:40" x14ac:dyDescent="0.25">
      <c r="L47" s="48"/>
      <c r="AE47" s="33">
        <v>23</v>
      </c>
      <c r="AF47" s="33">
        <f t="shared" si="7"/>
        <v>75.399999999999977</v>
      </c>
      <c r="AG47" s="33">
        <f t="shared" si="8"/>
        <v>4040</v>
      </c>
      <c r="AH47" s="33">
        <f t="shared" si="9"/>
        <v>16.800000000000004</v>
      </c>
    </row>
    <row r="48" spans="1:40" x14ac:dyDescent="0.25">
      <c r="L48" s="48"/>
      <c r="AE48" s="33">
        <v>24</v>
      </c>
      <c r="AF48" s="33">
        <f t="shared" si="7"/>
        <v>78.199999999999974</v>
      </c>
      <c r="AG48" s="33">
        <f t="shared" si="8"/>
        <v>4420</v>
      </c>
      <c r="AH48" s="33">
        <f t="shared" si="9"/>
        <v>18.400000000000006</v>
      </c>
    </row>
    <row r="49" spans="12:34" x14ac:dyDescent="0.25">
      <c r="L49" s="48"/>
      <c r="AE49" s="33">
        <v>25</v>
      </c>
      <c r="AF49" s="33">
        <f t="shared" si="7"/>
        <v>80.999999999999972</v>
      </c>
      <c r="AG49" s="33">
        <v>4800</v>
      </c>
      <c r="AH49" s="33">
        <f t="shared" si="9"/>
        <v>20.000000000000007</v>
      </c>
    </row>
    <row r="50" spans="12:34" x14ac:dyDescent="0.25">
      <c r="L50" s="48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8"/>
      <c r="AE51" s="33">
        <v>27</v>
      </c>
      <c r="AF51" s="33">
        <f t="shared" ref="AF51:AF54" si="10">AF50+3</f>
        <v>86.999999999999972</v>
      </c>
      <c r="AG51" s="33">
        <f t="shared" ref="AG51:AG54" si="11">AG50+960</f>
        <v>6720</v>
      </c>
      <c r="AH51" s="33">
        <f t="shared" ref="AH51:AH54" si="12">AH50+4</f>
        <v>28.000000000000007</v>
      </c>
    </row>
    <row r="52" spans="12:34" x14ac:dyDescent="0.25">
      <c r="L52" s="48"/>
      <c r="AE52" s="33">
        <v>28</v>
      </c>
      <c r="AF52" s="33">
        <f t="shared" si="10"/>
        <v>89.999999999999972</v>
      </c>
      <c r="AG52" s="33">
        <f t="shared" si="11"/>
        <v>7680</v>
      </c>
      <c r="AH52" s="33">
        <f t="shared" si="12"/>
        <v>32.000000000000007</v>
      </c>
    </row>
    <row r="53" spans="12:34" x14ac:dyDescent="0.25">
      <c r="L53" s="48"/>
      <c r="AE53" s="33">
        <v>29</v>
      </c>
      <c r="AF53" s="33">
        <f t="shared" si="10"/>
        <v>92.999999999999972</v>
      </c>
      <c r="AG53" s="33">
        <f t="shared" si="11"/>
        <v>8640</v>
      </c>
      <c r="AH53" s="33">
        <f t="shared" si="12"/>
        <v>36.000000000000007</v>
      </c>
    </row>
    <row r="54" spans="12:34" x14ac:dyDescent="0.25">
      <c r="L54" s="48"/>
      <c r="AE54" s="33">
        <v>30</v>
      </c>
      <c r="AF54" s="33">
        <f t="shared" si="10"/>
        <v>95.999999999999972</v>
      </c>
      <c r="AG54" s="33">
        <f t="shared" si="11"/>
        <v>9600</v>
      </c>
      <c r="AH54" s="33">
        <f t="shared" si="12"/>
        <v>40.000000000000007</v>
      </c>
    </row>
    <row r="55" spans="12:34" x14ac:dyDescent="0.25">
      <c r="L55" s="48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8"/>
      <c r="AE56" s="33">
        <v>32</v>
      </c>
      <c r="AF56" s="33">
        <f t="shared" ref="AF56:AF59" si="13">AF55+3.8</f>
        <v>103.59999999999997</v>
      </c>
      <c r="AG56" s="33">
        <f t="shared" ref="AG56:AG59" si="14">AG55+480</f>
        <v>10560</v>
      </c>
      <c r="AH56" s="33">
        <f t="shared" ref="AH56:AH59" si="15">AH55+2</f>
        <v>44.000000000000007</v>
      </c>
    </row>
    <row r="57" spans="12:34" x14ac:dyDescent="0.25">
      <c r="L57" s="48"/>
      <c r="AE57" s="33">
        <v>33</v>
      </c>
      <c r="AF57" s="33">
        <f t="shared" si="13"/>
        <v>107.39999999999996</v>
      </c>
      <c r="AG57" s="33">
        <f t="shared" si="14"/>
        <v>11040</v>
      </c>
      <c r="AH57" s="33">
        <f t="shared" si="15"/>
        <v>46.000000000000007</v>
      </c>
    </row>
    <row r="58" spans="12:34" x14ac:dyDescent="0.25">
      <c r="L58" s="48"/>
      <c r="AE58" s="33">
        <v>34</v>
      </c>
      <c r="AF58" s="33">
        <f t="shared" si="13"/>
        <v>111.19999999999996</v>
      </c>
      <c r="AG58" s="33">
        <f t="shared" si="14"/>
        <v>11520</v>
      </c>
      <c r="AH58" s="33">
        <f t="shared" si="15"/>
        <v>48.000000000000007</v>
      </c>
    </row>
    <row r="59" spans="12:34" x14ac:dyDescent="0.25">
      <c r="L59" s="48"/>
      <c r="AE59" s="33">
        <v>35</v>
      </c>
      <c r="AF59" s="33">
        <f t="shared" si="13"/>
        <v>114.99999999999996</v>
      </c>
      <c r="AG59" s="33">
        <f t="shared" si="14"/>
        <v>12000</v>
      </c>
      <c r="AH59" s="33">
        <f t="shared" si="15"/>
        <v>50.000000000000007</v>
      </c>
    </row>
    <row r="60" spans="12:34" x14ac:dyDescent="0.25">
      <c r="L60" s="48"/>
      <c r="AE60" s="33">
        <v>36</v>
      </c>
    </row>
    <row r="61" spans="12:34" x14ac:dyDescent="0.25">
      <c r="L61" s="48"/>
      <c r="AE61" s="33">
        <v>37</v>
      </c>
    </row>
    <row r="62" spans="12:34" x14ac:dyDescent="0.25">
      <c r="L62" s="48"/>
    </row>
    <row r="63" spans="12:34" x14ac:dyDescent="0.25">
      <c r="L63" s="48"/>
    </row>
    <row r="64" spans="12:34" x14ac:dyDescent="0.25">
      <c r="L64" s="48"/>
    </row>
    <row r="65" spans="12:12" x14ac:dyDescent="0.25">
      <c r="L65" s="48"/>
    </row>
    <row r="66" spans="12:12" x14ac:dyDescent="0.25">
      <c r="L66" s="48"/>
    </row>
    <row r="67" spans="12:12" x14ac:dyDescent="0.25">
      <c r="L67" s="48"/>
    </row>
    <row r="68" spans="12:12" x14ac:dyDescent="0.25">
      <c r="L68" s="48"/>
    </row>
    <row r="69" spans="12:12" x14ac:dyDescent="0.25">
      <c r="L69" s="48"/>
    </row>
    <row r="70" spans="12:12" x14ac:dyDescent="0.25">
      <c r="L70" s="48"/>
    </row>
    <row r="71" spans="12:12" x14ac:dyDescent="0.25">
      <c r="L71" s="48"/>
    </row>
    <row r="72" spans="12:12" x14ac:dyDescent="0.25">
      <c r="L72" s="48"/>
    </row>
    <row r="73" spans="12:12" x14ac:dyDescent="0.25">
      <c r="L73" s="48"/>
    </row>
    <row r="74" spans="12:12" x14ac:dyDescent="0.25">
      <c r="L74" s="48"/>
    </row>
    <row r="75" spans="12:12" x14ac:dyDescent="0.25">
      <c r="L75" s="48"/>
    </row>
    <row r="76" spans="12:12" x14ac:dyDescent="0.25">
      <c r="L76" s="48"/>
    </row>
    <row r="77" spans="12:12" x14ac:dyDescent="0.25">
      <c r="L77" s="48"/>
    </row>
    <row r="78" spans="12:12" x14ac:dyDescent="0.25">
      <c r="L78" s="48"/>
    </row>
    <row r="79" spans="12:12" x14ac:dyDescent="0.25">
      <c r="L79" s="48"/>
    </row>
    <row r="80" spans="12:12" x14ac:dyDescent="0.25">
      <c r="L80" s="48"/>
    </row>
    <row r="81" spans="12:12" x14ac:dyDescent="0.25">
      <c r="L81" s="48"/>
    </row>
    <row r="82" spans="12:12" x14ac:dyDescent="0.25">
      <c r="L82" s="48"/>
    </row>
    <row r="83" spans="12:12" x14ac:dyDescent="0.25">
      <c r="L83" s="48"/>
    </row>
    <row r="84" spans="12:12" x14ac:dyDescent="0.25">
      <c r="L84" s="48"/>
    </row>
    <row r="85" spans="12:12" x14ac:dyDescent="0.25">
      <c r="L85" s="48"/>
    </row>
    <row r="86" spans="12:12" x14ac:dyDescent="0.25">
      <c r="L86" s="48"/>
    </row>
    <row r="87" spans="12:12" x14ac:dyDescent="0.25">
      <c r="L87" s="48"/>
    </row>
    <row r="88" spans="12:12" x14ac:dyDescent="0.25">
      <c r="L88" s="48"/>
    </row>
    <row r="89" spans="12:12" x14ac:dyDescent="0.25">
      <c r="L89" s="48"/>
    </row>
    <row r="90" spans="12:12" x14ac:dyDescent="0.25">
      <c r="L90" s="48"/>
    </row>
    <row r="91" spans="12:12" x14ac:dyDescent="0.25">
      <c r="L91" s="48"/>
    </row>
    <row r="92" spans="12:12" x14ac:dyDescent="0.25">
      <c r="L92" s="48"/>
    </row>
    <row r="93" spans="12:12" x14ac:dyDescent="0.25">
      <c r="L93" s="48"/>
    </row>
    <row r="94" spans="12:12" x14ac:dyDescent="0.25">
      <c r="L94" s="48"/>
    </row>
    <row r="95" spans="12:12" x14ac:dyDescent="0.25">
      <c r="L95" s="48"/>
    </row>
    <row r="96" spans="12:12" x14ac:dyDescent="0.25">
      <c r="L96" s="48"/>
    </row>
    <row r="97" spans="12:12" x14ac:dyDescent="0.25">
      <c r="L97" s="48"/>
    </row>
    <row r="98" spans="12:12" x14ac:dyDescent="0.25">
      <c r="L98" s="48"/>
    </row>
    <row r="99" spans="12:12" x14ac:dyDescent="0.25">
      <c r="L99" s="48"/>
    </row>
    <row r="100" spans="12:12" x14ac:dyDescent="0.25">
      <c r="L100" s="48"/>
    </row>
    <row r="101" spans="12:12" x14ac:dyDescent="0.25">
      <c r="L101" s="48"/>
    </row>
    <row r="102" spans="12:12" x14ac:dyDescent="0.25">
      <c r="L102" s="48"/>
    </row>
    <row r="103" spans="12:12" x14ac:dyDescent="0.25">
      <c r="L103" s="48"/>
    </row>
    <row r="104" spans="12:12" x14ac:dyDescent="0.25">
      <c r="L104" s="48"/>
    </row>
    <row r="105" spans="12:12" x14ac:dyDescent="0.25">
      <c r="L105" s="48"/>
    </row>
    <row r="106" spans="12:12" x14ac:dyDescent="0.25">
      <c r="L106" s="48"/>
    </row>
    <row r="107" spans="12:12" x14ac:dyDescent="0.25">
      <c r="L107" s="48"/>
    </row>
    <row r="108" spans="12:12" x14ac:dyDescent="0.25">
      <c r="L108" s="48"/>
    </row>
    <row r="109" spans="12:12" x14ac:dyDescent="0.25">
      <c r="L109" s="48"/>
    </row>
    <row r="110" spans="12:12" x14ac:dyDescent="0.25">
      <c r="L110" s="48"/>
    </row>
    <row r="111" spans="12:12" x14ac:dyDescent="0.25">
      <c r="L111" s="48"/>
    </row>
    <row r="112" spans="12:12" x14ac:dyDescent="0.25">
      <c r="L112" s="48"/>
    </row>
    <row r="113" spans="12:12" x14ac:dyDescent="0.25">
      <c r="L113" s="48"/>
    </row>
    <row r="114" spans="12:12" x14ac:dyDescent="0.25">
      <c r="L114" s="48"/>
    </row>
    <row r="115" spans="12:12" x14ac:dyDescent="0.25">
      <c r="L115" s="48"/>
    </row>
    <row r="116" spans="12:12" x14ac:dyDescent="0.25">
      <c r="L116" s="48"/>
    </row>
    <row r="117" spans="12:12" x14ac:dyDescent="0.25">
      <c r="L117" s="48"/>
    </row>
    <row r="118" spans="12:12" x14ac:dyDescent="0.25">
      <c r="L118" s="48"/>
    </row>
    <row r="119" spans="12:12" x14ac:dyDescent="0.25">
      <c r="L119" s="48"/>
    </row>
    <row r="120" spans="12:12" x14ac:dyDescent="0.25">
      <c r="L120" s="48"/>
    </row>
    <row r="121" spans="12:12" x14ac:dyDescent="0.25">
      <c r="L121" s="48"/>
    </row>
    <row r="122" spans="12:12" x14ac:dyDescent="0.25">
      <c r="L122" s="48"/>
    </row>
    <row r="123" spans="12:12" x14ac:dyDescent="0.25">
      <c r="L123" s="48"/>
    </row>
    <row r="124" spans="12:12" x14ac:dyDescent="0.25">
      <c r="L124" s="48"/>
    </row>
    <row r="125" spans="12:12" x14ac:dyDescent="0.25">
      <c r="L125" s="48"/>
    </row>
    <row r="126" spans="12:12" x14ac:dyDescent="0.25">
      <c r="L126" s="48"/>
    </row>
    <row r="127" spans="12:12" x14ac:dyDescent="0.25">
      <c r="L127" s="48"/>
    </row>
    <row r="128" spans="12:12" x14ac:dyDescent="0.25">
      <c r="L128" s="48"/>
    </row>
    <row r="129" spans="12:12" x14ac:dyDescent="0.25">
      <c r="L129" s="48"/>
    </row>
    <row r="130" spans="12:12" x14ac:dyDescent="0.25">
      <c r="L130" s="48"/>
    </row>
    <row r="131" spans="12:12" x14ac:dyDescent="0.25">
      <c r="L131" s="48"/>
    </row>
    <row r="132" spans="12:12" x14ac:dyDescent="0.25">
      <c r="L132" s="48"/>
    </row>
    <row r="133" spans="12:12" x14ac:dyDescent="0.25">
      <c r="L133" s="48"/>
    </row>
    <row r="134" spans="12:12" x14ac:dyDescent="0.25">
      <c r="L134" s="48"/>
    </row>
    <row r="135" spans="12:12" x14ac:dyDescent="0.25">
      <c r="L135" s="48"/>
    </row>
    <row r="136" spans="12:12" x14ac:dyDescent="0.25">
      <c r="L136" s="48"/>
    </row>
    <row r="137" spans="12:12" x14ac:dyDescent="0.25">
      <c r="L137" s="48"/>
    </row>
    <row r="138" spans="12:12" x14ac:dyDescent="0.25">
      <c r="L138" s="48"/>
    </row>
    <row r="139" spans="12:12" x14ac:dyDescent="0.25">
      <c r="L139" s="48"/>
    </row>
    <row r="140" spans="12:12" x14ac:dyDescent="0.25">
      <c r="L140" s="48"/>
    </row>
    <row r="141" spans="12:12" x14ac:dyDescent="0.25">
      <c r="L141" s="48"/>
    </row>
    <row r="142" spans="12:12" x14ac:dyDescent="0.25">
      <c r="L142" s="48"/>
    </row>
    <row r="143" spans="12:12" x14ac:dyDescent="0.25">
      <c r="L143" s="48"/>
    </row>
    <row r="144" spans="12:12" x14ac:dyDescent="0.25">
      <c r="L144" s="48"/>
    </row>
    <row r="145" spans="12:12" x14ac:dyDescent="0.25">
      <c r="L145" s="48"/>
    </row>
    <row r="146" spans="12:12" x14ac:dyDescent="0.25">
      <c r="L146" s="48"/>
    </row>
    <row r="147" spans="12:12" x14ac:dyDescent="0.25">
      <c r="L147" s="48"/>
    </row>
    <row r="148" spans="12:12" x14ac:dyDescent="0.25">
      <c r="L148" s="48"/>
    </row>
    <row r="149" spans="12:12" x14ac:dyDescent="0.25">
      <c r="L149" s="48"/>
    </row>
    <row r="150" spans="12:12" x14ac:dyDescent="0.25">
      <c r="L150" s="48"/>
    </row>
    <row r="151" spans="12:12" x14ac:dyDescent="0.25">
      <c r="L151" s="48"/>
    </row>
    <row r="152" spans="12:12" x14ac:dyDescent="0.25">
      <c r="L152" s="48"/>
    </row>
    <row r="153" spans="12:12" x14ac:dyDescent="0.25">
      <c r="L153" s="48"/>
    </row>
    <row r="154" spans="12:12" x14ac:dyDescent="0.25">
      <c r="L154" s="48"/>
    </row>
    <row r="155" spans="12:12" x14ac:dyDescent="0.25">
      <c r="L155" s="48"/>
    </row>
    <row r="156" spans="12:12" x14ac:dyDescent="0.25">
      <c r="L156" s="48"/>
    </row>
    <row r="157" spans="12:12" x14ac:dyDescent="0.25">
      <c r="L157" s="48"/>
    </row>
    <row r="158" spans="12:12" x14ac:dyDescent="0.25">
      <c r="L158" s="48"/>
    </row>
    <row r="159" spans="12:12" x14ac:dyDescent="0.25">
      <c r="L159" s="48"/>
    </row>
    <row r="160" spans="12:12" x14ac:dyDescent="0.25">
      <c r="L160" s="48"/>
    </row>
    <row r="161" spans="12:12" x14ac:dyDescent="0.25">
      <c r="L161" s="48"/>
    </row>
    <row r="162" spans="12:12" x14ac:dyDescent="0.25">
      <c r="L162" s="48"/>
    </row>
    <row r="163" spans="12:12" x14ac:dyDescent="0.25">
      <c r="L163" s="48"/>
    </row>
    <row r="164" spans="12:12" x14ac:dyDescent="0.25">
      <c r="L164" s="48"/>
    </row>
    <row r="165" spans="12:12" x14ac:dyDescent="0.25">
      <c r="L165" s="48"/>
    </row>
    <row r="166" spans="12:12" x14ac:dyDescent="0.25">
      <c r="L166" s="48"/>
    </row>
    <row r="167" spans="12:12" x14ac:dyDescent="0.25">
      <c r="L167" s="48"/>
    </row>
    <row r="168" spans="12:12" x14ac:dyDescent="0.25">
      <c r="L168" s="48"/>
    </row>
    <row r="169" spans="12:12" x14ac:dyDescent="0.25">
      <c r="L169" s="48"/>
    </row>
    <row r="170" spans="12:12" x14ac:dyDescent="0.25">
      <c r="L170" s="48"/>
    </row>
    <row r="171" spans="12:12" x14ac:dyDescent="0.25">
      <c r="L171" s="48"/>
    </row>
    <row r="172" spans="12:12" x14ac:dyDescent="0.25">
      <c r="L172" s="48"/>
    </row>
    <row r="173" spans="12:12" x14ac:dyDescent="0.25">
      <c r="L173" s="48"/>
    </row>
    <row r="174" spans="12:12" x14ac:dyDescent="0.25">
      <c r="L174" s="48"/>
    </row>
    <row r="175" spans="12:12" x14ac:dyDescent="0.25">
      <c r="L175" s="48"/>
    </row>
    <row r="176" spans="12:12" x14ac:dyDescent="0.25">
      <c r="L176" s="48"/>
    </row>
    <row r="177" spans="12:12" x14ac:dyDescent="0.25">
      <c r="L177" s="48"/>
    </row>
    <row r="178" spans="12:12" x14ac:dyDescent="0.25">
      <c r="L178" s="48"/>
    </row>
    <row r="179" spans="12:12" x14ac:dyDescent="0.25">
      <c r="L179" s="48"/>
    </row>
    <row r="180" spans="12:12" x14ac:dyDescent="0.25">
      <c r="L180" s="48"/>
    </row>
    <row r="181" spans="12:12" x14ac:dyDescent="0.25">
      <c r="L181" s="48"/>
    </row>
    <row r="182" spans="12:12" x14ac:dyDescent="0.25">
      <c r="L182" s="48"/>
    </row>
    <row r="183" spans="12:12" x14ac:dyDescent="0.25">
      <c r="L183" s="48"/>
    </row>
    <row r="184" spans="12:12" x14ac:dyDescent="0.25">
      <c r="L184" s="48"/>
    </row>
    <row r="185" spans="12:12" x14ac:dyDescent="0.25">
      <c r="L185" s="48"/>
    </row>
    <row r="186" spans="12:12" x14ac:dyDescent="0.25">
      <c r="L186" s="48"/>
    </row>
    <row r="187" spans="12:12" x14ac:dyDescent="0.25">
      <c r="L187" s="48"/>
    </row>
    <row r="188" spans="12:12" x14ac:dyDescent="0.25">
      <c r="L188" s="48"/>
    </row>
    <row r="189" spans="12:12" x14ac:dyDescent="0.25">
      <c r="L189" s="48"/>
    </row>
    <row r="190" spans="12:12" x14ac:dyDescent="0.25">
      <c r="L190" s="48"/>
    </row>
    <row r="191" spans="12:12" x14ac:dyDescent="0.25">
      <c r="L191" s="48"/>
    </row>
    <row r="192" spans="12:12" x14ac:dyDescent="0.25">
      <c r="L192" s="48"/>
    </row>
    <row r="193" spans="12:12" x14ac:dyDescent="0.25">
      <c r="L193" s="48"/>
    </row>
    <row r="194" spans="12:12" x14ac:dyDescent="0.25">
      <c r="L194" s="48"/>
    </row>
    <row r="195" spans="12:12" x14ac:dyDescent="0.25">
      <c r="L195" s="48"/>
    </row>
    <row r="196" spans="12:12" x14ac:dyDescent="0.25">
      <c r="L196" s="48"/>
    </row>
    <row r="197" spans="12:12" x14ac:dyDescent="0.25">
      <c r="L197" s="48"/>
    </row>
    <row r="198" spans="12:12" x14ac:dyDescent="0.25">
      <c r="L198" s="48"/>
    </row>
    <row r="199" spans="12:12" x14ac:dyDescent="0.25">
      <c r="L199" s="48"/>
    </row>
    <row r="200" spans="12:12" x14ac:dyDescent="0.25">
      <c r="L200" s="48"/>
    </row>
    <row r="201" spans="12:12" x14ac:dyDescent="0.25">
      <c r="L201" s="48"/>
    </row>
    <row r="202" spans="12:12" x14ac:dyDescent="0.25">
      <c r="L202" s="48"/>
    </row>
    <row r="203" spans="12:12" x14ac:dyDescent="0.25">
      <c r="L203" s="48"/>
    </row>
    <row r="204" spans="12:12" x14ac:dyDescent="0.25">
      <c r="L204" s="48"/>
    </row>
    <row r="205" spans="12:12" x14ac:dyDescent="0.25">
      <c r="L205" s="48"/>
    </row>
    <row r="206" spans="12:12" x14ac:dyDescent="0.25">
      <c r="L206" s="48"/>
    </row>
    <row r="207" spans="12:12" x14ac:dyDescent="0.25">
      <c r="L207" s="48"/>
    </row>
    <row r="208" spans="12:12" x14ac:dyDescent="0.25">
      <c r="L208" s="48"/>
    </row>
    <row r="209" spans="12:12" x14ac:dyDescent="0.25">
      <c r="L209" s="48"/>
    </row>
    <row r="210" spans="12:12" x14ac:dyDescent="0.25">
      <c r="L210" s="48"/>
    </row>
    <row r="211" spans="12:12" x14ac:dyDescent="0.25">
      <c r="L211" s="48"/>
    </row>
    <row r="212" spans="12:12" x14ac:dyDescent="0.25">
      <c r="L212" s="48"/>
    </row>
    <row r="213" spans="12:12" x14ac:dyDescent="0.25">
      <c r="L213" s="48"/>
    </row>
    <row r="214" spans="12:12" x14ac:dyDescent="0.25">
      <c r="L214" s="48"/>
    </row>
    <row r="215" spans="12:12" x14ac:dyDescent="0.25">
      <c r="L215" s="48"/>
    </row>
    <row r="216" spans="12:12" x14ac:dyDescent="0.25">
      <c r="L216" s="48"/>
    </row>
    <row r="217" spans="12:12" x14ac:dyDescent="0.25">
      <c r="L217" s="48"/>
    </row>
    <row r="218" spans="12:12" x14ac:dyDescent="0.25">
      <c r="L218" s="48"/>
    </row>
    <row r="219" spans="12:12" x14ac:dyDescent="0.25">
      <c r="L219" s="48"/>
    </row>
    <row r="220" spans="12:12" x14ac:dyDescent="0.25">
      <c r="L220" s="48"/>
    </row>
    <row r="221" spans="12:12" x14ac:dyDescent="0.25">
      <c r="L221" s="48"/>
    </row>
    <row r="222" spans="12:12" x14ac:dyDescent="0.25">
      <c r="L222" s="48"/>
    </row>
    <row r="223" spans="12:12" x14ac:dyDescent="0.25">
      <c r="L223" s="48"/>
    </row>
    <row r="224" spans="12:12" x14ac:dyDescent="0.25">
      <c r="L224" s="48"/>
    </row>
    <row r="225" spans="12:12" x14ac:dyDescent="0.25">
      <c r="L225" s="48"/>
    </row>
    <row r="226" spans="12:12" x14ac:dyDescent="0.25">
      <c r="L226" s="48"/>
    </row>
    <row r="227" spans="12:12" x14ac:dyDescent="0.25">
      <c r="L227" s="48"/>
    </row>
    <row r="228" spans="12:12" x14ac:dyDescent="0.25">
      <c r="L228" s="48"/>
    </row>
    <row r="229" spans="12:12" x14ac:dyDescent="0.25">
      <c r="L229" s="48"/>
    </row>
    <row r="230" spans="12:12" x14ac:dyDescent="0.25">
      <c r="L230" s="48"/>
    </row>
    <row r="231" spans="12:12" x14ac:dyDescent="0.25">
      <c r="L231" s="48"/>
    </row>
    <row r="232" spans="12:12" x14ac:dyDescent="0.25">
      <c r="L232" s="48"/>
    </row>
    <row r="233" spans="12:12" x14ac:dyDescent="0.25">
      <c r="L233" s="48"/>
    </row>
    <row r="234" spans="12:12" x14ac:dyDescent="0.25">
      <c r="L234" s="48"/>
    </row>
    <row r="235" spans="12:12" x14ac:dyDescent="0.25">
      <c r="L235" s="48"/>
    </row>
    <row r="236" spans="12:12" x14ac:dyDescent="0.25">
      <c r="L236" s="48"/>
    </row>
    <row r="237" spans="12:12" x14ac:dyDescent="0.25">
      <c r="L237" s="48"/>
    </row>
    <row r="238" spans="12:12" x14ac:dyDescent="0.25">
      <c r="L238" s="48"/>
    </row>
    <row r="239" spans="12:12" x14ac:dyDescent="0.25">
      <c r="L239" s="48"/>
    </row>
    <row r="240" spans="12:12" x14ac:dyDescent="0.25">
      <c r="L240" s="48"/>
    </row>
    <row r="241" spans="12:12" x14ac:dyDescent="0.25">
      <c r="L241" s="48"/>
    </row>
    <row r="242" spans="12:12" x14ac:dyDescent="0.25">
      <c r="L242" s="48"/>
    </row>
    <row r="243" spans="12:12" x14ac:dyDescent="0.25">
      <c r="L243" s="48"/>
    </row>
    <row r="244" spans="12:12" x14ac:dyDescent="0.25">
      <c r="L244" s="48"/>
    </row>
    <row r="245" spans="12:12" x14ac:dyDescent="0.25">
      <c r="L245" s="48"/>
    </row>
    <row r="246" spans="12:12" x14ac:dyDescent="0.25">
      <c r="L246" s="48"/>
    </row>
    <row r="247" spans="12:12" x14ac:dyDescent="0.25">
      <c r="L247" s="48"/>
    </row>
    <row r="248" spans="12:12" x14ac:dyDescent="0.25">
      <c r="L248" s="48"/>
    </row>
    <row r="249" spans="12:12" x14ac:dyDescent="0.25">
      <c r="L249" s="48"/>
    </row>
    <row r="250" spans="12:12" x14ac:dyDescent="0.25">
      <c r="L250" s="48"/>
    </row>
    <row r="251" spans="12:12" x14ac:dyDescent="0.25">
      <c r="L251" s="48"/>
    </row>
    <row r="252" spans="12:12" x14ac:dyDescent="0.25">
      <c r="L252" s="48"/>
    </row>
    <row r="253" spans="12:12" x14ac:dyDescent="0.25">
      <c r="L253" s="48"/>
    </row>
    <row r="254" spans="12:12" x14ac:dyDescent="0.25">
      <c r="L254" s="48"/>
    </row>
    <row r="255" spans="12:12" x14ac:dyDescent="0.25">
      <c r="L255" s="48"/>
    </row>
  </sheetData>
  <mergeCells count="2">
    <mergeCell ref="R3:S3"/>
    <mergeCell ref="U3:V3"/>
  </mergeCells>
  <conditionalFormatting sqref="W12:Y13 S11:T13 Q11:R14 Z12:Z15 N6:N14 AM6:AO14 AJ6:AJ15 Q6:T10 W6:Z11 AB6:AB15">
    <cfRule type="expression" dxfId="807" priority="202">
      <formula>$L6="API sand"</formula>
    </cfRule>
  </conditionalFormatting>
  <conditionalFormatting sqref="R18:S20 R29:S36 S21:S28 AD21:AD28 AB18:AB35 AK6:AL14 N6:N14">
    <cfRule type="expression" dxfId="806" priority="201">
      <formula>$M6="API sand"</formula>
    </cfRule>
  </conditionalFormatting>
  <conditionalFormatting sqref="R18:T20 R29:T36 S21:T28 AD21:AD28 AB18:AB35 AK6:AL14 N6:N14">
    <cfRule type="expression" dxfId="805" priority="200">
      <formula>$M6="API clay"</formula>
    </cfRule>
  </conditionalFormatting>
  <conditionalFormatting sqref="U18:W36 AM6:AN14 N6:P14 AC6:AI13 AA6:AA14 U6:V14">
    <cfRule type="expression" dxfId="804" priority="197">
      <formula>$L6="Stiff clay w/o free water"</formula>
    </cfRule>
    <cfRule type="expression" dxfId="803" priority="199">
      <formula>$L6="API clay"</formula>
    </cfRule>
  </conditionalFormatting>
  <conditionalFormatting sqref="U18:Y36 AM6:AN14 N6:P14 AC6:AI13 AA6:AA14 U6:V14">
    <cfRule type="expression" dxfId="802" priority="198">
      <formula>$L6="Kirsch soft clay"</formula>
    </cfRule>
  </conditionalFormatting>
  <conditionalFormatting sqref="U18:Y36 AM6:AN14 N6:P14 AC6:AI13 AA6:AA14 U6:V14">
    <cfRule type="expression" dxfId="801" priority="196">
      <formula>$L6="Kirsch stiff clay"</formula>
    </cfRule>
  </conditionalFormatting>
  <conditionalFormatting sqref="W12:Y13 S11:T13 Q11:R14 Z12:Z15 N6:N14 AM6:AO14 AJ6:AJ15 Q6:T10 W6:Z11 AB6:AB15">
    <cfRule type="expression" dxfId="800" priority="195">
      <formula>$L6="Kirsch sand"</formula>
    </cfRule>
  </conditionalFormatting>
  <conditionalFormatting sqref="AC18:AI18 AC19:AD19 AI19 AM6:AN14 N6:N14">
    <cfRule type="expression" dxfId="799" priority="194">
      <formula>$L6="Modified Weak rock"</formula>
    </cfRule>
  </conditionalFormatting>
  <conditionalFormatting sqref="U18:V36 AM6:AN14 N6:P14 AC6:AI13 AA6:AA14 U6:V14">
    <cfRule type="expression" dxfId="798" priority="193">
      <formula>$L6="Reese stiff clay"</formula>
    </cfRule>
  </conditionalFormatting>
  <conditionalFormatting sqref="N18:N36 Q18:Q36 AM18:AN36">
    <cfRule type="expression" dxfId="797" priority="192">
      <formula>$L18="API sand"</formula>
    </cfRule>
  </conditionalFormatting>
  <conditionalFormatting sqref="N18:N36 AB36 AJ18:AL36 Z18:Z36">
    <cfRule type="expression" dxfId="796" priority="191">
      <formula>$M18="API sand"</formula>
    </cfRule>
  </conditionalFormatting>
  <conditionalFormatting sqref="Z36:AB36 AK18:AL36 N18:N36 Z18:AA35">
    <cfRule type="expression" dxfId="795" priority="190">
      <formula>$M18="API clay"</formula>
    </cfRule>
  </conditionalFormatting>
  <conditionalFormatting sqref="N18:P18 AM18:AN36 N29:P36 N19:N28 P19:P28">
    <cfRule type="expression" dxfId="794" priority="187">
      <formula>$L18="Stiff clay w/o free water"</formula>
    </cfRule>
    <cfRule type="expression" dxfId="793" priority="189">
      <formula>$L18="API clay"</formula>
    </cfRule>
  </conditionalFormatting>
  <conditionalFormatting sqref="N18:P18 AM18:AN36 N29:P36 N19:N28 P19:P28">
    <cfRule type="expression" dxfId="792" priority="188">
      <formula>$L18="Kirsch soft clay"</formula>
    </cfRule>
  </conditionalFormatting>
  <conditionalFormatting sqref="N18:P18 AM18:AN36 N29:P36 N19:N28 P19:P28">
    <cfRule type="expression" dxfId="791" priority="186">
      <formula>$L18="Kirsch stiff clay"</formula>
    </cfRule>
  </conditionalFormatting>
  <conditionalFormatting sqref="N18:N36 Q18:Q36 X18:Y36 AM18:AN36">
    <cfRule type="expression" dxfId="790" priority="185">
      <formula>$L18="Kirsch sand"</formula>
    </cfRule>
  </conditionalFormatting>
  <conditionalFormatting sqref="N18:N36 AM18:AN36 AC20:AD36 AI20:AI36">
    <cfRule type="expression" dxfId="789" priority="184">
      <formula>$L18="Modified Weak rock"</formula>
    </cfRule>
  </conditionalFormatting>
  <conditionalFormatting sqref="N18:P18 AM18:AN36 N29:P36 N19:N28 P19:P28">
    <cfRule type="expression" dxfId="788" priority="183">
      <formula>$L18="Reese stiff clay"</formula>
    </cfRule>
  </conditionalFormatting>
  <conditionalFormatting sqref="AM6:AN14 N6:P14 AC6:AI13 AA6:AA14 U6:V14">
    <cfRule type="expression" dxfId="787" priority="182">
      <formula>$L6="PISA clay"</formula>
    </cfRule>
  </conditionalFormatting>
  <conditionalFormatting sqref="AM6:AN14 N6:N14">
    <cfRule type="expression" dxfId="786" priority="181">
      <formula>$L6="PISA sand"</formula>
    </cfRule>
  </conditionalFormatting>
  <conditionalFormatting sqref="O19:O21">
    <cfRule type="expression" dxfId="785" priority="180">
      <formula>$L19="API sand"</formula>
    </cfRule>
  </conditionalFormatting>
  <conditionalFormatting sqref="O19:O21">
    <cfRule type="expression" dxfId="784" priority="179">
      <formula>$L19="Kirsch sand"</formula>
    </cfRule>
  </conditionalFormatting>
  <conditionalFormatting sqref="O22:O28">
    <cfRule type="expression" dxfId="783" priority="178">
      <formula>$L22="API sand"</formula>
    </cfRule>
  </conditionalFormatting>
  <conditionalFormatting sqref="O22:O28">
    <cfRule type="expression" dxfId="782" priority="177">
      <formula>$L22="Kirsch sand"</formula>
    </cfRule>
  </conditionalFormatting>
  <conditionalFormatting sqref="AE37:AH37">
    <cfRule type="expression" dxfId="781" priority="203">
      <formula>$L19="Modified Weak rock"</formula>
    </cfRule>
  </conditionalFormatting>
  <conditionalFormatting sqref="S14:T14 W14:Y14">
    <cfRule type="expression" dxfId="780" priority="174">
      <formula>$L14="API sand"</formula>
    </cfRule>
  </conditionalFormatting>
  <conditionalFormatting sqref="S14:T14 W14:Y14">
    <cfRule type="expression" dxfId="779" priority="173">
      <formula>$L14="Kirsch sand"</formula>
    </cfRule>
  </conditionalFormatting>
  <conditionalFormatting sqref="AD14:AI14">
    <cfRule type="expression" dxfId="778" priority="170">
      <formula>$L14="Stiff clay w/o free water"</formula>
    </cfRule>
    <cfRule type="expression" dxfId="777" priority="172">
      <formula>$L14="API clay"</formula>
    </cfRule>
  </conditionalFormatting>
  <conditionalFormatting sqref="AD14:AI14">
    <cfRule type="expression" dxfId="776" priority="171">
      <formula>$L14="Kirsch soft clay"</formula>
    </cfRule>
  </conditionalFormatting>
  <conditionalFormatting sqref="AD14:AI14">
    <cfRule type="expression" dxfId="775" priority="169">
      <formula>$L14="Kirsch stiff clay"</formula>
    </cfRule>
  </conditionalFormatting>
  <conditionalFormatting sqref="AD14:AI14">
    <cfRule type="expression" dxfId="774" priority="168">
      <formula>$L14="Reese stiff clay"</formula>
    </cfRule>
  </conditionalFormatting>
  <conditionalFormatting sqref="AD14:AI14">
    <cfRule type="expression" dxfId="773" priority="167">
      <formula>$L14="PISA clay"</formula>
    </cfRule>
  </conditionalFormatting>
  <conditionalFormatting sqref="AM15:AN15">
    <cfRule type="expression" dxfId="772" priority="166">
      <formula>$L15="API sand"</formula>
    </cfRule>
  </conditionalFormatting>
  <conditionalFormatting sqref="AK15:AL15">
    <cfRule type="expression" dxfId="771" priority="165">
      <formula>$M15="API sand"</formula>
    </cfRule>
  </conditionalFormatting>
  <conditionalFormatting sqref="AK15:AL15">
    <cfRule type="expression" dxfId="770" priority="164">
      <formula>$M15="API clay"</formula>
    </cfRule>
  </conditionalFormatting>
  <conditionalFormatting sqref="AM15:AN15">
    <cfRule type="expression" dxfId="769" priority="161">
      <formula>$L15="Stiff clay w/o free water"</formula>
    </cfRule>
    <cfRule type="expression" dxfId="768" priority="163">
      <formula>$L15="API clay"</formula>
    </cfRule>
  </conditionalFormatting>
  <conditionalFormatting sqref="AM15:AN15">
    <cfRule type="expression" dxfId="767" priority="162">
      <formula>$L15="Kirsch soft clay"</formula>
    </cfRule>
  </conditionalFormatting>
  <conditionalFormatting sqref="AM15:AN15">
    <cfRule type="expression" dxfId="766" priority="160">
      <formula>$L15="Kirsch stiff clay"</formula>
    </cfRule>
  </conditionalFormatting>
  <conditionalFormatting sqref="AM15:AN15">
    <cfRule type="expression" dxfId="765" priority="159">
      <formula>$L15="Kirsch sand"</formula>
    </cfRule>
  </conditionalFormatting>
  <conditionalFormatting sqref="AM15:AN15">
    <cfRule type="expression" dxfId="764" priority="158">
      <formula>$L15="Modified Weak rock"</formula>
    </cfRule>
  </conditionalFormatting>
  <conditionalFormatting sqref="AM15:AN15">
    <cfRule type="expression" dxfId="763" priority="157">
      <formula>$L15="Reese stiff clay"</formula>
    </cfRule>
  </conditionalFormatting>
  <conditionalFormatting sqref="AM15:AN15">
    <cfRule type="expression" dxfId="762" priority="156">
      <formula>$L15="PISA clay"</formula>
    </cfRule>
  </conditionalFormatting>
  <conditionalFormatting sqref="AM15:AN15">
    <cfRule type="expression" dxfId="761" priority="155">
      <formula>$L15="PISA sand"</formula>
    </cfRule>
  </conditionalFormatting>
  <conditionalFormatting sqref="N15 Q15 S15:T15 W15 Y15">
    <cfRule type="expression" dxfId="760" priority="154">
      <formula>$L15="API sand"</formula>
    </cfRule>
  </conditionalFormatting>
  <conditionalFormatting sqref="N15">
    <cfRule type="expression" dxfId="759" priority="153">
      <formula>$M15="API sand"</formula>
    </cfRule>
  </conditionalFormatting>
  <conditionalFormatting sqref="N15">
    <cfRule type="expression" dxfId="758" priority="152">
      <formula>$M15="API clay"</formula>
    </cfRule>
  </conditionalFormatting>
  <conditionalFormatting sqref="N15:P15">
    <cfRule type="expression" dxfId="757" priority="149">
      <formula>$L15="Stiff clay w/o free water"</formula>
    </cfRule>
    <cfRule type="expression" dxfId="756" priority="151">
      <formula>$L15="API clay"</formula>
    </cfRule>
  </conditionalFormatting>
  <conditionalFormatting sqref="N15:P15">
    <cfRule type="expression" dxfId="755" priority="150">
      <formula>$L15="Kirsch soft clay"</formula>
    </cfRule>
  </conditionalFormatting>
  <conditionalFormatting sqref="N15:P15">
    <cfRule type="expression" dxfId="754" priority="148">
      <formula>$L15="Kirsch stiff clay"</formula>
    </cfRule>
  </conditionalFormatting>
  <conditionalFormatting sqref="N15 Q15 S15:T15 W15 Y15">
    <cfRule type="expression" dxfId="753" priority="147">
      <formula>$L15="Kirsch sand"</formula>
    </cfRule>
  </conditionalFormatting>
  <conditionalFormatting sqref="N15">
    <cfRule type="expression" dxfId="752" priority="146">
      <formula>$L15="Modified Weak rock"</formula>
    </cfRule>
  </conditionalFormatting>
  <conditionalFormatting sqref="N15:P15">
    <cfRule type="expression" dxfId="751" priority="145">
      <formula>$L15="Reese stiff clay"</formula>
    </cfRule>
  </conditionalFormatting>
  <conditionalFormatting sqref="N15:P15">
    <cfRule type="expression" dxfId="750" priority="144">
      <formula>$L15="PISA clay"</formula>
    </cfRule>
  </conditionalFormatting>
  <conditionalFormatting sqref="N15">
    <cfRule type="expression" dxfId="749" priority="143">
      <formula>$L15="PISA sand"</formula>
    </cfRule>
  </conditionalFormatting>
  <conditionalFormatting sqref="R15">
    <cfRule type="expression" dxfId="748" priority="142">
      <formula>$L15="API sand"</formula>
    </cfRule>
  </conditionalFormatting>
  <conditionalFormatting sqref="R15">
    <cfRule type="expression" dxfId="747" priority="141">
      <formula>$L15="Kirsch sand"</formula>
    </cfRule>
  </conditionalFormatting>
  <conditionalFormatting sqref="AD15:AI15">
    <cfRule type="expression" dxfId="746" priority="138">
      <formula>$L15="Stiff clay w/o free water"</formula>
    </cfRule>
    <cfRule type="expression" dxfId="745" priority="140">
      <formula>$L15="API clay"</formula>
    </cfRule>
  </conditionalFormatting>
  <conditionalFormatting sqref="AD15:AI15">
    <cfRule type="expression" dxfId="744" priority="139">
      <formula>$L15="Kirsch soft clay"</formula>
    </cfRule>
  </conditionalFormatting>
  <conditionalFormatting sqref="AD15:AI15">
    <cfRule type="expression" dxfId="743" priority="137">
      <formula>$L15="Kirsch stiff clay"</formula>
    </cfRule>
  </conditionalFormatting>
  <conditionalFormatting sqref="AD15:AI15">
    <cfRule type="expression" dxfId="742" priority="136">
      <formula>$L15="Reese stiff clay"</formula>
    </cfRule>
  </conditionalFormatting>
  <conditionalFormatting sqref="AD15:AI15">
    <cfRule type="expression" dxfId="741" priority="135">
      <formula>$L15="PISA clay"</formula>
    </cfRule>
  </conditionalFormatting>
  <conditionalFormatting sqref="AA15">
    <cfRule type="expression" dxfId="740" priority="132">
      <formula>$L15="Stiff clay w/o free water"</formula>
    </cfRule>
    <cfRule type="expression" dxfId="739" priority="134">
      <formula>$L15="API clay"</formula>
    </cfRule>
  </conditionalFormatting>
  <conditionalFormatting sqref="AA15">
    <cfRule type="expression" dxfId="738" priority="133">
      <formula>$L15="Kirsch soft clay"</formula>
    </cfRule>
  </conditionalFormatting>
  <conditionalFormatting sqref="AA15">
    <cfRule type="expression" dxfId="737" priority="131">
      <formula>$L15="Kirsch stiff clay"</formula>
    </cfRule>
  </conditionalFormatting>
  <conditionalFormatting sqref="AA15">
    <cfRule type="expression" dxfId="736" priority="130">
      <formula>$L15="Reese stiff clay"</formula>
    </cfRule>
  </conditionalFormatting>
  <conditionalFormatting sqref="AA15">
    <cfRule type="expression" dxfId="735" priority="129">
      <formula>$L15="PISA clay"</formula>
    </cfRule>
  </conditionalFormatting>
  <conditionalFormatting sqref="AC15">
    <cfRule type="expression" dxfId="734" priority="126">
      <formula>$L15="Stiff clay w/o free water"</formula>
    </cfRule>
    <cfRule type="expression" dxfId="733" priority="128">
      <formula>$L15="API clay"</formula>
    </cfRule>
  </conditionalFormatting>
  <conditionalFormatting sqref="AC15">
    <cfRule type="expression" dxfId="732" priority="127">
      <formula>$L15="Kirsch soft clay"</formula>
    </cfRule>
  </conditionalFormatting>
  <conditionalFormatting sqref="AC15">
    <cfRule type="expression" dxfId="731" priority="125">
      <formula>$L15="Kirsch stiff clay"</formula>
    </cfRule>
  </conditionalFormatting>
  <conditionalFormatting sqref="AC15">
    <cfRule type="expression" dxfId="730" priority="124">
      <formula>$L15="Reese stiff clay"</formula>
    </cfRule>
  </conditionalFormatting>
  <conditionalFormatting sqref="AC15">
    <cfRule type="expression" dxfId="729" priority="123">
      <formula>$L15="PISA clay"</formula>
    </cfRule>
  </conditionalFormatting>
  <conditionalFormatting sqref="X15">
    <cfRule type="expression" dxfId="728" priority="122">
      <formula>$L15="API sand"</formula>
    </cfRule>
  </conditionalFormatting>
  <conditionalFormatting sqref="X15">
    <cfRule type="expression" dxfId="727" priority="121">
      <formula>$L15="Kirsch sand"</formula>
    </cfRule>
  </conditionalFormatting>
  <conditionalFormatting sqref="AM16:AN16">
    <cfRule type="expression" dxfId="726" priority="120">
      <formula>$L16="API sand"</formula>
    </cfRule>
  </conditionalFormatting>
  <conditionalFormatting sqref="AK16:AL16">
    <cfRule type="expression" dxfId="725" priority="119">
      <formula>$M16="API sand"</formula>
    </cfRule>
  </conditionalFormatting>
  <conditionalFormatting sqref="AK16:AL16">
    <cfRule type="expression" dxfId="724" priority="118">
      <formula>$M16="API clay"</formula>
    </cfRule>
  </conditionalFormatting>
  <conditionalFormatting sqref="AM16:AN16">
    <cfRule type="expression" dxfId="723" priority="115">
      <formula>$L16="Stiff clay w/o free water"</formula>
    </cfRule>
    <cfRule type="expression" dxfId="722" priority="117">
      <formula>$L16="API clay"</formula>
    </cfRule>
  </conditionalFormatting>
  <conditionalFormatting sqref="AM16:AN16">
    <cfRule type="expression" dxfId="721" priority="116">
      <formula>$L16="Kirsch soft clay"</formula>
    </cfRule>
  </conditionalFormatting>
  <conditionalFormatting sqref="AM16:AN16">
    <cfRule type="expression" dxfId="720" priority="114">
      <formula>$L16="Kirsch stiff clay"</formula>
    </cfRule>
  </conditionalFormatting>
  <conditionalFormatting sqref="AM16:AN16">
    <cfRule type="expression" dxfId="719" priority="113">
      <formula>$L16="Kirsch sand"</formula>
    </cfRule>
  </conditionalFormatting>
  <conditionalFormatting sqref="AM16:AN16">
    <cfRule type="expression" dxfId="718" priority="112">
      <formula>$L16="Modified Weak rock"</formula>
    </cfRule>
  </conditionalFormatting>
  <conditionalFormatting sqref="AM16:AN16">
    <cfRule type="expression" dxfId="717" priority="111">
      <formula>$L16="Reese stiff clay"</formula>
    </cfRule>
  </conditionalFormatting>
  <conditionalFormatting sqref="AM16:AN16">
    <cfRule type="expression" dxfId="716" priority="110">
      <formula>$L16="PISA clay"</formula>
    </cfRule>
  </conditionalFormatting>
  <conditionalFormatting sqref="AM16:AN16">
    <cfRule type="expression" dxfId="715" priority="109">
      <formula>$L16="PISA sand"</formula>
    </cfRule>
  </conditionalFormatting>
  <conditionalFormatting sqref="N16 Q16 S16:T16 W16:Y16">
    <cfRule type="expression" dxfId="714" priority="108">
      <formula>$L16="API sand"</formula>
    </cfRule>
  </conditionalFormatting>
  <conditionalFormatting sqref="N16">
    <cfRule type="expression" dxfId="713" priority="107">
      <formula>$M16="API sand"</formula>
    </cfRule>
  </conditionalFormatting>
  <conditionalFormatting sqref="N16">
    <cfRule type="expression" dxfId="712" priority="106">
      <formula>$M16="API clay"</formula>
    </cfRule>
  </conditionalFormatting>
  <conditionalFormatting sqref="N16:P16">
    <cfRule type="expression" dxfId="711" priority="103">
      <formula>$L16="Stiff clay w/o free water"</formula>
    </cfRule>
    <cfRule type="expression" dxfId="710" priority="105">
      <formula>$L16="API clay"</formula>
    </cfRule>
  </conditionalFormatting>
  <conditionalFormatting sqref="N16:P16">
    <cfRule type="expression" dxfId="709" priority="104">
      <formula>$L16="Kirsch soft clay"</formula>
    </cfRule>
  </conditionalFormatting>
  <conditionalFormatting sqref="N16:P16">
    <cfRule type="expression" dxfId="708" priority="102">
      <formula>$L16="Kirsch stiff clay"</formula>
    </cfRule>
  </conditionalFormatting>
  <conditionalFormatting sqref="N16 Q16 S16:T16 W16:Y16">
    <cfRule type="expression" dxfId="707" priority="101">
      <formula>$L16="Kirsch sand"</formula>
    </cfRule>
  </conditionalFormatting>
  <conditionalFormatting sqref="N16">
    <cfRule type="expression" dxfId="706" priority="100">
      <formula>$L16="Modified Weak rock"</formula>
    </cfRule>
  </conditionalFormatting>
  <conditionalFormatting sqref="N16:P16">
    <cfRule type="expression" dxfId="705" priority="99">
      <formula>$L16="Reese stiff clay"</formula>
    </cfRule>
  </conditionalFormatting>
  <conditionalFormatting sqref="N16:P16">
    <cfRule type="expression" dxfId="704" priority="98">
      <formula>$L16="PISA clay"</formula>
    </cfRule>
  </conditionalFormatting>
  <conditionalFormatting sqref="N16">
    <cfRule type="expression" dxfId="703" priority="97">
      <formula>$L16="PISA sand"</formula>
    </cfRule>
  </conditionalFormatting>
  <conditionalFormatting sqref="R16">
    <cfRule type="expression" dxfId="702" priority="96">
      <formula>$L16="API sand"</formula>
    </cfRule>
  </conditionalFormatting>
  <conditionalFormatting sqref="R16">
    <cfRule type="expression" dxfId="701" priority="95">
      <formula>$L16="Kirsch sand"</formula>
    </cfRule>
  </conditionalFormatting>
  <conditionalFormatting sqref="AC16:AI16">
    <cfRule type="expression" dxfId="700" priority="92">
      <formula>$L16="Stiff clay w/o free water"</formula>
    </cfRule>
    <cfRule type="expression" dxfId="699" priority="94">
      <formula>$L16="API clay"</formula>
    </cfRule>
  </conditionalFormatting>
  <conditionalFormatting sqref="AC16:AI16">
    <cfRule type="expression" dxfId="698" priority="93">
      <formula>$L16="Kirsch soft clay"</formula>
    </cfRule>
  </conditionalFormatting>
  <conditionalFormatting sqref="AC16:AI16">
    <cfRule type="expression" dxfId="697" priority="91">
      <formula>$L16="Kirsch stiff clay"</formula>
    </cfRule>
  </conditionalFormatting>
  <conditionalFormatting sqref="AC16:AI16">
    <cfRule type="expression" dxfId="696" priority="90">
      <formula>$L16="Reese stiff clay"</formula>
    </cfRule>
  </conditionalFormatting>
  <conditionalFormatting sqref="AC16:AI16">
    <cfRule type="expression" dxfId="695" priority="89">
      <formula>$L16="PISA clay"</formula>
    </cfRule>
  </conditionalFormatting>
  <conditionalFormatting sqref="AA16">
    <cfRule type="expression" dxfId="694" priority="86">
      <formula>$L16="Stiff clay w/o free water"</formula>
    </cfRule>
    <cfRule type="expression" dxfId="693" priority="88">
      <formula>$L16="API clay"</formula>
    </cfRule>
  </conditionalFormatting>
  <conditionalFormatting sqref="AA16">
    <cfRule type="expression" dxfId="692" priority="87">
      <formula>$L16="Kirsch soft clay"</formula>
    </cfRule>
  </conditionalFormatting>
  <conditionalFormatting sqref="AA16">
    <cfRule type="expression" dxfId="691" priority="85">
      <formula>$L16="Kirsch stiff clay"</formula>
    </cfRule>
  </conditionalFormatting>
  <conditionalFormatting sqref="AA16">
    <cfRule type="expression" dxfId="690" priority="84">
      <formula>$L16="Reese stiff clay"</formula>
    </cfRule>
  </conditionalFormatting>
  <conditionalFormatting sqref="AA16">
    <cfRule type="expression" dxfId="689" priority="83">
      <formula>$L16="PISA clay"</formula>
    </cfRule>
  </conditionalFormatting>
  <conditionalFormatting sqref="AM17:AN17">
    <cfRule type="expression" dxfId="688" priority="82">
      <formula>$L17="API sand"</formula>
    </cfRule>
  </conditionalFormatting>
  <conditionalFormatting sqref="AK17:AL17">
    <cfRule type="expression" dxfId="687" priority="81">
      <formula>$M17="API sand"</formula>
    </cfRule>
  </conditionalFormatting>
  <conditionalFormatting sqref="AK17:AL17">
    <cfRule type="expression" dxfId="686" priority="80">
      <formula>$M17="API clay"</formula>
    </cfRule>
  </conditionalFormatting>
  <conditionalFormatting sqref="AM17:AN17">
    <cfRule type="expression" dxfId="685" priority="77">
      <formula>$L17="Stiff clay w/o free water"</formula>
    </cfRule>
    <cfRule type="expression" dxfId="684" priority="79">
      <formula>$L17="API clay"</formula>
    </cfRule>
  </conditionalFormatting>
  <conditionalFormatting sqref="AM17:AN17">
    <cfRule type="expression" dxfId="683" priority="78">
      <formula>$L17="Kirsch soft clay"</formula>
    </cfRule>
  </conditionalFormatting>
  <conditionalFormatting sqref="AM17:AN17">
    <cfRule type="expression" dxfId="682" priority="76">
      <formula>$L17="Kirsch stiff clay"</formula>
    </cfRule>
  </conditionalFormatting>
  <conditionalFormatting sqref="AM17:AN17">
    <cfRule type="expression" dxfId="681" priority="75">
      <formula>$L17="Kirsch sand"</formula>
    </cfRule>
  </conditionalFormatting>
  <conditionalFormatting sqref="AM17:AN17">
    <cfRule type="expression" dxfId="680" priority="74">
      <formula>$L17="Modified Weak rock"</formula>
    </cfRule>
  </conditionalFormatting>
  <conditionalFormatting sqref="AM17:AN17">
    <cfRule type="expression" dxfId="679" priority="73">
      <formula>$L17="Reese stiff clay"</formula>
    </cfRule>
  </conditionalFormatting>
  <conditionalFormatting sqref="AM17:AN17">
    <cfRule type="expression" dxfId="678" priority="72">
      <formula>$L17="PISA clay"</formula>
    </cfRule>
  </conditionalFormatting>
  <conditionalFormatting sqref="AM17:AN17">
    <cfRule type="expression" dxfId="677" priority="71">
      <formula>$L17="PISA sand"</formula>
    </cfRule>
  </conditionalFormatting>
  <conditionalFormatting sqref="N17 Q17 S17:T17 W17 Y17">
    <cfRule type="expression" dxfId="676" priority="70">
      <formula>$L17="API sand"</formula>
    </cfRule>
  </conditionalFormatting>
  <conditionalFormatting sqref="N17">
    <cfRule type="expression" dxfId="675" priority="69">
      <formula>$M17="API sand"</formula>
    </cfRule>
  </conditionalFormatting>
  <conditionalFormatting sqref="N17">
    <cfRule type="expression" dxfId="674" priority="68">
      <formula>$M17="API clay"</formula>
    </cfRule>
  </conditionalFormatting>
  <conditionalFormatting sqref="N17:P17">
    <cfRule type="expression" dxfId="673" priority="65">
      <formula>$L17="Stiff clay w/o free water"</formula>
    </cfRule>
    <cfRule type="expression" dxfId="672" priority="67">
      <formula>$L17="API clay"</formula>
    </cfRule>
  </conditionalFormatting>
  <conditionalFormatting sqref="N17:P17">
    <cfRule type="expression" dxfId="671" priority="66">
      <formula>$L17="Kirsch soft clay"</formula>
    </cfRule>
  </conditionalFormatting>
  <conditionalFormatting sqref="N17:P17">
    <cfRule type="expression" dxfId="670" priority="64">
      <formula>$L17="Kirsch stiff clay"</formula>
    </cfRule>
  </conditionalFormatting>
  <conditionalFormatting sqref="N17 Q17 S17:T17 W17 Y17">
    <cfRule type="expression" dxfId="669" priority="63">
      <formula>$L17="Kirsch sand"</formula>
    </cfRule>
  </conditionalFormatting>
  <conditionalFormatting sqref="N17">
    <cfRule type="expression" dxfId="668" priority="62">
      <formula>$L17="Modified Weak rock"</formula>
    </cfRule>
  </conditionalFormatting>
  <conditionalFormatting sqref="N17:P17">
    <cfRule type="expression" dxfId="667" priority="61">
      <formula>$L17="Reese stiff clay"</formula>
    </cfRule>
  </conditionalFormatting>
  <conditionalFormatting sqref="N17:P17">
    <cfRule type="expression" dxfId="666" priority="60">
      <formula>$L17="PISA clay"</formula>
    </cfRule>
  </conditionalFormatting>
  <conditionalFormatting sqref="N17">
    <cfRule type="expression" dxfId="665" priority="59">
      <formula>$L17="PISA sand"</formula>
    </cfRule>
  </conditionalFormatting>
  <conditionalFormatting sqref="R17">
    <cfRule type="expression" dxfId="664" priority="58">
      <formula>$L17="API sand"</formula>
    </cfRule>
  </conditionalFormatting>
  <conditionalFormatting sqref="R17">
    <cfRule type="expression" dxfId="663" priority="57">
      <formula>$L17="Kirsch sand"</formula>
    </cfRule>
  </conditionalFormatting>
  <conditionalFormatting sqref="AD17:AI17">
    <cfRule type="expression" dxfId="662" priority="54">
      <formula>$L17="Stiff clay w/o free water"</formula>
    </cfRule>
    <cfRule type="expression" dxfId="661" priority="56">
      <formula>$L17="API clay"</formula>
    </cfRule>
  </conditionalFormatting>
  <conditionalFormatting sqref="AD17:AI17">
    <cfRule type="expression" dxfId="660" priority="55">
      <formula>$L17="Kirsch soft clay"</formula>
    </cfRule>
  </conditionalFormatting>
  <conditionalFormatting sqref="AD17:AI17">
    <cfRule type="expression" dxfId="659" priority="53">
      <formula>$L17="Kirsch stiff clay"</formula>
    </cfRule>
  </conditionalFormatting>
  <conditionalFormatting sqref="AD17:AI17">
    <cfRule type="expression" dxfId="658" priority="52">
      <formula>$L17="Reese stiff clay"</formula>
    </cfRule>
  </conditionalFormatting>
  <conditionalFormatting sqref="AD17:AI17">
    <cfRule type="expression" dxfId="657" priority="51">
      <formula>$L17="PISA clay"</formula>
    </cfRule>
  </conditionalFormatting>
  <conditionalFormatting sqref="AA17">
    <cfRule type="expression" dxfId="656" priority="48">
      <formula>$L17="Stiff clay w/o free water"</formula>
    </cfRule>
    <cfRule type="expression" dxfId="655" priority="50">
      <formula>$L17="API clay"</formula>
    </cfRule>
  </conditionalFormatting>
  <conditionalFormatting sqref="AA17">
    <cfRule type="expression" dxfId="654" priority="49">
      <formula>$L17="Kirsch soft clay"</formula>
    </cfRule>
  </conditionalFormatting>
  <conditionalFormatting sqref="AA17">
    <cfRule type="expression" dxfId="653" priority="47">
      <formula>$L17="Kirsch stiff clay"</formula>
    </cfRule>
  </conditionalFormatting>
  <conditionalFormatting sqref="AA17">
    <cfRule type="expression" dxfId="652" priority="46">
      <formula>$L17="Reese stiff clay"</formula>
    </cfRule>
  </conditionalFormatting>
  <conditionalFormatting sqref="AA17">
    <cfRule type="expression" dxfId="651" priority="45">
      <formula>$L17="PISA clay"</formula>
    </cfRule>
  </conditionalFormatting>
  <conditionalFormatting sqref="AC17">
    <cfRule type="expression" dxfId="650" priority="42">
      <formula>$L17="Stiff clay w/o free water"</formula>
    </cfRule>
    <cfRule type="expression" dxfId="649" priority="44">
      <formula>$L17="API clay"</formula>
    </cfRule>
  </conditionalFormatting>
  <conditionalFormatting sqref="AC17">
    <cfRule type="expression" dxfId="648" priority="43">
      <formula>$L17="Kirsch soft clay"</formula>
    </cfRule>
  </conditionalFormatting>
  <conditionalFormatting sqref="AC17">
    <cfRule type="expression" dxfId="647" priority="41">
      <formula>$L17="Kirsch stiff clay"</formula>
    </cfRule>
  </conditionalFormatting>
  <conditionalFormatting sqref="AC17">
    <cfRule type="expression" dxfId="646" priority="40">
      <formula>$L17="Reese stiff clay"</formula>
    </cfRule>
  </conditionalFormatting>
  <conditionalFormatting sqref="AC17">
    <cfRule type="expression" dxfId="645" priority="39">
      <formula>$L17="PISA clay"</formula>
    </cfRule>
  </conditionalFormatting>
  <conditionalFormatting sqref="X17">
    <cfRule type="expression" dxfId="644" priority="38">
      <formula>$L17="API sand"</formula>
    </cfRule>
  </conditionalFormatting>
  <conditionalFormatting sqref="X17">
    <cfRule type="expression" dxfId="643" priority="37">
      <formula>$L17="Kirsch sand"</formula>
    </cfRule>
  </conditionalFormatting>
  <conditionalFormatting sqref="Z16:Z17">
    <cfRule type="expression" dxfId="642" priority="36">
      <formula>$L16="API sand"</formula>
    </cfRule>
  </conditionalFormatting>
  <conditionalFormatting sqref="Z16:Z17">
    <cfRule type="expression" dxfId="641" priority="35">
      <formula>$L16="Kirsch sand"</formula>
    </cfRule>
  </conditionalFormatting>
  <conditionalFormatting sqref="AB16:AB17">
    <cfRule type="expression" dxfId="640" priority="34">
      <formula>$L16="API sand"</formula>
    </cfRule>
  </conditionalFormatting>
  <conditionalFormatting sqref="AB16:AB17">
    <cfRule type="expression" dxfId="639" priority="33">
      <formula>$L16="Kirsch sand"</formula>
    </cfRule>
  </conditionalFormatting>
  <conditionalFormatting sqref="AJ16:AJ17">
    <cfRule type="expression" dxfId="638" priority="32">
      <formula>$L16="API sand"</formula>
    </cfRule>
  </conditionalFormatting>
  <conditionalFormatting sqref="AJ16:AJ17">
    <cfRule type="expression" dxfId="637" priority="31">
      <formula>$L16="Kirsch sand"</formula>
    </cfRule>
  </conditionalFormatting>
  <conditionalFormatting sqref="U15:V15">
    <cfRule type="expression" dxfId="636" priority="28">
      <formula>$L15="Stiff clay w/o free water"</formula>
    </cfRule>
    <cfRule type="expression" dxfId="635" priority="30">
      <formula>$L15="API clay"</formula>
    </cfRule>
  </conditionalFormatting>
  <conditionalFormatting sqref="U15:V15">
    <cfRule type="expression" dxfId="634" priority="29">
      <formula>$L15="Kirsch soft clay"</formula>
    </cfRule>
  </conditionalFormatting>
  <conditionalFormatting sqref="U15:V15">
    <cfRule type="expression" dxfId="633" priority="27">
      <formula>$L15="Kirsch stiff clay"</formula>
    </cfRule>
  </conditionalFormatting>
  <conditionalFormatting sqref="U15:V15">
    <cfRule type="expression" dxfId="632" priority="26">
      <formula>$L15="Reese stiff clay"</formula>
    </cfRule>
  </conditionalFormatting>
  <conditionalFormatting sqref="U15:V15">
    <cfRule type="expression" dxfId="631" priority="25">
      <formula>$L15="PISA clay"</formula>
    </cfRule>
  </conditionalFormatting>
  <conditionalFormatting sqref="U16:V16">
    <cfRule type="expression" dxfId="630" priority="22">
      <formula>$L16="Stiff clay w/o free water"</formula>
    </cfRule>
    <cfRule type="expression" dxfId="629" priority="24">
      <formula>$L16="API clay"</formula>
    </cfRule>
  </conditionalFormatting>
  <conditionalFormatting sqref="U16:V16">
    <cfRule type="expression" dxfId="628" priority="23">
      <formula>$L16="Kirsch soft clay"</formula>
    </cfRule>
  </conditionalFormatting>
  <conditionalFormatting sqref="U16:V16">
    <cfRule type="expression" dxfId="627" priority="21">
      <formula>$L16="Kirsch stiff clay"</formula>
    </cfRule>
  </conditionalFormatting>
  <conditionalFormatting sqref="U16:V16">
    <cfRule type="expression" dxfId="626" priority="20">
      <formula>$L16="Reese stiff clay"</formula>
    </cfRule>
  </conditionalFormatting>
  <conditionalFormatting sqref="U16:V16">
    <cfRule type="expression" dxfId="625" priority="19">
      <formula>$L16="PISA clay"</formula>
    </cfRule>
  </conditionalFormatting>
  <conditionalFormatting sqref="U17:V17">
    <cfRule type="expression" dxfId="624" priority="16">
      <formula>$L17="Stiff clay w/o free water"</formula>
    </cfRule>
    <cfRule type="expression" dxfId="623" priority="18">
      <formula>$L17="API clay"</formula>
    </cfRule>
  </conditionalFormatting>
  <conditionalFormatting sqref="U17:V17">
    <cfRule type="expression" dxfId="622" priority="17">
      <formula>$L17="Kirsch soft clay"</formula>
    </cfRule>
  </conditionalFormatting>
  <conditionalFormatting sqref="U17:V17">
    <cfRule type="expression" dxfId="621" priority="15">
      <formula>$L17="Kirsch stiff clay"</formula>
    </cfRule>
  </conditionalFormatting>
  <conditionalFormatting sqref="U17:V17">
    <cfRule type="expression" dxfId="620" priority="14">
      <formula>$L17="Reese stiff clay"</formula>
    </cfRule>
  </conditionalFormatting>
  <conditionalFormatting sqref="U17:V17">
    <cfRule type="expression" dxfId="619" priority="13">
      <formula>$L17="PISA clay"</formula>
    </cfRule>
  </conditionalFormatting>
  <conditionalFormatting sqref="AO15">
    <cfRule type="expression" dxfId="618" priority="12">
      <formula>$L15="API sand"</formula>
    </cfRule>
  </conditionalFormatting>
  <conditionalFormatting sqref="AO15">
    <cfRule type="expression" dxfId="617" priority="11">
      <formula>$L15="Kirsch sand"</formula>
    </cfRule>
  </conditionalFormatting>
  <conditionalFormatting sqref="AO16">
    <cfRule type="expression" dxfId="616" priority="10">
      <formula>$L16="API sand"</formula>
    </cfRule>
  </conditionalFormatting>
  <conditionalFormatting sqref="AO16">
    <cfRule type="expression" dxfId="615" priority="9">
      <formula>$L16="Kirsch sand"</formula>
    </cfRule>
  </conditionalFormatting>
  <conditionalFormatting sqref="AO17">
    <cfRule type="expression" dxfId="614" priority="8">
      <formula>$L17="API sand"</formula>
    </cfRule>
  </conditionalFormatting>
  <conditionalFormatting sqref="AO17">
    <cfRule type="expression" dxfId="613" priority="7">
      <formula>$L17="Kirsch sand"</formula>
    </cfRule>
  </conditionalFormatting>
  <conditionalFormatting sqref="AC14">
    <cfRule type="expression" dxfId="612" priority="4">
      <formula>$L14="Stiff clay w/o free water"</formula>
    </cfRule>
    <cfRule type="expression" dxfId="611" priority="6">
      <formula>$L14="API clay"</formula>
    </cfRule>
  </conditionalFormatting>
  <conditionalFormatting sqref="AC14">
    <cfRule type="expression" dxfId="610" priority="5">
      <formula>$L14="Kirsch soft clay"</formula>
    </cfRule>
  </conditionalFormatting>
  <conditionalFormatting sqref="AC14">
    <cfRule type="expression" dxfId="609" priority="3">
      <formula>$L14="Kirsch stiff clay"</formula>
    </cfRule>
  </conditionalFormatting>
  <conditionalFormatting sqref="AC14">
    <cfRule type="expression" dxfId="608" priority="2">
      <formula>$L14="Reese stiff clay"</formula>
    </cfRule>
  </conditionalFormatting>
  <conditionalFormatting sqref="AC14">
    <cfRule type="expression" dxfId="607" priority="1">
      <formula>$L14="PISA clay"</formula>
    </cfRule>
  </conditionalFormatting>
  <dataValidations count="3">
    <dataValidation type="list" showInputMessage="1" showErrorMessage="1" sqref="M18:M36" xr:uid="{87390816-112D-4A75-B5E9-CEB74A5096A5}">
      <formula1>"',API sand,API clay"</formula1>
    </dataValidation>
    <dataValidation type="list" showInputMessage="1" showErrorMessage="1" sqref="L6:L255" xr:uid="{7FBEA95A-5A2D-494E-925B-146BF17684B5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7" xr:uid="{3FACA08C-27E7-4DB6-976F-1A1565ED8D12}">
      <formula1>"Zero soil,API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35DC-BEDA-4C6D-A42A-10AE79DAC7B3}">
  <sheetPr>
    <tabColor theme="2"/>
  </sheetPr>
  <dimension ref="A1:AO255"/>
  <sheetViews>
    <sheetView topLeftCell="H1" zoomScaleNormal="100" workbookViewId="0">
      <selection activeCell="O8" sqref="O8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140625" style="33" customWidth="1"/>
    <col min="22" max="22" width="19.42578125" style="33" customWidth="1"/>
    <col min="23" max="23" width="6.5703125" style="33" customWidth="1"/>
    <col min="24" max="24" width="11.855468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85546875" style="33" customWidth="1"/>
    <col min="30" max="30" width="11.85546875" style="33" customWidth="1"/>
    <col min="31" max="31" width="10.28515625" style="33" customWidth="1"/>
    <col min="32" max="32" width="8.140625" style="33" customWidth="1"/>
    <col min="33" max="33" width="13.7109375" style="33" customWidth="1"/>
    <col min="34" max="34" width="8.42578125" style="33" customWidth="1"/>
    <col min="35" max="35" width="7.855468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16384" width="9.140625" style="33"/>
  </cols>
  <sheetData>
    <row r="1" spans="1:41" x14ac:dyDescent="0.25">
      <c r="A1" s="34" t="str">
        <f ca="1">TRIM(MID(CELL("filename",A1),FIND("]",CELL("filename",A1),1)+1,255))</f>
        <v>Zone_4_HE</v>
      </c>
      <c r="D1" s="34"/>
    </row>
    <row r="3" spans="1:41" s="35" customFormat="1" ht="45" customHeight="1" x14ac:dyDescent="0.25">
      <c r="F3" s="36" t="s">
        <v>39</v>
      </c>
      <c r="J3" s="37" t="s">
        <v>22</v>
      </c>
      <c r="Q3" s="72"/>
      <c r="R3" s="155"/>
      <c r="S3" s="155"/>
      <c r="T3" s="72"/>
      <c r="U3" s="155"/>
      <c r="V3" s="155"/>
      <c r="W3" s="72"/>
      <c r="X3" s="69"/>
      <c r="Y3" s="72"/>
      <c r="Z3" s="72"/>
      <c r="AA3" s="72"/>
      <c r="AB3" s="72"/>
      <c r="AC3" s="69"/>
      <c r="AD3" s="39"/>
      <c r="AE3" s="39"/>
      <c r="AF3" s="39"/>
      <c r="AG3" s="39"/>
      <c r="AH3" s="39"/>
      <c r="AI3" s="39"/>
      <c r="AJ3" s="72"/>
      <c r="AK3" s="72"/>
      <c r="AL3" s="72"/>
      <c r="AM3" s="72"/>
      <c r="AN3" s="72"/>
    </row>
    <row r="4" spans="1:41" s="41" customFormat="1" x14ac:dyDescent="0.25">
      <c r="A4" s="40" t="s">
        <v>60</v>
      </c>
      <c r="B4" s="41">
        <f>COUNTIF(J:J,"&gt;0")</f>
        <v>7</v>
      </c>
      <c r="C4" s="42" t="s">
        <v>58</v>
      </c>
      <c r="D4" s="43"/>
      <c r="F4" s="41" t="s">
        <v>40</v>
      </c>
      <c r="G4" s="44">
        <v>0</v>
      </c>
      <c r="H4" s="42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68" t="s">
        <v>102</v>
      </c>
    </row>
    <row r="5" spans="1:41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44">
        <v>0</v>
      </c>
      <c r="H5" s="45" t="s">
        <v>28</v>
      </c>
      <c r="J5" s="38" t="s">
        <v>38</v>
      </c>
      <c r="K5" s="38" t="s">
        <v>30</v>
      </c>
      <c r="L5" s="38" t="s">
        <v>31</v>
      </c>
      <c r="M5" s="38" t="s">
        <v>31</v>
      </c>
      <c r="N5" s="38" t="s">
        <v>32</v>
      </c>
      <c r="O5" s="38" t="s">
        <v>33</v>
      </c>
      <c r="P5" s="38" t="s">
        <v>35</v>
      </c>
      <c r="Q5" s="38" t="s">
        <v>36</v>
      </c>
      <c r="R5" s="38" t="s">
        <v>36</v>
      </c>
      <c r="S5" s="38" t="s">
        <v>34</v>
      </c>
      <c r="T5" s="38" t="s">
        <v>33</v>
      </c>
      <c r="U5" s="38" t="s">
        <v>34</v>
      </c>
      <c r="V5" s="38" t="s">
        <v>62</v>
      </c>
      <c r="W5" s="38" t="s">
        <v>34</v>
      </c>
      <c r="X5" s="38" t="s">
        <v>33</v>
      </c>
      <c r="Y5" s="38" t="s">
        <v>35</v>
      </c>
      <c r="Z5" s="38" t="s">
        <v>33</v>
      </c>
      <c r="AA5" s="38" t="s">
        <v>34</v>
      </c>
      <c r="AB5" s="38" t="s">
        <v>33</v>
      </c>
      <c r="AC5" s="38" t="s">
        <v>33</v>
      </c>
      <c r="AD5" s="38" t="s">
        <v>35</v>
      </c>
      <c r="AE5" s="38" t="s">
        <v>34</v>
      </c>
      <c r="AF5" s="38" t="s">
        <v>33</v>
      </c>
      <c r="AG5" s="38" t="s">
        <v>35</v>
      </c>
      <c r="AH5" s="38" t="s">
        <v>34</v>
      </c>
      <c r="AI5" s="38" t="s">
        <v>34</v>
      </c>
      <c r="AJ5" s="38" t="s">
        <v>34</v>
      </c>
      <c r="AK5" s="38" t="s">
        <v>34</v>
      </c>
      <c r="AL5" s="38" t="s">
        <v>34</v>
      </c>
      <c r="AM5" s="38" t="s">
        <v>34</v>
      </c>
      <c r="AN5" s="38" t="s">
        <v>34</v>
      </c>
      <c r="AO5" s="38" t="s">
        <v>103</v>
      </c>
    </row>
    <row r="6" spans="1:41" x14ac:dyDescent="0.25">
      <c r="C6" s="45"/>
      <c r="F6" s="33" t="s">
        <v>67</v>
      </c>
      <c r="G6" s="46">
        <v>32</v>
      </c>
      <c r="H6" s="45" t="s">
        <v>28</v>
      </c>
      <c r="J6" s="47">
        <v>1</v>
      </c>
      <c r="K6" s="47">
        <v>0</v>
      </c>
      <c r="L6" s="70" t="s">
        <v>106</v>
      </c>
      <c r="M6" s="49" t="s">
        <v>64</v>
      </c>
      <c r="N6" s="50">
        <v>9.8000000000000007</v>
      </c>
      <c r="O6" s="51"/>
      <c r="P6" s="51"/>
      <c r="Q6" s="50">
        <v>46</v>
      </c>
      <c r="R6" s="50">
        <f>Q6-5</f>
        <v>41</v>
      </c>
      <c r="S6" s="50">
        <v>0.5</v>
      </c>
      <c r="T6" s="50">
        <v>0</v>
      </c>
      <c r="U6" s="52"/>
      <c r="V6" s="52"/>
      <c r="W6" s="50">
        <v>0.5</v>
      </c>
      <c r="X6" s="50">
        <v>20100</v>
      </c>
      <c r="Y6" s="50">
        <v>0</v>
      </c>
      <c r="Z6" s="50">
        <f>VLOOKUP(R6,$AE$39:$AF$59,2)</f>
        <v>114.99999999999996</v>
      </c>
      <c r="AA6" s="53"/>
      <c r="AB6" s="50">
        <f>VLOOKUP(R6,$AE$39:$AG$59,3)</f>
        <v>12000</v>
      </c>
      <c r="AC6" s="51"/>
      <c r="AD6" s="51"/>
      <c r="AE6" s="51"/>
      <c r="AF6" s="51"/>
      <c r="AG6" s="51"/>
      <c r="AH6" s="51"/>
      <c r="AI6" s="51"/>
      <c r="AJ6" s="50">
        <f t="shared" ref="AJ6" si="0">VLOOKUP(R6,$AE$39:$AH$59,4)</f>
        <v>50.000000000000007</v>
      </c>
      <c r="AK6" s="50">
        <v>1</v>
      </c>
      <c r="AL6" s="50">
        <v>1</v>
      </c>
      <c r="AM6" s="50">
        <v>1</v>
      </c>
      <c r="AN6" s="50">
        <v>1</v>
      </c>
      <c r="AO6" s="50">
        <v>0</v>
      </c>
    </row>
    <row r="7" spans="1:41" x14ac:dyDescent="0.25">
      <c r="A7" s="54" t="s">
        <v>23</v>
      </c>
      <c r="C7" s="45"/>
      <c r="F7" s="55" t="s">
        <v>48</v>
      </c>
      <c r="G7" s="56"/>
      <c r="H7" s="39"/>
      <c r="I7" s="56"/>
      <c r="J7" s="47">
        <v>2</v>
      </c>
      <c r="K7" s="47">
        <v>-1.5</v>
      </c>
      <c r="L7" s="33" t="s">
        <v>107</v>
      </c>
      <c r="M7" s="49" t="s">
        <v>65</v>
      </c>
      <c r="N7" s="50">
        <v>9.8000000000000007</v>
      </c>
      <c r="O7" s="51">
        <v>109.2</v>
      </c>
      <c r="P7" s="51">
        <v>0</v>
      </c>
      <c r="Q7" s="50"/>
      <c r="R7" s="50"/>
      <c r="S7" s="50"/>
      <c r="T7" s="50"/>
      <c r="U7" s="52">
        <v>1.7999999999999999E-2</v>
      </c>
      <c r="V7" s="52">
        <v>0</v>
      </c>
      <c r="W7" s="50"/>
      <c r="X7" s="50"/>
      <c r="Y7" s="50"/>
      <c r="Z7" s="50"/>
      <c r="AA7" s="53">
        <v>1</v>
      </c>
      <c r="AB7" s="50"/>
      <c r="AC7" s="51">
        <v>85220</v>
      </c>
      <c r="AD7" s="51">
        <v>0</v>
      </c>
      <c r="AE7" s="51">
        <v>0.46</v>
      </c>
      <c r="AF7" s="51">
        <v>0</v>
      </c>
      <c r="AG7" s="51">
        <v>0</v>
      </c>
      <c r="AH7" s="51">
        <v>0</v>
      </c>
      <c r="AI7" s="51">
        <v>0</v>
      </c>
      <c r="AJ7" s="50"/>
      <c r="AK7" s="50">
        <v>1</v>
      </c>
      <c r="AL7" s="50">
        <v>1</v>
      </c>
      <c r="AM7" s="50">
        <v>1</v>
      </c>
      <c r="AN7" s="50">
        <v>1</v>
      </c>
      <c r="AO7" s="50">
        <v>0</v>
      </c>
    </row>
    <row r="8" spans="1:4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2278.1</v>
      </c>
      <c r="H8" s="45" t="s">
        <v>53</v>
      </c>
      <c r="J8" s="47">
        <v>3</v>
      </c>
      <c r="K8" s="47">
        <v>-2</v>
      </c>
      <c r="L8" s="70" t="s">
        <v>107</v>
      </c>
      <c r="M8" s="49" t="s">
        <v>65</v>
      </c>
      <c r="N8" s="50">
        <v>9.5</v>
      </c>
      <c r="O8" s="51">
        <v>111.7</v>
      </c>
      <c r="P8" s="51">
        <v>273.89999999999998</v>
      </c>
      <c r="Q8" s="50"/>
      <c r="R8" s="50"/>
      <c r="S8" s="50"/>
      <c r="T8" s="50"/>
      <c r="U8" s="52">
        <v>1.7999999999999999E-2</v>
      </c>
      <c r="V8" s="52">
        <v>0</v>
      </c>
      <c r="W8" s="50"/>
      <c r="X8" s="50"/>
      <c r="Y8" s="50"/>
      <c r="Z8" s="50"/>
      <c r="AA8" s="53">
        <v>1</v>
      </c>
      <c r="AB8" s="50"/>
      <c r="AC8" s="51">
        <v>80880</v>
      </c>
      <c r="AD8" s="51">
        <v>315620</v>
      </c>
      <c r="AE8" s="51">
        <v>0.46</v>
      </c>
      <c r="AF8" s="51">
        <v>0</v>
      </c>
      <c r="AG8" s="51">
        <v>0</v>
      </c>
      <c r="AH8" s="51">
        <v>0</v>
      </c>
      <c r="AI8" s="51">
        <v>0</v>
      </c>
      <c r="AJ8" s="50"/>
      <c r="AK8" s="50">
        <v>1</v>
      </c>
      <c r="AL8" s="50">
        <v>1</v>
      </c>
      <c r="AM8" s="50">
        <v>1</v>
      </c>
      <c r="AN8" s="50">
        <v>1</v>
      </c>
      <c r="AO8" s="50">
        <v>0</v>
      </c>
    </row>
    <row r="9" spans="1:41" x14ac:dyDescent="0.25">
      <c r="A9" s="33" t="s">
        <v>68</v>
      </c>
      <c r="B9" s="57">
        <v>33</v>
      </c>
      <c r="C9" s="45" t="s">
        <v>28</v>
      </c>
      <c r="D9" s="57">
        <v>28</v>
      </c>
      <c r="F9" s="33" t="s">
        <v>96</v>
      </c>
      <c r="G9" s="71">
        <v>-122786</v>
      </c>
      <c r="H9" s="45" t="s">
        <v>54</v>
      </c>
      <c r="J9" s="47">
        <v>4</v>
      </c>
      <c r="K9" s="47">
        <v>-3</v>
      </c>
      <c r="L9" s="70" t="s">
        <v>107</v>
      </c>
      <c r="M9" s="49" t="s">
        <v>65</v>
      </c>
      <c r="N9" s="50">
        <v>9.5</v>
      </c>
      <c r="O9" s="51">
        <v>385.7</v>
      </c>
      <c r="P9" s="51">
        <v>10.02</v>
      </c>
      <c r="Q9" s="50"/>
      <c r="R9" s="50"/>
      <c r="S9" s="50"/>
      <c r="T9" s="50"/>
      <c r="U9" s="52">
        <v>1.7999999999999999E-2</v>
      </c>
      <c r="V9" s="52">
        <v>0</v>
      </c>
      <c r="W9" s="50"/>
      <c r="X9" s="50"/>
      <c r="Y9" s="50"/>
      <c r="Z9" s="50"/>
      <c r="AA9" s="53">
        <v>1</v>
      </c>
      <c r="AB9" s="50"/>
      <c r="AC9" s="51">
        <v>403900</v>
      </c>
      <c r="AD9" s="51">
        <v>14660</v>
      </c>
      <c r="AE9" s="51">
        <v>0.46</v>
      </c>
      <c r="AF9" s="51">
        <v>0</v>
      </c>
      <c r="AG9" s="51">
        <v>0</v>
      </c>
      <c r="AH9" s="51">
        <v>0</v>
      </c>
      <c r="AI9" s="51">
        <v>0</v>
      </c>
      <c r="AJ9" s="50"/>
      <c r="AK9" s="50">
        <v>1</v>
      </c>
      <c r="AL9" s="50">
        <v>1</v>
      </c>
      <c r="AM9" s="50">
        <v>1</v>
      </c>
      <c r="AN9" s="50">
        <v>1</v>
      </c>
      <c r="AO9" s="50">
        <v>0</v>
      </c>
    </row>
    <row r="10" spans="1:41" s="56" customFormat="1" x14ac:dyDescent="0.25">
      <c r="A10" s="56" t="s">
        <v>69</v>
      </c>
      <c r="B10" s="58">
        <v>33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/>
      <c r="J10" s="47">
        <v>5</v>
      </c>
      <c r="K10" s="47">
        <v>-8</v>
      </c>
      <c r="L10" s="70" t="s">
        <v>106</v>
      </c>
      <c r="M10" s="49" t="s">
        <v>64</v>
      </c>
      <c r="N10" s="50">
        <v>9.8000000000000007</v>
      </c>
      <c r="O10" s="51"/>
      <c r="P10" s="51"/>
      <c r="Q10" s="50">
        <v>45</v>
      </c>
      <c r="R10" s="50">
        <f>Q10-5</f>
        <v>40</v>
      </c>
      <c r="S10" s="50">
        <v>1.4</v>
      </c>
      <c r="T10" s="50">
        <v>0</v>
      </c>
      <c r="U10" s="52"/>
      <c r="V10" s="52"/>
      <c r="W10" s="50">
        <v>0.5</v>
      </c>
      <c r="X10" s="50">
        <v>14200</v>
      </c>
      <c r="Y10" s="50">
        <v>0</v>
      </c>
      <c r="Z10" s="50">
        <f t="shared" ref="Z10:Z11" si="1">VLOOKUP(R10,$AE$39:$AF$59,2)</f>
        <v>114.99999999999996</v>
      </c>
      <c r="AA10" s="53"/>
      <c r="AB10" s="50">
        <f>VLOOKUP(R10,$AE$39:$AG$59,3)</f>
        <v>12000</v>
      </c>
      <c r="AC10" s="51"/>
      <c r="AD10" s="51"/>
      <c r="AE10" s="51"/>
      <c r="AF10" s="51"/>
      <c r="AG10" s="51"/>
      <c r="AH10" s="51"/>
      <c r="AI10" s="51"/>
      <c r="AJ10" s="50">
        <f>VLOOKUP(R10,$AE$39:$AH$59,4)</f>
        <v>50.000000000000007</v>
      </c>
      <c r="AK10" s="50">
        <v>1</v>
      </c>
      <c r="AL10" s="50">
        <v>1</v>
      </c>
      <c r="AM10" s="50">
        <v>1</v>
      </c>
      <c r="AN10" s="50">
        <v>1</v>
      </c>
      <c r="AO10" s="50">
        <v>0</v>
      </c>
    </row>
    <row r="11" spans="1:41" x14ac:dyDescent="0.25">
      <c r="A11" s="33" t="s">
        <v>70</v>
      </c>
      <c r="B11" s="57">
        <v>0.5</v>
      </c>
      <c r="C11" s="45" t="s">
        <v>28</v>
      </c>
      <c r="F11" s="33" t="s">
        <v>52</v>
      </c>
      <c r="G11" s="71">
        <v>0</v>
      </c>
      <c r="H11" s="45" t="s">
        <v>53</v>
      </c>
      <c r="J11" s="47">
        <v>6</v>
      </c>
      <c r="K11" s="47">
        <v>-10</v>
      </c>
      <c r="L11" s="33" t="s">
        <v>106</v>
      </c>
      <c r="M11" s="49" t="s">
        <v>64</v>
      </c>
      <c r="N11" s="50">
        <v>8.6</v>
      </c>
      <c r="O11" s="51"/>
      <c r="P11" s="51"/>
      <c r="Q11" s="50">
        <v>46</v>
      </c>
      <c r="R11" s="50">
        <f>Q11-5</f>
        <v>41</v>
      </c>
      <c r="S11" s="50">
        <v>1.1000000000000001</v>
      </c>
      <c r="T11" s="50">
        <v>0</v>
      </c>
      <c r="U11" s="52"/>
      <c r="V11" s="52"/>
      <c r="W11" s="50">
        <v>0.5</v>
      </c>
      <c r="X11" s="50">
        <v>26300</v>
      </c>
      <c r="Y11" s="50">
        <v>0</v>
      </c>
      <c r="Z11" s="50">
        <f t="shared" si="1"/>
        <v>114.99999999999996</v>
      </c>
      <c r="AA11" s="53"/>
      <c r="AB11" s="50">
        <f>VLOOKUP(R11,$AE$39:$AG$59,3)</f>
        <v>12000</v>
      </c>
      <c r="AC11" s="51"/>
      <c r="AD11" s="51"/>
      <c r="AE11" s="51"/>
      <c r="AF11" s="51"/>
      <c r="AG11" s="51"/>
      <c r="AH11" s="51"/>
      <c r="AI11" s="51"/>
      <c r="AJ11" s="50">
        <f>VLOOKUP(R11,$AE$39:$AH$59,4)</f>
        <v>50.000000000000007</v>
      </c>
      <c r="AK11" s="50">
        <v>1</v>
      </c>
      <c r="AL11" s="50">
        <v>1</v>
      </c>
      <c r="AM11" s="50">
        <v>1</v>
      </c>
      <c r="AN11" s="50">
        <v>1</v>
      </c>
      <c r="AO11" s="50">
        <v>0</v>
      </c>
    </row>
    <row r="12" spans="1:41" x14ac:dyDescent="0.25">
      <c r="A12" s="33" t="s">
        <v>74</v>
      </c>
      <c r="B12" s="46">
        <v>5.5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/>
      <c r="J12" s="47">
        <v>7</v>
      </c>
      <c r="K12" s="47">
        <v>-34</v>
      </c>
      <c r="L12" s="33" t="s">
        <v>107</v>
      </c>
      <c r="M12" s="49" t="s">
        <v>64</v>
      </c>
      <c r="N12" s="50">
        <v>9</v>
      </c>
      <c r="O12" s="51">
        <v>566.6</v>
      </c>
      <c r="P12" s="51">
        <v>15.71</v>
      </c>
      <c r="Q12" s="50"/>
      <c r="R12" s="50"/>
      <c r="S12" s="50"/>
      <c r="T12" s="50"/>
      <c r="U12" s="52">
        <v>1.7999999999999999E-2</v>
      </c>
      <c r="V12" s="52">
        <v>0</v>
      </c>
      <c r="W12" s="50"/>
      <c r="X12" s="50"/>
      <c r="Y12" s="50"/>
      <c r="Z12" s="50"/>
      <c r="AA12" s="53">
        <v>1</v>
      </c>
      <c r="AB12" s="50"/>
      <c r="AC12" s="51">
        <v>773500</v>
      </c>
      <c r="AD12" s="51">
        <v>25040</v>
      </c>
      <c r="AE12" s="51">
        <v>0.46</v>
      </c>
      <c r="AF12" s="51">
        <v>0</v>
      </c>
      <c r="AG12" s="51">
        <v>0</v>
      </c>
      <c r="AH12" s="51">
        <v>0</v>
      </c>
      <c r="AI12" s="51">
        <v>0</v>
      </c>
      <c r="AJ12" s="50"/>
      <c r="AK12" s="50">
        <v>1</v>
      </c>
      <c r="AL12" s="50">
        <v>1</v>
      </c>
      <c r="AM12" s="50">
        <v>1</v>
      </c>
      <c r="AN12" s="50">
        <v>1</v>
      </c>
      <c r="AO12" s="50">
        <v>0</v>
      </c>
    </row>
    <row r="13" spans="1:4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J13" s="47"/>
      <c r="K13" s="47"/>
      <c r="M13" s="49"/>
      <c r="N13" s="50"/>
      <c r="O13" s="51"/>
      <c r="P13" s="51"/>
      <c r="Q13" s="50"/>
      <c r="R13" s="50"/>
      <c r="S13" s="50"/>
      <c r="T13" s="50"/>
      <c r="U13" s="52"/>
      <c r="V13" s="52"/>
      <c r="W13" s="50"/>
      <c r="X13" s="50"/>
      <c r="Y13" s="50"/>
      <c r="Z13" s="50"/>
      <c r="AA13" s="53"/>
      <c r="AB13" s="50"/>
      <c r="AC13" s="51"/>
      <c r="AD13" s="51"/>
      <c r="AE13" s="51"/>
      <c r="AF13" s="51"/>
      <c r="AG13" s="51"/>
      <c r="AH13" s="51"/>
      <c r="AI13" s="51"/>
      <c r="AJ13" s="50"/>
      <c r="AK13" s="50"/>
      <c r="AL13" s="50"/>
      <c r="AM13" s="50"/>
      <c r="AN13" s="50"/>
      <c r="AO13" s="50"/>
    </row>
    <row r="14" spans="1:4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J14" s="47"/>
      <c r="K14" s="47"/>
      <c r="M14" s="49"/>
      <c r="N14" s="50"/>
      <c r="O14" s="51"/>
      <c r="P14" s="51"/>
      <c r="Q14" s="50"/>
      <c r="R14" s="50"/>
      <c r="S14" s="50"/>
      <c r="T14" s="50"/>
      <c r="U14" s="52"/>
      <c r="V14" s="52"/>
      <c r="W14" s="50"/>
      <c r="X14" s="50"/>
      <c r="Y14" s="50"/>
      <c r="Z14" s="50"/>
      <c r="AA14" s="53"/>
      <c r="AB14" s="50"/>
      <c r="AC14" s="51"/>
      <c r="AD14" s="51"/>
      <c r="AE14" s="51"/>
      <c r="AF14" s="51"/>
      <c r="AG14" s="51"/>
      <c r="AH14" s="51"/>
      <c r="AI14" s="51"/>
      <c r="AJ14" s="50"/>
      <c r="AK14" s="50"/>
      <c r="AL14" s="50"/>
      <c r="AM14" s="50"/>
      <c r="AN14" s="50"/>
      <c r="AO14" s="50"/>
    </row>
    <row r="15" spans="1:41" x14ac:dyDescent="0.25">
      <c r="A15" s="33" t="s">
        <v>44</v>
      </c>
      <c r="B15" s="61">
        <v>207000000</v>
      </c>
      <c r="C15" s="45" t="s">
        <v>47</v>
      </c>
      <c r="J15" s="47"/>
      <c r="K15" s="47"/>
      <c r="M15" s="49"/>
      <c r="N15" s="50"/>
      <c r="O15" s="51"/>
      <c r="P15" s="51"/>
      <c r="Q15" s="50"/>
      <c r="R15" s="50"/>
      <c r="S15" s="50"/>
      <c r="T15" s="50"/>
      <c r="U15" s="52"/>
      <c r="V15" s="52"/>
      <c r="W15" s="50"/>
      <c r="X15" s="50"/>
      <c r="Y15" s="50"/>
      <c r="Z15" s="50"/>
      <c r="AA15" s="53"/>
      <c r="AB15" s="50"/>
      <c r="AC15" s="51"/>
      <c r="AD15" s="51"/>
      <c r="AE15" s="51"/>
      <c r="AF15" s="51"/>
      <c r="AG15" s="51"/>
      <c r="AH15" s="51"/>
      <c r="AI15" s="51"/>
      <c r="AJ15" s="50"/>
      <c r="AK15" s="50"/>
      <c r="AL15" s="50"/>
      <c r="AM15" s="50"/>
      <c r="AN15" s="50"/>
      <c r="AO15" s="50"/>
    </row>
    <row r="16" spans="1:4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/>
      <c r="J16" s="47"/>
      <c r="K16" s="47"/>
      <c r="M16" s="49"/>
      <c r="N16" s="50"/>
      <c r="O16" s="51"/>
      <c r="P16" s="51"/>
      <c r="Q16" s="50"/>
      <c r="R16" s="50"/>
      <c r="S16" s="50"/>
      <c r="T16" s="50"/>
      <c r="U16" s="52"/>
      <c r="V16" s="52"/>
      <c r="W16" s="50"/>
      <c r="X16" s="50"/>
      <c r="Y16" s="50"/>
      <c r="Z16" s="50"/>
      <c r="AA16" s="53"/>
      <c r="AB16" s="50"/>
      <c r="AC16" s="51"/>
      <c r="AD16" s="51"/>
      <c r="AE16" s="51"/>
      <c r="AF16" s="51"/>
      <c r="AG16" s="51"/>
      <c r="AH16" s="51"/>
      <c r="AI16" s="51"/>
      <c r="AJ16" s="50"/>
      <c r="AK16" s="50"/>
      <c r="AL16" s="50"/>
      <c r="AM16" s="50"/>
      <c r="AN16" s="50"/>
      <c r="AO16" s="50"/>
    </row>
    <row r="17" spans="1:41" s="56" customFormat="1" x14ac:dyDescent="0.25">
      <c r="A17" s="33" t="s">
        <v>98</v>
      </c>
      <c r="B17" s="57">
        <v>0.53</v>
      </c>
      <c r="C17" s="45"/>
      <c r="D17" s="38"/>
      <c r="E17" s="38"/>
      <c r="J17" s="47"/>
      <c r="K17" s="47"/>
      <c r="L17" s="33"/>
      <c r="M17" s="49"/>
      <c r="N17" s="50"/>
      <c r="O17" s="51"/>
      <c r="P17" s="51"/>
      <c r="Q17" s="50"/>
      <c r="R17" s="50"/>
      <c r="S17" s="50"/>
      <c r="T17" s="50"/>
      <c r="U17" s="52"/>
      <c r="V17" s="52"/>
      <c r="W17" s="50"/>
      <c r="X17" s="50"/>
      <c r="Y17" s="50"/>
      <c r="Z17" s="50"/>
      <c r="AA17" s="53"/>
      <c r="AB17" s="50"/>
      <c r="AC17" s="51"/>
      <c r="AD17" s="51"/>
      <c r="AE17" s="51"/>
      <c r="AF17" s="51"/>
      <c r="AG17" s="51"/>
      <c r="AH17" s="51"/>
      <c r="AI17" s="51"/>
      <c r="AJ17" s="50"/>
      <c r="AK17" s="50"/>
      <c r="AL17" s="50"/>
      <c r="AM17" s="50"/>
      <c r="AN17" s="50"/>
      <c r="AO17" s="50"/>
    </row>
    <row r="18" spans="1:41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L18" s="48"/>
      <c r="M18" s="49" t="s">
        <v>94</v>
      </c>
      <c r="N18" s="47"/>
      <c r="O18" s="63"/>
      <c r="P18" s="47"/>
      <c r="Q18" s="47"/>
      <c r="R18" s="64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</row>
    <row r="19" spans="1:41" x14ac:dyDescent="0.25">
      <c r="A19" s="38" t="s">
        <v>38</v>
      </c>
      <c r="B19" s="38" t="s">
        <v>30</v>
      </c>
      <c r="C19" s="38" t="s">
        <v>59</v>
      </c>
      <c r="D19" s="43"/>
      <c r="E19" s="35"/>
      <c r="L19" s="48"/>
      <c r="M19" s="49" t="s">
        <v>94</v>
      </c>
      <c r="N19" s="47"/>
      <c r="O19" s="50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</row>
    <row r="20" spans="1:41" x14ac:dyDescent="0.25">
      <c r="A20" s="66">
        <v>1</v>
      </c>
      <c r="B20" s="66">
        <v>0</v>
      </c>
      <c r="C20" s="67">
        <v>0.09</v>
      </c>
      <c r="D20" s="43"/>
      <c r="L20" s="48"/>
      <c r="M20" s="49" t="s">
        <v>94</v>
      </c>
      <c r="N20" s="47"/>
      <c r="O20" s="50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</row>
    <row r="21" spans="1:41" x14ac:dyDescent="0.25">
      <c r="A21" s="66"/>
      <c r="B21" s="66"/>
      <c r="C21" s="67"/>
      <c r="D21" s="43"/>
      <c r="L21" s="48"/>
      <c r="M21" s="49" t="s">
        <v>94</v>
      </c>
      <c r="N21" s="47"/>
      <c r="O21" s="50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</row>
    <row r="22" spans="1:41" x14ac:dyDescent="0.25">
      <c r="A22" s="66"/>
      <c r="B22" s="66"/>
      <c r="C22" s="67"/>
      <c r="D22" s="35"/>
      <c r="L22" s="48"/>
      <c r="M22" s="49" t="s">
        <v>94</v>
      </c>
      <c r="N22" s="47"/>
      <c r="O22" s="50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</row>
    <row r="23" spans="1:41" x14ac:dyDescent="0.25">
      <c r="A23" s="66"/>
      <c r="B23" s="66"/>
      <c r="C23" s="67"/>
      <c r="D23" s="35"/>
      <c r="L23" s="48"/>
      <c r="M23" s="49" t="s">
        <v>94</v>
      </c>
      <c r="N23" s="47"/>
      <c r="O23" s="50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</row>
    <row r="24" spans="1:41" x14ac:dyDescent="0.25">
      <c r="A24" s="66"/>
      <c r="B24" s="66"/>
      <c r="C24" s="67"/>
      <c r="D24" s="35"/>
      <c r="L24" s="48"/>
      <c r="M24" s="49" t="s">
        <v>94</v>
      </c>
      <c r="N24" s="47"/>
      <c r="O24" s="50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</row>
    <row r="25" spans="1:41" x14ac:dyDescent="0.25">
      <c r="A25" s="66"/>
      <c r="B25" s="66"/>
      <c r="C25" s="67"/>
      <c r="D25" s="35"/>
      <c r="L25" s="48"/>
      <c r="M25" s="49" t="s">
        <v>94</v>
      </c>
      <c r="N25" s="47"/>
      <c r="O25" s="50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</row>
    <row r="26" spans="1:41" x14ac:dyDescent="0.25">
      <c r="A26" s="66"/>
      <c r="B26" s="66"/>
      <c r="C26" s="67"/>
      <c r="D26" s="35"/>
      <c r="L26" s="48"/>
      <c r="M26" s="49" t="s">
        <v>94</v>
      </c>
      <c r="N26" s="47"/>
      <c r="O26" s="50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</row>
    <row r="27" spans="1:41" x14ac:dyDescent="0.25">
      <c r="A27" s="66"/>
      <c r="B27" s="66"/>
      <c r="C27" s="67"/>
      <c r="D27" s="35"/>
      <c r="L27" s="48"/>
      <c r="M27" s="49" t="s">
        <v>94</v>
      </c>
      <c r="N27" s="47"/>
      <c r="O27" s="50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</row>
    <row r="28" spans="1:41" x14ac:dyDescent="0.25">
      <c r="A28" s="66"/>
      <c r="B28" s="66"/>
      <c r="C28" s="67"/>
      <c r="D28" s="35"/>
      <c r="L28" s="48"/>
      <c r="M28" s="49" t="s">
        <v>94</v>
      </c>
      <c r="N28" s="47"/>
      <c r="O28" s="50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</row>
    <row r="29" spans="1:41" x14ac:dyDescent="0.25">
      <c r="A29" s="66"/>
      <c r="B29" s="66"/>
      <c r="C29" s="67"/>
      <c r="D29" s="35"/>
      <c r="L29" s="48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</row>
    <row r="30" spans="1:41" x14ac:dyDescent="0.25">
      <c r="A30" s="66"/>
      <c r="B30" s="66"/>
      <c r="C30" s="67"/>
      <c r="D30" s="35"/>
      <c r="L30" s="48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</row>
    <row r="31" spans="1:41" x14ac:dyDescent="0.25">
      <c r="A31" s="66"/>
      <c r="B31" s="66"/>
      <c r="C31" s="67"/>
      <c r="D31" s="35"/>
      <c r="L31" s="48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</row>
    <row r="32" spans="1:41" x14ac:dyDescent="0.25">
      <c r="A32" s="66"/>
      <c r="B32" s="66"/>
      <c r="C32" s="67"/>
      <c r="D32" s="35"/>
      <c r="L32" s="48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</row>
    <row r="33" spans="1:40" x14ac:dyDescent="0.25">
      <c r="A33" s="66"/>
      <c r="B33" s="66"/>
      <c r="C33" s="67"/>
      <c r="D33" s="35"/>
      <c r="L33" s="48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</row>
    <row r="34" spans="1:40" x14ac:dyDescent="0.25">
      <c r="L34" s="48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</row>
    <row r="35" spans="1:40" x14ac:dyDescent="0.25">
      <c r="L35" s="48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</row>
    <row r="36" spans="1:40" x14ac:dyDescent="0.25">
      <c r="L36" s="48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</row>
    <row r="37" spans="1:40" x14ac:dyDescent="0.25">
      <c r="L37" s="48"/>
      <c r="AE37" s="47"/>
      <c r="AF37" s="47" t="s">
        <v>104</v>
      </c>
      <c r="AG37" s="47" t="s">
        <v>105</v>
      </c>
      <c r="AH37" s="47" t="s">
        <v>66</v>
      </c>
    </row>
    <row r="38" spans="1:40" x14ac:dyDescent="0.25">
      <c r="L38" s="48"/>
      <c r="AE38" s="33" t="s">
        <v>99</v>
      </c>
      <c r="AF38" s="33" t="s">
        <v>100</v>
      </c>
      <c r="AG38" s="33" t="s">
        <v>101</v>
      </c>
    </row>
    <row r="39" spans="1:40" x14ac:dyDescent="0.25">
      <c r="L39" s="48"/>
      <c r="AE39" s="33">
        <v>15</v>
      </c>
      <c r="AF39" s="33">
        <v>48</v>
      </c>
      <c r="AG39" s="33">
        <v>1900</v>
      </c>
      <c r="AH39" s="33">
        <v>8</v>
      </c>
    </row>
    <row r="40" spans="1:40" x14ac:dyDescent="0.25">
      <c r="L40" s="48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0" x14ac:dyDescent="0.25">
      <c r="L41" s="48"/>
      <c r="AE41" s="33">
        <v>17</v>
      </c>
      <c r="AF41" s="33">
        <f t="shared" ref="AF41:AF44" si="2">AF40+3.8</f>
        <v>55.599999999999994</v>
      </c>
      <c r="AG41" s="33">
        <f t="shared" ref="AG41:AG43" si="3">AG40+200</f>
        <v>2300</v>
      </c>
      <c r="AH41" s="33">
        <f t="shared" ref="AH41:AH44" si="4">AH40+0.8</f>
        <v>9.6000000000000014</v>
      </c>
    </row>
    <row r="42" spans="1:40" x14ac:dyDescent="0.25">
      <c r="L42" s="48"/>
      <c r="AE42" s="33">
        <v>18</v>
      </c>
      <c r="AF42" s="33">
        <f t="shared" si="2"/>
        <v>59.399999999999991</v>
      </c>
      <c r="AG42" s="33">
        <f t="shared" si="3"/>
        <v>2500</v>
      </c>
      <c r="AH42" s="33">
        <f t="shared" si="4"/>
        <v>10.400000000000002</v>
      </c>
    </row>
    <row r="43" spans="1:40" x14ac:dyDescent="0.25">
      <c r="L43" s="48"/>
      <c r="AE43" s="33">
        <v>19</v>
      </c>
      <c r="AF43" s="33">
        <f t="shared" si="2"/>
        <v>63.199999999999989</v>
      </c>
      <c r="AG43" s="33">
        <f t="shared" si="3"/>
        <v>2700</v>
      </c>
      <c r="AH43" s="33">
        <f t="shared" si="4"/>
        <v>11.200000000000003</v>
      </c>
    </row>
    <row r="44" spans="1:40" x14ac:dyDescent="0.25">
      <c r="L44" s="48"/>
      <c r="AE44" s="33">
        <v>20</v>
      </c>
      <c r="AF44" s="33">
        <f t="shared" si="2"/>
        <v>66.999999999999986</v>
      </c>
      <c r="AG44" s="33">
        <f>AG43+200</f>
        <v>2900</v>
      </c>
      <c r="AH44" s="33">
        <f t="shared" si="4"/>
        <v>12.000000000000004</v>
      </c>
    </row>
    <row r="45" spans="1:40" x14ac:dyDescent="0.25">
      <c r="L45" s="48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0" x14ac:dyDescent="0.25">
      <c r="L46" s="48"/>
      <c r="AE46" s="33">
        <v>22</v>
      </c>
      <c r="AF46" s="33">
        <f t="shared" ref="AF46:AF49" si="5">AF45+2.8</f>
        <v>72.59999999999998</v>
      </c>
      <c r="AG46" s="33">
        <f t="shared" ref="AG46:AG48" si="6">AG45+380</f>
        <v>3660</v>
      </c>
      <c r="AH46" s="33">
        <f t="shared" ref="AH46:AH49" si="7">AH45+1.6</f>
        <v>15.200000000000003</v>
      </c>
    </row>
    <row r="47" spans="1:40" x14ac:dyDescent="0.25">
      <c r="L47" s="48"/>
      <c r="AE47" s="33">
        <v>23</v>
      </c>
      <c r="AF47" s="33">
        <f t="shared" si="5"/>
        <v>75.399999999999977</v>
      </c>
      <c r="AG47" s="33">
        <f t="shared" si="6"/>
        <v>4040</v>
      </c>
      <c r="AH47" s="33">
        <f t="shared" si="7"/>
        <v>16.800000000000004</v>
      </c>
    </row>
    <row r="48" spans="1:40" x14ac:dyDescent="0.25">
      <c r="L48" s="48"/>
      <c r="AE48" s="33">
        <v>24</v>
      </c>
      <c r="AF48" s="33">
        <f t="shared" si="5"/>
        <v>78.199999999999974</v>
      </c>
      <c r="AG48" s="33">
        <f t="shared" si="6"/>
        <v>4420</v>
      </c>
      <c r="AH48" s="33">
        <f t="shared" si="7"/>
        <v>18.400000000000006</v>
      </c>
    </row>
    <row r="49" spans="12:34" x14ac:dyDescent="0.25">
      <c r="L49" s="48"/>
      <c r="AE49" s="33">
        <v>25</v>
      </c>
      <c r="AF49" s="33">
        <f t="shared" si="5"/>
        <v>80.999999999999972</v>
      </c>
      <c r="AG49" s="33">
        <v>4800</v>
      </c>
      <c r="AH49" s="33">
        <f t="shared" si="7"/>
        <v>20.000000000000007</v>
      </c>
    </row>
    <row r="50" spans="12:34" x14ac:dyDescent="0.25">
      <c r="L50" s="48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8"/>
      <c r="AE51" s="33">
        <v>27</v>
      </c>
      <c r="AF51" s="33">
        <f t="shared" ref="AF51:AF54" si="8">AF50+3</f>
        <v>86.999999999999972</v>
      </c>
      <c r="AG51" s="33">
        <f t="shared" ref="AG51:AG54" si="9">AG50+960</f>
        <v>6720</v>
      </c>
      <c r="AH51" s="33">
        <f t="shared" ref="AH51:AH54" si="10">AH50+4</f>
        <v>28.000000000000007</v>
      </c>
    </row>
    <row r="52" spans="12:34" x14ac:dyDescent="0.25">
      <c r="L52" s="48"/>
      <c r="AE52" s="33">
        <v>28</v>
      </c>
      <c r="AF52" s="33">
        <f t="shared" si="8"/>
        <v>89.999999999999972</v>
      </c>
      <c r="AG52" s="33">
        <f t="shared" si="9"/>
        <v>7680</v>
      </c>
      <c r="AH52" s="33">
        <f t="shared" si="10"/>
        <v>32.000000000000007</v>
      </c>
    </row>
    <row r="53" spans="12:34" x14ac:dyDescent="0.25">
      <c r="L53" s="48"/>
      <c r="AE53" s="33">
        <v>29</v>
      </c>
      <c r="AF53" s="33">
        <f t="shared" si="8"/>
        <v>92.999999999999972</v>
      </c>
      <c r="AG53" s="33">
        <f t="shared" si="9"/>
        <v>8640</v>
      </c>
      <c r="AH53" s="33">
        <f t="shared" si="10"/>
        <v>36.000000000000007</v>
      </c>
    </row>
    <row r="54" spans="12:34" x14ac:dyDescent="0.25">
      <c r="L54" s="48"/>
      <c r="AE54" s="33">
        <v>30</v>
      </c>
      <c r="AF54" s="33">
        <f t="shared" si="8"/>
        <v>95.999999999999972</v>
      </c>
      <c r="AG54" s="33">
        <f t="shared" si="9"/>
        <v>9600</v>
      </c>
      <c r="AH54" s="33">
        <f t="shared" si="10"/>
        <v>40.000000000000007</v>
      </c>
    </row>
    <row r="55" spans="12:34" x14ac:dyDescent="0.25">
      <c r="L55" s="48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8"/>
      <c r="AE56" s="33">
        <v>32</v>
      </c>
      <c r="AF56" s="33">
        <f t="shared" ref="AF56:AF59" si="11">AF55+3.8</f>
        <v>103.59999999999997</v>
      </c>
      <c r="AG56" s="33">
        <f t="shared" ref="AG56:AG59" si="12">AG55+480</f>
        <v>10560</v>
      </c>
      <c r="AH56" s="33">
        <f t="shared" ref="AH56:AH59" si="13">AH55+2</f>
        <v>44.000000000000007</v>
      </c>
    </row>
    <row r="57" spans="12:34" x14ac:dyDescent="0.25">
      <c r="L57" s="48"/>
      <c r="AE57" s="33">
        <v>33</v>
      </c>
      <c r="AF57" s="33">
        <f t="shared" si="11"/>
        <v>107.39999999999996</v>
      </c>
      <c r="AG57" s="33">
        <f t="shared" si="12"/>
        <v>11040</v>
      </c>
      <c r="AH57" s="33">
        <f t="shared" si="13"/>
        <v>46.000000000000007</v>
      </c>
    </row>
    <row r="58" spans="12:34" x14ac:dyDescent="0.25">
      <c r="L58" s="48"/>
      <c r="AE58" s="33">
        <v>34</v>
      </c>
      <c r="AF58" s="33">
        <f t="shared" si="11"/>
        <v>111.19999999999996</v>
      </c>
      <c r="AG58" s="33">
        <f t="shared" si="12"/>
        <v>11520</v>
      </c>
      <c r="AH58" s="33">
        <f t="shared" si="13"/>
        <v>48.000000000000007</v>
      </c>
    </row>
    <row r="59" spans="12:34" x14ac:dyDescent="0.25">
      <c r="L59" s="48"/>
      <c r="AE59" s="33">
        <v>35</v>
      </c>
      <c r="AF59" s="33">
        <f t="shared" si="11"/>
        <v>114.99999999999996</v>
      </c>
      <c r="AG59" s="33">
        <f t="shared" si="12"/>
        <v>12000</v>
      </c>
      <c r="AH59" s="33">
        <f t="shared" si="13"/>
        <v>50.000000000000007</v>
      </c>
    </row>
    <row r="60" spans="12:34" x14ac:dyDescent="0.25">
      <c r="L60" s="48"/>
      <c r="AE60" s="33">
        <v>36</v>
      </c>
    </row>
    <row r="61" spans="12:34" x14ac:dyDescent="0.25">
      <c r="L61" s="48"/>
      <c r="AE61" s="33">
        <v>37</v>
      </c>
    </row>
    <row r="62" spans="12:34" x14ac:dyDescent="0.25">
      <c r="L62" s="48"/>
    </row>
    <row r="63" spans="12:34" x14ac:dyDescent="0.25">
      <c r="L63" s="48"/>
    </row>
    <row r="64" spans="12:34" x14ac:dyDescent="0.25">
      <c r="L64" s="48"/>
    </row>
    <row r="65" spans="12:12" x14ac:dyDescent="0.25">
      <c r="L65" s="48"/>
    </row>
    <row r="66" spans="12:12" x14ac:dyDescent="0.25">
      <c r="L66" s="48"/>
    </row>
    <row r="67" spans="12:12" x14ac:dyDescent="0.25">
      <c r="L67" s="48"/>
    </row>
    <row r="68" spans="12:12" x14ac:dyDescent="0.25">
      <c r="L68" s="48"/>
    </row>
    <row r="69" spans="12:12" x14ac:dyDescent="0.25">
      <c r="L69" s="48"/>
    </row>
    <row r="70" spans="12:12" x14ac:dyDescent="0.25">
      <c r="L70" s="48"/>
    </row>
    <row r="71" spans="12:12" x14ac:dyDescent="0.25">
      <c r="L71" s="48"/>
    </row>
    <row r="72" spans="12:12" x14ac:dyDescent="0.25">
      <c r="L72" s="48"/>
    </row>
    <row r="73" spans="12:12" x14ac:dyDescent="0.25">
      <c r="L73" s="48"/>
    </row>
    <row r="74" spans="12:12" x14ac:dyDescent="0.25">
      <c r="L74" s="48"/>
    </row>
    <row r="75" spans="12:12" x14ac:dyDescent="0.25">
      <c r="L75" s="48"/>
    </row>
    <row r="76" spans="12:12" x14ac:dyDescent="0.25">
      <c r="L76" s="48"/>
    </row>
    <row r="77" spans="12:12" x14ac:dyDescent="0.25">
      <c r="L77" s="48"/>
    </row>
    <row r="78" spans="12:12" x14ac:dyDescent="0.25">
      <c r="L78" s="48"/>
    </row>
    <row r="79" spans="12:12" x14ac:dyDescent="0.25">
      <c r="L79" s="48"/>
    </row>
    <row r="80" spans="12:12" x14ac:dyDescent="0.25">
      <c r="L80" s="48"/>
    </row>
    <row r="81" spans="12:12" x14ac:dyDescent="0.25">
      <c r="L81" s="48"/>
    </row>
    <row r="82" spans="12:12" x14ac:dyDescent="0.25">
      <c r="L82" s="48"/>
    </row>
    <row r="83" spans="12:12" x14ac:dyDescent="0.25">
      <c r="L83" s="48"/>
    </row>
    <row r="84" spans="12:12" x14ac:dyDescent="0.25">
      <c r="L84" s="48"/>
    </row>
    <row r="85" spans="12:12" x14ac:dyDescent="0.25">
      <c r="L85" s="48"/>
    </row>
    <row r="86" spans="12:12" x14ac:dyDescent="0.25">
      <c r="L86" s="48"/>
    </row>
    <row r="87" spans="12:12" x14ac:dyDescent="0.25">
      <c r="L87" s="48"/>
    </row>
    <row r="88" spans="12:12" x14ac:dyDescent="0.25">
      <c r="L88" s="48"/>
    </row>
    <row r="89" spans="12:12" x14ac:dyDescent="0.25">
      <c r="L89" s="48"/>
    </row>
    <row r="90" spans="12:12" x14ac:dyDescent="0.25">
      <c r="L90" s="48"/>
    </row>
    <row r="91" spans="12:12" x14ac:dyDescent="0.25">
      <c r="L91" s="48"/>
    </row>
    <row r="92" spans="12:12" x14ac:dyDescent="0.25">
      <c r="L92" s="48"/>
    </row>
    <row r="93" spans="12:12" x14ac:dyDescent="0.25">
      <c r="L93" s="48"/>
    </row>
    <row r="94" spans="12:12" x14ac:dyDescent="0.25">
      <c r="L94" s="48"/>
    </row>
    <row r="95" spans="12:12" x14ac:dyDescent="0.25">
      <c r="L95" s="48"/>
    </row>
    <row r="96" spans="12:12" x14ac:dyDescent="0.25">
      <c r="L96" s="48"/>
    </row>
    <row r="97" spans="12:12" x14ac:dyDescent="0.25">
      <c r="L97" s="48"/>
    </row>
    <row r="98" spans="12:12" x14ac:dyDescent="0.25">
      <c r="L98" s="48"/>
    </row>
    <row r="99" spans="12:12" x14ac:dyDescent="0.25">
      <c r="L99" s="48"/>
    </row>
    <row r="100" spans="12:12" x14ac:dyDescent="0.25">
      <c r="L100" s="48"/>
    </row>
    <row r="101" spans="12:12" x14ac:dyDescent="0.25">
      <c r="L101" s="48"/>
    </row>
    <row r="102" spans="12:12" x14ac:dyDescent="0.25">
      <c r="L102" s="48"/>
    </row>
    <row r="103" spans="12:12" x14ac:dyDescent="0.25">
      <c r="L103" s="48"/>
    </row>
    <row r="104" spans="12:12" x14ac:dyDescent="0.25">
      <c r="L104" s="48"/>
    </row>
    <row r="105" spans="12:12" x14ac:dyDescent="0.25">
      <c r="L105" s="48"/>
    </row>
    <row r="106" spans="12:12" x14ac:dyDescent="0.25">
      <c r="L106" s="48"/>
    </row>
    <row r="107" spans="12:12" x14ac:dyDescent="0.25">
      <c r="L107" s="48"/>
    </row>
    <row r="108" spans="12:12" x14ac:dyDescent="0.25">
      <c r="L108" s="48"/>
    </row>
    <row r="109" spans="12:12" x14ac:dyDescent="0.25">
      <c r="L109" s="48"/>
    </row>
    <row r="110" spans="12:12" x14ac:dyDescent="0.25">
      <c r="L110" s="48"/>
    </row>
    <row r="111" spans="12:12" x14ac:dyDescent="0.25">
      <c r="L111" s="48"/>
    </row>
    <row r="112" spans="12:12" x14ac:dyDescent="0.25">
      <c r="L112" s="48"/>
    </row>
    <row r="113" spans="12:12" x14ac:dyDescent="0.25">
      <c r="L113" s="48"/>
    </row>
    <row r="114" spans="12:12" x14ac:dyDescent="0.25">
      <c r="L114" s="48"/>
    </row>
    <row r="115" spans="12:12" x14ac:dyDescent="0.25">
      <c r="L115" s="48"/>
    </row>
    <row r="116" spans="12:12" x14ac:dyDescent="0.25">
      <c r="L116" s="48"/>
    </row>
    <row r="117" spans="12:12" x14ac:dyDescent="0.25">
      <c r="L117" s="48"/>
    </row>
    <row r="118" spans="12:12" x14ac:dyDescent="0.25">
      <c r="L118" s="48"/>
    </row>
    <row r="119" spans="12:12" x14ac:dyDescent="0.25">
      <c r="L119" s="48"/>
    </row>
    <row r="120" spans="12:12" x14ac:dyDescent="0.25">
      <c r="L120" s="48"/>
    </row>
    <row r="121" spans="12:12" x14ac:dyDescent="0.25">
      <c r="L121" s="48"/>
    </row>
    <row r="122" spans="12:12" x14ac:dyDescent="0.25">
      <c r="L122" s="48"/>
    </row>
    <row r="123" spans="12:12" x14ac:dyDescent="0.25">
      <c r="L123" s="48"/>
    </row>
    <row r="124" spans="12:12" x14ac:dyDescent="0.25">
      <c r="L124" s="48"/>
    </row>
    <row r="125" spans="12:12" x14ac:dyDescent="0.25">
      <c r="L125" s="48"/>
    </row>
    <row r="126" spans="12:12" x14ac:dyDescent="0.25">
      <c r="L126" s="48"/>
    </row>
    <row r="127" spans="12:12" x14ac:dyDescent="0.25">
      <c r="L127" s="48"/>
    </row>
    <row r="128" spans="12:12" x14ac:dyDescent="0.25">
      <c r="L128" s="48"/>
    </row>
    <row r="129" spans="12:12" x14ac:dyDescent="0.25">
      <c r="L129" s="48"/>
    </row>
    <row r="130" spans="12:12" x14ac:dyDescent="0.25">
      <c r="L130" s="48"/>
    </row>
    <row r="131" spans="12:12" x14ac:dyDescent="0.25">
      <c r="L131" s="48"/>
    </row>
    <row r="132" spans="12:12" x14ac:dyDescent="0.25">
      <c r="L132" s="48"/>
    </row>
    <row r="133" spans="12:12" x14ac:dyDescent="0.25">
      <c r="L133" s="48"/>
    </row>
    <row r="134" spans="12:12" x14ac:dyDescent="0.25">
      <c r="L134" s="48"/>
    </row>
    <row r="135" spans="12:12" x14ac:dyDescent="0.25">
      <c r="L135" s="48"/>
    </row>
    <row r="136" spans="12:12" x14ac:dyDescent="0.25">
      <c r="L136" s="48"/>
    </row>
    <row r="137" spans="12:12" x14ac:dyDescent="0.25">
      <c r="L137" s="48"/>
    </row>
    <row r="138" spans="12:12" x14ac:dyDescent="0.25">
      <c r="L138" s="48"/>
    </row>
    <row r="139" spans="12:12" x14ac:dyDescent="0.25">
      <c r="L139" s="48"/>
    </row>
    <row r="140" spans="12:12" x14ac:dyDescent="0.25">
      <c r="L140" s="48"/>
    </row>
    <row r="141" spans="12:12" x14ac:dyDescent="0.25">
      <c r="L141" s="48"/>
    </row>
    <row r="142" spans="12:12" x14ac:dyDescent="0.25">
      <c r="L142" s="48"/>
    </row>
    <row r="143" spans="12:12" x14ac:dyDescent="0.25">
      <c r="L143" s="48"/>
    </row>
    <row r="144" spans="12:12" x14ac:dyDescent="0.25">
      <c r="L144" s="48"/>
    </row>
    <row r="145" spans="12:12" x14ac:dyDescent="0.25">
      <c r="L145" s="48"/>
    </row>
    <row r="146" spans="12:12" x14ac:dyDescent="0.25">
      <c r="L146" s="48"/>
    </row>
    <row r="147" spans="12:12" x14ac:dyDescent="0.25">
      <c r="L147" s="48"/>
    </row>
    <row r="148" spans="12:12" x14ac:dyDescent="0.25">
      <c r="L148" s="48"/>
    </row>
    <row r="149" spans="12:12" x14ac:dyDescent="0.25">
      <c r="L149" s="48"/>
    </row>
    <row r="150" spans="12:12" x14ac:dyDescent="0.25">
      <c r="L150" s="48"/>
    </row>
    <row r="151" spans="12:12" x14ac:dyDescent="0.25">
      <c r="L151" s="48"/>
    </row>
    <row r="152" spans="12:12" x14ac:dyDescent="0.25">
      <c r="L152" s="48"/>
    </row>
    <row r="153" spans="12:12" x14ac:dyDescent="0.25">
      <c r="L153" s="48"/>
    </row>
    <row r="154" spans="12:12" x14ac:dyDescent="0.25">
      <c r="L154" s="48"/>
    </row>
    <row r="155" spans="12:12" x14ac:dyDescent="0.25">
      <c r="L155" s="48"/>
    </row>
    <row r="156" spans="12:12" x14ac:dyDescent="0.25">
      <c r="L156" s="48"/>
    </row>
    <row r="157" spans="12:12" x14ac:dyDescent="0.25">
      <c r="L157" s="48"/>
    </row>
    <row r="158" spans="12:12" x14ac:dyDescent="0.25">
      <c r="L158" s="48"/>
    </row>
    <row r="159" spans="12:12" x14ac:dyDescent="0.25">
      <c r="L159" s="48"/>
    </row>
    <row r="160" spans="12:12" x14ac:dyDescent="0.25">
      <c r="L160" s="48"/>
    </row>
    <row r="161" spans="12:12" x14ac:dyDescent="0.25">
      <c r="L161" s="48"/>
    </row>
    <row r="162" spans="12:12" x14ac:dyDescent="0.25">
      <c r="L162" s="48"/>
    </row>
    <row r="163" spans="12:12" x14ac:dyDescent="0.25">
      <c r="L163" s="48"/>
    </row>
    <row r="164" spans="12:12" x14ac:dyDescent="0.25">
      <c r="L164" s="48"/>
    </row>
    <row r="165" spans="12:12" x14ac:dyDescent="0.25">
      <c r="L165" s="48"/>
    </row>
    <row r="166" spans="12:12" x14ac:dyDescent="0.25">
      <c r="L166" s="48"/>
    </row>
    <row r="167" spans="12:12" x14ac:dyDescent="0.25">
      <c r="L167" s="48"/>
    </row>
    <row r="168" spans="12:12" x14ac:dyDescent="0.25">
      <c r="L168" s="48"/>
    </row>
    <row r="169" spans="12:12" x14ac:dyDescent="0.25">
      <c r="L169" s="48"/>
    </row>
    <row r="170" spans="12:12" x14ac:dyDescent="0.25">
      <c r="L170" s="48"/>
    </row>
    <row r="171" spans="12:12" x14ac:dyDescent="0.25">
      <c r="L171" s="48"/>
    </row>
    <row r="172" spans="12:12" x14ac:dyDescent="0.25">
      <c r="L172" s="48"/>
    </row>
    <row r="173" spans="12:12" x14ac:dyDescent="0.25">
      <c r="L173" s="48"/>
    </row>
    <row r="174" spans="12:12" x14ac:dyDescent="0.25">
      <c r="L174" s="48"/>
    </row>
    <row r="175" spans="12:12" x14ac:dyDescent="0.25">
      <c r="L175" s="48"/>
    </row>
    <row r="176" spans="12:12" x14ac:dyDescent="0.25">
      <c r="L176" s="48"/>
    </row>
    <row r="177" spans="12:12" x14ac:dyDescent="0.25">
      <c r="L177" s="48"/>
    </row>
    <row r="178" spans="12:12" x14ac:dyDescent="0.25">
      <c r="L178" s="48"/>
    </row>
    <row r="179" spans="12:12" x14ac:dyDescent="0.25">
      <c r="L179" s="48"/>
    </row>
    <row r="180" spans="12:12" x14ac:dyDescent="0.25">
      <c r="L180" s="48"/>
    </row>
    <row r="181" spans="12:12" x14ac:dyDescent="0.25">
      <c r="L181" s="48"/>
    </row>
    <row r="182" spans="12:12" x14ac:dyDescent="0.25">
      <c r="L182" s="48"/>
    </row>
    <row r="183" spans="12:12" x14ac:dyDescent="0.25">
      <c r="L183" s="48"/>
    </row>
    <row r="184" spans="12:12" x14ac:dyDescent="0.25">
      <c r="L184" s="48"/>
    </row>
    <row r="185" spans="12:12" x14ac:dyDescent="0.25">
      <c r="L185" s="48"/>
    </row>
    <row r="186" spans="12:12" x14ac:dyDescent="0.25">
      <c r="L186" s="48"/>
    </row>
    <row r="187" spans="12:12" x14ac:dyDescent="0.25">
      <c r="L187" s="48"/>
    </row>
    <row r="188" spans="12:12" x14ac:dyDescent="0.25">
      <c r="L188" s="48"/>
    </row>
    <row r="189" spans="12:12" x14ac:dyDescent="0.25">
      <c r="L189" s="48"/>
    </row>
    <row r="190" spans="12:12" x14ac:dyDescent="0.25">
      <c r="L190" s="48"/>
    </row>
    <row r="191" spans="12:12" x14ac:dyDescent="0.25">
      <c r="L191" s="48"/>
    </row>
    <row r="192" spans="12:12" x14ac:dyDescent="0.25">
      <c r="L192" s="48"/>
    </row>
    <row r="193" spans="12:12" x14ac:dyDescent="0.25">
      <c r="L193" s="48"/>
    </row>
    <row r="194" spans="12:12" x14ac:dyDescent="0.25">
      <c r="L194" s="48"/>
    </row>
    <row r="195" spans="12:12" x14ac:dyDescent="0.25">
      <c r="L195" s="48"/>
    </row>
    <row r="196" spans="12:12" x14ac:dyDescent="0.25">
      <c r="L196" s="48"/>
    </row>
    <row r="197" spans="12:12" x14ac:dyDescent="0.25">
      <c r="L197" s="48"/>
    </row>
    <row r="198" spans="12:12" x14ac:dyDescent="0.25">
      <c r="L198" s="48"/>
    </row>
    <row r="199" spans="12:12" x14ac:dyDescent="0.25">
      <c r="L199" s="48"/>
    </row>
    <row r="200" spans="12:12" x14ac:dyDescent="0.25">
      <c r="L200" s="48"/>
    </row>
    <row r="201" spans="12:12" x14ac:dyDescent="0.25">
      <c r="L201" s="48"/>
    </row>
    <row r="202" spans="12:12" x14ac:dyDescent="0.25">
      <c r="L202" s="48"/>
    </row>
    <row r="203" spans="12:12" x14ac:dyDescent="0.25">
      <c r="L203" s="48"/>
    </row>
    <row r="204" spans="12:12" x14ac:dyDescent="0.25">
      <c r="L204" s="48"/>
    </row>
    <row r="205" spans="12:12" x14ac:dyDescent="0.25">
      <c r="L205" s="48"/>
    </row>
    <row r="206" spans="12:12" x14ac:dyDescent="0.25">
      <c r="L206" s="48"/>
    </row>
    <row r="207" spans="12:12" x14ac:dyDescent="0.25">
      <c r="L207" s="48"/>
    </row>
    <row r="208" spans="12:12" x14ac:dyDescent="0.25">
      <c r="L208" s="48"/>
    </row>
    <row r="209" spans="12:12" x14ac:dyDescent="0.25">
      <c r="L209" s="48"/>
    </row>
    <row r="210" spans="12:12" x14ac:dyDescent="0.25">
      <c r="L210" s="48"/>
    </row>
    <row r="211" spans="12:12" x14ac:dyDescent="0.25">
      <c r="L211" s="48"/>
    </row>
    <row r="212" spans="12:12" x14ac:dyDescent="0.25">
      <c r="L212" s="48"/>
    </row>
    <row r="213" spans="12:12" x14ac:dyDescent="0.25">
      <c r="L213" s="48"/>
    </row>
    <row r="214" spans="12:12" x14ac:dyDescent="0.25">
      <c r="L214" s="48"/>
    </row>
    <row r="215" spans="12:12" x14ac:dyDescent="0.25">
      <c r="L215" s="48"/>
    </row>
    <row r="216" spans="12:12" x14ac:dyDescent="0.25">
      <c r="L216" s="48"/>
    </row>
    <row r="217" spans="12:12" x14ac:dyDescent="0.25">
      <c r="L217" s="48"/>
    </row>
    <row r="218" spans="12:12" x14ac:dyDescent="0.25">
      <c r="L218" s="48"/>
    </row>
    <row r="219" spans="12:12" x14ac:dyDescent="0.25">
      <c r="L219" s="48"/>
    </row>
    <row r="220" spans="12:12" x14ac:dyDescent="0.25">
      <c r="L220" s="48"/>
    </row>
    <row r="221" spans="12:12" x14ac:dyDescent="0.25">
      <c r="L221" s="48"/>
    </row>
    <row r="222" spans="12:12" x14ac:dyDescent="0.25">
      <c r="L222" s="48"/>
    </row>
    <row r="223" spans="12:12" x14ac:dyDescent="0.25">
      <c r="L223" s="48"/>
    </row>
    <row r="224" spans="12:12" x14ac:dyDescent="0.25">
      <c r="L224" s="48"/>
    </row>
    <row r="225" spans="12:12" x14ac:dyDescent="0.25">
      <c r="L225" s="48"/>
    </row>
    <row r="226" spans="12:12" x14ac:dyDescent="0.25">
      <c r="L226" s="48"/>
    </row>
    <row r="227" spans="12:12" x14ac:dyDescent="0.25">
      <c r="L227" s="48"/>
    </row>
    <row r="228" spans="12:12" x14ac:dyDescent="0.25">
      <c r="L228" s="48"/>
    </row>
    <row r="229" spans="12:12" x14ac:dyDescent="0.25">
      <c r="L229" s="48"/>
    </row>
    <row r="230" spans="12:12" x14ac:dyDescent="0.25">
      <c r="L230" s="48"/>
    </row>
    <row r="231" spans="12:12" x14ac:dyDescent="0.25">
      <c r="L231" s="48"/>
    </row>
    <row r="232" spans="12:12" x14ac:dyDescent="0.25">
      <c r="L232" s="48"/>
    </row>
    <row r="233" spans="12:12" x14ac:dyDescent="0.25">
      <c r="L233" s="48"/>
    </row>
    <row r="234" spans="12:12" x14ac:dyDescent="0.25">
      <c r="L234" s="48"/>
    </row>
    <row r="235" spans="12:12" x14ac:dyDescent="0.25">
      <c r="L235" s="48"/>
    </row>
    <row r="236" spans="12:12" x14ac:dyDescent="0.25">
      <c r="L236" s="48"/>
    </row>
    <row r="237" spans="12:12" x14ac:dyDescent="0.25">
      <c r="L237" s="48"/>
    </row>
    <row r="238" spans="12:12" x14ac:dyDescent="0.25">
      <c r="L238" s="48"/>
    </row>
    <row r="239" spans="12:12" x14ac:dyDescent="0.25">
      <c r="L239" s="48"/>
    </row>
    <row r="240" spans="12:12" x14ac:dyDescent="0.25">
      <c r="L240" s="48"/>
    </row>
    <row r="241" spans="12:12" x14ac:dyDescent="0.25">
      <c r="L241" s="48"/>
    </row>
    <row r="242" spans="12:12" x14ac:dyDescent="0.25">
      <c r="L242" s="48"/>
    </row>
    <row r="243" spans="12:12" x14ac:dyDescent="0.25">
      <c r="L243" s="48"/>
    </row>
    <row r="244" spans="12:12" x14ac:dyDescent="0.25">
      <c r="L244" s="48"/>
    </row>
    <row r="245" spans="12:12" x14ac:dyDescent="0.25">
      <c r="L245" s="48"/>
    </row>
    <row r="246" spans="12:12" x14ac:dyDescent="0.25">
      <c r="L246" s="48"/>
    </row>
    <row r="247" spans="12:12" x14ac:dyDescent="0.25">
      <c r="L247" s="48"/>
    </row>
    <row r="248" spans="12:12" x14ac:dyDescent="0.25">
      <c r="L248" s="48"/>
    </row>
    <row r="249" spans="12:12" x14ac:dyDescent="0.25">
      <c r="L249" s="48"/>
    </row>
    <row r="250" spans="12:12" x14ac:dyDescent="0.25">
      <c r="L250" s="48"/>
    </row>
    <row r="251" spans="12:12" x14ac:dyDescent="0.25">
      <c r="L251" s="48"/>
    </row>
    <row r="252" spans="12:12" x14ac:dyDescent="0.25">
      <c r="L252" s="48"/>
    </row>
    <row r="253" spans="12:12" x14ac:dyDescent="0.25">
      <c r="L253" s="48"/>
    </row>
    <row r="254" spans="12:12" x14ac:dyDescent="0.25">
      <c r="L254" s="48"/>
    </row>
    <row r="255" spans="12:12" x14ac:dyDescent="0.25">
      <c r="L255" s="48"/>
    </row>
  </sheetData>
  <mergeCells count="2">
    <mergeCell ref="R3:S3"/>
    <mergeCell ref="U3:V3"/>
  </mergeCells>
  <conditionalFormatting sqref="S11:T13 Q11:R14 N6:N14 AM6:AO14 AJ6:AJ15 Q6:T10 Z6:Z15 W6:Y13 AB6:AB15">
    <cfRule type="expression" dxfId="606" priority="200">
      <formula>$L6="API sand"</formula>
    </cfRule>
  </conditionalFormatting>
  <conditionalFormatting sqref="R18:S20 R29:S36 S21:S28 AD21:AD28 AB18:AB35 AK6:AL14 N6:N14">
    <cfRule type="expression" dxfId="605" priority="199">
      <formula>$M6="API sand"</formula>
    </cfRule>
  </conditionalFormatting>
  <conditionalFormatting sqref="R18:T20 R29:T36 S21:T28 AD21:AD28 AB18:AB35 AK6:AL14 N6:N14">
    <cfRule type="expression" dxfId="604" priority="198">
      <formula>$M6="API clay"</formula>
    </cfRule>
  </conditionalFormatting>
  <conditionalFormatting sqref="U18:W36 AM6:AN14 N6:P14 AC6:AI13 AA6:AA14 U6:V14">
    <cfRule type="expression" dxfId="603" priority="195">
      <formula>$L6="Stiff clay w/o free water"</formula>
    </cfRule>
    <cfRule type="expression" dxfId="602" priority="197">
      <formula>$L6="API clay"</formula>
    </cfRule>
  </conditionalFormatting>
  <conditionalFormatting sqref="U18:Y36 AM6:AN14 N6:P14 AC6:AI13 AA6:AA14 U6:V14">
    <cfRule type="expression" dxfId="601" priority="196">
      <formula>$L6="Kirsch soft clay"</formula>
    </cfRule>
  </conditionalFormatting>
  <conditionalFormatting sqref="U18:Y36 AM6:AN14 N6:P14 AC6:AI13 AA6:AA14 U6:V14">
    <cfRule type="expression" dxfId="600" priority="194">
      <formula>$L6="Kirsch stiff clay"</formula>
    </cfRule>
  </conditionalFormatting>
  <conditionalFormatting sqref="S11:T13 Q11:R14 N6:N14 AM6:AO14 AJ6:AJ15 Q6:T10 Z6:Z15 W6:Y13 AB6:AB15">
    <cfRule type="expression" dxfId="599" priority="193">
      <formula>$L6="Kirsch sand"</formula>
    </cfRule>
  </conditionalFormatting>
  <conditionalFormatting sqref="AC18:AI18 AC19:AD19 AI19 AM6:AN14 N6:N14">
    <cfRule type="expression" dxfId="598" priority="192">
      <formula>$L6="Modified Weak rock"</formula>
    </cfRule>
  </conditionalFormatting>
  <conditionalFormatting sqref="U18:V36 AM6:AN14 N6:P14 AC6:AI13 AA6:AA14 U6:V14">
    <cfRule type="expression" dxfId="597" priority="191">
      <formula>$L6="Reese stiff clay"</formula>
    </cfRule>
  </conditionalFormatting>
  <conditionalFormatting sqref="N18:N36 Q18:Q36 AM18:AN36">
    <cfRule type="expression" dxfId="596" priority="190">
      <formula>$L18="API sand"</formula>
    </cfRule>
  </conditionalFormatting>
  <conditionalFormatting sqref="N18:N36 AB36 AJ18:AL36 Z18:Z36">
    <cfRule type="expression" dxfId="595" priority="189">
      <formula>$M18="API sand"</formula>
    </cfRule>
  </conditionalFormatting>
  <conditionalFormatting sqref="Z36:AB36 AK18:AL36 N18:N36 Z18:AA35">
    <cfRule type="expression" dxfId="594" priority="188">
      <formula>$M18="API clay"</formula>
    </cfRule>
  </conditionalFormatting>
  <conditionalFormatting sqref="N18:P18 AM18:AN36 N29:P36 N19:N28 P19:P28">
    <cfRule type="expression" dxfId="593" priority="185">
      <formula>$L18="Stiff clay w/o free water"</formula>
    </cfRule>
    <cfRule type="expression" dxfId="592" priority="187">
      <formula>$L18="API clay"</formula>
    </cfRule>
  </conditionalFormatting>
  <conditionalFormatting sqref="N18:P18 AM18:AN36 N29:P36 N19:N28 P19:P28">
    <cfRule type="expression" dxfId="591" priority="186">
      <formula>$L18="Kirsch soft clay"</formula>
    </cfRule>
  </conditionalFormatting>
  <conditionalFormatting sqref="N18:P18 AM18:AN36 N29:P36 N19:N28 P19:P28">
    <cfRule type="expression" dxfId="590" priority="184">
      <formula>$L18="Kirsch stiff clay"</formula>
    </cfRule>
  </conditionalFormatting>
  <conditionalFormatting sqref="N18:N36 Q18:Q36 X18:Y36 AM18:AN36">
    <cfRule type="expression" dxfId="589" priority="183">
      <formula>$L18="Kirsch sand"</formula>
    </cfRule>
  </conditionalFormatting>
  <conditionalFormatting sqref="N18:N36 AM18:AN36 AC20:AD36 AI20:AI36">
    <cfRule type="expression" dxfId="588" priority="182">
      <formula>$L18="Modified Weak rock"</formula>
    </cfRule>
  </conditionalFormatting>
  <conditionalFormatting sqref="N18:P18 AM18:AN36 N29:P36 N19:N28 P19:P28">
    <cfRule type="expression" dxfId="587" priority="181">
      <formula>$L18="Reese stiff clay"</formula>
    </cfRule>
  </conditionalFormatting>
  <conditionalFormatting sqref="AM6:AN14 N6:P14 AC6:AI13 AA6:AA14 U6:V14">
    <cfRule type="expression" dxfId="586" priority="180">
      <formula>$L6="PISA clay"</formula>
    </cfRule>
  </conditionalFormatting>
  <conditionalFormatting sqref="AM6:AN14 N6:N14">
    <cfRule type="expression" dxfId="585" priority="179">
      <formula>$L6="PISA sand"</formula>
    </cfRule>
  </conditionalFormatting>
  <conditionalFormatting sqref="O19:O21">
    <cfRule type="expression" dxfId="584" priority="178">
      <formula>$L19="API sand"</formula>
    </cfRule>
  </conditionalFormatting>
  <conditionalFormatting sqref="O19:O21">
    <cfRule type="expression" dxfId="583" priority="177">
      <formula>$L19="Kirsch sand"</formula>
    </cfRule>
  </conditionalFormatting>
  <conditionalFormatting sqref="O22:O28">
    <cfRule type="expression" dxfId="582" priority="176">
      <formula>$L22="API sand"</formula>
    </cfRule>
  </conditionalFormatting>
  <conditionalFormatting sqref="O22:O28">
    <cfRule type="expression" dxfId="581" priority="175">
      <formula>$L22="Kirsch sand"</formula>
    </cfRule>
  </conditionalFormatting>
  <conditionalFormatting sqref="AE37:AH37">
    <cfRule type="expression" dxfId="580" priority="201">
      <formula>$L19="Modified Weak rock"</formula>
    </cfRule>
  </conditionalFormatting>
  <conditionalFormatting sqref="S14:T14 W14:Y14">
    <cfRule type="expression" dxfId="579" priority="174">
      <formula>$L14="API sand"</formula>
    </cfRule>
  </conditionalFormatting>
  <conditionalFormatting sqref="S14:T14 W14:Y14">
    <cfRule type="expression" dxfId="578" priority="173">
      <formula>$L14="Kirsch sand"</formula>
    </cfRule>
  </conditionalFormatting>
  <conditionalFormatting sqref="AD14:AI14">
    <cfRule type="expression" dxfId="577" priority="170">
      <formula>$L14="Stiff clay w/o free water"</formula>
    </cfRule>
    <cfRule type="expression" dxfId="576" priority="172">
      <formula>$L14="API clay"</formula>
    </cfRule>
  </conditionalFormatting>
  <conditionalFormatting sqref="AD14:AI14">
    <cfRule type="expression" dxfId="575" priority="171">
      <formula>$L14="Kirsch soft clay"</formula>
    </cfRule>
  </conditionalFormatting>
  <conditionalFormatting sqref="AD14:AI14">
    <cfRule type="expression" dxfId="574" priority="169">
      <formula>$L14="Kirsch stiff clay"</formula>
    </cfRule>
  </conditionalFormatting>
  <conditionalFormatting sqref="AD14:AI14">
    <cfRule type="expression" dxfId="573" priority="168">
      <formula>$L14="Reese stiff clay"</formula>
    </cfRule>
  </conditionalFormatting>
  <conditionalFormatting sqref="AD14:AI14">
    <cfRule type="expression" dxfId="572" priority="167">
      <formula>$L14="PISA clay"</formula>
    </cfRule>
  </conditionalFormatting>
  <conditionalFormatting sqref="AM15:AN15">
    <cfRule type="expression" dxfId="571" priority="166">
      <formula>$L15="API sand"</formula>
    </cfRule>
  </conditionalFormatting>
  <conditionalFormatting sqref="AK15:AL15">
    <cfRule type="expression" dxfId="570" priority="165">
      <formula>$M15="API sand"</formula>
    </cfRule>
  </conditionalFormatting>
  <conditionalFormatting sqref="AK15:AL15">
    <cfRule type="expression" dxfId="569" priority="164">
      <formula>$M15="API clay"</formula>
    </cfRule>
  </conditionalFormatting>
  <conditionalFormatting sqref="AM15:AN15">
    <cfRule type="expression" dxfId="568" priority="161">
      <formula>$L15="Stiff clay w/o free water"</formula>
    </cfRule>
    <cfRule type="expression" dxfId="567" priority="163">
      <formula>$L15="API clay"</formula>
    </cfRule>
  </conditionalFormatting>
  <conditionalFormatting sqref="AM15:AN15">
    <cfRule type="expression" dxfId="566" priority="162">
      <formula>$L15="Kirsch soft clay"</formula>
    </cfRule>
  </conditionalFormatting>
  <conditionalFormatting sqref="AM15:AN15">
    <cfRule type="expression" dxfId="565" priority="160">
      <formula>$L15="Kirsch stiff clay"</formula>
    </cfRule>
  </conditionalFormatting>
  <conditionalFormatting sqref="AM15:AN15">
    <cfRule type="expression" dxfId="564" priority="159">
      <formula>$L15="Kirsch sand"</formula>
    </cfRule>
  </conditionalFormatting>
  <conditionalFormatting sqref="AM15:AN15">
    <cfRule type="expression" dxfId="563" priority="158">
      <formula>$L15="Modified Weak rock"</formula>
    </cfRule>
  </conditionalFormatting>
  <conditionalFormatting sqref="AM15:AN15">
    <cfRule type="expression" dxfId="562" priority="157">
      <formula>$L15="Reese stiff clay"</formula>
    </cfRule>
  </conditionalFormatting>
  <conditionalFormatting sqref="AM15:AN15">
    <cfRule type="expression" dxfId="561" priority="156">
      <formula>$L15="PISA clay"</formula>
    </cfRule>
  </conditionalFormatting>
  <conditionalFormatting sqref="AM15:AN15">
    <cfRule type="expression" dxfId="560" priority="155">
      <formula>$L15="PISA sand"</formula>
    </cfRule>
  </conditionalFormatting>
  <conditionalFormatting sqref="N15 Q15 S15:T15 W15 Y15">
    <cfRule type="expression" dxfId="559" priority="154">
      <formula>$L15="API sand"</formula>
    </cfRule>
  </conditionalFormatting>
  <conditionalFormatting sqref="N15">
    <cfRule type="expression" dxfId="558" priority="153">
      <formula>$M15="API sand"</formula>
    </cfRule>
  </conditionalFormatting>
  <conditionalFormatting sqref="N15">
    <cfRule type="expression" dxfId="557" priority="152">
      <formula>$M15="API clay"</formula>
    </cfRule>
  </conditionalFormatting>
  <conditionalFormatting sqref="N15:P15">
    <cfRule type="expression" dxfId="556" priority="149">
      <formula>$L15="Stiff clay w/o free water"</formula>
    </cfRule>
    <cfRule type="expression" dxfId="555" priority="151">
      <formula>$L15="API clay"</formula>
    </cfRule>
  </conditionalFormatting>
  <conditionalFormatting sqref="N15:P15">
    <cfRule type="expression" dxfId="554" priority="150">
      <formula>$L15="Kirsch soft clay"</formula>
    </cfRule>
  </conditionalFormatting>
  <conditionalFormatting sqref="N15:P15">
    <cfRule type="expression" dxfId="553" priority="148">
      <formula>$L15="Kirsch stiff clay"</formula>
    </cfRule>
  </conditionalFormatting>
  <conditionalFormatting sqref="N15 Q15 S15:T15 W15 Y15">
    <cfRule type="expression" dxfId="552" priority="147">
      <formula>$L15="Kirsch sand"</formula>
    </cfRule>
  </conditionalFormatting>
  <conditionalFormatting sqref="N15">
    <cfRule type="expression" dxfId="551" priority="146">
      <formula>$L15="Modified Weak rock"</formula>
    </cfRule>
  </conditionalFormatting>
  <conditionalFormatting sqref="N15:P15">
    <cfRule type="expression" dxfId="550" priority="145">
      <formula>$L15="Reese stiff clay"</formula>
    </cfRule>
  </conditionalFormatting>
  <conditionalFormatting sqref="N15:P15">
    <cfRule type="expression" dxfId="549" priority="144">
      <formula>$L15="PISA clay"</formula>
    </cfRule>
  </conditionalFormatting>
  <conditionalFormatting sqref="N15">
    <cfRule type="expression" dxfId="548" priority="143">
      <formula>$L15="PISA sand"</formula>
    </cfRule>
  </conditionalFormatting>
  <conditionalFormatting sqref="R15">
    <cfRule type="expression" dxfId="547" priority="142">
      <formula>$L15="API sand"</formula>
    </cfRule>
  </conditionalFormatting>
  <conditionalFormatting sqref="R15">
    <cfRule type="expression" dxfId="546" priority="141">
      <formula>$L15="Kirsch sand"</formula>
    </cfRule>
  </conditionalFormatting>
  <conditionalFormatting sqref="AD15:AI15">
    <cfRule type="expression" dxfId="545" priority="138">
      <formula>$L15="Stiff clay w/o free water"</formula>
    </cfRule>
    <cfRule type="expression" dxfId="544" priority="140">
      <formula>$L15="API clay"</formula>
    </cfRule>
  </conditionalFormatting>
  <conditionalFormatting sqref="AD15:AI15">
    <cfRule type="expression" dxfId="543" priority="139">
      <formula>$L15="Kirsch soft clay"</formula>
    </cfRule>
  </conditionalFormatting>
  <conditionalFormatting sqref="AD15:AI15">
    <cfRule type="expression" dxfId="542" priority="137">
      <formula>$L15="Kirsch stiff clay"</formula>
    </cfRule>
  </conditionalFormatting>
  <conditionalFormatting sqref="AD15:AI15">
    <cfRule type="expression" dxfId="541" priority="136">
      <formula>$L15="Reese stiff clay"</formula>
    </cfRule>
  </conditionalFormatting>
  <conditionalFormatting sqref="AD15:AI15">
    <cfRule type="expression" dxfId="540" priority="135">
      <formula>$L15="PISA clay"</formula>
    </cfRule>
  </conditionalFormatting>
  <conditionalFormatting sqref="AA15">
    <cfRule type="expression" dxfId="539" priority="132">
      <formula>$L15="Stiff clay w/o free water"</formula>
    </cfRule>
    <cfRule type="expression" dxfId="538" priority="134">
      <formula>$L15="API clay"</formula>
    </cfRule>
  </conditionalFormatting>
  <conditionalFormatting sqref="AA15">
    <cfRule type="expression" dxfId="537" priority="133">
      <formula>$L15="Kirsch soft clay"</formula>
    </cfRule>
  </conditionalFormatting>
  <conditionalFormatting sqref="AA15">
    <cfRule type="expression" dxfId="536" priority="131">
      <formula>$L15="Kirsch stiff clay"</formula>
    </cfRule>
  </conditionalFormatting>
  <conditionalFormatting sqref="AA15">
    <cfRule type="expression" dxfId="535" priority="130">
      <formula>$L15="Reese stiff clay"</formula>
    </cfRule>
  </conditionalFormatting>
  <conditionalFormatting sqref="AA15">
    <cfRule type="expression" dxfId="534" priority="129">
      <formula>$L15="PISA clay"</formula>
    </cfRule>
  </conditionalFormatting>
  <conditionalFormatting sqref="AC15">
    <cfRule type="expression" dxfId="533" priority="126">
      <formula>$L15="Stiff clay w/o free water"</formula>
    </cfRule>
    <cfRule type="expression" dxfId="532" priority="128">
      <formula>$L15="API clay"</formula>
    </cfRule>
  </conditionalFormatting>
  <conditionalFormatting sqref="AC15">
    <cfRule type="expression" dxfId="531" priority="127">
      <formula>$L15="Kirsch soft clay"</formula>
    </cfRule>
  </conditionalFormatting>
  <conditionalFormatting sqref="AC15">
    <cfRule type="expression" dxfId="530" priority="125">
      <formula>$L15="Kirsch stiff clay"</formula>
    </cfRule>
  </conditionalFormatting>
  <conditionalFormatting sqref="AC15">
    <cfRule type="expression" dxfId="529" priority="124">
      <formula>$L15="Reese stiff clay"</formula>
    </cfRule>
  </conditionalFormatting>
  <conditionalFormatting sqref="AC15">
    <cfRule type="expression" dxfId="528" priority="123">
      <formula>$L15="PISA clay"</formula>
    </cfRule>
  </conditionalFormatting>
  <conditionalFormatting sqref="X15">
    <cfRule type="expression" dxfId="527" priority="122">
      <formula>$L15="API sand"</formula>
    </cfRule>
  </conditionalFormatting>
  <conditionalFormatting sqref="X15">
    <cfRule type="expression" dxfId="526" priority="121">
      <formula>$L15="Kirsch sand"</formula>
    </cfRule>
  </conditionalFormatting>
  <conditionalFormatting sqref="AM16:AN16">
    <cfRule type="expression" dxfId="525" priority="120">
      <formula>$L16="API sand"</formula>
    </cfRule>
  </conditionalFormatting>
  <conditionalFormatting sqref="AK16:AL16">
    <cfRule type="expression" dxfId="524" priority="119">
      <formula>$M16="API sand"</formula>
    </cfRule>
  </conditionalFormatting>
  <conditionalFormatting sqref="AK16:AL16">
    <cfRule type="expression" dxfId="523" priority="118">
      <formula>$M16="API clay"</formula>
    </cfRule>
  </conditionalFormatting>
  <conditionalFormatting sqref="AM16:AN16">
    <cfRule type="expression" dxfId="522" priority="115">
      <formula>$L16="Stiff clay w/o free water"</formula>
    </cfRule>
    <cfRule type="expression" dxfId="521" priority="117">
      <formula>$L16="API clay"</formula>
    </cfRule>
  </conditionalFormatting>
  <conditionalFormatting sqref="AM16:AN16">
    <cfRule type="expression" dxfId="520" priority="116">
      <formula>$L16="Kirsch soft clay"</formula>
    </cfRule>
  </conditionalFormatting>
  <conditionalFormatting sqref="AM16:AN16">
    <cfRule type="expression" dxfId="519" priority="114">
      <formula>$L16="Kirsch stiff clay"</formula>
    </cfRule>
  </conditionalFormatting>
  <conditionalFormatting sqref="AM16:AN16">
    <cfRule type="expression" dxfId="518" priority="113">
      <formula>$L16="Kirsch sand"</formula>
    </cfRule>
  </conditionalFormatting>
  <conditionalFormatting sqref="AM16:AN16">
    <cfRule type="expression" dxfId="517" priority="112">
      <formula>$L16="Modified Weak rock"</formula>
    </cfRule>
  </conditionalFormatting>
  <conditionalFormatting sqref="AM16:AN16">
    <cfRule type="expression" dxfId="516" priority="111">
      <formula>$L16="Reese stiff clay"</formula>
    </cfRule>
  </conditionalFormatting>
  <conditionalFormatting sqref="AM16:AN16">
    <cfRule type="expression" dxfId="515" priority="110">
      <formula>$L16="PISA clay"</formula>
    </cfRule>
  </conditionalFormatting>
  <conditionalFormatting sqref="AM16:AN16">
    <cfRule type="expression" dxfId="514" priority="109">
      <formula>$L16="PISA sand"</formula>
    </cfRule>
  </conditionalFormatting>
  <conditionalFormatting sqref="N16 Q16 S16:T16 W16:Y16">
    <cfRule type="expression" dxfId="513" priority="108">
      <formula>$L16="API sand"</formula>
    </cfRule>
  </conditionalFormatting>
  <conditionalFormatting sqref="N16">
    <cfRule type="expression" dxfId="512" priority="107">
      <formula>$M16="API sand"</formula>
    </cfRule>
  </conditionalFormatting>
  <conditionalFormatting sqref="N16">
    <cfRule type="expression" dxfId="511" priority="106">
      <formula>$M16="API clay"</formula>
    </cfRule>
  </conditionalFormatting>
  <conditionalFormatting sqref="N16:P16">
    <cfRule type="expression" dxfId="510" priority="103">
      <formula>$L16="Stiff clay w/o free water"</formula>
    </cfRule>
    <cfRule type="expression" dxfId="509" priority="105">
      <formula>$L16="API clay"</formula>
    </cfRule>
  </conditionalFormatting>
  <conditionalFormatting sqref="N16:P16">
    <cfRule type="expression" dxfId="508" priority="104">
      <formula>$L16="Kirsch soft clay"</formula>
    </cfRule>
  </conditionalFormatting>
  <conditionalFormatting sqref="N16:P16">
    <cfRule type="expression" dxfId="507" priority="102">
      <formula>$L16="Kirsch stiff clay"</formula>
    </cfRule>
  </conditionalFormatting>
  <conditionalFormatting sqref="N16 Q16 S16:T16 W16:Y16">
    <cfRule type="expression" dxfId="506" priority="101">
      <formula>$L16="Kirsch sand"</formula>
    </cfRule>
  </conditionalFormatting>
  <conditionalFormatting sqref="N16">
    <cfRule type="expression" dxfId="505" priority="100">
      <formula>$L16="Modified Weak rock"</formula>
    </cfRule>
  </conditionalFormatting>
  <conditionalFormatting sqref="N16:P16">
    <cfRule type="expression" dxfId="504" priority="99">
      <formula>$L16="Reese stiff clay"</formula>
    </cfRule>
  </conditionalFormatting>
  <conditionalFormatting sqref="N16:P16">
    <cfRule type="expression" dxfId="503" priority="98">
      <formula>$L16="PISA clay"</formula>
    </cfRule>
  </conditionalFormatting>
  <conditionalFormatting sqref="N16">
    <cfRule type="expression" dxfId="502" priority="97">
      <formula>$L16="PISA sand"</formula>
    </cfRule>
  </conditionalFormatting>
  <conditionalFormatting sqref="R16">
    <cfRule type="expression" dxfId="501" priority="96">
      <formula>$L16="API sand"</formula>
    </cfRule>
  </conditionalFormatting>
  <conditionalFormatting sqref="R16">
    <cfRule type="expression" dxfId="500" priority="95">
      <formula>$L16="Kirsch sand"</formula>
    </cfRule>
  </conditionalFormatting>
  <conditionalFormatting sqref="AC16:AI16">
    <cfRule type="expression" dxfId="499" priority="92">
      <formula>$L16="Stiff clay w/o free water"</formula>
    </cfRule>
    <cfRule type="expression" dxfId="498" priority="94">
      <formula>$L16="API clay"</formula>
    </cfRule>
  </conditionalFormatting>
  <conditionalFormatting sqref="AC16:AI16">
    <cfRule type="expression" dxfId="497" priority="93">
      <formula>$L16="Kirsch soft clay"</formula>
    </cfRule>
  </conditionalFormatting>
  <conditionalFormatting sqref="AC16:AI16">
    <cfRule type="expression" dxfId="496" priority="91">
      <formula>$L16="Kirsch stiff clay"</formula>
    </cfRule>
  </conditionalFormatting>
  <conditionalFormatting sqref="AC16:AI16">
    <cfRule type="expression" dxfId="495" priority="90">
      <formula>$L16="Reese stiff clay"</formula>
    </cfRule>
  </conditionalFormatting>
  <conditionalFormatting sqref="AC16:AI16">
    <cfRule type="expression" dxfId="494" priority="89">
      <formula>$L16="PISA clay"</formula>
    </cfRule>
  </conditionalFormatting>
  <conditionalFormatting sqref="AA16">
    <cfRule type="expression" dxfId="493" priority="86">
      <formula>$L16="Stiff clay w/o free water"</formula>
    </cfRule>
    <cfRule type="expression" dxfId="492" priority="88">
      <formula>$L16="API clay"</formula>
    </cfRule>
  </conditionalFormatting>
  <conditionalFormatting sqref="AA16">
    <cfRule type="expression" dxfId="491" priority="87">
      <formula>$L16="Kirsch soft clay"</formula>
    </cfRule>
  </conditionalFormatting>
  <conditionalFormatting sqref="AA16">
    <cfRule type="expression" dxfId="490" priority="85">
      <formula>$L16="Kirsch stiff clay"</formula>
    </cfRule>
  </conditionalFormatting>
  <conditionalFormatting sqref="AA16">
    <cfRule type="expression" dxfId="489" priority="84">
      <formula>$L16="Reese stiff clay"</formula>
    </cfRule>
  </conditionalFormatting>
  <conditionalFormatting sqref="AA16">
    <cfRule type="expression" dxfId="488" priority="83">
      <formula>$L16="PISA clay"</formula>
    </cfRule>
  </conditionalFormatting>
  <conditionalFormatting sqref="AM17:AN17">
    <cfRule type="expression" dxfId="487" priority="82">
      <formula>$L17="API sand"</formula>
    </cfRule>
  </conditionalFormatting>
  <conditionalFormatting sqref="AK17:AL17">
    <cfRule type="expression" dxfId="486" priority="81">
      <formula>$M17="API sand"</formula>
    </cfRule>
  </conditionalFormatting>
  <conditionalFormatting sqref="AK17:AL17">
    <cfRule type="expression" dxfId="485" priority="80">
      <formula>$M17="API clay"</formula>
    </cfRule>
  </conditionalFormatting>
  <conditionalFormatting sqref="AM17:AN17">
    <cfRule type="expression" dxfId="484" priority="77">
      <formula>$L17="Stiff clay w/o free water"</formula>
    </cfRule>
    <cfRule type="expression" dxfId="483" priority="79">
      <formula>$L17="API clay"</formula>
    </cfRule>
  </conditionalFormatting>
  <conditionalFormatting sqref="AM17:AN17">
    <cfRule type="expression" dxfId="482" priority="78">
      <formula>$L17="Kirsch soft clay"</formula>
    </cfRule>
  </conditionalFormatting>
  <conditionalFormatting sqref="AM17:AN17">
    <cfRule type="expression" dxfId="481" priority="76">
      <formula>$L17="Kirsch stiff clay"</formula>
    </cfRule>
  </conditionalFormatting>
  <conditionalFormatting sqref="AM17:AN17">
    <cfRule type="expression" dxfId="480" priority="75">
      <formula>$L17="Kirsch sand"</formula>
    </cfRule>
  </conditionalFormatting>
  <conditionalFormatting sqref="AM17:AN17">
    <cfRule type="expression" dxfId="479" priority="74">
      <formula>$L17="Modified Weak rock"</formula>
    </cfRule>
  </conditionalFormatting>
  <conditionalFormatting sqref="AM17:AN17">
    <cfRule type="expression" dxfId="478" priority="73">
      <formula>$L17="Reese stiff clay"</formula>
    </cfRule>
  </conditionalFormatting>
  <conditionalFormatting sqref="AM17:AN17">
    <cfRule type="expression" dxfId="477" priority="72">
      <formula>$L17="PISA clay"</formula>
    </cfRule>
  </conditionalFormatting>
  <conditionalFormatting sqref="AM17:AN17">
    <cfRule type="expression" dxfId="476" priority="71">
      <formula>$L17="PISA sand"</formula>
    </cfRule>
  </conditionalFormatting>
  <conditionalFormatting sqref="N17 Q17 S17:T17 W17 Y17">
    <cfRule type="expression" dxfId="475" priority="70">
      <formula>$L17="API sand"</formula>
    </cfRule>
  </conditionalFormatting>
  <conditionalFormatting sqref="N17">
    <cfRule type="expression" dxfId="474" priority="69">
      <formula>$M17="API sand"</formula>
    </cfRule>
  </conditionalFormatting>
  <conditionalFormatting sqref="N17">
    <cfRule type="expression" dxfId="473" priority="68">
      <formula>$M17="API clay"</formula>
    </cfRule>
  </conditionalFormatting>
  <conditionalFormatting sqref="N17:P17">
    <cfRule type="expression" dxfId="472" priority="65">
      <formula>$L17="Stiff clay w/o free water"</formula>
    </cfRule>
    <cfRule type="expression" dxfId="471" priority="67">
      <formula>$L17="API clay"</formula>
    </cfRule>
  </conditionalFormatting>
  <conditionalFormatting sqref="N17:P17">
    <cfRule type="expression" dxfId="470" priority="66">
      <formula>$L17="Kirsch soft clay"</formula>
    </cfRule>
  </conditionalFormatting>
  <conditionalFormatting sqref="N17:P17">
    <cfRule type="expression" dxfId="469" priority="64">
      <formula>$L17="Kirsch stiff clay"</formula>
    </cfRule>
  </conditionalFormatting>
  <conditionalFormatting sqref="N17 Q17 S17:T17 W17 Y17">
    <cfRule type="expression" dxfId="468" priority="63">
      <formula>$L17="Kirsch sand"</formula>
    </cfRule>
  </conditionalFormatting>
  <conditionalFormatting sqref="N17">
    <cfRule type="expression" dxfId="467" priority="62">
      <formula>$L17="Modified Weak rock"</formula>
    </cfRule>
  </conditionalFormatting>
  <conditionalFormatting sqref="N17:P17">
    <cfRule type="expression" dxfId="466" priority="61">
      <formula>$L17="Reese stiff clay"</formula>
    </cfRule>
  </conditionalFormatting>
  <conditionalFormatting sqref="N17:P17">
    <cfRule type="expression" dxfId="465" priority="60">
      <formula>$L17="PISA clay"</formula>
    </cfRule>
  </conditionalFormatting>
  <conditionalFormatting sqref="N17">
    <cfRule type="expression" dxfId="464" priority="59">
      <formula>$L17="PISA sand"</formula>
    </cfRule>
  </conditionalFormatting>
  <conditionalFormatting sqref="R17">
    <cfRule type="expression" dxfId="463" priority="58">
      <formula>$L17="API sand"</formula>
    </cfRule>
  </conditionalFormatting>
  <conditionalFormatting sqref="R17">
    <cfRule type="expression" dxfId="462" priority="57">
      <formula>$L17="Kirsch sand"</formula>
    </cfRule>
  </conditionalFormatting>
  <conditionalFormatting sqref="AD17:AI17">
    <cfRule type="expression" dxfId="461" priority="54">
      <formula>$L17="Stiff clay w/o free water"</formula>
    </cfRule>
    <cfRule type="expression" dxfId="460" priority="56">
      <formula>$L17="API clay"</formula>
    </cfRule>
  </conditionalFormatting>
  <conditionalFormatting sqref="AD17:AI17">
    <cfRule type="expression" dxfId="459" priority="55">
      <formula>$L17="Kirsch soft clay"</formula>
    </cfRule>
  </conditionalFormatting>
  <conditionalFormatting sqref="AD17:AI17">
    <cfRule type="expression" dxfId="458" priority="53">
      <formula>$L17="Kirsch stiff clay"</formula>
    </cfRule>
  </conditionalFormatting>
  <conditionalFormatting sqref="AD17:AI17">
    <cfRule type="expression" dxfId="457" priority="52">
      <formula>$L17="Reese stiff clay"</formula>
    </cfRule>
  </conditionalFormatting>
  <conditionalFormatting sqref="AD17:AI17">
    <cfRule type="expression" dxfId="456" priority="51">
      <formula>$L17="PISA clay"</formula>
    </cfRule>
  </conditionalFormatting>
  <conditionalFormatting sqref="AA17">
    <cfRule type="expression" dxfId="455" priority="48">
      <formula>$L17="Stiff clay w/o free water"</formula>
    </cfRule>
    <cfRule type="expression" dxfId="454" priority="50">
      <formula>$L17="API clay"</formula>
    </cfRule>
  </conditionalFormatting>
  <conditionalFormatting sqref="AA17">
    <cfRule type="expression" dxfId="453" priority="49">
      <formula>$L17="Kirsch soft clay"</formula>
    </cfRule>
  </conditionalFormatting>
  <conditionalFormatting sqref="AA17">
    <cfRule type="expression" dxfId="452" priority="47">
      <formula>$L17="Kirsch stiff clay"</formula>
    </cfRule>
  </conditionalFormatting>
  <conditionalFormatting sqref="AA17">
    <cfRule type="expression" dxfId="451" priority="46">
      <formula>$L17="Reese stiff clay"</formula>
    </cfRule>
  </conditionalFormatting>
  <conditionalFormatting sqref="AA17">
    <cfRule type="expression" dxfId="450" priority="45">
      <formula>$L17="PISA clay"</formula>
    </cfRule>
  </conditionalFormatting>
  <conditionalFormatting sqref="AC17">
    <cfRule type="expression" dxfId="449" priority="42">
      <formula>$L17="Stiff clay w/o free water"</formula>
    </cfRule>
    <cfRule type="expression" dxfId="448" priority="44">
      <formula>$L17="API clay"</formula>
    </cfRule>
  </conditionalFormatting>
  <conditionalFormatting sqref="AC17">
    <cfRule type="expression" dxfId="447" priority="43">
      <formula>$L17="Kirsch soft clay"</formula>
    </cfRule>
  </conditionalFormatting>
  <conditionalFormatting sqref="AC17">
    <cfRule type="expression" dxfId="446" priority="41">
      <formula>$L17="Kirsch stiff clay"</formula>
    </cfRule>
  </conditionalFormatting>
  <conditionalFormatting sqref="AC17">
    <cfRule type="expression" dxfId="445" priority="40">
      <formula>$L17="Reese stiff clay"</formula>
    </cfRule>
  </conditionalFormatting>
  <conditionalFormatting sqref="AC17">
    <cfRule type="expression" dxfId="444" priority="39">
      <formula>$L17="PISA clay"</formula>
    </cfRule>
  </conditionalFormatting>
  <conditionalFormatting sqref="X17">
    <cfRule type="expression" dxfId="443" priority="38">
      <formula>$L17="API sand"</formula>
    </cfRule>
  </conditionalFormatting>
  <conditionalFormatting sqref="X17">
    <cfRule type="expression" dxfId="442" priority="37">
      <formula>$L17="Kirsch sand"</formula>
    </cfRule>
  </conditionalFormatting>
  <conditionalFormatting sqref="Z16:Z17">
    <cfRule type="expression" dxfId="441" priority="36">
      <formula>$L16="API sand"</formula>
    </cfRule>
  </conditionalFormatting>
  <conditionalFormatting sqref="Z16:Z17">
    <cfRule type="expression" dxfId="440" priority="35">
      <formula>$L16="Kirsch sand"</formula>
    </cfRule>
  </conditionalFormatting>
  <conditionalFormatting sqref="AB16:AB17">
    <cfRule type="expression" dxfId="439" priority="34">
      <formula>$L16="API sand"</formula>
    </cfRule>
  </conditionalFormatting>
  <conditionalFormatting sqref="AB16:AB17">
    <cfRule type="expression" dxfId="438" priority="33">
      <formula>$L16="Kirsch sand"</formula>
    </cfRule>
  </conditionalFormatting>
  <conditionalFormatting sqref="AJ16:AJ17">
    <cfRule type="expression" dxfId="437" priority="32">
      <formula>$L16="API sand"</formula>
    </cfRule>
  </conditionalFormatting>
  <conditionalFormatting sqref="AJ16:AJ17">
    <cfRule type="expression" dxfId="436" priority="31">
      <formula>$L16="Kirsch sand"</formula>
    </cfRule>
  </conditionalFormatting>
  <conditionalFormatting sqref="U15:V15">
    <cfRule type="expression" dxfId="435" priority="28">
      <formula>$L15="Stiff clay w/o free water"</formula>
    </cfRule>
    <cfRule type="expression" dxfId="434" priority="30">
      <formula>$L15="API clay"</formula>
    </cfRule>
  </conditionalFormatting>
  <conditionalFormatting sqref="U15:V15">
    <cfRule type="expression" dxfId="433" priority="29">
      <formula>$L15="Kirsch soft clay"</formula>
    </cfRule>
  </conditionalFormatting>
  <conditionalFormatting sqref="U15:V15">
    <cfRule type="expression" dxfId="432" priority="27">
      <formula>$L15="Kirsch stiff clay"</formula>
    </cfRule>
  </conditionalFormatting>
  <conditionalFormatting sqref="U15:V15">
    <cfRule type="expression" dxfId="431" priority="26">
      <formula>$L15="Reese stiff clay"</formula>
    </cfRule>
  </conditionalFormatting>
  <conditionalFormatting sqref="U15:V15">
    <cfRule type="expression" dxfId="430" priority="25">
      <formula>$L15="PISA clay"</formula>
    </cfRule>
  </conditionalFormatting>
  <conditionalFormatting sqref="U16:V16">
    <cfRule type="expression" dxfId="429" priority="22">
      <formula>$L16="Stiff clay w/o free water"</formula>
    </cfRule>
    <cfRule type="expression" dxfId="428" priority="24">
      <formula>$L16="API clay"</formula>
    </cfRule>
  </conditionalFormatting>
  <conditionalFormatting sqref="U16:V16">
    <cfRule type="expression" dxfId="427" priority="23">
      <formula>$L16="Kirsch soft clay"</formula>
    </cfRule>
  </conditionalFormatting>
  <conditionalFormatting sqref="U16:V16">
    <cfRule type="expression" dxfId="426" priority="21">
      <formula>$L16="Kirsch stiff clay"</formula>
    </cfRule>
  </conditionalFormatting>
  <conditionalFormatting sqref="U16:V16">
    <cfRule type="expression" dxfId="425" priority="20">
      <formula>$L16="Reese stiff clay"</formula>
    </cfRule>
  </conditionalFormatting>
  <conditionalFormatting sqref="U16:V16">
    <cfRule type="expression" dxfId="424" priority="19">
      <formula>$L16="PISA clay"</formula>
    </cfRule>
  </conditionalFormatting>
  <conditionalFormatting sqref="U17:V17">
    <cfRule type="expression" dxfId="423" priority="16">
      <formula>$L17="Stiff clay w/o free water"</formula>
    </cfRule>
    <cfRule type="expression" dxfId="422" priority="18">
      <formula>$L17="API clay"</formula>
    </cfRule>
  </conditionalFormatting>
  <conditionalFormatting sqref="U17:V17">
    <cfRule type="expression" dxfId="421" priority="17">
      <formula>$L17="Kirsch soft clay"</formula>
    </cfRule>
  </conditionalFormatting>
  <conditionalFormatting sqref="U17:V17">
    <cfRule type="expression" dxfId="420" priority="15">
      <formula>$L17="Kirsch stiff clay"</formula>
    </cfRule>
  </conditionalFormatting>
  <conditionalFormatting sqref="U17:V17">
    <cfRule type="expression" dxfId="419" priority="14">
      <formula>$L17="Reese stiff clay"</formula>
    </cfRule>
  </conditionalFormatting>
  <conditionalFormatting sqref="U17:V17">
    <cfRule type="expression" dxfId="418" priority="13">
      <formula>$L17="PISA clay"</formula>
    </cfRule>
  </conditionalFormatting>
  <conditionalFormatting sqref="AO15">
    <cfRule type="expression" dxfId="417" priority="12">
      <formula>$L15="API sand"</formula>
    </cfRule>
  </conditionalFormatting>
  <conditionalFormatting sqref="AO15">
    <cfRule type="expression" dxfId="416" priority="11">
      <formula>$L15="Kirsch sand"</formula>
    </cfRule>
  </conditionalFormatting>
  <conditionalFormatting sqref="AO16">
    <cfRule type="expression" dxfId="415" priority="10">
      <formula>$L16="API sand"</formula>
    </cfRule>
  </conditionalFormatting>
  <conditionalFormatting sqref="AO16">
    <cfRule type="expression" dxfId="414" priority="9">
      <formula>$L16="Kirsch sand"</formula>
    </cfRule>
  </conditionalFormatting>
  <conditionalFormatting sqref="AO17">
    <cfRule type="expression" dxfId="413" priority="8">
      <formula>$L17="API sand"</formula>
    </cfRule>
  </conditionalFormatting>
  <conditionalFormatting sqref="AO17">
    <cfRule type="expression" dxfId="412" priority="7">
      <formula>$L17="Kirsch sand"</formula>
    </cfRule>
  </conditionalFormatting>
  <conditionalFormatting sqref="AC14">
    <cfRule type="expression" dxfId="411" priority="4">
      <formula>$L14="Stiff clay w/o free water"</formula>
    </cfRule>
    <cfRule type="expression" dxfId="410" priority="6">
      <formula>$L14="API clay"</formula>
    </cfRule>
  </conditionalFormatting>
  <conditionalFormatting sqref="AC14">
    <cfRule type="expression" dxfId="409" priority="5">
      <formula>$L14="Kirsch soft clay"</formula>
    </cfRule>
  </conditionalFormatting>
  <conditionalFormatting sqref="AC14">
    <cfRule type="expression" dxfId="408" priority="3">
      <formula>$L14="Kirsch stiff clay"</formula>
    </cfRule>
  </conditionalFormatting>
  <conditionalFormatting sqref="AC14">
    <cfRule type="expression" dxfId="407" priority="2">
      <formula>$L14="Reese stiff clay"</formula>
    </cfRule>
  </conditionalFormatting>
  <conditionalFormatting sqref="AC14">
    <cfRule type="expression" dxfId="406" priority="1">
      <formula>$L14="PISA clay"</formula>
    </cfRule>
  </conditionalFormatting>
  <dataValidations count="3">
    <dataValidation type="list" showInputMessage="1" showErrorMessage="1" sqref="L6:L255" xr:uid="{9F71E3B4-8AE2-4C62-AD88-C9F2156BFB9D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6:M17" xr:uid="{E3E06DCE-BD7A-4D49-AACD-64506B18A25D}">
      <formula1>"Zero soil,API sand,API clay"</formula1>
    </dataValidation>
    <dataValidation type="list" showInputMessage="1" showErrorMessage="1" sqref="M18:M36" xr:uid="{08DB5443-DFE0-4C87-A807-23C8B8B9E73B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85BC2-02FA-459E-9AF9-2569DA9B0DC1}">
  <sheetPr>
    <tabColor theme="2"/>
  </sheetPr>
  <dimension ref="A1:AO255"/>
  <sheetViews>
    <sheetView topLeftCell="J1" zoomScaleNormal="100" workbookViewId="0">
      <selection activeCell="O8" sqref="O8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140625" style="33" customWidth="1"/>
    <col min="22" max="22" width="19.42578125" style="33" customWidth="1"/>
    <col min="23" max="23" width="6.5703125" style="33" customWidth="1"/>
    <col min="24" max="24" width="11.855468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85546875" style="33" customWidth="1"/>
    <col min="30" max="30" width="11.85546875" style="33" customWidth="1"/>
    <col min="31" max="31" width="10.28515625" style="33" customWidth="1"/>
    <col min="32" max="32" width="8.140625" style="33" customWidth="1"/>
    <col min="33" max="33" width="13.7109375" style="33" customWidth="1"/>
    <col min="34" max="34" width="8.42578125" style="33" customWidth="1"/>
    <col min="35" max="35" width="7.855468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16384" width="9.140625" style="33"/>
  </cols>
  <sheetData>
    <row r="1" spans="1:41" x14ac:dyDescent="0.25">
      <c r="A1" s="34" t="str">
        <f ca="1">TRIM(MID(CELL("filename",A1),FIND("]",CELL("filename",A1),1)+1,255))</f>
        <v>Zone_7_LE</v>
      </c>
      <c r="D1" s="34"/>
    </row>
    <row r="3" spans="1:41" s="35" customFormat="1" ht="45" customHeight="1" x14ac:dyDescent="0.25">
      <c r="F3" s="36" t="s">
        <v>39</v>
      </c>
      <c r="J3" s="37" t="s">
        <v>22</v>
      </c>
      <c r="Q3" s="73"/>
      <c r="R3" s="155"/>
      <c r="S3" s="155"/>
      <c r="T3" s="73"/>
      <c r="U3" s="155"/>
      <c r="V3" s="155"/>
      <c r="W3" s="73"/>
      <c r="X3" s="69"/>
      <c r="Y3" s="73"/>
      <c r="Z3" s="73"/>
      <c r="AA3" s="73"/>
      <c r="AB3" s="73"/>
      <c r="AC3" s="69"/>
      <c r="AD3" s="39"/>
      <c r="AE3" s="39"/>
      <c r="AF3" s="39"/>
      <c r="AG3" s="39"/>
      <c r="AH3" s="39"/>
      <c r="AI3" s="39"/>
      <c r="AJ3" s="73"/>
      <c r="AK3" s="73"/>
      <c r="AL3" s="73"/>
      <c r="AM3" s="73"/>
      <c r="AN3" s="73"/>
    </row>
    <row r="4" spans="1:41" s="41" customFormat="1" x14ac:dyDescent="0.25">
      <c r="A4" s="40" t="s">
        <v>60</v>
      </c>
      <c r="B4" s="41">
        <f>COUNTIF(J:J,"&gt;0")</f>
        <v>5</v>
      </c>
      <c r="C4" s="42" t="s">
        <v>58</v>
      </c>
      <c r="D4" s="43"/>
      <c r="F4" s="41" t="s">
        <v>40</v>
      </c>
      <c r="G4" s="44">
        <v>0</v>
      </c>
      <c r="H4" s="42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68" t="s">
        <v>102</v>
      </c>
    </row>
    <row r="5" spans="1:41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44">
        <v>0</v>
      </c>
      <c r="H5" s="45" t="s">
        <v>28</v>
      </c>
      <c r="J5" s="38" t="s">
        <v>38</v>
      </c>
      <c r="K5" s="38" t="s">
        <v>30</v>
      </c>
      <c r="L5" s="38" t="s">
        <v>31</v>
      </c>
      <c r="M5" s="38" t="s">
        <v>31</v>
      </c>
      <c r="N5" s="38" t="s">
        <v>32</v>
      </c>
      <c r="O5" s="38" t="s">
        <v>33</v>
      </c>
      <c r="P5" s="38" t="s">
        <v>35</v>
      </c>
      <c r="Q5" s="38" t="s">
        <v>36</v>
      </c>
      <c r="R5" s="38" t="s">
        <v>36</v>
      </c>
      <c r="S5" s="38" t="s">
        <v>34</v>
      </c>
      <c r="T5" s="38" t="s">
        <v>33</v>
      </c>
      <c r="U5" s="38" t="s">
        <v>34</v>
      </c>
      <c r="V5" s="38" t="s">
        <v>62</v>
      </c>
      <c r="W5" s="38" t="s">
        <v>34</v>
      </c>
      <c r="X5" s="38" t="s">
        <v>33</v>
      </c>
      <c r="Y5" s="38" t="s">
        <v>35</v>
      </c>
      <c r="Z5" s="38" t="s">
        <v>33</v>
      </c>
      <c r="AA5" s="38" t="s">
        <v>34</v>
      </c>
      <c r="AB5" s="38" t="s">
        <v>33</v>
      </c>
      <c r="AC5" s="38" t="s">
        <v>33</v>
      </c>
      <c r="AD5" s="38" t="s">
        <v>35</v>
      </c>
      <c r="AE5" s="38" t="s">
        <v>34</v>
      </c>
      <c r="AF5" s="38" t="s">
        <v>33</v>
      </c>
      <c r="AG5" s="38" t="s">
        <v>35</v>
      </c>
      <c r="AH5" s="38" t="s">
        <v>34</v>
      </c>
      <c r="AI5" s="38" t="s">
        <v>34</v>
      </c>
      <c r="AJ5" s="38" t="s">
        <v>34</v>
      </c>
      <c r="AK5" s="38" t="s">
        <v>34</v>
      </c>
      <c r="AL5" s="38" t="s">
        <v>34</v>
      </c>
      <c r="AM5" s="38" t="s">
        <v>34</v>
      </c>
      <c r="AN5" s="38" t="s">
        <v>34</v>
      </c>
      <c r="AO5" s="38" t="s">
        <v>103</v>
      </c>
    </row>
    <row r="6" spans="1:41" x14ac:dyDescent="0.25">
      <c r="C6" s="45"/>
      <c r="F6" s="33" t="s">
        <v>67</v>
      </c>
      <c r="G6" s="46">
        <v>36</v>
      </c>
      <c r="H6" s="45" t="s">
        <v>28</v>
      </c>
      <c r="J6" s="47">
        <v>1</v>
      </c>
      <c r="K6" s="47">
        <v>0</v>
      </c>
      <c r="L6" s="70" t="s">
        <v>106</v>
      </c>
      <c r="M6" s="49" t="s">
        <v>64</v>
      </c>
      <c r="N6" s="50">
        <v>9.8000000000000007</v>
      </c>
      <c r="O6" s="51"/>
      <c r="P6" s="51"/>
      <c r="Q6" s="50">
        <v>38</v>
      </c>
      <c r="R6" s="50">
        <f>Q6-5</f>
        <v>33</v>
      </c>
      <c r="S6" s="50">
        <v>0.5</v>
      </c>
      <c r="T6" s="50">
        <v>0</v>
      </c>
      <c r="U6" s="52"/>
      <c r="V6" s="52"/>
      <c r="W6" s="50">
        <v>0.5</v>
      </c>
      <c r="X6" s="50">
        <v>19700</v>
      </c>
      <c r="Y6" s="50">
        <v>0</v>
      </c>
      <c r="Z6" s="50">
        <f t="shared" ref="Z6" si="0">VLOOKUP(R6,$AE$39:$AF$59,2)</f>
        <v>107.39999999999996</v>
      </c>
      <c r="AA6" s="53"/>
      <c r="AB6" s="50">
        <f>VLOOKUP(R6,$AE$39:$AG$59,3)</f>
        <v>11040</v>
      </c>
      <c r="AC6" s="51"/>
      <c r="AD6" s="51"/>
      <c r="AE6" s="51"/>
      <c r="AF6" s="51"/>
      <c r="AG6" s="51"/>
      <c r="AH6" s="51"/>
      <c r="AI6" s="51"/>
      <c r="AJ6" s="50">
        <f t="shared" ref="AJ6:AJ10" si="1">VLOOKUP(R6,$AE$39:$AH$59,4)</f>
        <v>46.000000000000007</v>
      </c>
      <c r="AK6" s="50">
        <v>1</v>
      </c>
      <c r="AL6" s="50">
        <v>1</v>
      </c>
      <c r="AM6" s="50">
        <v>1</v>
      </c>
      <c r="AN6" s="50">
        <v>1</v>
      </c>
      <c r="AO6" s="50">
        <v>0</v>
      </c>
    </row>
    <row r="7" spans="1:41" x14ac:dyDescent="0.25">
      <c r="A7" s="54" t="s">
        <v>23</v>
      </c>
      <c r="C7" s="45"/>
      <c r="F7" s="55" t="s">
        <v>48</v>
      </c>
      <c r="G7" s="56"/>
      <c r="H7" s="39"/>
      <c r="I7" s="56"/>
      <c r="J7" s="47">
        <v>2</v>
      </c>
      <c r="K7" s="47">
        <v>-2.5</v>
      </c>
      <c r="L7" s="33" t="s">
        <v>107</v>
      </c>
      <c r="M7" s="49" t="s">
        <v>65</v>
      </c>
      <c r="N7" s="50">
        <v>8.5</v>
      </c>
      <c r="O7" s="51">
        <v>108.5</v>
      </c>
      <c r="P7" s="51">
        <v>9.0500000000000007</v>
      </c>
      <c r="Q7" s="50"/>
      <c r="R7" s="50"/>
      <c r="S7" s="50"/>
      <c r="T7" s="50"/>
      <c r="U7" s="52">
        <v>1.7999999999999999E-2</v>
      </c>
      <c r="V7" s="52">
        <v>0</v>
      </c>
      <c r="W7" s="50"/>
      <c r="X7" s="50"/>
      <c r="Y7" s="50"/>
      <c r="Z7" s="50"/>
      <c r="AA7" s="53">
        <v>1</v>
      </c>
      <c r="AB7" s="50"/>
      <c r="AC7" s="51">
        <v>79660</v>
      </c>
      <c r="AD7" s="51">
        <v>9661</v>
      </c>
      <c r="AE7" s="51">
        <v>0.46</v>
      </c>
      <c r="AF7" s="51">
        <v>0</v>
      </c>
      <c r="AG7" s="51">
        <v>0</v>
      </c>
      <c r="AH7" s="51">
        <v>0</v>
      </c>
      <c r="AI7" s="51">
        <v>0</v>
      </c>
      <c r="AJ7" s="50"/>
      <c r="AK7" s="50">
        <v>1</v>
      </c>
      <c r="AL7" s="50">
        <v>1</v>
      </c>
      <c r="AM7" s="50">
        <v>1</v>
      </c>
      <c r="AN7" s="50">
        <v>1</v>
      </c>
      <c r="AO7" s="50">
        <v>0</v>
      </c>
    </row>
    <row r="8" spans="1:4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2278.1</v>
      </c>
      <c r="H8" s="45" t="s">
        <v>53</v>
      </c>
      <c r="J8" s="47">
        <v>3</v>
      </c>
      <c r="K8" s="47">
        <v>-8</v>
      </c>
      <c r="L8" s="70" t="s">
        <v>106</v>
      </c>
      <c r="M8" s="49" t="s">
        <v>64</v>
      </c>
      <c r="N8" s="50">
        <v>10.1</v>
      </c>
      <c r="O8" s="51"/>
      <c r="P8" s="51"/>
      <c r="Q8" s="50">
        <v>35</v>
      </c>
      <c r="R8" s="50">
        <f t="shared" ref="R8:R10" si="2">Q8-5</f>
        <v>30</v>
      </c>
      <c r="S8" s="50">
        <v>0.9</v>
      </c>
      <c r="T8" s="50">
        <v>0</v>
      </c>
      <c r="U8" s="52"/>
      <c r="V8" s="52"/>
      <c r="W8" s="50">
        <v>0.5</v>
      </c>
      <c r="X8" s="50">
        <v>71200</v>
      </c>
      <c r="Y8" s="50">
        <v>0</v>
      </c>
      <c r="Z8" s="50">
        <f>VLOOKUP(R8,$AE$39:$AF$59,2)</f>
        <v>95.999999999999972</v>
      </c>
      <c r="AA8" s="53"/>
      <c r="AB8" s="50">
        <f t="shared" ref="AB8:AB10" si="3">VLOOKUP(R8,$AE$39:$AG$59,3)</f>
        <v>9600</v>
      </c>
      <c r="AC8" s="51"/>
      <c r="AD8" s="51"/>
      <c r="AE8" s="51"/>
      <c r="AF8" s="51"/>
      <c r="AG8" s="51"/>
      <c r="AH8" s="51"/>
      <c r="AI8" s="51"/>
      <c r="AJ8" s="50">
        <f t="shared" si="1"/>
        <v>40.000000000000007</v>
      </c>
      <c r="AK8" s="50">
        <v>1</v>
      </c>
      <c r="AL8" s="50">
        <v>1</v>
      </c>
      <c r="AM8" s="50">
        <v>1</v>
      </c>
      <c r="AN8" s="50">
        <v>1</v>
      </c>
      <c r="AO8" s="50">
        <v>0</v>
      </c>
    </row>
    <row r="9" spans="1:41" x14ac:dyDescent="0.25">
      <c r="A9" s="33" t="s">
        <v>68</v>
      </c>
      <c r="B9" s="57">
        <v>33</v>
      </c>
      <c r="C9" s="45" t="s">
        <v>28</v>
      </c>
      <c r="D9" s="57">
        <v>28</v>
      </c>
      <c r="F9" s="33" t="s">
        <v>96</v>
      </c>
      <c r="G9" s="71">
        <v>-122786</v>
      </c>
      <c r="H9" s="45" t="s">
        <v>54</v>
      </c>
      <c r="J9" s="47">
        <v>4</v>
      </c>
      <c r="K9" s="47">
        <v>-22</v>
      </c>
      <c r="L9" s="70" t="s">
        <v>107</v>
      </c>
      <c r="M9" s="49" t="s">
        <v>65</v>
      </c>
      <c r="N9" s="50">
        <v>8.3000000000000007</v>
      </c>
      <c r="O9" s="51">
        <v>142.6</v>
      </c>
      <c r="P9" s="51">
        <v>2.4500000000000002</v>
      </c>
      <c r="Q9" s="50"/>
      <c r="R9" s="50"/>
      <c r="S9" s="50"/>
      <c r="T9" s="50"/>
      <c r="U9" s="52">
        <v>1.7999999999999999E-2</v>
      </c>
      <c r="V9" s="52">
        <v>0</v>
      </c>
      <c r="W9" s="50"/>
      <c r="X9" s="50"/>
      <c r="Y9" s="50"/>
      <c r="Z9" s="50"/>
      <c r="AA9" s="53">
        <v>1</v>
      </c>
      <c r="AB9" s="50"/>
      <c r="AC9" s="51">
        <v>130900</v>
      </c>
      <c r="AD9" s="51">
        <v>3491</v>
      </c>
      <c r="AE9" s="51">
        <v>0.46</v>
      </c>
      <c r="AF9" s="51">
        <v>0</v>
      </c>
      <c r="AG9" s="51">
        <v>0</v>
      </c>
      <c r="AH9" s="51">
        <v>0</v>
      </c>
      <c r="AI9" s="51">
        <v>0</v>
      </c>
      <c r="AJ9" s="50"/>
      <c r="AK9" s="50">
        <v>1</v>
      </c>
      <c r="AL9" s="50">
        <v>1</v>
      </c>
      <c r="AM9" s="50">
        <v>1</v>
      </c>
      <c r="AN9" s="50">
        <v>1</v>
      </c>
      <c r="AO9" s="50">
        <v>0</v>
      </c>
    </row>
    <row r="10" spans="1:41" s="56" customFormat="1" x14ac:dyDescent="0.25">
      <c r="A10" s="56" t="s">
        <v>69</v>
      </c>
      <c r="B10" s="58">
        <v>33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/>
      <c r="J10" s="47">
        <v>5</v>
      </c>
      <c r="K10" s="47">
        <v>-30</v>
      </c>
      <c r="L10" s="33" t="s">
        <v>106</v>
      </c>
      <c r="M10" s="49" t="s">
        <v>64</v>
      </c>
      <c r="N10" s="50">
        <v>9.8000000000000007</v>
      </c>
      <c r="O10" s="51"/>
      <c r="P10" s="51"/>
      <c r="Q10" s="50">
        <v>34</v>
      </c>
      <c r="R10" s="50">
        <f t="shared" si="2"/>
        <v>29</v>
      </c>
      <c r="S10" s="50">
        <v>0.8</v>
      </c>
      <c r="T10" s="50">
        <v>0</v>
      </c>
      <c r="U10" s="52"/>
      <c r="V10" s="52"/>
      <c r="W10" s="50">
        <v>0.5</v>
      </c>
      <c r="X10" s="50">
        <v>24600</v>
      </c>
      <c r="Y10" s="50">
        <v>0</v>
      </c>
      <c r="Z10" s="50">
        <f t="shared" ref="Z10" si="4">VLOOKUP(R10,$AE$39:$AF$59,2)</f>
        <v>92.999999999999972</v>
      </c>
      <c r="AA10" s="53"/>
      <c r="AB10" s="50">
        <f t="shared" si="3"/>
        <v>8640</v>
      </c>
      <c r="AC10" s="51"/>
      <c r="AD10" s="51"/>
      <c r="AE10" s="51"/>
      <c r="AF10" s="51"/>
      <c r="AG10" s="51"/>
      <c r="AH10" s="51"/>
      <c r="AI10" s="51"/>
      <c r="AJ10" s="50">
        <f t="shared" si="1"/>
        <v>36.000000000000007</v>
      </c>
      <c r="AK10" s="50">
        <v>1</v>
      </c>
      <c r="AL10" s="50">
        <v>1</v>
      </c>
      <c r="AM10" s="50">
        <v>1</v>
      </c>
      <c r="AN10" s="50">
        <v>1</v>
      </c>
      <c r="AO10" s="50">
        <v>0</v>
      </c>
    </row>
    <row r="11" spans="1:41" x14ac:dyDescent="0.25">
      <c r="A11" s="33" t="s">
        <v>70</v>
      </c>
      <c r="B11" s="57">
        <v>0.5</v>
      </c>
      <c r="C11" s="45" t="s">
        <v>28</v>
      </c>
      <c r="F11" s="33" t="s">
        <v>52</v>
      </c>
      <c r="G11" s="71">
        <v>0</v>
      </c>
      <c r="H11" s="45" t="s">
        <v>53</v>
      </c>
      <c r="J11" s="47"/>
      <c r="K11" s="47"/>
      <c r="M11" s="49"/>
      <c r="N11" s="50"/>
      <c r="O11" s="51"/>
      <c r="P11" s="51"/>
      <c r="Q11" s="50"/>
      <c r="R11" s="50"/>
      <c r="S11" s="50"/>
      <c r="T11" s="50"/>
      <c r="U11" s="52"/>
      <c r="V11" s="52"/>
      <c r="W11" s="50"/>
      <c r="X11" s="50"/>
      <c r="Y11" s="50"/>
      <c r="Z11" s="50"/>
      <c r="AA11" s="53"/>
      <c r="AB11" s="50"/>
      <c r="AC11" s="51"/>
      <c r="AD11" s="51"/>
      <c r="AE11" s="51"/>
      <c r="AF11" s="51"/>
      <c r="AG11" s="51"/>
      <c r="AH11" s="51"/>
      <c r="AI11" s="51"/>
      <c r="AJ11" s="50"/>
      <c r="AK11" s="50"/>
      <c r="AL11" s="50">
        <v>1</v>
      </c>
      <c r="AM11" s="50">
        <v>1</v>
      </c>
      <c r="AN11" s="50">
        <v>1</v>
      </c>
      <c r="AO11" s="50">
        <v>0</v>
      </c>
    </row>
    <row r="12" spans="1:41" x14ac:dyDescent="0.25">
      <c r="A12" s="33" t="s">
        <v>74</v>
      </c>
      <c r="B12" s="46">
        <v>5.5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/>
      <c r="J12" s="47"/>
      <c r="K12" s="47"/>
      <c r="M12" s="49"/>
      <c r="N12" s="50"/>
      <c r="O12" s="51"/>
      <c r="P12" s="51"/>
      <c r="Q12" s="50"/>
      <c r="R12" s="50"/>
      <c r="S12" s="50"/>
      <c r="T12" s="50"/>
      <c r="U12" s="52"/>
      <c r="V12" s="52"/>
      <c r="W12" s="50"/>
      <c r="X12" s="50"/>
      <c r="Y12" s="50"/>
      <c r="Z12" s="50"/>
      <c r="AA12" s="53"/>
      <c r="AB12" s="50"/>
      <c r="AC12" s="51"/>
      <c r="AD12" s="51"/>
      <c r="AE12" s="51"/>
      <c r="AF12" s="51"/>
      <c r="AG12" s="51"/>
      <c r="AH12" s="51"/>
      <c r="AI12" s="51"/>
      <c r="AJ12" s="50"/>
      <c r="AK12" s="50"/>
      <c r="AL12" s="50"/>
      <c r="AM12" s="50"/>
      <c r="AN12" s="50"/>
      <c r="AO12" s="50"/>
    </row>
    <row r="13" spans="1:4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J13" s="47"/>
      <c r="K13" s="47"/>
      <c r="M13" s="49"/>
      <c r="N13" s="50"/>
      <c r="O13" s="51"/>
      <c r="P13" s="51"/>
      <c r="Q13" s="50"/>
      <c r="R13" s="50"/>
      <c r="S13" s="50"/>
      <c r="T13" s="50"/>
      <c r="U13" s="52"/>
      <c r="V13" s="52"/>
      <c r="W13" s="50"/>
      <c r="X13" s="50"/>
      <c r="Y13" s="50"/>
      <c r="Z13" s="50"/>
      <c r="AA13" s="53"/>
      <c r="AB13" s="50"/>
      <c r="AC13" s="51"/>
      <c r="AD13" s="51"/>
      <c r="AE13" s="51"/>
      <c r="AF13" s="51"/>
      <c r="AG13" s="51"/>
      <c r="AH13" s="51"/>
      <c r="AI13" s="51"/>
      <c r="AJ13" s="50"/>
      <c r="AK13" s="50"/>
      <c r="AL13" s="50"/>
      <c r="AM13" s="50"/>
      <c r="AN13" s="50"/>
      <c r="AO13" s="50"/>
    </row>
    <row r="14" spans="1:4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J14" s="47"/>
      <c r="K14" s="47"/>
      <c r="M14" s="49"/>
      <c r="N14" s="50"/>
      <c r="O14" s="51"/>
      <c r="P14" s="51"/>
      <c r="Q14" s="50"/>
      <c r="R14" s="50"/>
      <c r="S14" s="50"/>
      <c r="T14" s="50"/>
      <c r="U14" s="52"/>
      <c r="V14" s="52"/>
      <c r="W14" s="50"/>
      <c r="X14" s="50"/>
      <c r="Y14" s="50"/>
      <c r="Z14" s="50"/>
      <c r="AA14" s="53"/>
      <c r="AB14" s="50"/>
      <c r="AC14" s="51"/>
      <c r="AD14" s="51"/>
      <c r="AE14" s="51"/>
      <c r="AF14" s="51"/>
      <c r="AG14" s="51"/>
      <c r="AH14" s="51"/>
      <c r="AI14" s="51"/>
      <c r="AJ14" s="50"/>
      <c r="AK14" s="50"/>
      <c r="AL14" s="50"/>
      <c r="AM14" s="50"/>
      <c r="AN14" s="50"/>
      <c r="AO14" s="50"/>
    </row>
    <row r="15" spans="1:41" x14ac:dyDescent="0.25">
      <c r="A15" s="33" t="s">
        <v>44</v>
      </c>
      <c r="B15" s="61">
        <v>207000000</v>
      </c>
      <c r="C15" s="45" t="s">
        <v>47</v>
      </c>
      <c r="J15" s="47"/>
      <c r="K15" s="47"/>
      <c r="M15" s="49"/>
      <c r="N15" s="50"/>
      <c r="O15" s="51"/>
      <c r="P15" s="51"/>
      <c r="Q15" s="50"/>
      <c r="R15" s="50"/>
      <c r="S15" s="50"/>
      <c r="T15" s="50"/>
      <c r="U15" s="52"/>
      <c r="V15" s="52"/>
      <c r="W15" s="50"/>
      <c r="X15" s="50"/>
      <c r="Y15" s="50"/>
      <c r="Z15" s="50"/>
      <c r="AA15" s="53"/>
      <c r="AB15" s="50"/>
      <c r="AC15" s="51"/>
      <c r="AD15" s="51"/>
      <c r="AE15" s="51"/>
      <c r="AF15" s="51"/>
      <c r="AG15" s="51"/>
      <c r="AH15" s="51"/>
      <c r="AI15" s="51"/>
      <c r="AJ15" s="50"/>
      <c r="AK15" s="50"/>
      <c r="AL15" s="50"/>
      <c r="AM15" s="50"/>
      <c r="AN15" s="50"/>
      <c r="AO15" s="50"/>
    </row>
    <row r="16" spans="1:4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/>
      <c r="J16" s="47"/>
      <c r="K16" s="47"/>
      <c r="M16" s="49"/>
      <c r="N16" s="50"/>
      <c r="O16" s="51"/>
      <c r="P16" s="51"/>
      <c r="Q16" s="50"/>
      <c r="R16" s="50"/>
      <c r="S16" s="50"/>
      <c r="T16" s="50"/>
      <c r="U16" s="52"/>
      <c r="V16" s="52"/>
      <c r="W16" s="50"/>
      <c r="X16" s="50"/>
      <c r="Y16" s="50"/>
      <c r="Z16" s="50"/>
      <c r="AA16" s="53"/>
      <c r="AB16" s="50"/>
      <c r="AC16" s="51"/>
      <c r="AD16" s="51"/>
      <c r="AE16" s="51"/>
      <c r="AF16" s="51"/>
      <c r="AG16" s="51"/>
      <c r="AH16" s="51"/>
      <c r="AI16" s="51"/>
      <c r="AJ16" s="50"/>
      <c r="AK16" s="50"/>
      <c r="AL16" s="50"/>
      <c r="AM16" s="50"/>
      <c r="AN16" s="50"/>
      <c r="AO16" s="50"/>
    </row>
    <row r="17" spans="1:41" s="56" customFormat="1" x14ac:dyDescent="0.25">
      <c r="A17" s="33" t="s">
        <v>98</v>
      </c>
      <c r="B17" s="57">
        <v>0.53</v>
      </c>
      <c r="C17" s="45"/>
      <c r="D17" s="38"/>
      <c r="E17" s="38"/>
      <c r="J17" s="47"/>
      <c r="K17" s="47"/>
      <c r="L17" s="33"/>
      <c r="M17" s="49"/>
      <c r="N17" s="50"/>
      <c r="O17" s="51"/>
      <c r="P17" s="51"/>
      <c r="Q17" s="50"/>
      <c r="R17" s="50"/>
      <c r="S17" s="50"/>
      <c r="T17" s="50"/>
      <c r="U17" s="52"/>
      <c r="V17" s="52"/>
      <c r="W17" s="50"/>
      <c r="X17" s="50"/>
      <c r="Y17" s="50"/>
      <c r="Z17" s="50"/>
      <c r="AA17" s="53"/>
      <c r="AB17" s="50"/>
      <c r="AC17" s="51"/>
      <c r="AD17" s="51"/>
      <c r="AE17" s="51"/>
      <c r="AF17" s="51"/>
      <c r="AG17" s="51"/>
      <c r="AH17" s="51"/>
      <c r="AI17" s="51"/>
      <c r="AJ17" s="50"/>
      <c r="AK17" s="50"/>
      <c r="AL17" s="50"/>
      <c r="AM17" s="50"/>
      <c r="AN17" s="50"/>
      <c r="AO17" s="50"/>
    </row>
    <row r="18" spans="1:41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L18" s="48"/>
      <c r="M18" s="49" t="s">
        <v>94</v>
      </c>
      <c r="N18" s="47"/>
      <c r="O18" s="63"/>
      <c r="P18" s="47"/>
      <c r="Q18" s="47"/>
      <c r="R18" s="64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</row>
    <row r="19" spans="1:41" x14ac:dyDescent="0.25">
      <c r="A19" s="38" t="s">
        <v>38</v>
      </c>
      <c r="B19" s="38" t="s">
        <v>30</v>
      </c>
      <c r="C19" s="38" t="s">
        <v>59</v>
      </c>
      <c r="D19" s="43"/>
      <c r="E19" s="35"/>
      <c r="L19" s="48"/>
      <c r="M19" s="49" t="s">
        <v>94</v>
      </c>
      <c r="N19" s="47"/>
      <c r="O19" s="50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</row>
    <row r="20" spans="1:41" x14ac:dyDescent="0.25">
      <c r="A20" s="66">
        <v>1</v>
      </c>
      <c r="B20" s="66">
        <v>0</v>
      </c>
      <c r="C20" s="67">
        <v>0.09</v>
      </c>
      <c r="D20" s="43"/>
      <c r="L20" s="48"/>
      <c r="M20" s="49" t="s">
        <v>94</v>
      </c>
      <c r="N20" s="47"/>
      <c r="O20" s="50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</row>
    <row r="21" spans="1:41" x14ac:dyDescent="0.25">
      <c r="A21" s="66"/>
      <c r="B21" s="66"/>
      <c r="C21" s="67"/>
      <c r="D21" s="43"/>
      <c r="L21" s="48"/>
      <c r="M21" s="49" t="s">
        <v>94</v>
      </c>
      <c r="N21" s="47"/>
      <c r="O21" s="50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</row>
    <row r="22" spans="1:41" x14ac:dyDescent="0.25">
      <c r="A22" s="66"/>
      <c r="B22" s="66"/>
      <c r="C22" s="67"/>
      <c r="D22" s="35"/>
      <c r="L22" s="48"/>
      <c r="M22" s="49" t="s">
        <v>94</v>
      </c>
      <c r="N22" s="47"/>
      <c r="O22" s="50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</row>
    <row r="23" spans="1:41" x14ac:dyDescent="0.25">
      <c r="A23" s="66"/>
      <c r="B23" s="66"/>
      <c r="C23" s="67"/>
      <c r="D23" s="35"/>
      <c r="L23" s="48"/>
      <c r="M23" s="49" t="s">
        <v>94</v>
      </c>
      <c r="N23" s="47"/>
      <c r="O23" s="50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</row>
    <row r="24" spans="1:41" x14ac:dyDescent="0.25">
      <c r="A24" s="66"/>
      <c r="B24" s="66"/>
      <c r="C24" s="67"/>
      <c r="D24" s="35"/>
      <c r="L24" s="48"/>
      <c r="M24" s="49" t="s">
        <v>94</v>
      </c>
      <c r="N24" s="47"/>
      <c r="O24" s="50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</row>
    <row r="25" spans="1:41" x14ac:dyDescent="0.25">
      <c r="A25" s="66"/>
      <c r="B25" s="66"/>
      <c r="C25" s="67"/>
      <c r="D25" s="35"/>
      <c r="L25" s="48"/>
      <c r="M25" s="49" t="s">
        <v>94</v>
      </c>
      <c r="N25" s="47"/>
      <c r="O25" s="50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</row>
    <row r="26" spans="1:41" x14ac:dyDescent="0.25">
      <c r="A26" s="66"/>
      <c r="B26" s="66"/>
      <c r="C26" s="67"/>
      <c r="D26" s="35"/>
      <c r="L26" s="48"/>
      <c r="M26" s="49" t="s">
        <v>94</v>
      </c>
      <c r="N26" s="47"/>
      <c r="O26" s="50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</row>
    <row r="27" spans="1:41" x14ac:dyDescent="0.25">
      <c r="A27" s="66"/>
      <c r="B27" s="66"/>
      <c r="C27" s="67"/>
      <c r="D27" s="35"/>
      <c r="L27" s="48"/>
      <c r="M27" s="49" t="s">
        <v>94</v>
      </c>
      <c r="N27" s="47"/>
      <c r="O27" s="50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</row>
    <row r="28" spans="1:41" x14ac:dyDescent="0.25">
      <c r="A28" s="66"/>
      <c r="B28" s="66"/>
      <c r="C28" s="67"/>
      <c r="D28" s="35"/>
      <c r="L28" s="48"/>
      <c r="M28" s="49" t="s">
        <v>94</v>
      </c>
      <c r="N28" s="47"/>
      <c r="O28" s="50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</row>
    <row r="29" spans="1:41" x14ac:dyDescent="0.25">
      <c r="A29" s="66"/>
      <c r="B29" s="66"/>
      <c r="C29" s="67"/>
      <c r="D29" s="35"/>
      <c r="L29" s="48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</row>
    <row r="30" spans="1:41" x14ac:dyDescent="0.25">
      <c r="A30" s="66"/>
      <c r="B30" s="66"/>
      <c r="C30" s="67"/>
      <c r="D30" s="35"/>
      <c r="L30" s="48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</row>
    <row r="31" spans="1:41" x14ac:dyDescent="0.25">
      <c r="A31" s="66"/>
      <c r="B31" s="66"/>
      <c r="C31" s="67"/>
      <c r="D31" s="35"/>
      <c r="L31" s="48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</row>
    <row r="32" spans="1:41" x14ac:dyDescent="0.25">
      <c r="A32" s="66"/>
      <c r="B32" s="66"/>
      <c r="C32" s="67"/>
      <c r="D32" s="35"/>
      <c r="L32" s="48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</row>
    <row r="33" spans="1:40" x14ac:dyDescent="0.25">
      <c r="A33" s="66"/>
      <c r="B33" s="66"/>
      <c r="C33" s="67"/>
      <c r="D33" s="35"/>
      <c r="L33" s="48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</row>
    <row r="34" spans="1:40" x14ac:dyDescent="0.25">
      <c r="L34" s="48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</row>
    <row r="35" spans="1:40" x14ac:dyDescent="0.25">
      <c r="L35" s="48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</row>
    <row r="36" spans="1:40" x14ac:dyDescent="0.25">
      <c r="L36" s="48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</row>
    <row r="37" spans="1:40" x14ac:dyDescent="0.25">
      <c r="L37" s="48"/>
      <c r="AE37" s="47"/>
      <c r="AF37" s="47" t="s">
        <v>104</v>
      </c>
      <c r="AG37" s="47" t="s">
        <v>105</v>
      </c>
      <c r="AH37" s="47" t="s">
        <v>66</v>
      </c>
    </row>
    <row r="38" spans="1:40" x14ac:dyDescent="0.25">
      <c r="L38" s="48"/>
      <c r="AE38" s="33" t="s">
        <v>99</v>
      </c>
      <c r="AF38" s="33" t="s">
        <v>100</v>
      </c>
      <c r="AG38" s="33" t="s">
        <v>101</v>
      </c>
    </row>
    <row r="39" spans="1:40" x14ac:dyDescent="0.25">
      <c r="L39" s="48"/>
      <c r="AE39" s="33">
        <v>15</v>
      </c>
      <c r="AF39" s="33">
        <v>48</v>
      </c>
      <c r="AG39" s="33">
        <v>1900</v>
      </c>
      <c r="AH39" s="33">
        <v>8</v>
      </c>
    </row>
    <row r="40" spans="1:40" x14ac:dyDescent="0.25">
      <c r="L40" s="48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0" x14ac:dyDescent="0.25">
      <c r="L41" s="48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</row>
    <row r="42" spans="1:40" x14ac:dyDescent="0.25">
      <c r="L42" s="48"/>
      <c r="AE42" s="33">
        <v>18</v>
      </c>
      <c r="AF42" s="33">
        <f t="shared" si="5"/>
        <v>59.399999999999991</v>
      </c>
      <c r="AG42" s="33">
        <f t="shared" si="6"/>
        <v>2500</v>
      </c>
      <c r="AH42" s="33">
        <f t="shared" si="7"/>
        <v>10.400000000000002</v>
      </c>
    </row>
    <row r="43" spans="1:40" x14ac:dyDescent="0.25">
      <c r="L43" s="48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</row>
    <row r="44" spans="1:40" x14ac:dyDescent="0.25">
      <c r="L44" s="48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</row>
    <row r="45" spans="1:40" x14ac:dyDescent="0.25">
      <c r="L45" s="48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0" x14ac:dyDescent="0.25">
      <c r="L46" s="48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0" x14ac:dyDescent="0.25">
      <c r="L47" s="48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0" x14ac:dyDescent="0.25">
      <c r="L48" s="48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8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8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8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8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8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8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8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8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8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8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8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8"/>
      <c r="AE60" s="33">
        <v>36</v>
      </c>
    </row>
    <row r="61" spans="12:34" x14ac:dyDescent="0.25">
      <c r="L61" s="48"/>
      <c r="AE61" s="33">
        <v>37</v>
      </c>
    </row>
    <row r="62" spans="12:34" x14ac:dyDescent="0.25">
      <c r="L62" s="48"/>
    </row>
    <row r="63" spans="12:34" x14ac:dyDescent="0.25">
      <c r="L63" s="48"/>
    </row>
    <row r="64" spans="12:34" x14ac:dyDescent="0.25">
      <c r="L64" s="48"/>
    </row>
    <row r="65" spans="12:12" x14ac:dyDescent="0.25">
      <c r="L65" s="48"/>
    </row>
    <row r="66" spans="12:12" x14ac:dyDescent="0.25">
      <c r="L66" s="48"/>
    </row>
    <row r="67" spans="12:12" x14ac:dyDescent="0.25">
      <c r="L67" s="48"/>
    </row>
    <row r="68" spans="12:12" x14ac:dyDescent="0.25">
      <c r="L68" s="48"/>
    </row>
    <row r="69" spans="12:12" x14ac:dyDescent="0.25">
      <c r="L69" s="48"/>
    </row>
    <row r="70" spans="12:12" x14ac:dyDescent="0.25">
      <c r="L70" s="48"/>
    </row>
    <row r="71" spans="12:12" x14ac:dyDescent="0.25">
      <c r="L71" s="48"/>
    </row>
    <row r="72" spans="12:12" x14ac:dyDescent="0.25">
      <c r="L72" s="48"/>
    </row>
    <row r="73" spans="12:12" x14ac:dyDescent="0.25">
      <c r="L73" s="48"/>
    </row>
    <row r="74" spans="12:12" x14ac:dyDescent="0.25">
      <c r="L74" s="48"/>
    </row>
    <row r="75" spans="12:12" x14ac:dyDescent="0.25">
      <c r="L75" s="48"/>
    </row>
    <row r="76" spans="12:12" x14ac:dyDescent="0.25">
      <c r="L76" s="48"/>
    </row>
    <row r="77" spans="12:12" x14ac:dyDescent="0.25">
      <c r="L77" s="48"/>
    </row>
    <row r="78" spans="12:12" x14ac:dyDescent="0.25">
      <c r="L78" s="48"/>
    </row>
    <row r="79" spans="12:12" x14ac:dyDescent="0.25">
      <c r="L79" s="48"/>
    </row>
    <row r="80" spans="12:12" x14ac:dyDescent="0.25">
      <c r="L80" s="48"/>
    </row>
    <row r="81" spans="12:12" x14ac:dyDescent="0.25">
      <c r="L81" s="48"/>
    </row>
    <row r="82" spans="12:12" x14ac:dyDescent="0.25">
      <c r="L82" s="48"/>
    </row>
    <row r="83" spans="12:12" x14ac:dyDescent="0.25">
      <c r="L83" s="48"/>
    </row>
    <row r="84" spans="12:12" x14ac:dyDescent="0.25">
      <c r="L84" s="48"/>
    </row>
    <row r="85" spans="12:12" x14ac:dyDescent="0.25">
      <c r="L85" s="48"/>
    </row>
    <row r="86" spans="12:12" x14ac:dyDescent="0.25">
      <c r="L86" s="48"/>
    </row>
    <row r="87" spans="12:12" x14ac:dyDescent="0.25">
      <c r="L87" s="48"/>
    </row>
    <row r="88" spans="12:12" x14ac:dyDescent="0.25">
      <c r="L88" s="48"/>
    </row>
    <row r="89" spans="12:12" x14ac:dyDescent="0.25">
      <c r="L89" s="48"/>
    </row>
    <row r="90" spans="12:12" x14ac:dyDescent="0.25">
      <c r="L90" s="48"/>
    </row>
    <row r="91" spans="12:12" x14ac:dyDescent="0.25">
      <c r="L91" s="48"/>
    </row>
    <row r="92" spans="12:12" x14ac:dyDescent="0.25">
      <c r="L92" s="48"/>
    </row>
    <row r="93" spans="12:12" x14ac:dyDescent="0.25">
      <c r="L93" s="48"/>
    </row>
    <row r="94" spans="12:12" x14ac:dyDescent="0.25">
      <c r="L94" s="48"/>
    </row>
    <row r="95" spans="12:12" x14ac:dyDescent="0.25">
      <c r="L95" s="48"/>
    </row>
    <row r="96" spans="12:12" x14ac:dyDescent="0.25">
      <c r="L96" s="48"/>
    </row>
    <row r="97" spans="12:12" x14ac:dyDescent="0.25">
      <c r="L97" s="48"/>
    </row>
    <row r="98" spans="12:12" x14ac:dyDescent="0.25">
      <c r="L98" s="48"/>
    </row>
    <row r="99" spans="12:12" x14ac:dyDescent="0.25">
      <c r="L99" s="48"/>
    </row>
    <row r="100" spans="12:12" x14ac:dyDescent="0.25">
      <c r="L100" s="48"/>
    </row>
    <row r="101" spans="12:12" x14ac:dyDescent="0.25">
      <c r="L101" s="48"/>
    </row>
    <row r="102" spans="12:12" x14ac:dyDescent="0.25">
      <c r="L102" s="48"/>
    </row>
    <row r="103" spans="12:12" x14ac:dyDescent="0.25">
      <c r="L103" s="48"/>
    </row>
    <row r="104" spans="12:12" x14ac:dyDescent="0.25">
      <c r="L104" s="48"/>
    </row>
    <row r="105" spans="12:12" x14ac:dyDescent="0.25">
      <c r="L105" s="48"/>
    </row>
    <row r="106" spans="12:12" x14ac:dyDescent="0.25">
      <c r="L106" s="48"/>
    </row>
    <row r="107" spans="12:12" x14ac:dyDescent="0.25">
      <c r="L107" s="48"/>
    </row>
    <row r="108" spans="12:12" x14ac:dyDescent="0.25">
      <c r="L108" s="48"/>
    </row>
    <row r="109" spans="12:12" x14ac:dyDescent="0.25">
      <c r="L109" s="48"/>
    </row>
    <row r="110" spans="12:12" x14ac:dyDescent="0.25">
      <c r="L110" s="48"/>
    </row>
    <row r="111" spans="12:12" x14ac:dyDescent="0.25">
      <c r="L111" s="48"/>
    </row>
    <row r="112" spans="12:12" x14ac:dyDescent="0.25">
      <c r="L112" s="48"/>
    </row>
    <row r="113" spans="12:12" x14ac:dyDescent="0.25">
      <c r="L113" s="48"/>
    </row>
    <row r="114" spans="12:12" x14ac:dyDescent="0.25">
      <c r="L114" s="48"/>
    </row>
    <row r="115" spans="12:12" x14ac:dyDescent="0.25">
      <c r="L115" s="48"/>
    </row>
    <row r="116" spans="12:12" x14ac:dyDescent="0.25">
      <c r="L116" s="48"/>
    </row>
    <row r="117" spans="12:12" x14ac:dyDescent="0.25">
      <c r="L117" s="48"/>
    </row>
    <row r="118" spans="12:12" x14ac:dyDescent="0.25">
      <c r="L118" s="48"/>
    </row>
    <row r="119" spans="12:12" x14ac:dyDescent="0.25">
      <c r="L119" s="48"/>
    </row>
    <row r="120" spans="12:12" x14ac:dyDescent="0.25">
      <c r="L120" s="48"/>
    </row>
    <row r="121" spans="12:12" x14ac:dyDescent="0.25">
      <c r="L121" s="48"/>
    </row>
    <row r="122" spans="12:12" x14ac:dyDescent="0.25">
      <c r="L122" s="48"/>
    </row>
    <row r="123" spans="12:12" x14ac:dyDescent="0.25">
      <c r="L123" s="48"/>
    </row>
    <row r="124" spans="12:12" x14ac:dyDescent="0.25">
      <c r="L124" s="48"/>
    </row>
    <row r="125" spans="12:12" x14ac:dyDescent="0.25">
      <c r="L125" s="48"/>
    </row>
    <row r="126" spans="12:12" x14ac:dyDescent="0.25">
      <c r="L126" s="48"/>
    </row>
    <row r="127" spans="12:12" x14ac:dyDescent="0.25">
      <c r="L127" s="48"/>
    </row>
    <row r="128" spans="12:12" x14ac:dyDescent="0.25">
      <c r="L128" s="48"/>
    </row>
    <row r="129" spans="12:12" x14ac:dyDescent="0.25">
      <c r="L129" s="48"/>
    </row>
    <row r="130" spans="12:12" x14ac:dyDescent="0.25">
      <c r="L130" s="48"/>
    </row>
    <row r="131" spans="12:12" x14ac:dyDescent="0.25">
      <c r="L131" s="48"/>
    </row>
    <row r="132" spans="12:12" x14ac:dyDescent="0.25">
      <c r="L132" s="48"/>
    </row>
    <row r="133" spans="12:12" x14ac:dyDescent="0.25">
      <c r="L133" s="48"/>
    </row>
    <row r="134" spans="12:12" x14ac:dyDescent="0.25">
      <c r="L134" s="48"/>
    </row>
    <row r="135" spans="12:12" x14ac:dyDescent="0.25">
      <c r="L135" s="48"/>
    </row>
    <row r="136" spans="12:12" x14ac:dyDescent="0.25">
      <c r="L136" s="48"/>
    </row>
    <row r="137" spans="12:12" x14ac:dyDescent="0.25">
      <c r="L137" s="48"/>
    </row>
    <row r="138" spans="12:12" x14ac:dyDescent="0.25">
      <c r="L138" s="48"/>
    </row>
    <row r="139" spans="12:12" x14ac:dyDescent="0.25">
      <c r="L139" s="48"/>
    </row>
    <row r="140" spans="12:12" x14ac:dyDescent="0.25">
      <c r="L140" s="48"/>
    </row>
    <row r="141" spans="12:12" x14ac:dyDescent="0.25">
      <c r="L141" s="48"/>
    </row>
    <row r="142" spans="12:12" x14ac:dyDescent="0.25">
      <c r="L142" s="48"/>
    </row>
    <row r="143" spans="12:12" x14ac:dyDescent="0.25">
      <c r="L143" s="48"/>
    </row>
    <row r="144" spans="12:12" x14ac:dyDescent="0.25">
      <c r="L144" s="48"/>
    </row>
    <row r="145" spans="12:12" x14ac:dyDescent="0.25">
      <c r="L145" s="48"/>
    </row>
    <row r="146" spans="12:12" x14ac:dyDescent="0.25">
      <c r="L146" s="48"/>
    </row>
    <row r="147" spans="12:12" x14ac:dyDescent="0.25">
      <c r="L147" s="48"/>
    </row>
    <row r="148" spans="12:12" x14ac:dyDescent="0.25">
      <c r="L148" s="48"/>
    </row>
    <row r="149" spans="12:12" x14ac:dyDescent="0.25">
      <c r="L149" s="48"/>
    </row>
    <row r="150" spans="12:12" x14ac:dyDescent="0.25">
      <c r="L150" s="48"/>
    </row>
    <row r="151" spans="12:12" x14ac:dyDescent="0.25">
      <c r="L151" s="48"/>
    </row>
    <row r="152" spans="12:12" x14ac:dyDescent="0.25">
      <c r="L152" s="48"/>
    </row>
    <row r="153" spans="12:12" x14ac:dyDescent="0.25">
      <c r="L153" s="48"/>
    </row>
    <row r="154" spans="12:12" x14ac:dyDescent="0.25">
      <c r="L154" s="48"/>
    </row>
    <row r="155" spans="12:12" x14ac:dyDescent="0.25">
      <c r="L155" s="48"/>
    </row>
    <row r="156" spans="12:12" x14ac:dyDescent="0.25">
      <c r="L156" s="48"/>
    </row>
    <row r="157" spans="12:12" x14ac:dyDescent="0.25">
      <c r="L157" s="48"/>
    </row>
    <row r="158" spans="12:12" x14ac:dyDescent="0.25">
      <c r="L158" s="48"/>
    </row>
    <row r="159" spans="12:12" x14ac:dyDescent="0.25">
      <c r="L159" s="48"/>
    </row>
    <row r="160" spans="12:12" x14ac:dyDescent="0.25">
      <c r="L160" s="48"/>
    </row>
    <row r="161" spans="12:12" x14ac:dyDescent="0.25">
      <c r="L161" s="48"/>
    </row>
    <row r="162" spans="12:12" x14ac:dyDescent="0.25">
      <c r="L162" s="48"/>
    </row>
    <row r="163" spans="12:12" x14ac:dyDescent="0.25">
      <c r="L163" s="48"/>
    </row>
    <row r="164" spans="12:12" x14ac:dyDescent="0.25">
      <c r="L164" s="48"/>
    </row>
    <row r="165" spans="12:12" x14ac:dyDescent="0.25">
      <c r="L165" s="48"/>
    </row>
    <row r="166" spans="12:12" x14ac:dyDescent="0.25">
      <c r="L166" s="48"/>
    </row>
    <row r="167" spans="12:12" x14ac:dyDescent="0.25">
      <c r="L167" s="48"/>
    </row>
    <row r="168" spans="12:12" x14ac:dyDescent="0.25">
      <c r="L168" s="48"/>
    </row>
    <row r="169" spans="12:12" x14ac:dyDescent="0.25">
      <c r="L169" s="48"/>
    </row>
    <row r="170" spans="12:12" x14ac:dyDescent="0.25">
      <c r="L170" s="48"/>
    </row>
    <row r="171" spans="12:12" x14ac:dyDescent="0.25">
      <c r="L171" s="48"/>
    </row>
    <row r="172" spans="12:12" x14ac:dyDescent="0.25">
      <c r="L172" s="48"/>
    </row>
    <row r="173" spans="12:12" x14ac:dyDescent="0.25">
      <c r="L173" s="48"/>
    </row>
    <row r="174" spans="12:12" x14ac:dyDescent="0.25">
      <c r="L174" s="48"/>
    </row>
    <row r="175" spans="12:12" x14ac:dyDescent="0.25">
      <c r="L175" s="48"/>
    </row>
    <row r="176" spans="12:12" x14ac:dyDescent="0.25">
      <c r="L176" s="48"/>
    </row>
    <row r="177" spans="12:12" x14ac:dyDescent="0.25">
      <c r="L177" s="48"/>
    </row>
    <row r="178" spans="12:12" x14ac:dyDescent="0.25">
      <c r="L178" s="48"/>
    </row>
    <row r="179" spans="12:12" x14ac:dyDescent="0.25">
      <c r="L179" s="48"/>
    </row>
    <row r="180" spans="12:12" x14ac:dyDescent="0.25">
      <c r="L180" s="48"/>
    </row>
    <row r="181" spans="12:12" x14ac:dyDescent="0.25">
      <c r="L181" s="48"/>
    </row>
    <row r="182" spans="12:12" x14ac:dyDescent="0.25">
      <c r="L182" s="48"/>
    </row>
    <row r="183" spans="12:12" x14ac:dyDescent="0.25">
      <c r="L183" s="48"/>
    </row>
    <row r="184" spans="12:12" x14ac:dyDescent="0.25">
      <c r="L184" s="48"/>
    </row>
    <row r="185" spans="12:12" x14ac:dyDescent="0.25">
      <c r="L185" s="48"/>
    </row>
    <row r="186" spans="12:12" x14ac:dyDescent="0.25">
      <c r="L186" s="48"/>
    </row>
    <row r="187" spans="12:12" x14ac:dyDescent="0.25">
      <c r="L187" s="48"/>
    </row>
    <row r="188" spans="12:12" x14ac:dyDescent="0.25">
      <c r="L188" s="48"/>
    </row>
    <row r="189" spans="12:12" x14ac:dyDescent="0.25">
      <c r="L189" s="48"/>
    </row>
    <row r="190" spans="12:12" x14ac:dyDescent="0.25">
      <c r="L190" s="48"/>
    </row>
    <row r="191" spans="12:12" x14ac:dyDescent="0.25">
      <c r="L191" s="48"/>
    </row>
    <row r="192" spans="12:12" x14ac:dyDescent="0.25">
      <c r="L192" s="48"/>
    </row>
    <row r="193" spans="12:12" x14ac:dyDescent="0.25">
      <c r="L193" s="48"/>
    </row>
    <row r="194" spans="12:12" x14ac:dyDescent="0.25">
      <c r="L194" s="48"/>
    </row>
    <row r="195" spans="12:12" x14ac:dyDescent="0.25">
      <c r="L195" s="48"/>
    </row>
    <row r="196" spans="12:12" x14ac:dyDescent="0.25">
      <c r="L196" s="48"/>
    </row>
    <row r="197" spans="12:12" x14ac:dyDescent="0.25">
      <c r="L197" s="48"/>
    </row>
    <row r="198" spans="12:12" x14ac:dyDescent="0.25">
      <c r="L198" s="48"/>
    </row>
    <row r="199" spans="12:12" x14ac:dyDescent="0.25">
      <c r="L199" s="48"/>
    </row>
    <row r="200" spans="12:12" x14ac:dyDescent="0.25">
      <c r="L200" s="48"/>
    </row>
    <row r="201" spans="12:12" x14ac:dyDescent="0.25">
      <c r="L201" s="48"/>
    </row>
    <row r="202" spans="12:12" x14ac:dyDescent="0.25">
      <c r="L202" s="48"/>
    </row>
    <row r="203" spans="12:12" x14ac:dyDescent="0.25">
      <c r="L203" s="48"/>
    </row>
    <row r="204" spans="12:12" x14ac:dyDescent="0.25">
      <c r="L204" s="48"/>
    </row>
    <row r="205" spans="12:12" x14ac:dyDescent="0.25">
      <c r="L205" s="48"/>
    </row>
    <row r="206" spans="12:12" x14ac:dyDescent="0.25">
      <c r="L206" s="48"/>
    </row>
    <row r="207" spans="12:12" x14ac:dyDescent="0.25">
      <c r="L207" s="48"/>
    </row>
    <row r="208" spans="12:12" x14ac:dyDescent="0.25">
      <c r="L208" s="48"/>
    </row>
    <row r="209" spans="12:12" x14ac:dyDescent="0.25">
      <c r="L209" s="48"/>
    </row>
    <row r="210" spans="12:12" x14ac:dyDescent="0.25">
      <c r="L210" s="48"/>
    </row>
    <row r="211" spans="12:12" x14ac:dyDescent="0.25">
      <c r="L211" s="48"/>
    </row>
    <row r="212" spans="12:12" x14ac:dyDescent="0.25">
      <c r="L212" s="48"/>
    </row>
    <row r="213" spans="12:12" x14ac:dyDescent="0.25">
      <c r="L213" s="48"/>
    </row>
    <row r="214" spans="12:12" x14ac:dyDescent="0.25">
      <c r="L214" s="48"/>
    </row>
    <row r="215" spans="12:12" x14ac:dyDescent="0.25">
      <c r="L215" s="48"/>
    </row>
    <row r="216" spans="12:12" x14ac:dyDescent="0.25">
      <c r="L216" s="48"/>
    </row>
    <row r="217" spans="12:12" x14ac:dyDescent="0.25">
      <c r="L217" s="48"/>
    </row>
    <row r="218" spans="12:12" x14ac:dyDescent="0.25">
      <c r="L218" s="48"/>
    </row>
    <row r="219" spans="12:12" x14ac:dyDescent="0.25">
      <c r="L219" s="48"/>
    </row>
    <row r="220" spans="12:12" x14ac:dyDescent="0.25">
      <c r="L220" s="48"/>
    </row>
    <row r="221" spans="12:12" x14ac:dyDescent="0.25">
      <c r="L221" s="48"/>
    </row>
    <row r="222" spans="12:12" x14ac:dyDescent="0.25">
      <c r="L222" s="48"/>
    </row>
    <row r="223" spans="12:12" x14ac:dyDescent="0.25">
      <c r="L223" s="48"/>
    </row>
    <row r="224" spans="12:12" x14ac:dyDescent="0.25">
      <c r="L224" s="48"/>
    </row>
    <row r="225" spans="12:12" x14ac:dyDescent="0.25">
      <c r="L225" s="48"/>
    </row>
    <row r="226" spans="12:12" x14ac:dyDescent="0.25">
      <c r="L226" s="48"/>
    </row>
    <row r="227" spans="12:12" x14ac:dyDescent="0.25">
      <c r="L227" s="48"/>
    </row>
    <row r="228" spans="12:12" x14ac:dyDescent="0.25">
      <c r="L228" s="48"/>
    </row>
    <row r="229" spans="12:12" x14ac:dyDescent="0.25">
      <c r="L229" s="48"/>
    </row>
    <row r="230" spans="12:12" x14ac:dyDescent="0.25">
      <c r="L230" s="48"/>
    </row>
    <row r="231" spans="12:12" x14ac:dyDescent="0.25">
      <c r="L231" s="48"/>
    </row>
    <row r="232" spans="12:12" x14ac:dyDescent="0.25">
      <c r="L232" s="48"/>
    </row>
    <row r="233" spans="12:12" x14ac:dyDescent="0.25">
      <c r="L233" s="48"/>
    </row>
    <row r="234" spans="12:12" x14ac:dyDescent="0.25">
      <c r="L234" s="48"/>
    </row>
    <row r="235" spans="12:12" x14ac:dyDescent="0.25">
      <c r="L235" s="48"/>
    </row>
    <row r="236" spans="12:12" x14ac:dyDescent="0.25">
      <c r="L236" s="48"/>
    </row>
    <row r="237" spans="12:12" x14ac:dyDescent="0.25">
      <c r="L237" s="48"/>
    </row>
    <row r="238" spans="12:12" x14ac:dyDescent="0.25">
      <c r="L238" s="48"/>
    </row>
    <row r="239" spans="12:12" x14ac:dyDescent="0.25">
      <c r="L239" s="48"/>
    </row>
    <row r="240" spans="12:12" x14ac:dyDescent="0.25">
      <c r="L240" s="48"/>
    </row>
    <row r="241" spans="12:12" x14ac:dyDescent="0.25">
      <c r="L241" s="48"/>
    </row>
    <row r="242" spans="12:12" x14ac:dyDescent="0.25">
      <c r="L242" s="48"/>
    </row>
    <row r="243" spans="12:12" x14ac:dyDescent="0.25">
      <c r="L243" s="48"/>
    </row>
    <row r="244" spans="12:12" x14ac:dyDescent="0.25">
      <c r="L244" s="48"/>
    </row>
    <row r="245" spans="12:12" x14ac:dyDescent="0.25">
      <c r="L245" s="48"/>
    </row>
    <row r="246" spans="12:12" x14ac:dyDescent="0.25">
      <c r="L246" s="48"/>
    </row>
    <row r="247" spans="12:12" x14ac:dyDescent="0.25">
      <c r="L247" s="48"/>
    </row>
    <row r="248" spans="12:12" x14ac:dyDescent="0.25">
      <c r="L248" s="48"/>
    </row>
    <row r="249" spans="12:12" x14ac:dyDescent="0.25">
      <c r="L249" s="48"/>
    </row>
    <row r="250" spans="12:12" x14ac:dyDescent="0.25">
      <c r="L250" s="48"/>
    </row>
    <row r="251" spans="12:12" x14ac:dyDescent="0.25">
      <c r="L251" s="48"/>
    </row>
    <row r="252" spans="12:12" x14ac:dyDescent="0.25">
      <c r="L252" s="48"/>
    </row>
    <row r="253" spans="12:12" x14ac:dyDescent="0.25">
      <c r="L253" s="48"/>
    </row>
    <row r="254" spans="12:12" x14ac:dyDescent="0.25">
      <c r="L254" s="48"/>
    </row>
    <row r="255" spans="12:12" x14ac:dyDescent="0.25">
      <c r="L255" s="48"/>
    </row>
  </sheetData>
  <mergeCells count="2">
    <mergeCell ref="R3:S3"/>
    <mergeCell ref="U3:V3"/>
  </mergeCells>
  <conditionalFormatting sqref="W10:Y13 N6:N14 AM6:AO14 S10:T13 Q6:R14 Z6:Z15 AJ6:AJ15 AB6:AB15">
    <cfRule type="expression" dxfId="405" priority="202">
      <formula>$L6="API sand"</formula>
    </cfRule>
  </conditionalFormatting>
  <conditionalFormatting sqref="R18:S20 R29:S36 S21:S28 AD21:AD28 AB18:AB35 AK6:AL14 N6:N14">
    <cfRule type="expression" dxfId="404" priority="201">
      <formula>$M6="API sand"</formula>
    </cfRule>
  </conditionalFormatting>
  <conditionalFormatting sqref="R18:T20 R29:T36 S21:T28 AD21:AD28 AB18:AB35 AK6:AL14 N6:N14">
    <cfRule type="expression" dxfId="403" priority="200">
      <formula>$M6="API clay"</formula>
    </cfRule>
  </conditionalFormatting>
  <conditionalFormatting sqref="U18:W36 AM6:AN14 N6:P14 AC6:AI13 AA6:AA14 U6:V14">
    <cfRule type="expression" dxfId="402" priority="197">
      <formula>$L6="Stiff clay w/o free water"</formula>
    </cfRule>
    <cfRule type="expression" dxfId="401" priority="199">
      <formula>$L6="API clay"</formula>
    </cfRule>
  </conditionalFormatting>
  <conditionalFormatting sqref="U18:Y36 AM6:AN14 N6:P14 AC6:AI13 AA6:AA14 U6:V14">
    <cfRule type="expression" dxfId="400" priority="198">
      <formula>$L6="Kirsch soft clay"</formula>
    </cfRule>
  </conditionalFormatting>
  <conditionalFormatting sqref="U18:Y36 AM6:AN14 N6:P14 AC6:AI13 AA6:AA14 U6:V14">
    <cfRule type="expression" dxfId="399" priority="196">
      <formula>$L6="Kirsch stiff clay"</formula>
    </cfRule>
  </conditionalFormatting>
  <conditionalFormatting sqref="W10:Y13 N6:N14 AM6:AO14 S10:T13 Q6:R14 Z6:Z15 AJ6:AJ15 AB6:AB15">
    <cfRule type="expression" dxfId="398" priority="195">
      <formula>$L6="Kirsch sand"</formula>
    </cfRule>
  </conditionalFormatting>
  <conditionalFormatting sqref="AC18:AI18 AC19:AD19 AI19 AM6:AN14 N6:N14">
    <cfRule type="expression" dxfId="397" priority="194">
      <formula>$L6="Modified Weak rock"</formula>
    </cfRule>
  </conditionalFormatting>
  <conditionalFormatting sqref="U18:V36 AM6:AN14 N6:P14 AC6:AI13 AA6:AA14 U6:V14">
    <cfRule type="expression" dxfId="396" priority="193">
      <formula>$L6="Reese stiff clay"</formula>
    </cfRule>
  </conditionalFormatting>
  <conditionalFormatting sqref="N18:N36 Q18:Q36 AM18:AN36">
    <cfRule type="expression" dxfId="395" priority="192">
      <formula>$L18="API sand"</formula>
    </cfRule>
  </conditionalFormatting>
  <conditionalFormatting sqref="N18:N36 AB36 AJ18:AL36 Z18:Z36">
    <cfRule type="expression" dxfId="394" priority="191">
      <formula>$M18="API sand"</formula>
    </cfRule>
  </conditionalFormatting>
  <conditionalFormatting sqref="Z36:AB36 AK18:AL36 N18:N36 Z18:AA35">
    <cfRule type="expression" dxfId="393" priority="190">
      <formula>$M18="API clay"</formula>
    </cfRule>
  </conditionalFormatting>
  <conditionalFormatting sqref="N18:P18 AM18:AN36 N29:P36 N19:N28 P19:P28">
    <cfRule type="expression" dxfId="392" priority="187">
      <formula>$L18="Stiff clay w/o free water"</formula>
    </cfRule>
    <cfRule type="expression" dxfId="391" priority="189">
      <formula>$L18="API clay"</formula>
    </cfRule>
  </conditionalFormatting>
  <conditionalFormatting sqref="N18:P18 AM18:AN36 N29:P36 N19:N28 P19:P28">
    <cfRule type="expression" dxfId="390" priority="188">
      <formula>$L18="Kirsch soft clay"</formula>
    </cfRule>
  </conditionalFormatting>
  <conditionalFormatting sqref="N18:P18 AM18:AN36 N29:P36 N19:N28 P19:P28">
    <cfRule type="expression" dxfId="389" priority="186">
      <formula>$L18="Kirsch stiff clay"</formula>
    </cfRule>
  </conditionalFormatting>
  <conditionalFormatting sqref="N18:N36 Q18:Q36 X18:Y36 AM18:AN36">
    <cfRule type="expression" dxfId="388" priority="185">
      <formula>$L18="Kirsch sand"</formula>
    </cfRule>
  </conditionalFormatting>
  <conditionalFormatting sqref="N18:N36 AM18:AN36 AC20:AD36 AI20:AI36">
    <cfRule type="expression" dxfId="387" priority="184">
      <formula>$L18="Modified Weak rock"</formula>
    </cfRule>
  </conditionalFormatting>
  <conditionalFormatting sqref="N18:P18 AM18:AN36 N29:P36 N19:N28 P19:P28">
    <cfRule type="expression" dxfId="386" priority="183">
      <formula>$L18="Reese stiff clay"</formula>
    </cfRule>
  </conditionalFormatting>
  <conditionalFormatting sqref="AM6:AN14 N6:P14 AC6:AI13 AA6:AA14 U6:V14">
    <cfRule type="expression" dxfId="385" priority="182">
      <formula>$L6="PISA clay"</formula>
    </cfRule>
  </conditionalFormatting>
  <conditionalFormatting sqref="AM6:AN14 N6:N14">
    <cfRule type="expression" dxfId="384" priority="181">
      <formula>$L6="PISA sand"</formula>
    </cfRule>
  </conditionalFormatting>
  <conditionalFormatting sqref="O19:O21">
    <cfRule type="expression" dxfId="383" priority="180">
      <formula>$L19="API sand"</formula>
    </cfRule>
  </conditionalFormatting>
  <conditionalFormatting sqref="O19:O21">
    <cfRule type="expression" dxfId="382" priority="179">
      <formula>$L19="Kirsch sand"</formula>
    </cfRule>
  </conditionalFormatting>
  <conditionalFormatting sqref="O22:O28">
    <cfRule type="expression" dxfId="381" priority="178">
      <formula>$L22="API sand"</formula>
    </cfRule>
  </conditionalFormatting>
  <conditionalFormatting sqref="O22:O28">
    <cfRule type="expression" dxfId="380" priority="177">
      <formula>$L22="Kirsch sand"</formula>
    </cfRule>
  </conditionalFormatting>
  <conditionalFormatting sqref="S6:T9 W6:Y9">
    <cfRule type="expression" dxfId="379" priority="176">
      <formula>$L6="API sand"</formula>
    </cfRule>
  </conditionalFormatting>
  <conditionalFormatting sqref="S6:T9 W6:Y9">
    <cfRule type="expression" dxfId="378" priority="175">
      <formula>$L6="Kirsch sand"</formula>
    </cfRule>
  </conditionalFormatting>
  <conditionalFormatting sqref="AE37:AH37">
    <cfRule type="expression" dxfId="377" priority="203">
      <formula>$L19="Modified Weak rock"</formula>
    </cfRule>
  </conditionalFormatting>
  <conditionalFormatting sqref="S14:T14 W14:Y14">
    <cfRule type="expression" dxfId="376" priority="174">
      <formula>$L14="API sand"</formula>
    </cfRule>
  </conditionalFormatting>
  <conditionalFormatting sqref="S14:T14 W14:Y14">
    <cfRule type="expression" dxfId="375" priority="173">
      <formula>$L14="Kirsch sand"</formula>
    </cfRule>
  </conditionalFormatting>
  <conditionalFormatting sqref="AD14:AI14">
    <cfRule type="expression" dxfId="374" priority="170">
      <formula>$L14="Stiff clay w/o free water"</formula>
    </cfRule>
    <cfRule type="expression" dxfId="373" priority="172">
      <formula>$L14="API clay"</formula>
    </cfRule>
  </conditionalFormatting>
  <conditionalFormatting sqref="AD14:AI14">
    <cfRule type="expression" dxfId="372" priority="171">
      <formula>$L14="Kirsch soft clay"</formula>
    </cfRule>
  </conditionalFormatting>
  <conditionalFormatting sqref="AD14:AI14">
    <cfRule type="expression" dxfId="371" priority="169">
      <formula>$L14="Kirsch stiff clay"</formula>
    </cfRule>
  </conditionalFormatting>
  <conditionalFormatting sqref="AD14:AI14">
    <cfRule type="expression" dxfId="370" priority="168">
      <formula>$L14="Reese stiff clay"</formula>
    </cfRule>
  </conditionalFormatting>
  <conditionalFormatting sqref="AD14:AI14">
    <cfRule type="expression" dxfId="369" priority="167">
      <formula>$L14="PISA clay"</formula>
    </cfRule>
  </conditionalFormatting>
  <conditionalFormatting sqref="AM15:AN15">
    <cfRule type="expression" dxfId="368" priority="166">
      <formula>$L15="API sand"</formula>
    </cfRule>
  </conditionalFormatting>
  <conditionalFormatting sqref="AK15:AL15">
    <cfRule type="expression" dxfId="367" priority="165">
      <formula>$M15="API sand"</formula>
    </cfRule>
  </conditionalFormatting>
  <conditionalFormatting sqref="AK15:AL15">
    <cfRule type="expression" dxfId="366" priority="164">
      <formula>$M15="API clay"</formula>
    </cfRule>
  </conditionalFormatting>
  <conditionalFormatting sqref="AM15:AN15">
    <cfRule type="expression" dxfId="365" priority="161">
      <formula>$L15="Stiff clay w/o free water"</formula>
    </cfRule>
    <cfRule type="expression" dxfId="364" priority="163">
      <formula>$L15="API clay"</formula>
    </cfRule>
  </conditionalFormatting>
  <conditionalFormatting sqref="AM15:AN15">
    <cfRule type="expression" dxfId="363" priority="162">
      <formula>$L15="Kirsch soft clay"</formula>
    </cfRule>
  </conditionalFormatting>
  <conditionalFormatting sqref="AM15:AN15">
    <cfRule type="expression" dxfId="362" priority="160">
      <formula>$L15="Kirsch stiff clay"</formula>
    </cfRule>
  </conditionalFormatting>
  <conditionalFormatting sqref="AM15:AN15">
    <cfRule type="expression" dxfId="361" priority="159">
      <formula>$L15="Kirsch sand"</formula>
    </cfRule>
  </conditionalFormatting>
  <conditionalFormatting sqref="AM15:AN15">
    <cfRule type="expression" dxfId="360" priority="158">
      <formula>$L15="Modified Weak rock"</formula>
    </cfRule>
  </conditionalFormatting>
  <conditionalFormatting sqref="AM15:AN15">
    <cfRule type="expression" dxfId="359" priority="157">
      <formula>$L15="Reese stiff clay"</formula>
    </cfRule>
  </conditionalFormatting>
  <conditionalFormatting sqref="AM15:AN15">
    <cfRule type="expression" dxfId="358" priority="156">
      <formula>$L15="PISA clay"</formula>
    </cfRule>
  </conditionalFormatting>
  <conditionalFormatting sqref="AM15:AN15">
    <cfRule type="expression" dxfId="357" priority="155">
      <formula>$L15="PISA sand"</formula>
    </cfRule>
  </conditionalFormatting>
  <conditionalFormatting sqref="N15 Q15 S15:T15 W15 Y15">
    <cfRule type="expression" dxfId="356" priority="154">
      <formula>$L15="API sand"</formula>
    </cfRule>
  </conditionalFormatting>
  <conditionalFormatting sqref="N15">
    <cfRule type="expression" dxfId="355" priority="153">
      <formula>$M15="API sand"</formula>
    </cfRule>
  </conditionalFormatting>
  <conditionalFormatting sqref="N15">
    <cfRule type="expression" dxfId="354" priority="152">
      <formula>$M15="API clay"</formula>
    </cfRule>
  </conditionalFormatting>
  <conditionalFormatting sqref="N15:P15">
    <cfRule type="expression" dxfId="353" priority="149">
      <formula>$L15="Stiff clay w/o free water"</formula>
    </cfRule>
    <cfRule type="expression" dxfId="352" priority="151">
      <formula>$L15="API clay"</formula>
    </cfRule>
  </conditionalFormatting>
  <conditionalFormatting sqref="N15:P15">
    <cfRule type="expression" dxfId="351" priority="150">
      <formula>$L15="Kirsch soft clay"</formula>
    </cfRule>
  </conditionalFormatting>
  <conditionalFormatting sqref="N15:P15">
    <cfRule type="expression" dxfId="350" priority="148">
      <formula>$L15="Kirsch stiff clay"</formula>
    </cfRule>
  </conditionalFormatting>
  <conditionalFormatting sqref="N15 Q15 S15:T15 W15 Y15">
    <cfRule type="expression" dxfId="349" priority="147">
      <formula>$L15="Kirsch sand"</formula>
    </cfRule>
  </conditionalFormatting>
  <conditionalFormatting sqref="N15">
    <cfRule type="expression" dxfId="348" priority="146">
      <formula>$L15="Modified Weak rock"</formula>
    </cfRule>
  </conditionalFormatting>
  <conditionalFormatting sqref="N15:P15">
    <cfRule type="expression" dxfId="347" priority="145">
      <formula>$L15="Reese stiff clay"</formula>
    </cfRule>
  </conditionalFormatting>
  <conditionalFormatting sqref="N15:P15">
    <cfRule type="expression" dxfId="346" priority="144">
      <formula>$L15="PISA clay"</formula>
    </cfRule>
  </conditionalFormatting>
  <conditionalFormatting sqref="N15">
    <cfRule type="expression" dxfId="345" priority="143">
      <formula>$L15="PISA sand"</formula>
    </cfRule>
  </conditionalFormatting>
  <conditionalFormatting sqref="R15">
    <cfRule type="expression" dxfId="344" priority="142">
      <formula>$L15="API sand"</formula>
    </cfRule>
  </conditionalFormatting>
  <conditionalFormatting sqref="R15">
    <cfRule type="expression" dxfId="343" priority="141">
      <formula>$L15="Kirsch sand"</formula>
    </cfRule>
  </conditionalFormatting>
  <conditionalFormatting sqref="AD15:AI15">
    <cfRule type="expression" dxfId="342" priority="138">
      <formula>$L15="Stiff clay w/o free water"</formula>
    </cfRule>
    <cfRule type="expression" dxfId="341" priority="140">
      <formula>$L15="API clay"</formula>
    </cfRule>
  </conditionalFormatting>
  <conditionalFormatting sqref="AD15:AI15">
    <cfRule type="expression" dxfId="340" priority="139">
      <formula>$L15="Kirsch soft clay"</formula>
    </cfRule>
  </conditionalFormatting>
  <conditionalFormatting sqref="AD15:AI15">
    <cfRule type="expression" dxfId="339" priority="137">
      <formula>$L15="Kirsch stiff clay"</formula>
    </cfRule>
  </conditionalFormatting>
  <conditionalFormatting sqref="AD15:AI15">
    <cfRule type="expression" dxfId="338" priority="136">
      <formula>$L15="Reese stiff clay"</formula>
    </cfRule>
  </conditionalFormatting>
  <conditionalFormatting sqref="AD15:AI15">
    <cfRule type="expression" dxfId="337" priority="135">
      <formula>$L15="PISA clay"</formula>
    </cfRule>
  </conditionalFormatting>
  <conditionalFormatting sqref="AA15">
    <cfRule type="expression" dxfId="336" priority="132">
      <formula>$L15="Stiff clay w/o free water"</formula>
    </cfRule>
    <cfRule type="expression" dxfId="335" priority="134">
      <formula>$L15="API clay"</formula>
    </cfRule>
  </conditionalFormatting>
  <conditionalFormatting sqref="AA15">
    <cfRule type="expression" dxfId="334" priority="133">
      <formula>$L15="Kirsch soft clay"</formula>
    </cfRule>
  </conditionalFormatting>
  <conditionalFormatting sqref="AA15">
    <cfRule type="expression" dxfId="333" priority="131">
      <formula>$L15="Kirsch stiff clay"</formula>
    </cfRule>
  </conditionalFormatting>
  <conditionalFormatting sqref="AA15">
    <cfRule type="expression" dxfId="332" priority="130">
      <formula>$L15="Reese stiff clay"</formula>
    </cfRule>
  </conditionalFormatting>
  <conditionalFormatting sqref="AA15">
    <cfRule type="expression" dxfId="331" priority="129">
      <formula>$L15="PISA clay"</formula>
    </cfRule>
  </conditionalFormatting>
  <conditionalFormatting sqref="AC15">
    <cfRule type="expression" dxfId="330" priority="126">
      <formula>$L15="Stiff clay w/o free water"</formula>
    </cfRule>
    <cfRule type="expression" dxfId="329" priority="128">
      <formula>$L15="API clay"</formula>
    </cfRule>
  </conditionalFormatting>
  <conditionalFormatting sqref="AC15">
    <cfRule type="expression" dxfId="328" priority="127">
      <formula>$L15="Kirsch soft clay"</formula>
    </cfRule>
  </conditionalFormatting>
  <conditionalFormatting sqref="AC15">
    <cfRule type="expression" dxfId="327" priority="125">
      <formula>$L15="Kirsch stiff clay"</formula>
    </cfRule>
  </conditionalFormatting>
  <conditionalFormatting sqref="AC15">
    <cfRule type="expression" dxfId="326" priority="124">
      <formula>$L15="Reese stiff clay"</formula>
    </cfRule>
  </conditionalFormatting>
  <conditionalFormatting sqref="AC15">
    <cfRule type="expression" dxfId="325" priority="123">
      <formula>$L15="PISA clay"</formula>
    </cfRule>
  </conditionalFormatting>
  <conditionalFormatting sqref="X15">
    <cfRule type="expression" dxfId="324" priority="122">
      <formula>$L15="API sand"</formula>
    </cfRule>
  </conditionalFormatting>
  <conditionalFormatting sqref="X15">
    <cfRule type="expression" dxfId="323" priority="121">
      <formula>$L15="Kirsch sand"</formula>
    </cfRule>
  </conditionalFormatting>
  <conditionalFormatting sqref="AM16:AN16">
    <cfRule type="expression" dxfId="322" priority="120">
      <formula>$L16="API sand"</formula>
    </cfRule>
  </conditionalFormatting>
  <conditionalFormatting sqref="AK16:AL16">
    <cfRule type="expression" dxfId="321" priority="119">
      <formula>$M16="API sand"</formula>
    </cfRule>
  </conditionalFormatting>
  <conditionalFormatting sqref="AK16:AL16">
    <cfRule type="expression" dxfId="320" priority="118">
      <formula>$M16="API clay"</formula>
    </cfRule>
  </conditionalFormatting>
  <conditionalFormatting sqref="AM16:AN16">
    <cfRule type="expression" dxfId="319" priority="115">
      <formula>$L16="Stiff clay w/o free water"</formula>
    </cfRule>
    <cfRule type="expression" dxfId="318" priority="117">
      <formula>$L16="API clay"</formula>
    </cfRule>
  </conditionalFormatting>
  <conditionalFormatting sqref="AM16:AN16">
    <cfRule type="expression" dxfId="317" priority="116">
      <formula>$L16="Kirsch soft clay"</formula>
    </cfRule>
  </conditionalFormatting>
  <conditionalFormatting sqref="AM16:AN16">
    <cfRule type="expression" dxfId="316" priority="114">
      <formula>$L16="Kirsch stiff clay"</formula>
    </cfRule>
  </conditionalFormatting>
  <conditionalFormatting sqref="AM16:AN16">
    <cfRule type="expression" dxfId="315" priority="113">
      <formula>$L16="Kirsch sand"</formula>
    </cfRule>
  </conditionalFormatting>
  <conditionalFormatting sqref="AM16:AN16">
    <cfRule type="expression" dxfId="314" priority="112">
      <formula>$L16="Modified Weak rock"</formula>
    </cfRule>
  </conditionalFormatting>
  <conditionalFormatting sqref="AM16:AN16">
    <cfRule type="expression" dxfId="313" priority="111">
      <formula>$L16="Reese stiff clay"</formula>
    </cfRule>
  </conditionalFormatting>
  <conditionalFormatting sqref="AM16:AN16">
    <cfRule type="expression" dxfId="312" priority="110">
      <formula>$L16="PISA clay"</formula>
    </cfRule>
  </conditionalFormatting>
  <conditionalFormatting sqref="AM16:AN16">
    <cfRule type="expression" dxfId="311" priority="109">
      <formula>$L16="PISA sand"</formula>
    </cfRule>
  </conditionalFormatting>
  <conditionalFormatting sqref="N16 Q16 S16:T16 W16:Y16">
    <cfRule type="expression" dxfId="310" priority="108">
      <formula>$L16="API sand"</formula>
    </cfRule>
  </conditionalFormatting>
  <conditionalFormatting sqref="N16">
    <cfRule type="expression" dxfId="309" priority="107">
      <formula>$M16="API sand"</formula>
    </cfRule>
  </conditionalFormatting>
  <conditionalFormatting sqref="N16">
    <cfRule type="expression" dxfId="308" priority="106">
      <formula>$M16="API clay"</formula>
    </cfRule>
  </conditionalFormatting>
  <conditionalFormatting sqref="N16:P16">
    <cfRule type="expression" dxfId="307" priority="103">
      <formula>$L16="Stiff clay w/o free water"</formula>
    </cfRule>
    <cfRule type="expression" dxfId="306" priority="105">
      <formula>$L16="API clay"</formula>
    </cfRule>
  </conditionalFormatting>
  <conditionalFormatting sqref="N16:P16">
    <cfRule type="expression" dxfId="305" priority="104">
      <formula>$L16="Kirsch soft clay"</formula>
    </cfRule>
  </conditionalFormatting>
  <conditionalFormatting sqref="N16:P16">
    <cfRule type="expression" dxfId="304" priority="102">
      <formula>$L16="Kirsch stiff clay"</formula>
    </cfRule>
  </conditionalFormatting>
  <conditionalFormatting sqref="N16 Q16 S16:T16 W16:Y16">
    <cfRule type="expression" dxfId="303" priority="101">
      <formula>$L16="Kirsch sand"</formula>
    </cfRule>
  </conditionalFormatting>
  <conditionalFormatting sqref="N16">
    <cfRule type="expression" dxfId="302" priority="100">
      <formula>$L16="Modified Weak rock"</formula>
    </cfRule>
  </conditionalFormatting>
  <conditionalFormatting sqref="N16:P16">
    <cfRule type="expression" dxfId="301" priority="99">
      <formula>$L16="Reese stiff clay"</formula>
    </cfRule>
  </conditionalFormatting>
  <conditionalFormatting sqref="N16:P16">
    <cfRule type="expression" dxfId="300" priority="98">
      <formula>$L16="PISA clay"</formula>
    </cfRule>
  </conditionalFormatting>
  <conditionalFormatting sqref="N16">
    <cfRule type="expression" dxfId="299" priority="97">
      <formula>$L16="PISA sand"</formula>
    </cfRule>
  </conditionalFormatting>
  <conditionalFormatting sqref="R16">
    <cfRule type="expression" dxfId="298" priority="96">
      <formula>$L16="API sand"</formula>
    </cfRule>
  </conditionalFormatting>
  <conditionalFormatting sqref="R16">
    <cfRule type="expression" dxfId="297" priority="95">
      <formula>$L16="Kirsch sand"</formula>
    </cfRule>
  </conditionalFormatting>
  <conditionalFormatting sqref="AC16:AI16">
    <cfRule type="expression" dxfId="296" priority="92">
      <formula>$L16="Stiff clay w/o free water"</formula>
    </cfRule>
    <cfRule type="expression" dxfId="295" priority="94">
      <formula>$L16="API clay"</formula>
    </cfRule>
  </conditionalFormatting>
  <conditionalFormatting sqref="AC16:AI16">
    <cfRule type="expression" dxfId="294" priority="93">
      <formula>$L16="Kirsch soft clay"</formula>
    </cfRule>
  </conditionalFormatting>
  <conditionalFormatting sqref="AC16:AI16">
    <cfRule type="expression" dxfId="293" priority="91">
      <formula>$L16="Kirsch stiff clay"</formula>
    </cfRule>
  </conditionalFormatting>
  <conditionalFormatting sqref="AC16:AI16">
    <cfRule type="expression" dxfId="292" priority="90">
      <formula>$L16="Reese stiff clay"</formula>
    </cfRule>
  </conditionalFormatting>
  <conditionalFormatting sqref="AC16:AI16">
    <cfRule type="expression" dxfId="291" priority="89">
      <formula>$L16="PISA clay"</formula>
    </cfRule>
  </conditionalFormatting>
  <conditionalFormatting sqref="AA16">
    <cfRule type="expression" dxfId="290" priority="86">
      <formula>$L16="Stiff clay w/o free water"</formula>
    </cfRule>
    <cfRule type="expression" dxfId="289" priority="88">
      <formula>$L16="API clay"</formula>
    </cfRule>
  </conditionalFormatting>
  <conditionalFormatting sqref="AA16">
    <cfRule type="expression" dxfId="288" priority="87">
      <formula>$L16="Kirsch soft clay"</formula>
    </cfRule>
  </conditionalFormatting>
  <conditionalFormatting sqref="AA16">
    <cfRule type="expression" dxfId="287" priority="85">
      <formula>$L16="Kirsch stiff clay"</formula>
    </cfRule>
  </conditionalFormatting>
  <conditionalFormatting sqref="AA16">
    <cfRule type="expression" dxfId="286" priority="84">
      <formula>$L16="Reese stiff clay"</formula>
    </cfRule>
  </conditionalFormatting>
  <conditionalFormatting sqref="AA16">
    <cfRule type="expression" dxfId="285" priority="83">
      <formula>$L16="PISA clay"</formula>
    </cfRule>
  </conditionalFormatting>
  <conditionalFormatting sqref="AM17:AN17">
    <cfRule type="expression" dxfId="284" priority="82">
      <formula>$L17="API sand"</formula>
    </cfRule>
  </conditionalFormatting>
  <conditionalFormatting sqref="AK17:AL17">
    <cfRule type="expression" dxfId="283" priority="81">
      <formula>$M17="API sand"</formula>
    </cfRule>
  </conditionalFormatting>
  <conditionalFormatting sqref="AK17:AL17">
    <cfRule type="expression" dxfId="282" priority="80">
      <formula>$M17="API clay"</formula>
    </cfRule>
  </conditionalFormatting>
  <conditionalFormatting sqref="AM17:AN17">
    <cfRule type="expression" dxfId="281" priority="77">
      <formula>$L17="Stiff clay w/o free water"</formula>
    </cfRule>
    <cfRule type="expression" dxfId="280" priority="79">
      <formula>$L17="API clay"</formula>
    </cfRule>
  </conditionalFormatting>
  <conditionalFormatting sqref="AM17:AN17">
    <cfRule type="expression" dxfId="279" priority="78">
      <formula>$L17="Kirsch soft clay"</formula>
    </cfRule>
  </conditionalFormatting>
  <conditionalFormatting sqref="AM17:AN17">
    <cfRule type="expression" dxfId="278" priority="76">
      <formula>$L17="Kirsch stiff clay"</formula>
    </cfRule>
  </conditionalFormatting>
  <conditionalFormatting sqref="AM17:AN17">
    <cfRule type="expression" dxfId="277" priority="75">
      <formula>$L17="Kirsch sand"</formula>
    </cfRule>
  </conditionalFormatting>
  <conditionalFormatting sqref="AM17:AN17">
    <cfRule type="expression" dxfId="276" priority="74">
      <formula>$L17="Modified Weak rock"</formula>
    </cfRule>
  </conditionalFormatting>
  <conditionalFormatting sqref="AM17:AN17">
    <cfRule type="expression" dxfId="275" priority="73">
      <formula>$L17="Reese stiff clay"</formula>
    </cfRule>
  </conditionalFormatting>
  <conditionalFormatting sqref="AM17:AN17">
    <cfRule type="expression" dxfId="274" priority="72">
      <formula>$L17="PISA clay"</formula>
    </cfRule>
  </conditionalFormatting>
  <conditionalFormatting sqref="AM17:AN17">
    <cfRule type="expression" dxfId="273" priority="71">
      <formula>$L17="PISA sand"</formula>
    </cfRule>
  </conditionalFormatting>
  <conditionalFormatting sqref="N17 Q17 S17:T17 W17 Y17">
    <cfRule type="expression" dxfId="272" priority="70">
      <formula>$L17="API sand"</formula>
    </cfRule>
  </conditionalFormatting>
  <conditionalFormatting sqref="N17">
    <cfRule type="expression" dxfId="271" priority="69">
      <formula>$M17="API sand"</formula>
    </cfRule>
  </conditionalFormatting>
  <conditionalFormatting sqref="N17">
    <cfRule type="expression" dxfId="270" priority="68">
      <formula>$M17="API clay"</formula>
    </cfRule>
  </conditionalFormatting>
  <conditionalFormatting sqref="N17:P17">
    <cfRule type="expression" dxfId="269" priority="65">
      <formula>$L17="Stiff clay w/o free water"</formula>
    </cfRule>
    <cfRule type="expression" dxfId="268" priority="67">
      <formula>$L17="API clay"</formula>
    </cfRule>
  </conditionalFormatting>
  <conditionalFormatting sqref="N17:P17">
    <cfRule type="expression" dxfId="267" priority="66">
      <formula>$L17="Kirsch soft clay"</formula>
    </cfRule>
  </conditionalFormatting>
  <conditionalFormatting sqref="N17:P17">
    <cfRule type="expression" dxfId="266" priority="64">
      <formula>$L17="Kirsch stiff clay"</formula>
    </cfRule>
  </conditionalFormatting>
  <conditionalFormatting sqref="N17 Q17 S17:T17 W17 Y17">
    <cfRule type="expression" dxfId="265" priority="63">
      <formula>$L17="Kirsch sand"</formula>
    </cfRule>
  </conditionalFormatting>
  <conditionalFormatting sqref="N17">
    <cfRule type="expression" dxfId="264" priority="62">
      <formula>$L17="Modified Weak rock"</formula>
    </cfRule>
  </conditionalFormatting>
  <conditionalFormatting sqref="N17:P17">
    <cfRule type="expression" dxfId="263" priority="61">
      <formula>$L17="Reese stiff clay"</formula>
    </cfRule>
  </conditionalFormatting>
  <conditionalFormatting sqref="N17:P17">
    <cfRule type="expression" dxfId="262" priority="60">
      <formula>$L17="PISA clay"</formula>
    </cfRule>
  </conditionalFormatting>
  <conditionalFormatting sqref="N17">
    <cfRule type="expression" dxfId="261" priority="59">
      <formula>$L17="PISA sand"</formula>
    </cfRule>
  </conditionalFormatting>
  <conditionalFormatting sqref="R17">
    <cfRule type="expression" dxfId="260" priority="58">
      <formula>$L17="API sand"</formula>
    </cfRule>
  </conditionalFormatting>
  <conditionalFormatting sqref="R17">
    <cfRule type="expression" dxfId="259" priority="57">
      <formula>$L17="Kirsch sand"</formula>
    </cfRule>
  </conditionalFormatting>
  <conditionalFormatting sqref="AD17:AI17">
    <cfRule type="expression" dxfId="258" priority="54">
      <formula>$L17="Stiff clay w/o free water"</formula>
    </cfRule>
    <cfRule type="expression" dxfId="257" priority="56">
      <formula>$L17="API clay"</formula>
    </cfRule>
  </conditionalFormatting>
  <conditionalFormatting sqref="AD17:AI17">
    <cfRule type="expression" dxfId="256" priority="55">
      <formula>$L17="Kirsch soft clay"</formula>
    </cfRule>
  </conditionalFormatting>
  <conditionalFormatting sqref="AD17:AI17">
    <cfRule type="expression" dxfId="255" priority="53">
      <formula>$L17="Kirsch stiff clay"</formula>
    </cfRule>
  </conditionalFormatting>
  <conditionalFormatting sqref="AD17:AI17">
    <cfRule type="expression" dxfId="254" priority="52">
      <formula>$L17="Reese stiff clay"</formula>
    </cfRule>
  </conditionalFormatting>
  <conditionalFormatting sqref="AD17:AI17">
    <cfRule type="expression" dxfId="253" priority="51">
      <formula>$L17="PISA clay"</formula>
    </cfRule>
  </conditionalFormatting>
  <conditionalFormatting sqref="AA17">
    <cfRule type="expression" dxfId="252" priority="48">
      <formula>$L17="Stiff clay w/o free water"</formula>
    </cfRule>
    <cfRule type="expression" dxfId="251" priority="50">
      <formula>$L17="API clay"</formula>
    </cfRule>
  </conditionalFormatting>
  <conditionalFormatting sqref="AA17">
    <cfRule type="expression" dxfId="250" priority="49">
      <formula>$L17="Kirsch soft clay"</formula>
    </cfRule>
  </conditionalFormatting>
  <conditionalFormatting sqref="AA17">
    <cfRule type="expression" dxfId="249" priority="47">
      <formula>$L17="Kirsch stiff clay"</formula>
    </cfRule>
  </conditionalFormatting>
  <conditionalFormatting sqref="AA17">
    <cfRule type="expression" dxfId="248" priority="46">
      <formula>$L17="Reese stiff clay"</formula>
    </cfRule>
  </conditionalFormatting>
  <conditionalFormatting sqref="AA17">
    <cfRule type="expression" dxfId="247" priority="45">
      <formula>$L17="PISA clay"</formula>
    </cfRule>
  </conditionalFormatting>
  <conditionalFormatting sqref="AC17">
    <cfRule type="expression" dxfId="246" priority="42">
      <formula>$L17="Stiff clay w/o free water"</formula>
    </cfRule>
    <cfRule type="expression" dxfId="245" priority="44">
      <formula>$L17="API clay"</formula>
    </cfRule>
  </conditionalFormatting>
  <conditionalFormatting sqref="AC17">
    <cfRule type="expression" dxfId="244" priority="43">
      <formula>$L17="Kirsch soft clay"</formula>
    </cfRule>
  </conditionalFormatting>
  <conditionalFormatting sqref="AC17">
    <cfRule type="expression" dxfId="243" priority="41">
      <formula>$L17="Kirsch stiff clay"</formula>
    </cfRule>
  </conditionalFormatting>
  <conditionalFormatting sqref="AC17">
    <cfRule type="expression" dxfId="242" priority="40">
      <formula>$L17="Reese stiff clay"</formula>
    </cfRule>
  </conditionalFormatting>
  <conditionalFormatting sqref="AC17">
    <cfRule type="expression" dxfId="241" priority="39">
      <formula>$L17="PISA clay"</formula>
    </cfRule>
  </conditionalFormatting>
  <conditionalFormatting sqref="X17">
    <cfRule type="expression" dxfId="240" priority="38">
      <formula>$L17="API sand"</formula>
    </cfRule>
  </conditionalFormatting>
  <conditionalFormatting sqref="X17">
    <cfRule type="expression" dxfId="239" priority="37">
      <formula>$L17="Kirsch sand"</formula>
    </cfRule>
  </conditionalFormatting>
  <conditionalFormatting sqref="Z16:Z17">
    <cfRule type="expression" dxfId="238" priority="36">
      <formula>$L16="API sand"</formula>
    </cfRule>
  </conditionalFormatting>
  <conditionalFormatting sqref="Z16:Z17">
    <cfRule type="expression" dxfId="237" priority="35">
      <formula>$L16="Kirsch sand"</formula>
    </cfRule>
  </conditionalFormatting>
  <conditionalFormatting sqref="AB16:AB17">
    <cfRule type="expression" dxfId="236" priority="34">
      <formula>$L16="API sand"</formula>
    </cfRule>
  </conditionalFormatting>
  <conditionalFormatting sqref="AB16:AB17">
    <cfRule type="expression" dxfId="235" priority="33">
      <formula>$L16="Kirsch sand"</formula>
    </cfRule>
  </conditionalFormatting>
  <conditionalFormatting sqref="AJ16:AJ17">
    <cfRule type="expression" dxfId="234" priority="32">
      <formula>$L16="API sand"</formula>
    </cfRule>
  </conditionalFormatting>
  <conditionalFormatting sqref="AJ16:AJ17">
    <cfRule type="expression" dxfId="233" priority="31">
      <formula>$L16="Kirsch sand"</formula>
    </cfRule>
  </conditionalFormatting>
  <conditionalFormatting sqref="U15:V15">
    <cfRule type="expression" dxfId="232" priority="28">
      <formula>$L15="Stiff clay w/o free water"</formula>
    </cfRule>
    <cfRule type="expression" dxfId="231" priority="30">
      <formula>$L15="API clay"</formula>
    </cfRule>
  </conditionalFormatting>
  <conditionalFormatting sqref="U15:V15">
    <cfRule type="expression" dxfId="230" priority="29">
      <formula>$L15="Kirsch soft clay"</formula>
    </cfRule>
  </conditionalFormatting>
  <conditionalFormatting sqref="U15:V15">
    <cfRule type="expression" dxfId="229" priority="27">
      <formula>$L15="Kirsch stiff clay"</formula>
    </cfRule>
  </conditionalFormatting>
  <conditionalFormatting sqref="U15:V15">
    <cfRule type="expression" dxfId="228" priority="26">
      <formula>$L15="Reese stiff clay"</formula>
    </cfRule>
  </conditionalFormatting>
  <conditionalFormatting sqref="U15:V15">
    <cfRule type="expression" dxfId="227" priority="25">
      <formula>$L15="PISA clay"</formula>
    </cfRule>
  </conditionalFormatting>
  <conditionalFormatting sqref="U16:V16">
    <cfRule type="expression" dxfId="226" priority="22">
      <formula>$L16="Stiff clay w/o free water"</formula>
    </cfRule>
    <cfRule type="expression" dxfId="225" priority="24">
      <formula>$L16="API clay"</formula>
    </cfRule>
  </conditionalFormatting>
  <conditionalFormatting sqref="U16:V16">
    <cfRule type="expression" dxfId="224" priority="23">
      <formula>$L16="Kirsch soft clay"</formula>
    </cfRule>
  </conditionalFormatting>
  <conditionalFormatting sqref="U16:V16">
    <cfRule type="expression" dxfId="223" priority="21">
      <formula>$L16="Kirsch stiff clay"</formula>
    </cfRule>
  </conditionalFormatting>
  <conditionalFormatting sqref="U16:V16">
    <cfRule type="expression" dxfId="222" priority="20">
      <formula>$L16="Reese stiff clay"</formula>
    </cfRule>
  </conditionalFormatting>
  <conditionalFormatting sqref="U16:V16">
    <cfRule type="expression" dxfId="221" priority="19">
      <formula>$L16="PISA clay"</formula>
    </cfRule>
  </conditionalFormatting>
  <conditionalFormatting sqref="U17:V17">
    <cfRule type="expression" dxfId="220" priority="16">
      <formula>$L17="Stiff clay w/o free water"</formula>
    </cfRule>
    <cfRule type="expression" dxfId="219" priority="18">
      <formula>$L17="API clay"</formula>
    </cfRule>
  </conditionalFormatting>
  <conditionalFormatting sqref="U17:V17">
    <cfRule type="expression" dxfId="218" priority="17">
      <formula>$L17="Kirsch soft clay"</formula>
    </cfRule>
  </conditionalFormatting>
  <conditionalFormatting sqref="U17:V17">
    <cfRule type="expression" dxfId="217" priority="15">
      <formula>$L17="Kirsch stiff clay"</formula>
    </cfRule>
  </conditionalFormatting>
  <conditionalFormatting sqref="U17:V17">
    <cfRule type="expression" dxfId="216" priority="14">
      <formula>$L17="Reese stiff clay"</formula>
    </cfRule>
  </conditionalFormatting>
  <conditionalFormatting sqref="U17:V17">
    <cfRule type="expression" dxfId="215" priority="13">
      <formula>$L17="PISA clay"</formula>
    </cfRule>
  </conditionalFormatting>
  <conditionalFormatting sqref="AO15">
    <cfRule type="expression" dxfId="214" priority="12">
      <formula>$L15="API sand"</formula>
    </cfRule>
  </conditionalFormatting>
  <conditionalFormatting sqref="AO15">
    <cfRule type="expression" dxfId="213" priority="11">
      <formula>$L15="Kirsch sand"</formula>
    </cfRule>
  </conditionalFormatting>
  <conditionalFormatting sqref="AO16">
    <cfRule type="expression" dxfId="212" priority="10">
      <formula>$L16="API sand"</formula>
    </cfRule>
  </conditionalFormatting>
  <conditionalFormatting sqref="AO16">
    <cfRule type="expression" dxfId="211" priority="9">
      <formula>$L16="Kirsch sand"</formula>
    </cfRule>
  </conditionalFormatting>
  <conditionalFormatting sqref="AO17">
    <cfRule type="expression" dxfId="210" priority="8">
      <formula>$L17="API sand"</formula>
    </cfRule>
  </conditionalFormatting>
  <conditionalFormatting sqref="AO17">
    <cfRule type="expression" dxfId="209" priority="7">
      <formula>$L17="Kirsch sand"</formula>
    </cfRule>
  </conditionalFormatting>
  <conditionalFormatting sqref="AC14">
    <cfRule type="expression" dxfId="208" priority="4">
      <formula>$L14="Stiff clay w/o free water"</formula>
    </cfRule>
    <cfRule type="expression" dxfId="207" priority="6">
      <formula>$L14="API clay"</formula>
    </cfRule>
  </conditionalFormatting>
  <conditionalFormatting sqref="AC14">
    <cfRule type="expression" dxfId="206" priority="5">
      <formula>$L14="Kirsch soft clay"</formula>
    </cfRule>
  </conditionalFormatting>
  <conditionalFormatting sqref="AC14">
    <cfRule type="expression" dxfId="205" priority="3">
      <formula>$L14="Kirsch stiff clay"</formula>
    </cfRule>
  </conditionalFormatting>
  <conditionalFormatting sqref="AC14">
    <cfRule type="expression" dxfId="204" priority="2">
      <formula>$L14="Reese stiff clay"</formula>
    </cfRule>
  </conditionalFormatting>
  <conditionalFormatting sqref="AC14">
    <cfRule type="expression" dxfId="203" priority="1">
      <formula>$L14="PISA clay"</formula>
    </cfRule>
  </conditionalFormatting>
  <dataValidations count="3">
    <dataValidation type="list" showInputMessage="1" showErrorMessage="1" sqref="M6:M17" xr:uid="{8C2504CC-57B3-4D44-A59B-985898491C2A}">
      <formula1>"Zero soil,API sand,API clay"</formula1>
    </dataValidation>
    <dataValidation type="list" showInputMessage="1" showErrorMessage="1" sqref="L6:L255" xr:uid="{6B0A45FE-B84C-4A72-B7A0-DD3537AB9EFD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18:M36" xr:uid="{CBDD82DE-2BBE-40DC-BE9E-83AEB55F601D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BEC56-AD1F-4382-BFC3-F5902A822FD0}">
  <sheetPr>
    <tabColor theme="2"/>
  </sheetPr>
  <dimension ref="A1:AO255"/>
  <sheetViews>
    <sheetView topLeftCell="S1" zoomScaleNormal="100" workbookViewId="0">
      <selection activeCell="O8" sqref="O8"/>
    </sheetView>
  </sheetViews>
  <sheetFormatPr defaultColWidth="9.140625" defaultRowHeight="15" x14ac:dyDescent="0.25"/>
  <cols>
    <col min="1" max="1" width="18" style="33" bestFit="1" customWidth="1"/>
    <col min="2" max="2" width="13.7109375" style="33" customWidth="1"/>
    <col min="3" max="3" width="13.5703125" style="33" customWidth="1"/>
    <col min="4" max="5" width="14" style="33" customWidth="1"/>
    <col min="6" max="6" width="13" style="33" bestFit="1" customWidth="1"/>
    <col min="7" max="7" width="13.5703125" style="33" customWidth="1"/>
    <col min="8" max="8" width="11" style="33" bestFit="1" customWidth="1"/>
    <col min="9" max="9" width="15.7109375" style="33" bestFit="1" customWidth="1"/>
    <col min="10" max="10" width="10.140625" style="33" customWidth="1"/>
    <col min="11" max="11" width="11.5703125" style="33" bestFit="1" customWidth="1"/>
    <col min="12" max="12" width="18.140625" style="33" customWidth="1"/>
    <col min="13" max="13" width="11.85546875" style="33" bestFit="1" customWidth="1"/>
    <col min="14" max="14" width="11" style="33" bestFit="1" customWidth="1"/>
    <col min="15" max="15" width="9.28515625" style="33" customWidth="1"/>
    <col min="16" max="16" width="10.5703125" style="33" customWidth="1"/>
    <col min="17" max="18" width="9.5703125" style="33" bestFit="1" customWidth="1"/>
    <col min="19" max="20" width="6.5703125" style="33" customWidth="1"/>
    <col min="21" max="21" width="13.140625" style="33" customWidth="1"/>
    <col min="22" max="22" width="19.42578125" style="33" customWidth="1"/>
    <col min="23" max="23" width="6.5703125" style="33" customWidth="1"/>
    <col min="24" max="24" width="11.85546875" style="33" customWidth="1"/>
    <col min="25" max="25" width="8.42578125" style="33" bestFit="1" customWidth="1"/>
    <col min="26" max="26" width="11.7109375" style="33" customWidth="1"/>
    <col min="27" max="27" width="11" style="33" bestFit="1" customWidth="1"/>
    <col min="28" max="28" width="10.5703125" style="33" customWidth="1"/>
    <col min="29" max="29" width="14.85546875" style="33" customWidth="1"/>
    <col min="30" max="30" width="11.85546875" style="33" customWidth="1"/>
    <col min="31" max="31" width="10.28515625" style="33" customWidth="1"/>
    <col min="32" max="32" width="8.140625" style="33" customWidth="1"/>
    <col min="33" max="33" width="13.7109375" style="33" customWidth="1"/>
    <col min="34" max="34" width="8.42578125" style="33" customWidth="1"/>
    <col min="35" max="35" width="7.85546875" style="33" customWidth="1"/>
    <col min="36" max="36" width="8.5703125" style="33" customWidth="1"/>
    <col min="37" max="37" width="11.28515625" style="33" bestFit="1" customWidth="1"/>
    <col min="38" max="38" width="11.42578125" style="33" bestFit="1" customWidth="1"/>
    <col min="39" max="39" width="11.7109375" style="33" bestFit="1" customWidth="1"/>
    <col min="40" max="40" width="11.5703125" style="33" bestFit="1" customWidth="1"/>
    <col min="41" max="16384" width="9.140625" style="33"/>
  </cols>
  <sheetData>
    <row r="1" spans="1:41" x14ac:dyDescent="0.25">
      <c r="A1" s="34" t="str">
        <f ca="1">TRIM(MID(CELL("filename",A1),FIND("]",CELL("filename",A1),1)+1,255))</f>
        <v>Zone_7_HE</v>
      </c>
      <c r="D1" s="34"/>
    </row>
    <row r="3" spans="1:41" s="35" customFormat="1" ht="45" customHeight="1" x14ac:dyDescent="0.25">
      <c r="F3" s="36" t="s">
        <v>39</v>
      </c>
      <c r="J3" s="37" t="s">
        <v>22</v>
      </c>
      <c r="Q3" s="73"/>
      <c r="R3" s="155"/>
      <c r="S3" s="155"/>
      <c r="T3" s="73"/>
      <c r="U3" s="155"/>
      <c r="V3" s="155"/>
      <c r="W3" s="73"/>
      <c r="X3" s="69"/>
      <c r="Y3" s="73"/>
      <c r="Z3" s="73"/>
      <c r="AA3" s="73"/>
      <c r="AB3" s="73"/>
      <c r="AC3" s="69"/>
      <c r="AD3" s="39"/>
      <c r="AE3" s="39"/>
      <c r="AF3" s="39"/>
      <c r="AG3" s="39"/>
      <c r="AH3" s="39"/>
      <c r="AI3" s="39"/>
      <c r="AJ3" s="73"/>
      <c r="AK3" s="73"/>
      <c r="AL3" s="73"/>
      <c r="AM3" s="73"/>
      <c r="AN3" s="73"/>
    </row>
    <row r="4" spans="1:41" s="41" customFormat="1" x14ac:dyDescent="0.25">
      <c r="A4" s="40" t="s">
        <v>60</v>
      </c>
      <c r="B4" s="41">
        <f>COUNTIF(J:J,"&gt;0")</f>
        <v>5</v>
      </c>
      <c r="C4" s="42" t="s">
        <v>58</v>
      </c>
      <c r="D4" s="43"/>
      <c r="F4" s="41" t="s">
        <v>40</v>
      </c>
      <c r="G4" s="44">
        <v>0</v>
      </c>
      <c r="H4" s="42" t="s">
        <v>28</v>
      </c>
      <c r="J4" s="43" t="s">
        <v>0</v>
      </c>
      <c r="K4" s="43" t="s">
        <v>3</v>
      </c>
      <c r="L4" s="43" t="s">
        <v>1</v>
      </c>
      <c r="M4" s="43" t="s">
        <v>2</v>
      </c>
      <c r="N4" s="43" t="s">
        <v>6</v>
      </c>
      <c r="O4" s="43" t="s">
        <v>4</v>
      </c>
      <c r="P4" s="43" t="s">
        <v>5</v>
      </c>
      <c r="Q4" s="43" t="s">
        <v>7</v>
      </c>
      <c r="R4" s="43" t="s">
        <v>13</v>
      </c>
      <c r="S4" s="43" t="s">
        <v>73</v>
      </c>
      <c r="T4" s="43" t="s">
        <v>14</v>
      </c>
      <c r="U4" s="43" t="s">
        <v>8</v>
      </c>
      <c r="V4" s="43" t="s">
        <v>9</v>
      </c>
      <c r="W4" s="43" t="s">
        <v>10</v>
      </c>
      <c r="X4" s="43" t="s">
        <v>90</v>
      </c>
      <c r="Y4" s="43" t="s">
        <v>95</v>
      </c>
      <c r="Z4" s="43" t="s">
        <v>15</v>
      </c>
      <c r="AA4" s="43" t="s">
        <v>16</v>
      </c>
      <c r="AB4" s="43" t="s">
        <v>17</v>
      </c>
      <c r="AC4" s="43" t="s">
        <v>11</v>
      </c>
      <c r="AD4" s="43" t="s">
        <v>12</v>
      </c>
      <c r="AE4" s="43" t="s">
        <v>18</v>
      </c>
      <c r="AF4" s="43" t="s">
        <v>19</v>
      </c>
      <c r="AG4" s="43" t="s">
        <v>37</v>
      </c>
      <c r="AH4" s="43" t="s">
        <v>20</v>
      </c>
      <c r="AI4" s="43" t="s">
        <v>21</v>
      </c>
      <c r="AJ4" s="43" t="s">
        <v>66</v>
      </c>
      <c r="AK4" s="43" t="s">
        <v>72</v>
      </c>
      <c r="AL4" s="43" t="s">
        <v>91</v>
      </c>
      <c r="AM4" s="43" t="s">
        <v>92</v>
      </c>
      <c r="AN4" s="43" t="s">
        <v>93</v>
      </c>
      <c r="AO4" s="68" t="s">
        <v>102</v>
      </c>
    </row>
    <row r="5" spans="1:41" ht="17.25" x14ac:dyDescent="0.25">
      <c r="A5" s="33" t="s">
        <v>61</v>
      </c>
      <c r="B5" s="33">
        <f ca="1">COUNTIF(A:A,"&gt;0")</f>
        <v>1</v>
      </c>
      <c r="C5" s="45" t="s">
        <v>58</v>
      </c>
      <c r="F5" s="33" t="s">
        <v>41</v>
      </c>
      <c r="G5" s="44">
        <v>0</v>
      </c>
      <c r="H5" s="45" t="s">
        <v>28</v>
      </c>
      <c r="J5" s="38" t="s">
        <v>38</v>
      </c>
      <c r="K5" s="38" t="s">
        <v>30</v>
      </c>
      <c r="L5" s="38" t="s">
        <v>31</v>
      </c>
      <c r="M5" s="38" t="s">
        <v>31</v>
      </c>
      <c r="N5" s="38" t="s">
        <v>32</v>
      </c>
      <c r="O5" s="38" t="s">
        <v>33</v>
      </c>
      <c r="P5" s="38" t="s">
        <v>35</v>
      </c>
      <c r="Q5" s="38" t="s">
        <v>36</v>
      </c>
      <c r="R5" s="38" t="s">
        <v>36</v>
      </c>
      <c r="S5" s="38" t="s">
        <v>34</v>
      </c>
      <c r="T5" s="38" t="s">
        <v>33</v>
      </c>
      <c r="U5" s="38" t="s">
        <v>34</v>
      </c>
      <c r="V5" s="38" t="s">
        <v>62</v>
      </c>
      <c r="W5" s="38" t="s">
        <v>34</v>
      </c>
      <c r="X5" s="38" t="s">
        <v>33</v>
      </c>
      <c r="Y5" s="38" t="s">
        <v>35</v>
      </c>
      <c r="Z5" s="38" t="s">
        <v>33</v>
      </c>
      <c r="AA5" s="38" t="s">
        <v>34</v>
      </c>
      <c r="AB5" s="38" t="s">
        <v>33</v>
      </c>
      <c r="AC5" s="38" t="s">
        <v>33</v>
      </c>
      <c r="AD5" s="38" t="s">
        <v>35</v>
      </c>
      <c r="AE5" s="38" t="s">
        <v>34</v>
      </c>
      <c r="AF5" s="38" t="s">
        <v>33</v>
      </c>
      <c r="AG5" s="38" t="s">
        <v>35</v>
      </c>
      <c r="AH5" s="38" t="s">
        <v>34</v>
      </c>
      <c r="AI5" s="38" t="s">
        <v>34</v>
      </c>
      <c r="AJ5" s="38" t="s">
        <v>34</v>
      </c>
      <c r="AK5" s="38" t="s">
        <v>34</v>
      </c>
      <c r="AL5" s="38" t="s">
        <v>34</v>
      </c>
      <c r="AM5" s="38" t="s">
        <v>34</v>
      </c>
      <c r="AN5" s="38" t="s">
        <v>34</v>
      </c>
      <c r="AO5" s="38" t="s">
        <v>103</v>
      </c>
    </row>
    <row r="6" spans="1:41" x14ac:dyDescent="0.25">
      <c r="C6" s="45"/>
      <c r="F6" s="33" t="s">
        <v>67</v>
      </c>
      <c r="G6" s="46">
        <v>36</v>
      </c>
      <c r="H6" s="45" t="s">
        <v>28</v>
      </c>
      <c r="J6" s="47">
        <v>1</v>
      </c>
      <c r="K6" s="47">
        <v>0</v>
      </c>
      <c r="L6" s="70" t="s">
        <v>106</v>
      </c>
      <c r="M6" s="49" t="s">
        <v>64</v>
      </c>
      <c r="N6" s="50">
        <v>9.8000000000000007</v>
      </c>
      <c r="O6" s="51"/>
      <c r="P6" s="51"/>
      <c r="Q6" s="50">
        <v>46</v>
      </c>
      <c r="R6" s="50">
        <f>Q6-5</f>
        <v>41</v>
      </c>
      <c r="S6" s="50">
        <v>0.5</v>
      </c>
      <c r="T6" s="50">
        <v>0</v>
      </c>
      <c r="U6" s="52"/>
      <c r="V6" s="52"/>
      <c r="W6" s="50">
        <v>0.5</v>
      </c>
      <c r="X6" s="50">
        <v>19700</v>
      </c>
      <c r="Y6" s="50">
        <v>0</v>
      </c>
      <c r="Z6" s="50">
        <f t="shared" ref="Z6" si="0">VLOOKUP(R6,$AE$39:$AF$59,2)</f>
        <v>114.99999999999996</v>
      </c>
      <c r="AA6" s="53"/>
      <c r="AB6" s="50">
        <f>VLOOKUP(R6,$AE$39:$AG$59,3)</f>
        <v>12000</v>
      </c>
      <c r="AC6" s="51"/>
      <c r="AD6" s="51"/>
      <c r="AE6" s="51"/>
      <c r="AF6" s="51"/>
      <c r="AG6" s="51"/>
      <c r="AH6" s="51"/>
      <c r="AI6" s="51"/>
      <c r="AJ6" s="50">
        <f t="shared" ref="AJ6:AJ10" si="1">VLOOKUP(R6,$AE$39:$AH$59,4)</f>
        <v>50.000000000000007</v>
      </c>
      <c r="AK6" s="50">
        <v>1</v>
      </c>
      <c r="AL6" s="50">
        <v>1</v>
      </c>
      <c r="AM6" s="50">
        <v>1</v>
      </c>
      <c r="AN6" s="50">
        <v>1</v>
      </c>
      <c r="AO6" s="50">
        <v>0</v>
      </c>
    </row>
    <row r="7" spans="1:41" x14ac:dyDescent="0.25">
      <c r="A7" s="54" t="s">
        <v>23</v>
      </c>
      <c r="C7" s="45"/>
      <c r="F7" s="55" t="s">
        <v>48</v>
      </c>
      <c r="G7" s="56"/>
      <c r="H7" s="39"/>
      <c r="I7" s="56"/>
      <c r="J7" s="47">
        <v>2</v>
      </c>
      <c r="K7" s="47">
        <v>-2.5</v>
      </c>
      <c r="L7" s="33" t="s">
        <v>107</v>
      </c>
      <c r="M7" s="49" t="s">
        <v>65</v>
      </c>
      <c r="N7" s="50">
        <v>8.5</v>
      </c>
      <c r="O7" s="51">
        <v>108.5</v>
      </c>
      <c r="P7" s="51">
        <v>19.12</v>
      </c>
      <c r="Q7" s="50"/>
      <c r="R7" s="50"/>
      <c r="S7" s="50"/>
      <c r="T7" s="50"/>
      <c r="U7" s="52">
        <v>1.7999999999999999E-2</v>
      </c>
      <c r="V7" s="52">
        <v>0</v>
      </c>
      <c r="W7" s="50"/>
      <c r="X7" s="50"/>
      <c r="Y7" s="50"/>
      <c r="Z7" s="50"/>
      <c r="AA7" s="53">
        <v>1</v>
      </c>
      <c r="AB7" s="50"/>
      <c r="AC7" s="51">
        <v>602400</v>
      </c>
      <c r="AD7" s="51">
        <v>28036</v>
      </c>
      <c r="AE7" s="51">
        <v>0.46</v>
      </c>
      <c r="AF7" s="51">
        <v>0</v>
      </c>
      <c r="AG7" s="51">
        <v>0</v>
      </c>
      <c r="AH7" s="51">
        <v>0</v>
      </c>
      <c r="AI7" s="51">
        <v>0</v>
      </c>
      <c r="AJ7" s="50"/>
      <c r="AK7" s="50">
        <v>1</v>
      </c>
      <c r="AL7" s="50">
        <v>1</v>
      </c>
      <c r="AM7" s="50">
        <v>1</v>
      </c>
      <c r="AN7" s="50">
        <v>1</v>
      </c>
      <c r="AO7" s="50">
        <v>0</v>
      </c>
    </row>
    <row r="8" spans="1:41" x14ac:dyDescent="0.25">
      <c r="A8" s="33" t="s">
        <v>24</v>
      </c>
      <c r="B8" s="57">
        <v>0</v>
      </c>
      <c r="C8" s="45" t="s">
        <v>29</v>
      </c>
      <c r="F8" s="33" t="s">
        <v>49</v>
      </c>
      <c r="G8" s="71">
        <v>2278.1</v>
      </c>
      <c r="H8" s="45" t="s">
        <v>53</v>
      </c>
      <c r="J8" s="47">
        <v>3</v>
      </c>
      <c r="K8" s="47">
        <v>-8</v>
      </c>
      <c r="L8" s="70" t="s">
        <v>106</v>
      </c>
      <c r="M8" s="49" t="s">
        <v>64</v>
      </c>
      <c r="N8" s="50">
        <v>10.1</v>
      </c>
      <c r="O8" s="51"/>
      <c r="P8" s="51"/>
      <c r="Q8" s="50">
        <v>45</v>
      </c>
      <c r="R8" s="50">
        <f t="shared" ref="R8:R10" si="2">Q8-5</f>
        <v>40</v>
      </c>
      <c r="S8" s="50">
        <v>0.9</v>
      </c>
      <c r="T8" s="50">
        <v>0</v>
      </c>
      <c r="U8" s="52"/>
      <c r="V8" s="52"/>
      <c r="W8" s="50">
        <v>0.5</v>
      </c>
      <c r="X8" s="50">
        <v>71200</v>
      </c>
      <c r="Y8" s="50">
        <v>0</v>
      </c>
      <c r="Z8" s="50">
        <f>VLOOKUP(R8,$AE$39:$AF$59,2)</f>
        <v>114.99999999999996</v>
      </c>
      <c r="AA8" s="53"/>
      <c r="AB8" s="50">
        <f t="shared" ref="AB8:AB10" si="3">VLOOKUP(R8,$AE$39:$AG$59,3)</f>
        <v>12000</v>
      </c>
      <c r="AC8" s="51"/>
      <c r="AD8" s="51"/>
      <c r="AE8" s="51"/>
      <c r="AF8" s="51"/>
      <c r="AG8" s="51"/>
      <c r="AH8" s="51"/>
      <c r="AI8" s="51"/>
      <c r="AJ8" s="50">
        <f t="shared" si="1"/>
        <v>50.000000000000007</v>
      </c>
      <c r="AK8" s="50">
        <v>1</v>
      </c>
      <c r="AL8" s="50">
        <v>1</v>
      </c>
      <c r="AM8" s="50">
        <v>1</v>
      </c>
      <c r="AN8" s="50">
        <v>1</v>
      </c>
      <c r="AO8" s="50">
        <v>0</v>
      </c>
    </row>
    <row r="9" spans="1:41" x14ac:dyDescent="0.25">
      <c r="A9" s="33" t="s">
        <v>68</v>
      </c>
      <c r="B9" s="57">
        <v>33</v>
      </c>
      <c r="C9" s="45" t="s">
        <v>28</v>
      </c>
      <c r="D9" s="57">
        <v>28</v>
      </c>
      <c r="F9" s="33" t="s">
        <v>96</v>
      </c>
      <c r="G9" s="71">
        <v>-122786</v>
      </c>
      <c r="H9" s="45" t="s">
        <v>54</v>
      </c>
      <c r="J9" s="47">
        <v>4</v>
      </c>
      <c r="K9" s="47">
        <v>-22</v>
      </c>
      <c r="L9" s="70" t="s">
        <v>107</v>
      </c>
      <c r="M9" s="49" t="s">
        <v>65</v>
      </c>
      <c r="N9" s="50">
        <v>8.3000000000000007</v>
      </c>
      <c r="O9" s="51">
        <v>142.6</v>
      </c>
      <c r="P9" s="51">
        <v>2.4500000000000002</v>
      </c>
      <c r="Q9" s="50"/>
      <c r="R9" s="50"/>
      <c r="S9" s="50"/>
      <c r="T9" s="50"/>
      <c r="U9" s="52">
        <v>1.7999999999999999E-2</v>
      </c>
      <c r="V9" s="52">
        <v>0</v>
      </c>
      <c r="W9" s="50"/>
      <c r="X9" s="50"/>
      <c r="Y9" s="50"/>
      <c r="Z9" s="50"/>
      <c r="AA9" s="53">
        <v>1</v>
      </c>
      <c r="AB9" s="50"/>
      <c r="AC9" s="51">
        <v>378700</v>
      </c>
      <c r="AD9" s="51">
        <v>8300</v>
      </c>
      <c r="AE9" s="51">
        <v>0.46</v>
      </c>
      <c r="AF9" s="51">
        <v>0</v>
      </c>
      <c r="AG9" s="51">
        <v>0</v>
      </c>
      <c r="AH9" s="51">
        <v>0</v>
      </c>
      <c r="AI9" s="51">
        <v>0</v>
      </c>
      <c r="AJ9" s="50"/>
      <c r="AK9" s="50">
        <v>1</v>
      </c>
      <c r="AL9" s="50">
        <v>1</v>
      </c>
      <c r="AM9" s="50">
        <v>1</v>
      </c>
      <c r="AN9" s="50">
        <v>1</v>
      </c>
      <c r="AO9" s="50">
        <v>0</v>
      </c>
    </row>
    <row r="10" spans="1:41" s="56" customFormat="1" x14ac:dyDescent="0.25">
      <c r="A10" s="56" t="s">
        <v>69</v>
      </c>
      <c r="B10" s="58">
        <v>33</v>
      </c>
      <c r="C10" s="45" t="s">
        <v>28</v>
      </c>
      <c r="D10" s="58">
        <v>28</v>
      </c>
      <c r="F10" s="33" t="s">
        <v>51</v>
      </c>
      <c r="G10" s="71">
        <v>7357</v>
      </c>
      <c r="H10" s="45" t="s">
        <v>53</v>
      </c>
      <c r="I10" s="33"/>
      <c r="J10" s="47">
        <v>5</v>
      </c>
      <c r="K10" s="47">
        <v>-30</v>
      </c>
      <c r="L10" s="33" t="s">
        <v>106</v>
      </c>
      <c r="M10" s="49" t="s">
        <v>64</v>
      </c>
      <c r="N10" s="50">
        <v>9.8000000000000007</v>
      </c>
      <c r="O10" s="51"/>
      <c r="P10" s="51"/>
      <c r="Q10" s="50">
        <v>41</v>
      </c>
      <c r="R10" s="50">
        <f t="shared" si="2"/>
        <v>36</v>
      </c>
      <c r="S10" s="50">
        <v>0.8</v>
      </c>
      <c r="T10" s="50">
        <v>0</v>
      </c>
      <c r="U10" s="52"/>
      <c r="V10" s="52"/>
      <c r="W10" s="50">
        <v>0.5</v>
      </c>
      <c r="X10" s="50">
        <v>24600</v>
      </c>
      <c r="Y10" s="50">
        <v>0</v>
      </c>
      <c r="Z10" s="50">
        <f t="shared" ref="Z10" si="4">VLOOKUP(R10,$AE$39:$AF$59,2)</f>
        <v>114.99999999999996</v>
      </c>
      <c r="AA10" s="53"/>
      <c r="AB10" s="50">
        <f t="shared" si="3"/>
        <v>12000</v>
      </c>
      <c r="AC10" s="51"/>
      <c r="AD10" s="51"/>
      <c r="AE10" s="51"/>
      <c r="AF10" s="51"/>
      <c r="AG10" s="51"/>
      <c r="AH10" s="51"/>
      <c r="AI10" s="51"/>
      <c r="AJ10" s="50">
        <f t="shared" si="1"/>
        <v>50.000000000000007</v>
      </c>
      <c r="AK10" s="50">
        <v>1</v>
      </c>
      <c r="AL10" s="50">
        <v>1</v>
      </c>
      <c r="AM10" s="50">
        <v>1</v>
      </c>
      <c r="AN10" s="50">
        <v>1</v>
      </c>
      <c r="AO10" s="50">
        <v>0</v>
      </c>
    </row>
    <row r="11" spans="1:41" x14ac:dyDescent="0.25">
      <c r="A11" s="33" t="s">
        <v>70</v>
      </c>
      <c r="B11" s="57">
        <v>0.5</v>
      </c>
      <c r="C11" s="45" t="s">
        <v>28</v>
      </c>
      <c r="F11" s="33" t="s">
        <v>52</v>
      </c>
      <c r="G11" s="71">
        <v>0</v>
      </c>
      <c r="H11" s="45" t="s">
        <v>53</v>
      </c>
      <c r="J11" s="47"/>
      <c r="K11" s="47"/>
      <c r="M11" s="49"/>
      <c r="N11" s="50"/>
      <c r="O11" s="51"/>
      <c r="P11" s="51"/>
      <c r="Q11" s="50"/>
      <c r="R11" s="50"/>
      <c r="S11" s="50"/>
      <c r="T11" s="50"/>
      <c r="U11" s="52"/>
      <c r="V11" s="52"/>
      <c r="W11" s="50"/>
      <c r="X11" s="50"/>
      <c r="Y11" s="50"/>
      <c r="Z11" s="50"/>
      <c r="AA11" s="53"/>
      <c r="AB11" s="50"/>
      <c r="AC11" s="51"/>
      <c r="AD11" s="51"/>
      <c r="AE11" s="51"/>
      <c r="AF11" s="51"/>
      <c r="AG11" s="51"/>
      <c r="AH11" s="51"/>
      <c r="AI11" s="51"/>
      <c r="AJ11" s="50"/>
      <c r="AK11" s="50"/>
      <c r="AL11" s="50"/>
      <c r="AM11" s="50"/>
      <c r="AN11" s="50"/>
      <c r="AO11" s="50"/>
    </row>
    <row r="12" spans="1:41" x14ac:dyDescent="0.25">
      <c r="A12" s="33" t="s">
        <v>74</v>
      </c>
      <c r="B12" s="46">
        <v>5.5</v>
      </c>
      <c r="C12" s="45" t="s">
        <v>28</v>
      </c>
      <c r="E12" s="59"/>
      <c r="F12" s="56" t="s">
        <v>97</v>
      </c>
      <c r="G12" s="71">
        <v>10850.2</v>
      </c>
      <c r="H12" s="45" t="s">
        <v>53</v>
      </c>
      <c r="I12" s="56"/>
      <c r="J12" s="47"/>
      <c r="K12" s="47"/>
      <c r="M12" s="49"/>
      <c r="N12" s="50"/>
      <c r="O12" s="51"/>
      <c r="P12" s="51"/>
      <c r="Q12" s="50"/>
      <c r="R12" s="50"/>
      <c r="S12" s="50"/>
      <c r="T12" s="50"/>
      <c r="U12" s="52"/>
      <c r="V12" s="52"/>
      <c r="W12" s="50"/>
      <c r="X12" s="50"/>
      <c r="Y12" s="50"/>
      <c r="Z12" s="50"/>
      <c r="AA12" s="53"/>
      <c r="AB12" s="50"/>
      <c r="AC12" s="51"/>
      <c r="AD12" s="51"/>
      <c r="AE12" s="51"/>
      <c r="AF12" s="51"/>
      <c r="AG12" s="51"/>
      <c r="AH12" s="51"/>
      <c r="AI12" s="51"/>
      <c r="AJ12" s="50"/>
      <c r="AK12" s="50"/>
      <c r="AL12" s="50"/>
      <c r="AM12" s="50"/>
      <c r="AN12" s="50"/>
      <c r="AO12" s="50"/>
    </row>
    <row r="13" spans="1:41" x14ac:dyDescent="0.25">
      <c r="A13" s="33" t="s">
        <v>42</v>
      </c>
      <c r="B13" s="57">
        <v>78</v>
      </c>
      <c r="C13" s="45" t="s">
        <v>46</v>
      </c>
      <c r="E13" s="59"/>
      <c r="F13" s="54" t="s">
        <v>55</v>
      </c>
      <c r="J13" s="47"/>
      <c r="K13" s="47"/>
      <c r="M13" s="49"/>
      <c r="N13" s="50"/>
      <c r="O13" s="51"/>
      <c r="P13" s="51"/>
      <c r="Q13" s="50"/>
      <c r="R13" s="50"/>
      <c r="S13" s="50"/>
      <c r="T13" s="50"/>
      <c r="U13" s="52"/>
      <c r="V13" s="52"/>
      <c r="W13" s="50"/>
      <c r="X13" s="50"/>
      <c r="Y13" s="50"/>
      <c r="Z13" s="50"/>
      <c r="AA13" s="53"/>
      <c r="AB13" s="50"/>
      <c r="AC13" s="51"/>
      <c r="AD13" s="51"/>
      <c r="AE13" s="51"/>
      <c r="AF13" s="51"/>
      <c r="AG13" s="51"/>
      <c r="AH13" s="51"/>
      <c r="AI13" s="51"/>
      <c r="AJ13" s="50"/>
      <c r="AK13" s="50"/>
      <c r="AL13" s="50"/>
      <c r="AM13" s="50"/>
      <c r="AN13" s="50"/>
      <c r="AO13" s="50"/>
    </row>
    <row r="14" spans="1:41" x14ac:dyDescent="0.25">
      <c r="A14" s="33" t="s">
        <v>43</v>
      </c>
      <c r="B14" s="59">
        <v>355000</v>
      </c>
      <c r="C14" s="45" t="s">
        <v>47</v>
      </c>
      <c r="F14" s="33" t="s">
        <v>56</v>
      </c>
      <c r="G14" s="60" t="s">
        <v>57</v>
      </c>
      <c r="H14" s="45" t="s">
        <v>63</v>
      </c>
      <c r="J14" s="47"/>
      <c r="K14" s="47"/>
      <c r="M14" s="49"/>
      <c r="N14" s="50"/>
      <c r="O14" s="51"/>
      <c r="P14" s="51"/>
      <c r="Q14" s="50"/>
      <c r="R14" s="50"/>
      <c r="S14" s="50"/>
      <c r="T14" s="50"/>
      <c r="U14" s="52"/>
      <c r="V14" s="52"/>
      <c r="W14" s="50"/>
      <c r="X14" s="50"/>
      <c r="Y14" s="50"/>
      <c r="Z14" s="50"/>
      <c r="AA14" s="53"/>
      <c r="AB14" s="50"/>
      <c r="AC14" s="51"/>
      <c r="AD14" s="51"/>
      <c r="AE14" s="51"/>
      <c r="AF14" s="51"/>
      <c r="AG14" s="51"/>
      <c r="AH14" s="51"/>
      <c r="AI14" s="51"/>
      <c r="AJ14" s="50"/>
      <c r="AK14" s="50"/>
      <c r="AL14" s="50"/>
      <c r="AM14" s="50"/>
      <c r="AN14" s="50"/>
      <c r="AO14" s="50"/>
    </row>
    <row r="15" spans="1:41" x14ac:dyDescent="0.25">
      <c r="A15" s="33" t="s">
        <v>44</v>
      </c>
      <c r="B15" s="61">
        <v>207000000</v>
      </c>
      <c r="C15" s="45" t="s">
        <v>47</v>
      </c>
      <c r="J15" s="47"/>
      <c r="K15" s="47"/>
      <c r="M15" s="49"/>
      <c r="N15" s="50"/>
      <c r="O15" s="51"/>
      <c r="P15" s="51"/>
      <c r="Q15" s="50"/>
      <c r="R15" s="50"/>
      <c r="S15" s="50"/>
      <c r="T15" s="50"/>
      <c r="U15" s="52"/>
      <c r="V15" s="52"/>
      <c r="W15" s="50"/>
      <c r="X15" s="50"/>
      <c r="Y15" s="50"/>
      <c r="Z15" s="50"/>
      <c r="AA15" s="53"/>
      <c r="AB15" s="50"/>
      <c r="AC15" s="51"/>
      <c r="AD15" s="51"/>
      <c r="AE15" s="51"/>
      <c r="AF15" s="51"/>
      <c r="AG15" s="51"/>
      <c r="AH15" s="51"/>
      <c r="AI15" s="51"/>
      <c r="AJ15" s="50"/>
      <c r="AK15" s="50"/>
      <c r="AL15" s="50"/>
      <c r="AM15" s="50"/>
      <c r="AN15" s="50"/>
      <c r="AO15" s="50"/>
    </row>
    <row r="16" spans="1:41" x14ac:dyDescent="0.25">
      <c r="A16" s="33" t="s">
        <v>45</v>
      </c>
      <c r="B16" s="61">
        <v>79000000</v>
      </c>
      <c r="C16" s="45" t="s">
        <v>47</v>
      </c>
      <c r="D16" s="62"/>
      <c r="E16" s="62"/>
      <c r="G16" s="33">
        <f>386.8*9.81</f>
        <v>3794.5080000000003</v>
      </c>
      <c r="I16" s="56"/>
      <c r="J16" s="47"/>
      <c r="K16" s="47"/>
      <c r="M16" s="49"/>
      <c r="N16" s="50"/>
      <c r="O16" s="51"/>
      <c r="P16" s="51"/>
      <c r="Q16" s="50"/>
      <c r="R16" s="50"/>
      <c r="S16" s="50"/>
      <c r="T16" s="50"/>
      <c r="U16" s="52"/>
      <c r="V16" s="52"/>
      <c r="W16" s="50"/>
      <c r="X16" s="50"/>
      <c r="Y16" s="50"/>
      <c r="Z16" s="50"/>
      <c r="AA16" s="53"/>
      <c r="AB16" s="50"/>
      <c r="AC16" s="51"/>
      <c r="AD16" s="51"/>
      <c r="AE16" s="51"/>
      <c r="AF16" s="51"/>
      <c r="AG16" s="51"/>
      <c r="AH16" s="51"/>
      <c r="AI16" s="51"/>
      <c r="AJ16" s="50"/>
      <c r="AK16" s="50"/>
      <c r="AL16" s="50"/>
      <c r="AM16" s="50"/>
      <c r="AN16" s="50"/>
      <c r="AO16" s="50"/>
    </row>
    <row r="17" spans="1:41" s="56" customFormat="1" x14ac:dyDescent="0.25">
      <c r="A17" s="33" t="s">
        <v>98</v>
      </c>
      <c r="B17" s="57">
        <v>0.53</v>
      </c>
      <c r="C17" s="45"/>
      <c r="D17" s="38"/>
      <c r="E17" s="38"/>
      <c r="J17" s="47"/>
      <c r="K17" s="47"/>
      <c r="L17" s="33"/>
      <c r="M17" s="49"/>
      <c r="N17" s="50"/>
      <c r="O17" s="51"/>
      <c r="P17" s="51"/>
      <c r="Q17" s="50"/>
      <c r="R17" s="50"/>
      <c r="S17" s="50"/>
      <c r="T17" s="50"/>
      <c r="U17" s="52"/>
      <c r="V17" s="52"/>
      <c r="W17" s="50"/>
      <c r="X17" s="50"/>
      <c r="Y17" s="50"/>
      <c r="Z17" s="50"/>
      <c r="AA17" s="53"/>
      <c r="AB17" s="50"/>
      <c r="AC17" s="51"/>
      <c r="AD17" s="51"/>
      <c r="AE17" s="51"/>
      <c r="AF17" s="51"/>
      <c r="AG17" s="51"/>
      <c r="AH17" s="51"/>
      <c r="AI17" s="51"/>
      <c r="AJ17" s="50"/>
      <c r="AK17" s="50"/>
      <c r="AL17" s="50"/>
      <c r="AM17" s="50"/>
      <c r="AN17" s="50"/>
      <c r="AO17" s="50"/>
    </row>
    <row r="18" spans="1:41" ht="30" x14ac:dyDescent="0.25">
      <c r="A18" s="35" t="s">
        <v>25</v>
      </c>
      <c r="B18" s="65" t="s">
        <v>26</v>
      </c>
      <c r="C18" s="65" t="s">
        <v>27</v>
      </c>
      <c r="D18" s="66"/>
      <c r="E18" s="66"/>
      <c r="J18" s="47"/>
      <c r="L18" s="48"/>
      <c r="M18" s="49" t="s">
        <v>94</v>
      </c>
      <c r="N18" s="47"/>
      <c r="O18" s="63"/>
      <c r="P18" s="47"/>
      <c r="Q18" s="47"/>
      <c r="R18" s="64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</row>
    <row r="19" spans="1:41" x14ac:dyDescent="0.25">
      <c r="A19" s="38" t="s">
        <v>38</v>
      </c>
      <c r="B19" s="38" t="s">
        <v>30</v>
      </c>
      <c r="C19" s="38" t="s">
        <v>59</v>
      </c>
      <c r="D19" s="43"/>
      <c r="E19" s="35"/>
      <c r="L19" s="48"/>
      <c r="M19" s="49" t="s">
        <v>94</v>
      </c>
      <c r="N19" s="47"/>
      <c r="O19" s="50"/>
      <c r="P19" s="47"/>
      <c r="Q19" s="47"/>
      <c r="R19" s="64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I19" s="47"/>
      <c r="AJ19" s="47"/>
      <c r="AK19" s="47"/>
      <c r="AL19" s="47"/>
      <c r="AM19" s="47"/>
      <c r="AN19" s="47"/>
    </row>
    <row r="20" spans="1:41" x14ac:dyDescent="0.25">
      <c r="A20" s="66">
        <v>1</v>
      </c>
      <c r="B20" s="66">
        <v>0</v>
      </c>
      <c r="C20" s="67">
        <v>0.09</v>
      </c>
      <c r="D20" s="43"/>
      <c r="L20" s="48"/>
      <c r="M20" s="49" t="s">
        <v>94</v>
      </c>
      <c r="N20" s="47"/>
      <c r="O20" s="50"/>
      <c r="P20" s="47"/>
      <c r="Q20" s="47"/>
      <c r="R20" s="64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I20" s="47"/>
      <c r="AJ20" s="47"/>
      <c r="AK20" s="47"/>
      <c r="AL20" s="47"/>
      <c r="AM20" s="47"/>
      <c r="AN20" s="47"/>
    </row>
    <row r="21" spans="1:41" x14ac:dyDescent="0.25">
      <c r="A21" s="66"/>
      <c r="B21" s="66"/>
      <c r="C21" s="67"/>
      <c r="D21" s="43"/>
      <c r="L21" s="48"/>
      <c r="M21" s="49" t="s">
        <v>94</v>
      </c>
      <c r="N21" s="47"/>
      <c r="O21" s="50"/>
      <c r="P21" s="47"/>
      <c r="Q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64"/>
      <c r="AI21" s="47"/>
      <c r="AJ21" s="47"/>
      <c r="AK21" s="47"/>
      <c r="AL21" s="47"/>
      <c r="AM21" s="47"/>
      <c r="AN21" s="47"/>
    </row>
    <row r="22" spans="1:41" x14ac:dyDescent="0.25">
      <c r="A22" s="66"/>
      <c r="B22" s="66"/>
      <c r="C22" s="67"/>
      <c r="D22" s="35"/>
      <c r="L22" s="48"/>
      <c r="M22" s="49" t="s">
        <v>94</v>
      </c>
      <c r="N22" s="47"/>
      <c r="O22" s="50"/>
      <c r="P22" s="47"/>
      <c r="Q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64"/>
      <c r="AI22" s="47"/>
      <c r="AJ22" s="47"/>
      <c r="AK22" s="47"/>
      <c r="AL22" s="47"/>
      <c r="AM22" s="47"/>
      <c r="AN22" s="47"/>
    </row>
    <row r="23" spans="1:41" x14ac:dyDescent="0.25">
      <c r="A23" s="66"/>
      <c r="B23" s="66"/>
      <c r="C23" s="67"/>
      <c r="D23" s="35"/>
      <c r="L23" s="48"/>
      <c r="M23" s="49" t="s">
        <v>94</v>
      </c>
      <c r="N23" s="47"/>
      <c r="O23" s="50"/>
      <c r="P23" s="47"/>
      <c r="Q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64"/>
      <c r="AI23" s="47"/>
      <c r="AJ23" s="47"/>
      <c r="AK23" s="47"/>
      <c r="AL23" s="47"/>
      <c r="AM23" s="47"/>
      <c r="AN23" s="47"/>
    </row>
    <row r="24" spans="1:41" x14ac:dyDescent="0.25">
      <c r="A24" s="66"/>
      <c r="B24" s="66"/>
      <c r="C24" s="67"/>
      <c r="D24" s="35"/>
      <c r="L24" s="48"/>
      <c r="M24" s="49" t="s">
        <v>94</v>
      </c>
      <c r="N24" s="47"/>
      <c r="O24" s="50"/>
      <c r="P24" s="47"/>
      <c r="Q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64"/>
      <c r="AI24" s="47"/>
      <c r="AJ24" s="47"/>
      <c r="AK24" s="47"/>
      <c r="AL24" s="47"/>
      <c r="AM24" s="47"/>
      <c r="AN24" s="47"/>
    </row>
    <row r="25" spans="1:41" x14ac:dyDescent="0.25">
      <c r="A25" s="66"/>
      <c r="B25" s="66"/>
      <c r="C25" s="67"/>
      <c r="D25" s="35"/>
      <c r="L25" s="48"/>
      <c r="M25" s="49" t="s">
        <v>94</v>
      </c>
      <c r="N25" s="47"/>
      <c r="O25" s="50"/>
      <c r="P25" s="47"/>
      <c r="Q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64"/>
      <c r="AI25" s="47"/>
      <c r="AJ25" s="47"/>
      <c r="AK25" s="47"/>
      <c r="AL25" s="47"/>
      <c r="AM25" s="47"/>
      <c r="AN25" s="47"/>
    </row>
    <row r="26" spans="1:41" x14ac:dyDescent="0.25">
      <c r="A26" s="66"/>
      <c r="B26" s="66"/>
      <c r="C26" s="67"/>
      <c r="D26" s="35"/>
      <c r="L26" s="48"/>
      <c r="M26" s="49" t="s">
        <v>94</v>
      </c>
      <c r="N26" s="47"/>
      <c r="O26" s="50"/>
      <c r="P26" s="47"/>
      <c r="Q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64"/>
      <c r="AI26" s="47"/>
      <c r="AJ26" s="47"/>
      <c r="AK26" s="47"/>
      <c r="AL26" s="47"/>
      <c r="AM26" s="47"/>
      <c r="AN26" s="47"/>
    </row>
    <row r="27" spans="1:41" x14ac:dyDescent="0.25">
      <c r="A27" s="66"/>
      <c r="B27" s="66"/>
      <c r="C27" s="67"/>
      <c r="D27" s="35"/>
      <c r="L27" s="48"/>
      <c r="M27" s="49" t="s">
        <v>94</v>
      </c>
      <c r="N27" s="47"/>
      <c r="O27" s="50"/>
      <c r="P27" s="47"/>
      <c r="Q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64"/>
      <c r="AI27" s="47"/>
      <c r="AJ27" s="47"/>
      <c r="AK27" s="47"/>
      <c r="AL27" s="47"/>
      <c r="AM27" s="47"/>
      <c r="AN27" s="47"/>
    </row>
    <row r="28" spans="1:41" x14ac:dyDescent="0.25">
      <c r="A28" s="66"/>
      <c r="B28" s="66"/>
      <c r="C28" s="67"/>
      <c r="D28" s="35"/>
      <c r="L28" s="48"/>
      <c r="M28" s="49" t="s">
        <v>94</v>
      </c>
      <c r="N28" s="47"/>
      <c r="O28" s="50"/>
      <c r="P28" s="47"/>
      <c r="Q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64"/>
      <c r="AI28" s="47"/>
      <c r="AJ28" s="47"/>
      <c r="AK28" s="47"/>
      <c r="AL28" s="47"/>
      <c r="AM28" s="47"/>
      <c r="AN28" s="47"/>
    </row>
    <row r="29" spans="1:41" x14ac:dyDescent="0.25">
      <c r="A29" s="66"/>
      <c r="B29" s="66"/>
      <c r="C29" s="67"/>
      <c r="D29" s="35"/>
      <c r="L29" s="48"/>
      <c r="M29" s="49" t="s">
        <v>94</v>
      </c>
      <c r="N29" s="47"/>
      <c r="O29" s="63"/>
      <c r="P29" s="47"/>
      <c r="Q29" s="47"/>
      <c r="R29" s="64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I29" s="47"/>
      <c r="AJ29" s="47"/>
      <c r="AK29" s="47"/>
      <c r="AL29" s="47"/>
      <c r="AM29" s="47"/>
      <c r="AN29" s="47"/>
    </row>
    <row r="30" spans="1:41" x14ac:dyDescent="0.25">
      <c r="A30" s="66"/>
      <c r="B30" s="66"/>
      <c r="C30" s="67"/>
      <c r="D30" s="35"/>
      <c r="L30" s="48"/>
      <c r="M30" s="49" t="s">
        <v>94</v>
      </c>
      <c r="N30" s="47"/>
      <c r="O30" s="63"/>
      <c r="P30" s="47"/>
      <c r="Q30" s="47"/>
      <c r="R30" s="64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I30" s="47"/>
      <c r="AJ30" s="47"/>
      <c r="AK30" s="47"/>
      <c r="AL30" s="47"/>
      <c r="AM30" s="47"/>
      <c r="AN30" s="47"/>
    </row>
    <row r="31" spans="1:41" x14ac:dyDescent="0.25">
      <c r="A31" s="66"/>
      <c r="B31" s="66"/>
      <c r="C31" s="67"/>
      <c r="D31" s="35"/>
      <c r="L31" s="48"/>
      <c r="M31" s="49" t="s">
        <v>94</v>
      </c>
      <c r="N31" s="47"/>
      <c r="O31" s="63"/>
      <c r="P31" s="47"/>
      <c r="Q31" s="47"/>
      <c r="R31" s="64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I31" s="47"/>
      <c r="AJ31" s="47"/>
      <c r="AK31" s="47"/>
      <c r="AL31" s="47"/>
      <c r="AM31" s="47"/>
      <c r="AN31" s="47"/>
    </row>
    <row r="32" spans="1:41" x14ac:dyDescent="0.25">
      <c r="A32" s="66"/>
      <c r="B32" s="66"/>
      <c r="C32" s="67"/>
      <c r="D32" s="35"/>
      <c r="L32" s="48"/>
      <c r="M32" s="49" t="s">
        <v>94</v>
      </c>
      <c r="N32" s="47"/>
      <c r="O32" s="63"/>
      <c r="P32" s="47"/>
      <c r="Q32" s="47"/>
      <c r="R32" s="64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I32" s="47"/>
      <c r="AJ32" s="47"/>
      <c r="AK32" s="47"/>
      <c r="AL32" s="47"/>
      <c r="AM32" s="47"/>
      <c r="AN32" s="47"/>
    </row>
    <row r="33" spans="1:40" x14ac:dyDescent="0.25">
      <c r="A33" s="66"/>
      <c r="B33" s="66"/>
      <c r="C33" s="67"/>
      <c r="D33" s="35"/>
      <c r="L33" s="48"/>
      <c r="M33" s="49" t="s">
        <v>94</v>
      </c>
      <c r="N33" s="47"/>
      <c r="O33" s="63"/>
      <c r="P33" s="47"/>
      <c r="Q33" s="47"/>
      <c r="R33" s="64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I33" s="47"/>
      <c r="AJ33" s="47"/>
      <c r="AK33" s="47"/>
      <c r="AL33" s="47"/>
      <c r="AM33" s="47"/>
      <c r="AN33" s="47"/>
    </row>
    <row r="34" spans="1:40" x14ac:dyDescent="0.25">
      <c r="L34" s="48"/>
      <c r="M34" s="49" t="s">
        <v>94</v>
      </c>
      <c r="N34" s="47"/>
      <c r="O34" s="63"/>
      <c r="P34" s="47"/>
      <c r="Q34" s="47"/>
      <c r="R34" s="64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I34" s="47"/>
      <c r="AJ34" s="47"/>
      <c r="AK34" s="47"/>
      <c r="AL34" s="47"/>
      <c r="AM34" s="47"/>
      <c r="AN34" s="47"/>
    </row>
    <row r="35" spans="1:40" x14ac:dyDescent="0.25">
      <c r="L35" s="48"/>
      <c r="M35" s="49" t="s">
        <v>94</v>
      </c>
      <c r="N35" s="47"/>
      <c r="O35" s="63"/>
      <c r="P35" s="47"/>
      <c r="Q35" s="47"/>
      <c r="R35" s="64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I35" s="47"/>
      <c r="AJ35" s="47"/>
      <c r="AK35" s="47"/>
      <c r="AL35" s="47"/>
      <c r="AM35" s="47"/>
      <c r="AN35" s="47"/>
    </row>
    <row r="36" spans="1:40" x14ac:dyDescent="0.25">
      <c r="L36" s="48"/>
      <c r="M36" s="49" t="s">
        <v>94</v>
      </c>
      <c r="N36" s="47"/>
      <c r="O36" s="63"/>
      <c r="P36" s="47"/>
      <c r="Q36" s="47"/>
      <c r="R36" s="64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I36" s="47"/>
      <c r="AJ36" s="47"/>
      <c r="AK36" s="47"/>
      <c r="AL36" s="47"/>
      <c r="AM36" s="47"/>
      <c r="AN36" s="47"/>
    </row>
    <row r="37" spans="1:40" x14ac:dyDescent="0.25">
      <c r="L37" s="48"/>
      <c r="AE37" s="47"/>
      <c r="AF37" s="47" t="s">
        <v>104</v>
      </c>
      <c r="AG37" s="47" t="s">
        <v>105</v>
      </c>
      <c r="AH37" s="47" t="s">
        <v>66</v>
      </c>
    </row>
    <row r="38" spans="1:40" x14ac:dyDescent="0.25">
      <c r="L38" s="48"/>
      <c r="AE38" s="33" t="s">
        <v>99</v>
      </c>
      <c r="AF38" s="33" t="s">
        <v>100</v>
      </c>
      <c r="AG38" s="33" t="s">
        <v>101</v>
      </c>
    </row>
    <row r="39" spans="1:40" x14ac:dyDescent="0.25">
      <c r="L39" s="48"/>
      <c r="AE39" s="33">
        <v>15</v>
      </c>
      <c r="AF39" s="33">
        <v>48</v>
      </c>
      <c r="AG39" s="33">
        <v>1900</v>
      </c>
      <c r="AH39" s="33">
        <v>8</v>
      </c>
    </row>
    <row r="40" spans="1:40" x14ac:dyDescent="0.25">
      <c r="L40" s="48"/>
      <c r="AE40" s="33">
        <v>16</v>
      </c>
      <c r="AF40" s="33">
        <f>AF39+3.8</f>
        <v>51.8</v>
      </c>
      <c r="AG40" s="33">
        <f>AG39+200</f>
        <v>2100</v>
      </c>
      <c r="AH40" s="33">
        <f>AH39+0.8</f>
        <v>8.8000000000000007</v>
      </c>
    </row>
    <row r="41" spans="1:40" x14ac:dyDescent="0.25">
      <c r="L41" s="48"/>
      <c r="AE41" s="33">
        <v>17</v>
      </c>
      <c r="AF41" s="33">
        <f t="shared" ref="AF41:AF44" si="5">AF40+3.8</f>
        <v>55.599999999999994</v>
      </c>
      <c r="AG41" s="33">
        <f t="shared" ref="AG41:AG43" si="6">AG40+200</f>
        <v>2300</v>
      </c>
      <c r="AH41" s="33">
        <f t="shared" ref="AH41:AH44" si="7">AH40+0.8</f>
        <v>9.6000000000000014</v>
      </c>
    </row>
    <row r="42" spans="1:40" x14ac:dyDescent="0.25">
      <c r="L42" s="48"/>
      <c r="AE42" s="33">
        <v>18</v>
      </c>
      <c r="AF42" s="33">
        <f t="shared" si="5"/>
        <v>59.399999999999991</v>
      </c>
      <c r="AG42" s="33">
        <f t="shared" si="6"/>
        <v>2500</v>
      </c>
      <c r="AH42" s="33">
        <f t="shared" si="7"/>
        <v>10.400000000000002</v>
      </c>
    </row>
    <row r="43" spans="1:40" x14ac:dyDescent="0.25">
      <c r="L43" s="48"/>
      <c r="AE43" s="33">
        <v>19</v>
      </c>
      <c r="AF43" s="33">
        <f t="shared" si="5"/>
        <v>63.199999999999989</v>
      </c>
      <c r="AG43" s="33">
        <f t="shared" si="6"/>
        <v>2700</v>
      </c>
      <c r="AH43" s="33">
        <f t="shared" si="7"/>
        <v>11.200000000000003</v>
      </c>
    </row>
    <row r="44" spans="1:40" x14ac:dyDescent="0.25">
      <c r="L44" s="48"/>
      <c r="AE44" s="33">
        <v>20</v>
      </c>
      <c r="AF44" s="33">
        <f t="shared" si="5"/>
        <v>66.999999999999986</v>
      </c>
      <c r="AG44" s="33">
        <f>AG43+200</f>
        <v>2900</v>
      </c>
      <c r="AH44" s="33">
        <f t="shared" si="7"/>
        <v>12.000000000000004</v>
      </c>
    </row>
    <row r="45" spans="1:40" x14ac:dyDescent="0.25">
      <c r="L45" s="48"/>
      <c r="AE45" s="33">
        <v>21</v>
      </c>
      <c r="AF45" s="33">
        <f>AF44+2.8</f>
        <v>69.799999999999983</v>
      </c>
      <c r="AG45" s="33">
        <f>AG44+380</f>
        <v>3280</v>
      </c>
      <c r="AH45" s="33">
        <f>AH44+1.6</f>
        <v>13.600000000000003</v>
      </c>
    </row>
    <row r="46" spans="1:40" x14ac:dyDescent="0.25">
      <c r="L46" s="48"/>
      <c r="AE46" s="33">
        <v>22</v>
      </c>
      <c r="AF46" s="33">
        <f t="shared" ref="AF46:AF49" si="8">AF45+2.8</f>
        <v>72.59999999999998</v>
      </c>
      <c r="AG46" s="33">
        <f t="shared" ref="AG46:AG48" si="9">AG45+380</f>
        <v>3660</v>
      </c>
      <c r="AH46" s="33">
        <f t="shared" ref="AH46:AH49" si="10">AH45+1.6</f>
        <v>15.200000000000003</v>
      </c>
    </row>
    <row r="47" spans="1:40" x14ac:dyDescent="0.25">
      <c r="L47" s="48"/>
      <c r="AE47" s="33">
        <v>23</v>
      </c>
      <c r="AF47" s="33">
        <f t="shared" si="8"/>
        <v>75.399999999999977</v>
      </c>
      <c r="AG47" s="33">
        <f t="shared" si="9"/>
        <v>4040</v>
      </c>
      <c r="AH47" s="33">
        <f t="shared" si="10"/>
        <v>16.800000000000004</v>
      </c>
    </row>
    <row r="48" spans="1:40" x14ac:dyDescent="0.25">
      <c r="L48" s="48"/>
      <c r="AE48" s="33">
        <v>24</v>
      </c>
      <c r="AF48" s="33">
        <f t="shared" si="8"/>
        <v>78.199999999999974</v>
      </c>
      <c r="AG48" s="33">
        <f t="shared" si="9"/>
        <v>4420</v>
      </c>
      <c r="AH48" s="33">
        <f t="shared" si="10"/>
        <v>18.400000000000006</v>
      </c>
    </row>
    <row r="49" spans="12:34" x14ac:dyDescent="0.25">
      <c r="L49" s="48"/>
      <c r="AE49" s="33">
        <v>25</v>
      </c>
      <c r="AF49" s="33">
        <f t="shared" si="8"/>
        <v>80.999999999999972</v>
      </c>
      <c r="AG49" s="33">
        <v>4800</v>
      </c>
      <c r="AH49" s="33">
        <f t="shared" si="10"/>
        <v>20.000000000000007</v>
      </c>
    </row>
    <row r="50" spans="12:34" x14ac:dyDescent="0.25">
      <c r="L50" s="48"/>
      <c r="AE50" s="33">
        <v>26</v>
      </c>
      <c r="AF50" s="33">
        <f>AF49+3</f>
        <v>83.999999999999972</v>
      </c>
      <c r="AG50" s="33">
        <f>AG49+960</f>
        <v>5760</v>
      </c>
      <c r="AH50" s="33">
        <f>AH49+4</f>
        <v>24.000000000000007</v>
      </c>
    </row>
    <row r="51" spans="12:34" x14ac:dyDescent="0.25">
      <c r="L51" s="48"/>
      <c r="AE51" s="33">
        <v>27</v>
      </c>
      <c r="AF51" s="33">
        <f t="shared" ref="AF51:AF54" si="11">AF50+3</f>
        <v>86.999999999999972</v>
      </c>
      <c r="AG51" s="33">
        <f t="shared" ref="AG51:AG54" si="12">AG50+960</f>
        <v>6720</v>
      </c>
      <c r="AH51" s="33">
        <f t="shared" ref="AH51:AH54" si="13">AH50+4</f>
        <v>28.000000000000007</v>
      </c>
    </row>
    <row r="52" spans="12:34" x14ac:dyDescent="0.25">
      <c r="L52" s="48"/>
      <c r="AE52" s="33">
        <v>28</v>
      </c>
      <c r="AF52" s="33">
        <f t="shared" si="11"/>
        <v>89.999999999999972</v>
      </c>
      <c r="AG52" s="33">
        <f t="shared" si="12"/>
        <v>7680</v>
      </c>
      <c r="AH52" s="33">
        <f t="shared" si="13"/>
        <v>32.000000000000007</v>
      </c>
    </row>
    <row r="53" spans="12:34" x14ac:dyDescent="0.25">
      <c r="L53" s="48"/>
      <c r="AE53" s="33">
        <v>29</v>
      </c>
      <c r="AF53" s="33">
        <f t="shared" si="11"/>
        <v>92.999999999999972</v>
      </c>
      <c r="AG53" s="33">
        <f t="shared" si="12"/>
        <v>8640</v>
      </c>
      <c r="AH53" s="33">
        <f t="shared" si="13"/>
        <v>36.000000000000007</v>
      </c>
    </row>
    <row r="54" spans="12:34" x14ac:dyDescent="0.25">
      <c r="L54" s="48"/>
      <c r="AE54" s="33">
        <v>30</v>
      </c>
      <c r="AF54" s="33">
        <f t="shared" si="11"/>
        <v>95.999999999999972</v>
      </c>
      <c r="AG54" s="33">
        <f t="shared" si="12"/>
        <v>9600</v>
      </c>
      <c r="AH54" s="33">
        <f t="shared" si="13"/>
        <v>40.000000000000007</v>
      </c>
    </row>
    <row r="55" spans="12:34" x14ac:dyDescent="0.25">
      <c r="L55" s="48"/>
      <c r="AE55" s="33">
        <v>31</v>
      </c>
      <c r="AF55" s="33">
        <f>AF54+3.8</f>
        <v>99.799999999999969</v>
      </c>
      <c r="AG55" s="33">
        <f>AG54+480</f>
        <v>10080</v>
      </c>
      <c r="AH55" s="33">
        <f>AH54+2</f>
        <v>42.000000000000007</v>
      </c>
    </row>
    <row r="56" spans="12:34" x14ac:dyDescent="0.25">
      <c r="L56" s="48"/>
      <c r="AE56" s="33">
        <v>32</v>
      </c>
      <c r="AF56" s="33">
        <f t="shared" ref="AF56:AF59" si="14">AF55+3.8</f>
        <v>103.59999999999997</v>
      </c>
      <c r="AG56" s="33">
        <f t="shared" ref="AG56:AG59" si="15">AG55+480</f>
        <v>10560</v>
      </c>
      <c r="AH56" s="33">
        <f t="shared" ref="AH56:AH59" si="16">AH55+2</f>
        <v>44.000000000000007</v>
      </c>
    </row>
    <row r="57" spans="12:34" x14ac:dyDescent="0.25">
      <c r="L57" s="48"/>
      <c r="AE57" s="33">
        <v>33</v>
      </c>
      <c r="AF57" s="33">
        <f t="shared" si="14"/>
        <v>107.39999999999996</v>
      </c>
      <c r="AG57" s="33">
        <f t="shared" si="15"/>
        <v>11040</v>
      </c>
      <c r="AH57" s="33">
        <f t="shared" si="16"/>
        <v>46.000000000000007</v>
      </c>
    </row>
    <row r="58" spans="12:34" x14ac:dyDescent="0.25">
      <c r="L58" s="48"/>
      <c r="AE58" s="33">
        <v>34</v>
      </c>
      <c r="AF58" s="33">
        <f t="shared" si="14"/>
        <v>111.19999999999996</v>
      </c>
      <c r="AG58" s="33">
        <f t="shared" si="15"/>
        <v>11520</v>
      </c>
      <c r="AH58" s="33">
        <f t="shared" si="16"/>
        <v>48.000000000000007</v>
      </c>
    </row>
    <row r="59" spans="12:34" x14ac:dyDescent="0.25">
      <c r="L59" s="48"/>
      <c r="AE59" s="33">
        <v>35</v>
      </c>
      <c r="AF59" s="33">
        <f t="shared" si="14"/>
        <v>114.99999999999996</v>
      </c>
      <c r="AG59" s="33">
        <f t="shared" si="15"/>
        <v>12000</v>
      </c>
      <c r="AH59" s="33">
        <f t="shared" si="16"/>
        <v>50.000000000000007</v>
      </c>
    </row>
    <row r="60" spans="12:34" x14ac:dyDescent="0.25">
      <c r="L60" s="48"/>
      <c r="AE60" s="33">
        <v>36</v>
      </c>
    </row>
    <row r="61" spans="12:34" x14ac:dyDescent="0.25">
      <c r="L61" s="48"/>
      <c r="AE61" s="33">
        <v>37</v>
      </c>
    </row>
    <row r="62" spans="12:34" x14ac:dyDescent="0.25">
      <c r="L62" s="48"/>
    </row>
    <row r="63" spans="12:34" x14ac:dyDescent="0.25">
      <c r="L63" s="48"/>
    </row>
    <row r="64" spans="12:34" x14ac:dyDescent="0.25">
      <c r="L64" s="48"/>
    </row>
    <row r="65" spans="12:12" x14ac:dyDescent="0.25">
      <c r="L65" s="48"/>
    </row>
    <row r="66" spans="12:12" x14ac:dyDescent="0.25">
      <c r="L66" s="48"/>
    </row>
    <row r="67" spans="12:12" x14ac:dyDescent="0.25">
      <c r="L67" s="48"/>
    </row>
    <row r="68" spans="12:12" x14ac:dyDescent="0.25">
      <c r="L68" s="48"/>
    </row>
    <row r="69" spans="12:12" x14ac:dyDescent="0.25">
      <c r="L69" s="48"/>
    </row>
    <row r="70" spans="12:12" x14ac:dyDescent="0.25">
      <c r="L70" s="48"/>
    </row>
    <row r="71" spans="12:12" x14ac:dyDescent="0.25">
      <c r="L71" s="48"/>
    </row>
    <row r="72" spans="12:12" x14ac:dyDescent="0.25">
      <c r="L72" s="48"/>
    </row>
    <row r="73" spans="12:12" x14ac:dyDescent="0.25">
      <c r="L73" s="48"/>
    </row>
    <row r="74" spans="12:12" x14ac:dyDescent="0.25">
      <c r="L74" s="48"/>
    </row>
    <row r="75" spans="12:12" x14ac:dyDescent="0.25">
      <c r="L75" s="48"/>
    </row>
    <row r="76" spans="12:12" x14ac:dyDescent="0.25">
      <c r="L76" s="48"/>
    </row>
    <row r="77" spans="12:12" x14ac:dyDescent="0.25">
      <c r="L77" s="48"/>
    </row>
    <row r="78" spans="12:12" x14ac:dyDescent="0.25">
      <c r="L78" s="48"/>
    </row>
    <row r="79" spans="12:12" x14ac:dyDescent="0.25">
      <c r="L79" s="48"/>
    </row>
    <row r="80" spans="12:12" x14ac:dyDescent="0.25">
      <c r="L80" s="48"/>
    </row>
    <row r="81" spans="12:12" x14ac:dyDescent="0.25">
      <c r="L81" s="48"/>
    </row>
    <row r="82" spans="12:12" x14ac:dyDescent="0.25">
      <c r="L82" s="48"/>
    </row>
    <row r="83" spans="12:12" x14ac:dyDescent="0.25">
      <c r="L83" s="48"/>
    </row>
    <row r="84" spans="12:12" x14ac:dyDescent="0.25">
      <c r="L84" s="48"/>
    </row>
    <row r="85" spans="12:12" x14ac:dyDescent="0.25">
      <c r="L85" s="48"/>
    </row>
    <row r="86" spans="12:12" x14ac:dyDescent="0.25">
      <c r="L86" s="48"/>
    </row>
    <row r="87" spans="12:12" x14ac:dyDescent="0.25">
      <c r="L87" s="48"/>
    </row>
    <row r="88" spans="12:12" x14ac:dyDescent="0.25">
      <c r="L88" s="48"/>
    </row>
    <row r="89" spans="12:12" x14ac:dyDescent="0.25">
      <c r="L89" s="48"/>
    </row>
    <row r="90" spans="12:12" x14ac:dyDescent="0.25">
      <c r="L90" s="48"/>
    </row>
    <row r="91" spans="12:12" x14ac:dyDescent="0.25">
      <c r="L91" s="48"/>
    </row>
    <row r="92" spans="12:12" x14ac:dyDescent="0.25">
      <c r="L92" s="48"/>
    </row>
    <row r="93" spans="12:12" x14ac:dyDescent="0.25">
      <c r="L93" s="48"/>
    </row>
    <row r="94" spans="12:12" x14ac:dyDescent="0.25">
      <c r="L94" s="48"/>
    </row>
    <row r="95" spans="12:12" x14ac:dyDescent="0.25">
      <c r="L95" s="48"/>
    </row>
    <row r="96" spans="12:12" x14ac:dyDescent="0.25">
      <c r="L96" s="48"/>
    </row>
    <row r="97" spans="12:12" x14ac:dyDescent="0.25">
      <c r="L97" s="48"/>
    </row>
    <row r="98" spans="12:12" x14ac:dyDescent="0.25">
      <c r="L98" s="48"/>
    </row>
    <row r="99" spans="12:12" x14ac:dyDescent="0.25">
      <c r="L99" s="48"/>
    </row>
    <row r="100" spans="12:12" x14ac:dyDescent="0.25">
      <c r="L100" s="48"/>
    </row>
    <row r="101" spans="12:12" x14ac:dyDescent="0.25">
      <c r="L101" s="48"/>
    </row>
    <row r="102" spans="12:12" x14ac:dyDescent="0.25">
      <c r="L102" s="48"/>
    </row>
    <row r="103" spans="12:12" x14ac:dyDescent="0.25">
      <c r="L103" s="48"/>
    </row>
    <row r="104" spans="12:12" x14ac:dyDescent="0.25">
      <c r="L104" s="48"/>
    </row>
    <row r="105" spans="12:12" x14ac:dyDescent="0.25">
      <c r="L105" s="48"/>
    </row>
    <row r="106" spans="12:12" x14ac:dyDescent="0.25">
      <c r="L106" s="48"/>
    </row>
    <row r="107" spans="12:12" x14ac:dyDescent="0.25">
      <c r="L107" s="48"/>
    </row>
    <row r="108" spans="12:12" x14ac:dyDescent="0.25">
      <c r="L108" s="48"/>
    </row>
    <row r="109" spans="12:12" x14ac:dyDescent="0.25">
      <c r="L109" s="48"/>
    </row>
    <row r="110" spans="12:12" x14ac:dyDescent="0.25">
      <c r="L110" s="48"/>
    </row>
    <row r="111" spans="12:12" x14ac:dyDescent="0.25">
      <c r="L111" s="48"/>
    </row>
    <row r="112" spans="12:12" x14ac:dyDescent="0.25">
      <c r="L112" s="48"/>
    </row>
    <row r="113" spans="12:12" x14ac:dyDescent="0.25">
      <c r="L113" s="48"/>
    </row>
    <row r="114" spans="12:12" x14ac:dyDescent="0.25">
      <c r="L114" s="48"/>
    </row>
    <row r="115" spans="12:12" x14ac:dyDescent="0.25">
      <c r="L115" s="48"/>
    </row>
    <row r="116" spans="12:12" x14ac:dyDescent="0.25">
      <c r="L116" s="48"/>
    </row>
    <row r="117" spans="12:12" x14ac:dyDescent="0.25">
      <c r="L117" s="48"/>
    </row>
    <row r="118" spans="12:12" x14ac:dyDescent="0.25">
      <c r="L118" s="48"/>
    </row>
    <row r="119" spans="12:12" x14ac:dyDescent="0.25">
      <c r="L119" s="48"/>
    </row>
    <row r="120" spans="12:12" x14ac:dyDescent="0.25">
      <c r="L120" s="48"/>
    </row>
    <row r="121" spans="12:12" x14ac:dyDescent="0.25">
      <c r="L121" s="48"/>
    </row>
    <row r="122" spans="12:12" x14ac:dyDescent="0.25">
      <c r="L122" s="48"/>
    </row>
    <row r="123" spans="12:12" x14ac:dyDescent="0.25">
      <c r="L123" s="48"/>
    </row>
    <row r="124" spans="12:12" x14ac:dyDescent="0.25">
      <c r="L124" s="48"/>
    </row>
    <row r="125" spans="12:12" x14ac:dyDescent="0.25">
      <c r="L125" s="48"/>
    </row>
    <row r="126" spans="12:12" x14ac:dyDescent="0.25">
      <c r="L126" s="48"/>
    </row>
    <row r="127" spans="12:12" x14ac:dyDescent="0.25">
      <c r="L127" s="48"/>
    </row>
    <row r="128" spans="12:12" x14ac:dyDescent="0.25">
      <c r="L128" s="48"/>
    </row>
    <row r="129" spans="12:12" x14ac:dyDescent="0.25">
      <c r="L129" s="48"/>
    </row>
    <row r="130" spans="12:12" x14ac:dyDescent="0.25">
      <c r="L130" s="48"/>
    </row>
    <row r="131" spans="12:12" x14ac:dyDescent="0.25">
      <c r="L131" s="48"/>
    </row>
    <row r="132" spans="12:12" x14ac:dyDescent="0.25">
      <c r="L132" s="48"/>
    </row>
    <row r="133" spans="12:12" x14ac:dyDescent="0.25">
      <c r="L133" s="48"/>
    </row>
    <row r="134" spans="12:12" x14ac:dyDescent="0.25">
      <c r="L134" s="48"/>
    </row>
    <row r="135" spans="12:12" x14ac:dyDescent="0.25">
      <c r="L135" s="48"/>
    </row>
    <row r="136" spans="12:12" x14ac:dyDescent="0.25">
      <c r="L136" s="48"/>
    </row>
    <row r="137" spans="12:12" x14ac:dyDescent="0.25">
      <c r="L137" s="48"/>
    </row>
    <row r="138" spans="12:12" x14ac:dyDescent="0.25">
      <c r="L138" s="48"/>
    </row>
    <row r="139" spans="12:12" x14ac:dyDescent="0.25">
      <c r="L139" s="48"/>
    </row>
    <row r="140" spans="12:12" x14ac:dyDescent="0.25">
      <c r="L140" s="48"/>
    </row>
    <row r="141" spans="12:12" x14ac:dyDescent="0.25">
      <c r="L141" s="48"/>
    </row>
    <row r="142" spans="12:12" x14ac:dyDescent="0.25">
      <c r="L142" s="48"/>
    </row>
    <row r="143" spans="12:12" x14ac:dyDescent="0.25">
      <c r="L143" s="48"/>
    </row>
    <row r="144" spans="12:12" x14ac:dyDescent="0.25">
      <c r="L144" s="48"/>
    </row>
    <row r="145" spans="12:12" x14ac:dyDescent="0.25">
      <c r="L145" s="48"/>
    </row>
    <row r="146" spans="12:12" x14ac:dyDescent="0.25">
      <c r="L146" s="48"/>
    </row>
    <row r="147" spans="12:12" x14ac:dyDescent="0.25">
      <c r="L147" s="48"/>
    </row>
    <row r="148" spans="12:12" x14ac:dyDescent="0.25">
      <c r="L148" s="48"/>
    </row>
    <row r="149" spans="12:12" x14ac:dyDescent="0.25">
      <c r="L149" s="48"/>
    </row>
    <row r="150" spans="12:12" x14ac:dyDescent="0.25">
      <c r="L150" s="48"/>
    </row>
    <row r="151" spans="12:12" x14ac:dyDescent="0.25">
      <c r="L151" s="48"/>
    </row>
    <row r="152" spans="12:12" x14ac:dyDescent="0.25">
      <c r="L152" s="48"/>
    </row>
    <row r="153" spans="12:12" x14ac:dyDescent="0.25">
      <c r="L153" s="48"/>
    </row>
    <row r="154" spans="12:12" x14ac:dyDescent="0.25">
      <c r="L154" s="48"/>
    </row>
    <row r="155" spans="12:12" x14ac:dyDescent="0.25">
      <c r="L155" s="48"/>
    </row>
    <row r="156" spans="12:12" x14ac:dyDescent="0.25">
      <c r="L156" s="48"/>
    </row>
    <row r="157" spans="12:12" x14ac:dyDescent="0.25">
      <c r="L157" s="48"/>
    </row>
    <row r="158" spans="12:12" x14ac:dyDescent="0.25">
      <c r="L158" s="48"/>
    </row>
    <row r="159" spans="12:12" x14ac:dyDescent="0.25">
      <c r="L159" s="48"/>
    </row>
    <row r="160" spans="12:12" x14ac:dyDescent="0.25">
      <c r="L160" s="48"/>
    </row>
    <row r="161" spans="12:12" x14ac:dyDescent="0.25">
      <c r="L161" s="48"/>
    </row>
    <row r="162" spans="12:12" x14ac:dyDescent="0.25">
      <c r="L162" s="48"/>
    </row>
    <row r="163" spans="12:12" x14ac:dyDescent="0.25">
      <c r="L163" s="48"/>
    </row>
    <row r="164" spans="12:12" x14ac:dyDescent="0.25">
      <c r="L164" s="48"/>
    </row>
    <row r="165" spans="12:12" x14ac:dyDescent="0.25">
      <c r="L165" s="48"/>
    </row>
    <row r="166" spans="12:12" x14ac:dyDescent="0.25">
      <c r="L166" s="48"/>
    </row>
    <row r="167" spans="12:12" x14ac:dyDescent="0.25">
      <c r="L167" s="48"/>
    </row>
    <row r="168" spans="12:12" x14ac:dyDescent="0.25">
      <c r="L168" s="48"/>
    </row>
    <row r="169" spans="12:12" x14ac:dyDescent="0.25">
      <c r="L169" s="48"/>
    </row>
    <row r="170" spans="12:12" x14ac:dyDescent="0.25">
      <c r="L170" s="48"/>
    </row>
    <row r="171" spans="12:12" x14ac:dyDescent="0.25">
      <c r="L171" s="48"/>
    </row>
    <row r="172" spans="12:12" x14ac:dyDescent="0.25">
      <c r="L172" s="48"/>
    </row>
    <row r="173" spans="12:12" x14ac:dyDescent="0.25">
      <c r="L173" s="48"/>
    </row>
    <row r="174" spans="12:12" x14ac:dyDescent="0.25">
      <c r="L174" s="48"/>
    </row>
    <row r="175" spans="12:12" x14ac:dyDescent="0.25">
      <c r="L175" s="48"/>
    </row>
    <row r="176" spans="12:12" x14ac:dyDescent="0.25">
      <c r="L176" s="48"/>
    </row>
    <row r="177" spans="12:12" x14ac:dyDescent="0.25">
      <c r="L177" s="48"/>
    </row>
    <row r="178" spans="12:12" x14ac:dyDescent="0.25">
      <c r="L178" s="48"/>
    </row>
    <row r="179" spans="12:12" x14ac:dyDescent="0.25">
      <c r="L179" s="48"/>
    </row>
    <row r="180" spans="12:12" x14ac:dyDescent="0.25">
      <c r="L180" s="48"/>
    </row>
    <row r="181" spans="12:12" x14ac:dyDescent="0.25">
      <c r="L181" s="48"/>
    </row>
    <row r="182" spans="12:12" x14ac:dyDescent="0.25">
      <c r="L182" s="48"/>
    </row>
    <row r="183" spans="12:12" x14ac:dyDescent="0.25">
      <c r="L183" s="48"/>
    </row>
    <row r="184" spans="12:12" x14ac:dyDescent="0.25">
      <c r="L184" s="48"/>
    </row>
    <row r="185" spans="12:12" x14ac:dyDescent="0.25">
      <c r="L185" s="48"/>
    </row>
    <row r="186" spans="12:12" x14ac:dyDescent="0.25">
      <c r="L186" s="48"/>
    </row>
    <row r="187" spans="12:12" x14ac:dyDescent="0.25">
      <c r="L187" s="48"/>
    </row>
    <row r="188" spans="12:12" x14ac:dyDescent="0.25">
      <c r="L188" s="48"/>
    </row>
    <row r="189" spans="12:12" x14ac:dyDescent="0.25">
      <c r="L189" s="48"/>
    </row>
    <row r="190" spans="12:12" x14ac:dyDescent="0.25">
      <c r="L190" s="48"/>
    </row>
    <row r="191" spans="12:12" x14ac:dyDescent="0.25">
      <c r="L191" s="48"/>
    </row>
    <row r="192" spans="12:12" x14ac:dyDescent="0.25">
      <c r="L192" s="48"/>
    </row>
    <row r="193" spans="12:12" x14ac:dyDescent="0.25">
      <c r="L193" s="48"/>
    </row>
    <row r="194" spans="12:12" x14ac:dyDescent="0.25">
      <c r="L194" s="48"/>
    </row>
    <row r="195" spans="12:12" x14ac:dyDescent="0.25">
      <c r="L195" s="48"/>
    </row>
    <row r="196" spans="12:12" x14ac:dyDescent="0.25">
      <c r="L196" s="48"/>
    </row>
    <row r="197" spans="12:12" x14ac:dyDescent="0.25">
      <c r="L197" s="48"/>
    </row>
    <row r="198" spans="12:12" x14ac:dyDescent="0.25">
      <c r="L198" s="48"/>
    </row>
    <row r="199" spans="12:12" x14ac:dyDescent="0.25">
      <c r="L199" s="48"/>
    </row>
    <row r="200" spans="12:12" x14ac:dyDescent="0.25">
      <c r="L200" s="48"/>
    </row>
    <row r="201" spans="12:12" x14ac:dyDescent="0.25">
      <c r="L201" s="48"/>
    </row>
    <row r="202" spans="12:12" x14ac:dyDescent="0.25">
      <c r="L202" s="48"/>
    </row>
    <row r="203" spans="12:12" x14ac:dyDescent="0.25">
      <c r="L203" s="48"/>
    </row>
    <row r="204" spans="12:12" x14ac:dyDescent="0.25">
      <c r="L204" s="48"/>
    </row>
    <row r="205" spans="12:12" x14ac:dyDescent="0.25">
      <c r="L205" s="48"/>
    </row>
    <row r="206" spans="12:12" x14ac:dyDescent="0.25">
      <c r="L206" s="48"/>
    </row>
    <row r="207" spans="12:12" x14ac:dyDescent="0.25">
      <c r="L207" s="48"/>
    </row>
    <row r="208" spans="12:12" x14ac:dyDescent="0.25">
      <c r="L208" s="48"/>
    </row>
    <row r="209" spans="12:12" x14ac:dyDescent="0.25">
      <c r="L209" s="48"/>
    </row>
    <row r="210" spans="12:12" x14ac:dyDescent="0.25">
      <c r="L210" s="48"/>
    </row>
    <row r="211" spans="12:12" x14ac:dyDescent="0.25">
      <c r="L211" s="48"/>
    </row>
    <row r="212" spans="12:12" x14ac:dyDescent="0.25">
      <c r="L212" s="48"/>
    </row>
    <row r="213" spans="12:12" x14ac:dyDescent="0.25">
      <c r="L213" s="48"/>
    </row>
    <row r="214" spans="12:12" x14ac:dyDescent="0.25">
      <c r="L214" s="48"/>
    </row>
    <row r="215" spans="12:12" x14ac:dyDescent="0.25">
      <c r="L215" s="48"/>
    </row>
    <row r="216" spans="12:12" x14ac:dyDescent="0.25">
      <c r="L216" s="48"/>
    </row>
    <row r="217" spans="12:12" x14ac:dyDescent="0.25">
      <c r="L217" s="48"/>
    </row>
    <row r="218" spans="12:12" x14ac:dyDescent="0.25">
      <c r="L218" s="48"/>
    </row>
    <row r="219" spans="12:12" x14ac:dyDescent="0.25">
      <c r="L219" s="48"/>
    </row>
    <row r="220" spans="12:12" x14ac:dyDescent="0.25">
      <c r="L220" s="48"/>
    </row>
    <row r="221" spans="12:12" x14ac:dyDescent="0.25">
      <c r="L221" s="48"/>
    </row>
    <row r="222" spans="12:12" x14ac:dyDescent="0.25">
      <c r="L222" s="48"/>
    </row>
    <row r="223" spans="12:12" x14ac:dyDescent="0.25">
      <c r="L223" s="48"/>
    </row>
    <row r="224" spans="12:12" x14ac:dyDescent="0.25">
      <c r="L224" s="48"/>
    </row>
    <row r="225" spans="12:12" x14ac:dyDescent="0.25">
      <c r="L225" s="48"/>
    </row>
    <row r="226" spans="12:12" x14ac:dyDescent="0.25">
      <c r="L226" s="48"/>
    </row>
    <row r="227" spans="12:12" x14ac:dyDescent="0.25">
      <c r="L227" s="48"/>
    </row>
    <row r="228" spans="12:12" x14ac:dyDescent="0.25">
      <c r="L228" s="48"/>
    </row>
    <row r="229" spans="12:12" x14ac:dyDescent="0.25">
      <c r="L229" s="48"/>
    </row>
    <row r="230" spans="12:12" x14ac:dyDescent="0.25">
      <c r="L230" s="48"/>
    </row>
    <row r="231" spans="12:12" x14ac:dyDescent="0.25">
      <c r="L231" s="48"/>
    </row>
    <row r="232" spans="12:12" x14ac:dyDescent="0.25">
      <c r="L232" s="48"/>
    </row>
    <row r="233" spans="12:12" x14ac:dyDescent="0.25">
      <c r="L233" s="48"/>
    </row>
    <row r="234" spans="12:12" x14ac:dyDescent="0.25">
      <c r="L234" s="48"/>
    </row>
    <row r="235" spans="12:12" x14ac:dyDescent="0.25">
      <c r="L235" s="48"/>
    </row>
    <row r="236" spans="12:12" x14ac:dyDescent="0.25">
      <c r="L236" s="48"/>
    </row>
    <row r="237" spans="12:12" x14ac:dyDescent="0.25">
      <c r="L237" s="48"/>
    </row>
    <row r="238" spans="12:12" x14ac:dyDescent="0.25">
      <c r="L238" s="48"/>
    </row>
    <row r="239" spans="12:12" x14ac:dyDescent="0.25">
      <c r="L239" s="48"/>
    </row>
    <row r="240" spans="12:12" x14ac:dyDescent="0.25">
      <c r="L240" s="48"/>
    </row>
    <row r="241" spans="12:12" x14ac:dyDescent="0.25">
      <c r="L241" s="48"/>
    </row>
    <row r="242" spans="12:12" x14ac:dyDescent="0.25">
      <c r="L242" s="48"/>
    </row>
    <row r="243" spans="12:12" x14ac:dyDescent="0.25">
      <c r="L243" s="48"/>
    </row>
    <row r="244" spans="12:12" x14ac:dyDescent="0.25">
      <c r="L244" s="48"/>
    </row>
    <row r="245" spans="12:12" x14ac:dyDescent="0.25">
      <c r="L245" s="48"/>
    </row>
    <row r="246" spans="12:12" x14ac:dyDescent="0.25">
      <c r="L246" s="48"/>
    </row>
    <row r="247" spans="12:12" x14ac:dyDescent="0.25">
      <c r="L247" s="48"/>
    </row>
    <row r="248" spans="12:12" x14ac:dyDescent="0.25">
      <c r="L248" s="48"/>
    </row>
    <row r="249" spans="12:12" x14ac:dyDescent="0.25">
      <c r="L249" s="48"/>
    </row>
    <row r="250" spans="12:12" x14ac:dyDescent="0.25">
      <c r="L250" s="48"/>
    </row>
    <row r="251" spans="12:12" x14ac:dyDescent="0.25">
      <c r="L251" s="48"/>
    </row>
    <row r="252" spans="12:12" x14ac:dyDescent="0.25">
      <c r="L252" s="48"/>
    </row>
    <row r="253" spans="12:12" x14ac:dyDescent="0.25">
      <c r="L253" s="48"/>
    </row>
    <row r="254" spans="12:12" x14ac:dyDescent="0.25">
      <c r="L254" s="48"/>
    </row>
    <row r="255" spans="12:12" x14ac:dyDescent="0.25">
      <c r="L255" s="48"/>
    </row>
  </sheetData>
  <mergeCells count="2">
    <mergeCell ref="R3:S3"/>
    <mergeCell ref="U3:V3"/>
  </mergeCells>
  <conditionalFormatting sqref="W10:Y13 N6:N14 AM6:AO14 S10:T13 Q6:R14 Z6:Z15 AJ6:AJ15 AB6:AB15">
    <cfRule type="expression" dxfId="202" priority="202">
      <formula>$L6="API sand"</formula>
    </cfRule>
  </conditionalFormatting>
  <conditionalFormatting sqref="R18:S20 R29:S36 S21:S28 AD21:AD28 AB18:AB35 AK6:AL14 N6:N14">
    <cfRule type="expression" dxfId="201" priority="201">
      <formula>$M6="API sand"</formula>
    </cfRule>
  </conditionalFormatting>
  <conditionalFormatting sqref="R18:T20 R29:T36 S21:T28 AD21:AD28 AB18:AB35 AK6:AL14 N6:N14">
    <cfRule type="expression" dxfId="200" priority="200">
      <formula>$M6="API clay"</formula>
    </cfRule>
  </conditionalFormatting>
  <conditionalFormatting sqref="U18:W36 AM6:AN14 N6:P14 AC6:AI13 AA6:AA14 U6:V14">
    <cfRule type="expression" dxfId="199" priority="197">
      <formula>$L6="Stiff clay w/o free water"</formula>
    </cfRule>
    <cfRule type="expression" dxfId="198" priority="199">
      <formula>$L6="API clay"</formula>
    </cfRule>
  </conditionalFormatting>
  <conditionalFormatting sqref="U18:Y36 AM6:AN14 N6:P14 AC6:AI13 AA6:AA14 U6:V14">
    <cfRule type="expression" dxfId="197" priority="198">
      <formula>$L6="Kirsch soft clay"</formula>
    </cfRule>
  </conditionalFormatting>
  <conditionalFormatting sqref="U18:Y36 AM6:AN14 N6:P14 AC6:AI13 AA6:AA14 U6:V14">
    <cfRule type="expression" dxfId="196" priority="196">
      <formula>$L6="Kirsch stiff clay"</formula>
    </cfRule>
  </conditionalFormatting>
  <conditionalFormatting sqref="W10:Y13 N6:N14 AM6:AO14 S10:T13 Q6:R14 Z6:Z15 AJ6:AJ15 AB6:AB15">
    <cfRule type="expression" dxfId="195" priority="195">
      <formula>$L6="Kirsch sand"</formula>
    </cfRule>
  </conditionalFormatting>
  <conditionalFormatting sqref="AC18:AI18 AC19:AD19 AI19 AM6:AN14 N6:N14">
    <cfRule type="expression" dxfId="194" priority="194">
      <formula>$L6="Modified Weak rock"</formula>
    </cfRule>
  </conditionalFormatting>
  <conditionalFormatting sqref="U18:V36 AM6:AN14 N6:P14 AC6:AI13 AA6:AA14 U6:V14">
    <cfRule type="expression" dxfId="193" priority="193">
      <formula>$L6="Reese stiff clay"</formula>
    </cfRule>
  </conditionalFormatting>
  <conditionalFormatting sqref="N18:N36 Q18:Q36 AM18:AN36">
    <cfRule type="expression" dxfId="192" priority="192">
      <formula>$L18="API sand"</formula>
    </cfRule>
  </conditionalFormatting>
  <conditionalFormatting sqref="N18:N36 AB36 AJ18:AL36 Z18:Z36">
    <cfRule type="expression" dxfId="191" priority="191">
      <formula>$M18="API sand"</formula>
    </cfRule>
  </conditionalFormatting>
  <conditionalFormatting sqref="Z36:AB36 AK18:AL36 N18:N36 Z18:AA35">
    <cfRule type="expression" dxfId="190" priority="190">
      <formula>$M18="API clay"</formula>
    </cfRule>
  </conditionalFormatting>
  <conditionalFormatting sqref="N18:P18 AM18:AN36 N29:P36 N19:N28 P19:P28">
    <cfRule type="expression" dxfId="189" priority="187">
      <formula>$L18="Stiff clay w/o free water"</formula>
    </cfRule>
    <cfRule type="expression" dxfId="188" priority="189">
      <formula>$L18="API clay"</formula>
    </cfRule>
  </conditionalFormatting>
  <conditionalFormatting sqref="N18:P18 AM18:AN36 N29:P36 N19:N28 P19:P28">
    <cfRule type="expression" dxfId="187" priority="188">
      <formula>$L18="Kirsch soft clay"</formula>
    </cfRule>
  </conditionalFormatting>
  <conditionalFormatting sqref="N18:P18 AM18:AN36 N29:P36 N19:N28 P19:P28">
    <cfRule type="expression" dxfId="186" priority="186">
      <formula>$L18="Kirsch stiff clay"</formula>
    </cfRule>
  </conditionalFormatting>
  <conditionalFormatting sqref="N18:N36 Q18:Q36 X18:Y36 AM18:AN36">
    <cfRule type="expression" dxfId="185" priority="185">
      <formula>$L18="Kirsch sand"</formula>
    </cfRule>
  </conditionalFormatting>
  <conditionalFormatting sqref="N18:N36 AM18:AN36 AC20:AD36 AI20:AI36">
    <cfRule type="expression" dxfId="184" priority="184">
      <formula>$L18="Modified Weak rock"</formula>
    </cfRule>
  </conditionalFormatting>
  <conditionalFormatting sqref="N18:P18 AM18:AN36 N29:P36 N19:N28 P19:P28">
    <cfRule type="expression" dxfId="183" priority="183">
      <formula>$L18="Reese stiff clay"</formula>
    </cfRule>
  </conditionalFormatting>
  <conditionalFormatting sqref="AM6:AN14 N6:P14 AC6:AI13 AA6:AA14 U6:V14">
    <cfRule type="expression" dxfId="182" priority="182">
      <formula>$L6="PISA clay"</formula>
    </cfRule>
  </conditionalFormatting>
  <conditionalFormatting sqref="AM6:AN14 N6:N14">
    <cfRule type="expression" dxfId="181" priority="181">
      <formula>$L6="PISA sand"</formula>
    </cfRule>
  </conditionalFormatting>
  <conditionalFormatting sqref="O19:O21">
    <cfRule type="expression" dxfId="180" priority="180">
      <formula>$L19="API sand"</formula>
    </cfRule>
  </conditionalFormatting>
  <conditionalFormatting sqref="O19:O21">
    <cfRule type="expression" dxfId="179" priority="179">
      <formula>$L19="Kirsch sand"</formula>
    </cfRule>
  </conditionalFormatting>
  <conditionalFormatting sqref="O22:O28">
    <cfRule type="expression" dxfId="178" priority="178">
      <formula>$L22="API sand"</formula>
    </cfRule>
  </conditionalFormatting>
  <conditionalFormatting sqref="O22:O28">
    <cfRule type="expression" dxfId="177" priority="177">
      <formula>$L22="Kirsch sand"</formula>
    </cfRule>
  </conditionalFormatting>
  <conditionalFormatting sqref="S6:T9 W6:Y9">
    <cfRule type="expression" dxfId="176" priority="176">
      <formula>$L6="API sand"</formula>
    </cfRule>
  </conditionalFormatting>
  <conditionalFormatting sqref="S6:T9 W6:Y9">
    <cfRule type="expression" dxfId="175" priority="175">
      <formula>$L6="Kirsch sand"</formula>
    </cfRule>
  </conditionalFormatting>
  <conditionalFormatting sqref="AE37:AH37">
    <cfRule type="expression" dxfId="174" priority="203">
      <formula>$L19="Modified Weak rock"</formula>
    </cfRule>
  </conditionalFormatting>
  <conditionalFormatting sqref="S14:T14 W14:Y14">
    <cfRule type="expression" dxfId="173" priority="174">
      <formula>$L14="API sand"</formula>
    </cfRule>
  </conditionalFormatting>
  <conditionalFormatting sqref="S14:T14 W14:Y14">
    <cfRule type="expression" dxfId="172" priority="173">
      <formula>$L14="Kirsch sand"</formula>
    </cfRule>
  </conditionalFormatting>
  <conditionalFormatting sqref="AD14:AI14">
    <cfRule type="expression" dxfId="171" priority="170">
      <formula>$L14="Stiff clay w/o free water"</formula>
    </cfRule>
    <cfRule type="expression" dxfId="170" priority="172">
      <formula>$L14="API clay"</formula>
    </cfRule>
  </conditionalFormatting>
  <conditionalFormatting sqref="AD14:AI14">
    <cfRule type="expression" dxfId="169" priority="171">
      <formula>$L14="Kirsch soft clay"</formula>
    </cfRule>
  </conditionalFormatting>
  <conditionalFormatting sqref="AD14:AI14">
    <cfRule type="expression" dxfId="168" priority="169">
      <formula>$L14="Kirsch stiff clay"</formula>
    </cfRule>
  </conditionalFormatting>
  <conditionalFormatting sqref="AD14:AI14">
    <cfRule type="expression" dxfId="167" priority="168">
      <formula>$L14="Reese stiff clay"</formula>
    </cfRule>
  </conditionalFormatting>
  <conditionalFormatting sqref="AD14:AI14">
    <cfRule type="expression" dxfId="166" priority="167">
      <formula>$L14="PISA clay"</formula>
    </cfRule>
  </conditionalFormatting>
  <conditionalFormatting sqref="AM15:AN15">
    <cfRule type="expression" dxfId="165" priority="166">
      <formula>$L15="API sand"</formula>
    </cfRule>
  </conditionalFormatting>
  <conditionalFormatting sqref="AK15:AL15">
    <cfRule type="expression" dxfId="164" priority="165">
      <formula>$M15="API sand"</formula>
    </cfRule>
  </conditionalFormatting>
  <conditionalFormatting sqref="AK15:AL15">
    <cfRule type="expression" dxfId="163" priority="164">
      <formula>$M15="API clay"</formula>
    </cfRule>
  </conditionalFormatting>
  <conditionalFormatting sqref="AM15:AN15">
    <cfRule type="expression" dxfId="162" priority="161">
      <formula>$L15="Stiff clay w/o free water"</formula>
    </cfRule>
    <cfRule type="expression" dxfId="161" priority="163">
      <formula>$L15="API clay"</formula>
    </cfRule>
  </conditionalFormatting>
  <conditionalFormatting sqref="AM15:AN15">
    <cfRule type="expression" dxfId="160" priority="162">
      <formula>$L15="Kirsch soft clay"</formula>
    </cfRule>
  </conditionalFormatting>
  <conditionalFormatting sqref="AM15:AN15">
    <cfRule type="expression" dxfId="159" priority="160">
      <formula>$L15="Kirsch stiff clay"</formula>
    </cfRule>
  </conditionalFormatting>
  <conditionalFormatting sqref="AM15:AN15">
    <cfRule type="expression" dxfId="158" priority="159">
      <formula>$L15="Kirsch sand"</formula>
    </cfRule>
  </conditionalFormatting>
  <conditionalFormatting sqref="AM15:AN15">
    <cfRule type="expression" dxfId="157" priority="158">
      <formula>$L15="Modified Weak rock"</formula>
    </cfRule>
  </conditionalFormatting>
  <conditionalFormatting sqref="AM15:AN15">
    <cfRule type="expression" dxfId="156" priority="157">
      <formula>$L15="Reese stiff clay"</formula>
    </cfRule>
  </conditionalFormatting>
  <conditionalFormatting sqref="AM15:AN15">
    <cfRule type="expression" dxfId="155" priority="156">
      <formula>$L15="PISA clay"</formula>
    </cfRule>
  </conditionalFormatting>
  <conditionalFormatting sqref="AM15:AN15">
    <cfRule type="expression" dxfId="154" priority="155">
      <formula>$L15="PISA sand"</formula>
    </cfRule>
  </conditionalFormatting>
  <conditionalFormatting sqref="N15 Q15 S15:T15 W15 Y15">
    <cfRule type="expression" dxfId="153" priority="154">
      <formula>$L15="API sand"</formula>
    </cfRule>
  </conditionalFormatting>
  <conditionalFormatting sqref="N15">
    <cfRule type="expression" dxfId="152" priority="153">
      <formula>$M15="API sand"</formula>
    </cfRule>
  </conditionalFormatting>
  <conditionalFormatting sqref="N15">
    <cfRule type="expression" dxfId="151" priority="152">
      <formula>$M15="API clay"</formula>
    </cfRule>
  </conditionalFormatting>
  <conditionalFormatting sqref="N15:P15">
    <cfRule type="expression" dxfId="150" priority="149">
      <formula>$L15="Stiff clay w/o free water"</formula>
    </cfRule>
    <cfRule type="expression" dxfId="149" priority="151">
      <formula>$L15="API clay"</formula>
    </cfRule>
  </conditionalFormatting>
  <conditionalFormatting sqref="N15:P15">
    <cfRule type="expression" dxfId="148" priority="150">
      <formula>$L15="Kirsch soft clay"</formula>
    </cfRule>
  </conditionalFormatting>
  <conditionalFormatting sqref="N15:P15">
    <cfRule type="expression" dxfId="147" priority="148">
      <formula>$L15="Kirsch stiff clay"</formula>
    </cfRule>
  </conditionalFormatting>
  <conditionalFormatting sqref="N15 Q15 S15:T15 W15 Y15">
    <cfRule type="expression" dxfId="146" priority="147">
      <formula>$L15="Kirsch sand"</formula>
    </cfRule>
  </conditionalFormatting>
  <conditionalFormatting sqref="N15">
    <cfRule type="expression" dxfId="145" priority="146">
      <formula>$L15="Modified Weak rock"</formula>
    </cfRule>
  </conditionalFormatting>
  <conditionalFormatting sqref="N15:P15">
    <cfRule type="expression" dxfId="144" priority="145">
      <formula>$L15="Reese stiff clay"</formula>
    </cfRule>
  </conditionalFormatting>
  <conditionalFormatting sqref="N15:P15">
    <cfRule type="expression" dxfId="143" priority="144">
      <formula>$L15="PISA clay"</formula>
    </cfRule>
  </conditionalFormatting>
  <conditionalFormatting sqref="N15">
    <cfRule type="expression" dxfId="142" priority="143">
      <formula>$L15="PISA sand"</formula>
    </cfRule>
  </conditionalFormatting>
  <conditionalFormatting sqref="R15">
    <cfRule type="expression" dxfId="141" priority="142">
      <formula>$L15="API sand"</formula>
    </cfRule>
  </conditionalFormatting>
  <conditionalFormatting sqref="R15">
    <cfRule type="expression" dxfId="140" priority="141">
      <formula>$L15="Kirsch sand"</formula>
    </cfRule>
  </conditionalFormatting>
  <conditionalFormatting sqref="AD15:AI15">
    <cfRule type="expression" dxfId="139" priority="138">
      <formula>$L15="Stiff clay w/o free water"</formula>
    </cfRule>
    <cfRule type="expression" dxfId="138" priority="140">
      <formula>$L15="API clay"</formula>
    </cfRule>
  </conditionalFormatting>
  <conditionalFormatting sqref="AD15:AI15">
    <cfRule type="expression" dxfId="137" priority="139">
      <formula>$L15="Kirsch soft clay"</formula>
    </cfRule>
  </conditionalFormatting>
  <conditionalFormatting sqref="AD15:AI15">
    <cfRule type="expression" dxfId="136" priority="137">
      <formula>$L15="Kirsch stiff clay"</formula>
    </cfRule>
  </conditionalFormatting>
  <conditionalFormatting sqref="AD15:AI15">
    <cfRule type="expression" dxfId="135" priority="136">
      <formula>$L15="Reese stiff clay"</formula>
    </cfRule>
  </conditionalFormatting>
  <conditionalFormatting sqref="AD15:AI15">
    <cfRule type="expression" dxfId="134" priority="135">
      <formula>$L15="PISA clay"</formula>
    </cfRule>
  </conditionalFormatting>
  <conditionalFormatting sqref="AA15">
    <cfRule type="expression" dxfId="133" priority="132">
      <formula>$L15="Stiff clay w/o free water"</formula>
    </cfRule>
    <cfRule type="expression" dxfId="132" priority="134">
      <formula>$L15="API clay"</formula>
    </cfRule>
  </conditionalFormatting>
  <conditionalFormatting sqref="AA15">
    <cfRule type="expression" dxfId="131" priority="133">
      <formula>$L15="Kirsch soft clay"</formula>
    </cfRule>
  </conditionalFormatting>
  <conditionalFormatting sqref="AA15">
    <cfRule type="expression" dxfId="130" priority="131">
      <formula>$L15="Kirsch stiff clay"</formula>
    </cfRule>
  </conditionalFormatting>
  <conditionalFormatting sqref="AA15">
    <cfRule type="expression" dxfId="129" priority="130">
      <formula>$L15="Reese stiff clay"</formula>
    </cfRule>
  </conditionalFormatting>
  <conditionalFormatting sqref="AA15">
    <cfRule type="expression" dxfId="128" priority="129">
      <formula>$L15="PISA clay"</formula>
    </cfRule>
  </conditionalFormatting>
  <conditionalFormatting sqref="AC15">
    <cfRule type="expression" dxfId="127" priority="126">
      <formula>$L15="Stiff clay w/o free water"</formula>
    </cfRule>
    <cfRule type="expression" dxfId="126" priority="128">
      <formula>$L15="API clay"</formula>
    </cfRule>
  </conditionalFormatting>
  <conditionalFormatting sqref="AC15">
    <cfRule type="expression" dxfId="125" priority="127">
      <formula>$L15="Kirsch soft clay"</formula>
    </cfRule>
  </conditionalFormatting>
  <conditionalFormatting sqref="AC15">
    <cfRule type="expression" dxfId="124" priority="125">
      <formula>$L15="Kirsch stiff clay"</formula>
    </cfRule>
  </conditionalFormatting>
  <conditionalFormatting sqref="AC15">
    <cfRule type="expression" dxfId="123" priority="124">
      <formula>$L15="Reese stiff clay"</formula>
    </cfRule>
  </conditionalFormatting>
  <conditionalFormatting sqref="AC15">
    <cfRule type="expression" dxfId="122" priority="123">
      <formula>$L15="PISA clay"</formula>
    </cfRule>
  </conditionalFormatting>
  <conditionalFormatting sqref="X15">
    <cfRule type="expression" dxfId="121" priority="122">
      <formula>$L15="API sand"</formula>
    </cfRule>
  </conditionalFormatting>
  <conditionalFormatting sqref="X15">
    <cfRule type="expression" dxfId="120" priority="121">
      <formula>$L15="Kirsch sand"</formula>
    </cfRule>
  </conditionalFormatting>
  <conditionalFormatting sqref="AM16:AN16">
    <cfRule type="expression" dxfId="119" priority="120">
      <formula>$L16="API sand"</formula>
    </cfRule>
  </conditionalFormatting>
  <conditionalFormatting sqref="AK16:AL16">
    <cfRule type="expression" dxfId="118" priority="119">
      <formula>$M16="API sand"</formula>
    </cfRule>
  </conditionalFormatting>
  <conditionalFormatting sqref="AK16:AL16">
    <cfRule type="expression" dxfId="117" priority="118">
      <formula>$M16="API clay"</formula>
    </cfRule>
  </conditionalFormatting>
  <conditionalFormatting sqref="AM16:AN16">
    <cfRule type="expression" dxfId="116" priority="115">
      <formula>$L16="Stiff clay w/o free water"</formula>
    </cfRule>
    <cfRule type="expression" dxfId="115" priority="117">
      <formula>$L16="API clay"</formula>
    </cfRule>
  </conditionalFormatting>
  <conditionalFormatting sqref="AM16:AN16">
    <cfRule type="expression" dxfId="114" priority="116">
      <formula>$L16="Kirsch soft clay"</formula>
    </cfRule>
  </conditionalFormatting>
  <conditionalFormatting sqref="AM16:AN16">
    <cfRule type="expression" dxfId="113" priority="114">
      <formula>$L16="Kirsch stiff clay"</formula>
    </cfRule>
  </conditionalFormatting>
  <conditionalFormatting sqref="AM16:AN16">
    <cfRule type="expression" dxfId="112" priority="113">
      <formula>$L16="Kirsch sand"</formula>
    </cfRule>
  </conditionalFormatting>
  <conditionalFormatting sqref="AM16:AN16">
    <cfRule type="expression" dxfId="111" priority="112">
      <formula>$L16="Modified Weak rock"</formula>
    </cfRule>
  </conditionalFormatting>
  <conditionalFormatting sqref="AM16:AN16">
    <cfRule type="expression" dxfId="110" priority="111">
      <formula>$L16="Reese stiff clay"</formula>
    </cfRule>
  </conditionalFormatting>
  <conditionalFormatting sqref="AM16:AN16">
    <cfRule type="expression" dxfId="109" priority="110">
      <formula>$L16="PISA clay"</formula>
    </cfRule>
  </conditionalFormatting>
  <conditionalFormatting sqref="AM16:AN16">
    <cfRule type="expression" dxfId="108" priority="109">
      <formula>$L16="PISA sand"</formula>
    </cfRule>
  </conditionalFormatting>
  <conditionalFormatting sqref="N16 Q16 S16:T16 W16:Y16">
    <cfRule type="expression" dxfId="107" priority="108">
      <formula>$L16="API sand"</formula>
    </cfRule>
  </conditionalFormatting>
  <conditionalFormatting sqref="N16">
    <cfRule type="expression" dxfId="106" priority="107">
      <formula>$M16="API sand"</formula>
    </cfRule>
  </conditionalFormatting>
  <conditionalFormatting sqref="N16">
    <cfRule type="expression" dxfId="105" priority="106">
      <formula>$M16="API clay"</formula>
    </cfRule>
  </conditionalFormatting>
  <conditionalFormatting sqref="N16:P16">
    <cfRule type="expression" dxfId="104" priority="103">
      <formula>$L16="Stiff clay w/o free water"</formula>
    </cfRule>
    <cfRule type="expression" dxfId="103" priority="105">
      <formula>$L16="API clay"</formula>
    </cfRule>
  </conditionalFormatting>
  <conditionalFormatting sqref="N16:P16">
    <cfRule type="expression" dxfId="102" priority="104">
      <formula>$L16="Kirsch soft clay"</formula>
    </cfRule>
  </conditionalFormatting>
  <conditionalFormatting sqref="N16:P16">
    <cfRule type="expression" dxfId="101" priority="102">
      <formula>$L16="Kirsch stiff clay"</formula>
    </cfRule>
  </conditionalFormatting>
  <conditionalFormatting sqref="N16 Q16 S16:T16 W16:Y16">
    <cfRule type="expression" dxfId="100" priority="101">
      <formula>$L16="Kirsch sand"</formula>
    </cfRule>
  </conditionalFormatting>
  <conditionalFormatting sqref="N16">
    <cfRule type="expression" dxfId="99" priority="100">
      <formula>$L16="Modified Weak rock"</formula>
    </cfRule>
  </conditionalFormatting>
  <conditionalFormatting sqref="N16:P16">
    <cfRule type="expression" dxfId="98" priority="99">
      <formula>$L16="Reese stiff clay"</formula>
    </cfRule>
  </conditionalFormatting>
  <conditionalFormatting sqref="N16:P16">
    <cfRule type="expression" dxfId="97" priority="98">
      <formula>$L16="PISA clay"</formula>
    </cfRule>
  </conditionalFormatting>
  <conditionalFormatting sqref="N16">
    <cfRule type="expression" dxfId="96" priority="97">
      <formula>$L16="PISA sand"</formula>
    </cfRule>
  </conditionalFormatting>
  <conditionalFormatting sqref="R16">
    <cfRule type="expression" dxfId="95" priority="96">
      <formula>$L16="API sand"</formula>
    </cfRule>
  </conditionalFormatting>
  <conditionalFormatting sqref="R16">
    <cfRule type="expression" dxfId="94" priority="95">
      <formula>$L16="Kirsch sand"</formula>
    </cfRule>
  </conditionalFormatting>
  <conditionalFormatting sqref="AC16:AI16">
    <cfRule type="expression" dxfId="93" priority="92">
      <formula>$L16="Stiff clay w/o free water"</formula>
    </cfRule>
    <cfRule type="expression" dxfId="92" priority="94">
      <formula>$L16="API clay"</formula>
    </cfRule>
  </conditionalFormatting>
  <conditionalFormatting sqref="AC16:AI16">
    <cfRule type="expression" dxfId="91" priority="93">
      <formula>$L16="Kirsch soft clay"</formula>
    </cfRule>
  </conditionalFormatting>
  <conditionalFormatting sqref="AC16:AI16">
    <cfRule type="expression" dxfId="90" priority="91">
      <formula>$L16="Kirsch stiff clay"</formula>
    </cfRule>
  </conditionalFormatting>
  <conditionalFormatting sqref="AC16:AI16">
    <cfRule type="expression" dxfId="89" priority="90">
      <formula>$L16="Reese stiff clay"</formula>
    </cfRule>
  </conditionalFormatting>
  <conditionalFormatting sqref="AC16:AI16">
    <cfRule type="expression" dxfId="88" priority="89">
      <formula>$L16="PISA clay"</formula>
    </cfRule>
  </conditionalFormatting>
  <conditionalFormatting sqref="AA16">
    <cfRule type="expression" dxfId="87" priority="86">
      <formula>$L16="Stiff clay w/o free water"</formula>
    </cfRule>
    <cfRule type="expression" dxfId="86" priority="88">
      <formula>$L16="API clay"</formula>
    </cfRule>
  </conditionalFormatting>
  <conditionalFormatting sqref="AA16">
    <cfRule type="expression" dxfId="85" priority="87">
      <formula>$L16="Kirsch soft clay"</formula>
    </cfRule>
  </conditionalFormatting>
  <conditionalFormatting sqref="AA16">
    <cfRule type="expression" dxfId="84" priority="85">
      <formula>$L16="Kirsch stiff clay"</formula>
    </cfRule>
  </conditionalFormatting>
  <conditionalFormatting sqref="AA16">
    <cfRule type="expression" dxfId="83" priority="84">
      <formula>$L16="Reese stiff clay"</formula>
    </cfRule>
  </conditionalFormatting>
  <conditionalFormatting sqref="AA16">
    <cfRule type="expression" dxfId="82" priority="83">
      <formula>$L16="PISA clay"</formula>
    </cfRule>
  </conditionalFormatting>
  <conditionalFormatting sqref="AM17:AN17">
    <cfRule type="expression" dxfId="81" priority="82">
      <formula>$L17="API sand"</formula>
    </cfRule>
  </conditionalFormatting>
  <conditionalFormatting sqref="AK17:AL17">
    <cfRule type="expression" dxfId="80" priority="81">
      <formula>$M17="API sand"</formula>
    </cfRule>
  </conditionalFormatting>
  <conditionalFormatting sqref="AK17:AL17">
    <cfRule type="expression" dxfId="79" priority="80">
      <formula>$M17="API clay"</formula>
    </cfRule>
  </conditionalFormatting>
  <conditionalFormatting sqref="AM17:AN17">
    <cfRule type="expression" dxfId="78" priority="77">
      <formula>$L17="Stiff clay w/o free water"</formula>
    </cfRule>
    <cfRule type="expression" dxfId="77" priority="79">
      <formula>$L17="API clay"</formula>
    </cfRule>
  </conditionalFormatting>
  <conditionalFormatting sqref="AM17:AN17">
    <cfRule type="expression" dxfId="76" priority="78">
      <formula>$L17="Kirsch soft clay"</formula>
    </cfRule>
  </conditionalFormatting>
  <conditionalFormatting sqref="AM17:AN17">
    <cfRule type="expression" dxfId="75" priority="76">
      <formula>$L17="Kirsch stiff clay"</formula>
    </cfRule>
  </conditionalFormatting>
  <conditionalFormatting sqref="AM17:AN17">
    <cfRule type="expression" dxfId="74" priority="75">
      <formula>$L17="Kirsch sand"</formula>
    </cfRule>
  </conditionalFormatting>
  <conditionalFormatting sqref="AM17:AN17">
    <cfRule type="expression" dxfId="73" priority="74">
      <formula>$L17="Modified Weak rock"</formula>
    </cfRule>
  </conditionalFormatting>
  <conditionalFormatting sqref="AM17:AN17">
    <cfRule type="expression" dxfId="72" priority="73">
      <formula>$L17="Reese stiff clay"</formula>
    </cfRule>
  </conditionalFormatting>
  <conditionalFormatting sqref="AM17:AN17">
    <cfRule type="expression" dxfId="71" priority="72">
      <formula>$L17="PISA clay"</formula>
    </cfRule>
  </conditionalFormatting>
  <conditionalFormatting sqref="AM17:AN17">
    <cfRule type="expression" dxfId="70" priority="71">
      <formula>$L17="PISA sand"</formula>
    </cfRule>
  </conditionalFormatting>
  <conditionalFormatting sqref="N17 Q17 S17:T17 W17 Y17">
    <cfRule type="expression" dxfId="69" priority="70">
      <formula>$L17="API sand"</formula>
    </cfRule>
  </conditionalFormatting>
  <conditionalFormatting sqref="N17">
    <cfRule type="expression" dxfId="68" priority="69">
      <formula>$M17="API sand"</formula>
    </cfRule>
  </conditionalFormatting>
  <conditionalFormatting sqref="N17">
    <cfRule type="expression" dxfId="67" priority="68">
      <formula>$M17="API clay"</formula>
    </cfRule>
  </conditionalFormatting>
  <conditionalFormatting sqref="N17:P17">
    <cfRule type="expression" dxfId="66" priority="65">
      <formula>$L17="Stiff clay w/o free water"</formula>
    </cfRule>
    <cfRule type="expression" dxfId="65" priority="67">
      <formula>$L17="API clay"</formula>
    </cfRule>
  </conditionalFormatting>
  <conditionalFormatting sqref="N17:P17">
    <cfRule type="expression" dxfId="64" priority="66">
      <formula>$L17="Kirsch soft clay"</formula>
    </cfRule>
  </conditionalFormatting>
  <conditionalFormatting sqref="N17:P17">
    <cfRule type="expression" dxfId="63" priority="64">
      <formula>$L17="Kirsch stiff clay"</formula>
    </cfRule>
  </conditionalFormatting>
  <conditionalFormatting sqref="N17 Q17 S17:T17 W17 Y17">
    <cfRule type="expression" dxfId="62" priority="63">
      <formula>$L17="Kirsch sand"</formula>
    </cfRule>
  </conditionalFormatting>
  <conditionalFormatting sqref="N17">
    <cfRule type="expression" dxfId="61" priority="62">
      <formula>$L17="Modified Weak rock"</formula>
    </cfRule>
  </conditionalFormatting>
  <conditionalFormatting sqref="N17:P17">
    <cfRule type="expression" dxfId="60" priority="61">
      <formula>$L17="Reese stiff clay"</formula>
    </cfRule>
  </conditionalFormatting>
  <conditionalFormatting sqref="N17:P17">
    <cfRule type="expression" dxfId="59" priority="60">
      <formula>$L17="PISA clay"</formula>
    </cfRule>
  </conditionalFormatting>
  <conditionalFormatting sqref="N17">
    <cfRule type="expression" dxfId="58" priority="59">
      <formula>$L17="PISA sand"</formula>
    </cfRule>
  </conditionalFormatting>
  <conditionalFormatting sqref="R17">
    <cfRule type="expression" dxfId="57" priority="58">
      <formula>$L17="API sand"</formula>
    </cfRule>
  </conditionalFormatting>
  <conditionalFormatting sqref="R17">
    <cfRule type="expression" dxfId="56" priority="57">
      <formula>$L17="Kirsch sand"</formula>
    </cfRule>
  </conditionalFormatting>
  <conditionalFormatting sqref="AD17:AI17">
    <cfRule type="expression" dxfId="55" priority="54">
      <formula>$L17="Stiff clay w/o free water"</formula>
    </cfRule>
    <cfRule type="expression" dxfId="54" priority="56">
      <formula>$L17="API clay"</formula>
    </cfRule>
  </conditionalFormatting>
  <conditionalFormatting sqref="AD17:AI17">
    <cfRule type="expression" dxfId="53" priority="55">
      <formula>$L17="Kirsch soft clay"</formula>
    </cfRule>
  </conditionalFormatting>
  <conditionalFormatting sqref="AD17:AI17">
    <cfRule type="expression" dxfId="52" priority="53">
      <formula>$L17="Kirsch stiff clay"</formula>
    </cfRule>
  </conditionalFormatting>
  <conditionalFormatting sqref="AD17:AI17">
    <cfRule type="expression" dxfId="51" priority="52">
      <formula>$L17="Reese stiff clay"</formula>
    </cfRule>
  </conditionalFormatting>
  <conditionalFormatting sqref="AD17:AI17">
    <cfRule type="expression" dxfId="50" priority="51">
      <formula>$L17="PISA clay"</formula>
    </cfRule>
  </conditionalFormatting>
  <conditionalFormatting sqref="AA17">
    <cfRule type="expression" dxfId="49" priority="48">
      <formula>$L17="Stiff clay w/o free water"</formula>
    </cfRule>
    <cfRule type="expression" dxfId="48" priority="50">
      <formula>$L17="API clay"</formula>
    </cfRule>
  </conditionalFormatting>
  <conditionalFormatting sqref="AA17">
    <cfRule type="expression" dxfId="47" priority="49">
      <formula>$L17="Kirsch soft clay"</formula>
    </cfRule>
  </conditionalFormatting>
  <conditionalFormatting sqref="AA17">
    <cfRule type="expression" dxfId="46" priority="47">
      <formula>$L17="Kirsch stiff clay"</formula>
    </cfRule>
  </conditionalFormatting>
  <conditionalFormatting sqref="AA17">
    <cfRule type="expression" dxfId="45" priority="46">
      <formula>$L17="Reese stiff clay"</formula>
    </cfRule>
  </conditionalFormatting>
  <conditionalFormatting sqref="AA17">
    <cfRule type="expression" dxfId="44" priority="45">
      <formula>$L17="PISA clay"</formula>
    </cfRule>
  </conditionalFormatting>
  <conditionalFormatting sqref="AC17">
    <cfRule type="expression" dxfId="43" priority="42">
      <formula>$L17="Stiff clay w/o free water"</formula>
    </cfRule>
    <cfRule type="expression" dxfId="42" priority="44">
      <formula>$L17="API clay"</formula>
    </cfRule>
  </conditionalFormatting>
  <conditionalFormatting sqref="AC17">
    <cfRule type="expression" dxfId="41" priority="43">
      <formula>$L17="Kirsch soft clay"</formula>
    </cfRule>
  </conditionalFormatting>
  <conditionalFormatting sqref="AC17">
    <cfRule type="expression" dxfId="40" priority="41">
      <formula>$L17="Kirsch stiff clay"</formula>
    </cfRule>
  </conditionalFormatting>
  <conditionalFormatting sqref="AC17">
    <cfRule type="expression" dxfId="39" priority="40">
      <formula>$L17="Reese stiff clay"</formula>
    </cfRule>
  </conditionalFormatting>
  <conditionalFormatting sqref="AC17">
    <cfRule type="expression" dxfId="38" priority="39">
      <formula>$L17="PISA clay"</formula>
    </cfRule>
  </conditionalFormatting>
  <conditionalFormatting sqref="X17">
    <cfRule type="expression" dxfId="37" priority="38">
      <formula>$L17="API sand"</formula>
    </cfRule>
  </conditionalFormatting>
  <conditionalFormatting sqref="X17">
    <cfRule type="expression" dxfId="36" priority="37">
      <formula>$L17="Kirsch sand"</formula>
    </cfRule>
  </conditionalFormatting>
  <conditionalFormatting sqref="Z16:Z17">
    <cfRule type="expression" dxfId="35" priority="36">
      <formula>$L16="API sand"</formula>
    </cfRule>
  </conditionalFormatting>
  <conditionalFormatting sqref="Z16:Z17">
    <cfRule type="expression" dxfId="34" priority="35">
      <formula>$L16="Kirsch sand"</formula>
    </cfRule>
  </conditionalFormatting>
  <conditionalFormatting sqref="AB16:AB17">
    <cfRule type="expression" dxfId="33" priority="34">
      <formula>$L16="API sand"</formula>
    </cfRule>
  </conditionalFormatting>
  <conditionalFormatting sqref="AB16:AB17">
    <cfRule type="expression" dxfId="32" priority="33">
      <formula>$L16="Kirsch sand"</formula>
    </cfRule>
  </conditionalFormatting>
  <conditionalFormatting sqref="AJ16:AJ17">
    <cfRule type="expression" dxfId="31" priority="32">
      <formula>$L16="API sand"</formula>
    </cfRule>
  </conditionalFormatting>
  <conditionalFormatting sqref="AJ16:AJ17">
    <cfRule type="expression" dxfId="30" priority="31">
      <formula>$L16="Kirsch sand"</formula>
    </cfRule>
  </conditionalFormatting>
  <conditionalFormatting sqref="U15:V15">
    <cfRule type="expression" dxfId="29" priority="28">
      <formula>$L15="Stiff clay w/o free water"</formula>
    </cfRule>
    <cfRule type="expression" dxfId="28" priority="30">
      <formula>$L15="API clay"</formula>
    </cfRule>
  </conditionalFormatting>
  <conditionalFormatting sqref="U15:V15">
    <cfRule type="expression" dxfId="27" priority="29">
      <formula>$L15="Kirsch soft clay"</formula>
    </cfRule>
  </conditionalFormatting>
  <conditionalFormatting sqref="U15:V15">
    <cfRule type="expression" dxfId="26" priority="27">
      <formula>$L15="Kirsch stiff clay"</formula>
    </cfRule>
  </conditionalFormatting>
  <conditionalFormatting sqref="U15:V15">
    <cfRule type="expression" dxfId="25" priority="26">
      <formula>$L15="Reese stiff clay"</formula>
    </cfRule>
  </conditionalFormatting>
  <conditionalFormatting sqref="U15:V15">
    <cfRule type="expression" dxfId="24" priority="25">
      <formula>$L15="PISA clay"</formula>
    </cfRule>
  </conditionalFormatting>
  <conditionalFormatting sqref="U16:V16">
    <cfRule type="expression" dxfId="23" priority="22">
      <formula>$L16="Stiff clay w/o free water"</formula>
    </cfRule>
    <cfRule type="expression" dxfId="22" priority="24">
      <formula>$L16="API clay"</formula>
    </cfRule>
  </conditionalFormatting>
  <conditionalFormatting sqref="U16:V16">
    <cfRule type="expression" dxfId="21" priority="23">
      <formula>$L16="Kirsch soft clay"</formula>
    </cfRule>
  </conditionalFormatting>
  <conditionalFormatting sqref="U16:V16">
    <cfRule type="expression" dxfId="20" priority="21">
      <formula>$L16="Kirsch stiff clay"</formula>
    </cfRule>
  </conditionalFormatting>
  <conditionalFormatting sqref="U16:V16">
    <cfRule type="expression" dxfId="19" priority="20">
      <formula>$L16="Reese stiff clay"</formula>
    </cfRule>
  </conditionalFormatting>
  <conditionalFormatting sqref="U16:V16">
    <cfRule type="expression" dxfId="18" priority="19">
      <formula>$L16="PISA clay"</formula>
    </cfRule>
  </conditionalFormatting>
  <conditionalFormatting sqref="U17:V17">
    <cfRule type="expression" dxfId="17" priority="16">
      <formula>$L17="Stiff clay w/o free water"</formula>
    </cfRule>
    <cfRule type="expression" dxfId="16" priority="18">
      <formula>$L17="API clay"</formula>
    </cfRule>
  </conditionalFormatting>
  <conditionalFormatting sqref="U17:V17">
    <cfRule type="expression" dxfId="15" priority="17">
      <formula>$L17="Kirsch soft clay"</formula>
    </cfRule>
  </conditionalFormatting>
  <conditionalFormatting sqref="U17:V17">
    <cfRule type="expression" dxfId="14" priority="15">
      <formula>$L17="Kirsch stiff clay"</formula>
    </cfRule>
  </conditionalFormatting>
  <conditionalFormatting sqref="U17:V17">
    <cfRule type="expression" dxfId="13" priority="14">
      <formula>$L17="Reese stiff clay"</formula>
    </cfRule>
  </conditionalFormatting>
  <conditionalFormatting sqref="U17:V17">
    <cfRule type="expression" dxfId="12" priority="13">
      <formula>$L17="PISA clay"</formula>
    </cfRule>
  </conditionalFormatting>
  <conditionalFormatting sqref="AO15">
    <cfRule type="expression" dxfId="11" priority="12">
      <formula>$L15="API sand"</formula>
    </cfRule>
  </conditionalFormatting>
  <conditionalFormatting sqref="AO15">
    <cfRule type="expression" dxfId="10" priority="11">
      <formula>$L15="Kirsch sand"</formula>
    </cfRule>
  </conditionalFormatting>
  <conditionalFormatting sqref="AO16">
    <cfRule type="expression" dxfId="9" priority="10">
      <formula>$L16="API sand"</formula>
    </cfRule>
  </conditionalFormatting>
  <conditionalFormatting sqref="AO16">
    <cfRule type="expression" dxfId="8" priority="9">
      <formula>$L16="Kirsch sand"</formula>
    </cfRule>
  </conditionalFormatting>
  <conditionalFormatting sqref="AO17">
    <cfRule type="expression" dxfId="7" priority="8">
      <formula>$L17="API sand"</formula>
    </cfRule>
  </conditionalFormatting>
  <conditionalFormatting sqref="AO17">
    <cfRule type="expression" dxfId="6" priority="7">
      <formula>$L17="Kirsch sand"</formula>
    </cfRule>
  </conditionalFormatting>
  <conditionalFormatting sqref="AC14">
    <cfRule type="expression" dxfId="5" priority="4">
      <formula>$L14="Stiff clay w/o free water"</formula>
    </cfRule>
    <cfRule type="expression" dxfId="4" priority="6">
      <formula>$L14="API clay"</formula>
    </cfRule>
  </conditionalFormatting>
  <conditionalFormatting sqref="AC14">
    <cfRule type="expression" dxfId="3" priority="5">
      <formula>$L14="Kirsch soft clay"</formula>
    </cfRule>
  </conditionalFormatting>
  <conditionalFormatting sqref="AC14">
    <cfRule type="expression" dxfId="2" priority="3">
      <formula>$L14="Kirsch stiff clay"</formula>
    </cfRule>
  </conditionalFormatting>
  <conditionalFormatting sqref="AC14">
    <cfRule type="expression" dxfId="1" priority="2">
      <formula>$L14="Reese stiff clay"</formula>
    </cfRule>
  </conditionalFormatting>
  <conditionalFormatting sqref="AC14">
    <cfRule type="expression" dxfId="0" priority="1">
      <formula>$L14="PISA clay"</formula>
    </cfRule>
  </conditionalFormatting>
  <dataValidations count="3">
    <dataValidation type="list" showInputMessage="1" showErrorMessage="1" sqref="M6:M17" xr:uid="{3B9F4F2C-DC5F-4917-B96E-B5ECAB3B47FC}">
      <formula1>"Zero soil,API sand,API clay"</formula1>
    </dataValidation>
    <dataValidation type="list" showInputMessage="1" showErrorMessage="1" sqref="L6:L255" xr:uid="{7BC77DC7-7CC9-451C-A1FD-8D7EBE078DE6}">
      <formula1>"Zero soil,API sand,Kirsch sand,Kallehave sand,PISA sand, PISA clay, API clay,Stiff clay w/o free water,Reese stiff clay,Kirsch soft clay,Kirsch stiff clay,Modified Weak rock"</formula1>
    </dataValidation>
    <dataValidation type="list" showInputMessage="1" showErrorMessage="1" sqref="M18:M36" xr:uid="{A12E5C77-489E-4721-99FA-44F97AC7E9E0}">
      <formula1>"',API sand,API clay"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AI32"/>
  <sheetViews>
    <sheetView zoomScale="70" zoomScaleNormal="70" workbookViewId="0">
      <selection activeCell="B12" sqref="B12"/>
    </sheetView>
  </sheetViews>
  <sheetFormatPr defaultRowHeight="15" x14ac:dyDescent="0.25"/>
  <cols>
    <col min="1" max="1" width="19.5703125" bestFit="1" customWidth="1"/>
    <col min="2" max="3" width="14.5703125" customWidth="1"/>
    <col min="4" max="5" width="14" customWidth="1"/>
    <col min="6" max="6" width="13" bestFit="1" customWidth="1"/>
    <col min="7" max="7" width="9.5703125" bestFit="1" customWidth="1"/>
    <col min="8" max="8" width="11" bestFit="1" customWidth="1"/>
    <col min="9" max="9" width="15.7109375" bestFit="1" customWidth="1"/>
    <col min="10" max="10" width="10.140625" customWidth="1"/>
    <col min="11" max="11" width="9.5703125" customWidth="1"/>
    <col min="12" max="12" width="10.7109375" bestFit="1" customWidth="1"/>
    <col min="13" max="13" width="13.42578125" bestFit="1" customWidth="1"/>
    <col min="14" max="14" width="12.140625" bestFit="1" customWidth="1"/>
    <col min="15" max="15" width="7.7109375" bestFit="1" customWidth="1"/>
    <col min="16" max="16" width="9.5703125" bestFit="1" customWidth="1"/>
    <col min="17" max="17" width="12.28515625" customWidth="1"/>
    <col min="18" max="18" width="10.5703125" bestFit="1" customWidth="1"/>
    <col min="19" max="19" width="6" bestFit="1" customWidth="1"/>
    <col min="20" max="20" width="14.5703125" customWidth="1"/>
    <col min="21" max="21" width="10.85546875" bestFit="1" customWidth="1"/>
    <col min="22" max="22" width="17.28515625" bestFit="1" customWidth="1"/>
    <col min="23" max="23" width="18.140625" customWidth="1"/>
    <col min="24" max="24" width="19.28515625" customWidth="1"/>
    <col min="25" max="25" width="14.7109375" customWidth="1"/>
    <col min="26" max="26" width="14.28515625" customWidth="1"/>
    <col min="27" max="27" width="8.7109375" bestFit="1" customWidth="1"/>
    <col min="28" max="28" width="10" bestFit="1" customWidth="1"/>
    <col min="29" max="29" width="9.140625" bestFit="1" customWidth="1"/>
    <col min="30" max="30" width="6.5703125" bestFit="1" customWidth="1"/>
    <col min="31" max="31" width="11" bestFit="1" customWidth="1"/>
    <col min="32" max="32" width="7.7109375" bestFit="1" customWidth="1"/>
    <col min="33" max="33" width="4.85546875" bestFit="1" customWidth="1"/>
    <col min="34" max="34" width="13.42578125" bestFit="1" customWidth="1"/>
    <col min="35" max="35" width="14.85546875" bestFit="1" customWidth="1"/>
  </cols>
  <sheetData>
    <row r="1" spans="1:35" x14ac:dyDescent="0.25">
      <c r="A1" s="23" t="str">
        <f ca="1">TRIM(MID(CELL("filename",A1),FIND("]",CELL("filename",A1),1)+1,255))</f>
        <v>HS_B4_UB</v>
      </c>
      <c r="D1" s="23"/>
    </row>
    <row r="2" spans="1:35" x14ac:dyDescent="0.25"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5" s="2" customFormat="1" ht="45" customHeight="1" x14ac:dyDescent="0.25">
      <c r="F3" s="16" t="s">
        <v>39</v>
      </c>
      <c r="J3" s="26" t="s">
        <v>22</v>
      </c>
      <c r="Q3" s="30" t="s">
        <v>75</v>
      </c>
      <c r="R3" s="157" t="s">
        <v>78</v>
      </c>
      <c r="S3" s="157"/>
      <c r="T3" s="30" t="s">
        <v>81</v>
      </c>
      <c r="U3" s="157" t="s">
        <v>79</v>
      </c>
      <c r="V3" s="157"/>
      <c r="W3" s="30" t="s">
        <v>80</v>
      </c>
      <c r="X3" s="30" t="s">
        <v>78</v>
      </c>
      <c r="Y3" s="30" t="s">
        <v>82</v>
      </c>
      <c r="Z3" s="30" t="s">
        <v>83</v>
      </c>
      <c r="AA3" s="158" t="s">
        <v>76</v>
      </c>
      <c r="AB3" s="158"/>
      <c r="AC3" s="158"/>
      <c r="AD3" s="158"/>
      <c r="AE3" s="158"/>
      <c r="AF3" s="158"/>
      <c r="AG3" s="158"/>
      <c r="AH3" s="30" t="s">
        <v>77</v>
      </c>
      <c r="AI3" s="22" t="s">
        <v>71</v>
      </c>
    </row>
    <row r="4" spans="1:35" s="3" customFormat="1" x14ac:dyDescent="0.25">
      <c r="A4" s="6" t="s">
        <v>60</v>
      </c>
      <c r="B4" s="3">
        <f>COUNTIF(J:J,"&gt;0")</f>
        <v>12</v>
      </c>
      <c r="C4" s="8" t="s">
        <v>58</v>
      </c>
      <c r="D4" s="4"/>
      <c r="F4" s="3" t="s">
        <v>40</v>
      </c>
      <c r="G4" s="10">
        <v>0</v>
      </c>
      <c r="H4" s="8" t="s">
        <v>28</v>
      </c>
      <c r="J4" s="4" t="s">
        <v>0</v>
      </c>
      <c r="K4" s="4" t="s">
        <v>3</v>
      </c>
      <c r="L4" s="4" t="s">
        <v>1</v>
      </c>
      <c r="M4" s="4" t="s">
        <v>2</v>
      </c>
      <c r="N4" s="4" t="s">
        <v>6</v>
      </c>
      <c r="O4" s="4" t="s">
        <v>4</v>
      </c>
      <c r="P4" s="4" t="s">
        <v>5</v>
      </c>
      <c r="Q4" s="4" t="s">
        <v>7</v>
      </c>
      <c r="R4" s="4" t="s">
        <v>13</v>
      </c>
      <c r="S4" s="4" t="s">
        <v>73</v>
      </c>
      <c r="T4" s="4" t="s">
        <v>14</v>
      </c>
      <c r="U4" s="4" t="s">
        <v>8</v>
      </c>
      <c r="V4" s="4" t="s">
        <v>9</v>
      </c>
      <c r="W4" s="4" t="s">
        <v>10</v>
      </c>
      <c r="X4" s="4" t="s">
        <v>15</v>
      </c>
      <c r="Y4" s="4" t="s">
        <v>16</v>
      </c>
      <c r="Z4" s="4" t="s">
        <v>17</v>
      </c>
      <c r="AA4" s="4" t="s">
        <v>11</v>
      </c>
      <c r="AB4" s="4" t="s">
        <v>12</v>
      </c>
      <c r="AC4" s="4" t="s">
        <v>18</v>
      </c>
      <c r="AD4" s="4" t="s">
        <v>19</v>
      </c>
      <c r="AE4" s="4" t="s">
        <v>37</v>
      </c>
      <c r="AF4" s="4" t="s">
        <v>20</v>
      </c>
      <c r="AG4" s="4" t="s">
        <v>21</v>
      </c>
      <c r="AH4" s="4" t="s">
        <v>66</v>
      </c>
      <c r="AI4" s="4" t="s">
        <v>72</v>
      </c>
    </row>
    <row r="5" spans="1:35" ht="17.25" x14ac:dyDescent="0.25">
      <c r="A5" t="s">
        <v>61</v>
      </c>
      <c r="B5">
        <f ca="1">COUNTIF(A:A,"&gt;0")</f>
        <v>5</v>
      </c>
      <c r="C5" s="7" t="s">
        <v>58</v>
      </c>
      <c r="F5" t="s">
        <v>41</v>
      </c>
      <c r="G5" s="11">
        <v>0</v>
      </c>
      <c r="H5" s="7" t="s">
        <v>28</v>
      </c>
      <c r="J5" s="31" t="s">
        <v>38</v>
      </c>
      <c r="K5" s="31" t="s">
        <v>30</v>
      </c>
      <c r="L5" s="31" t="s">
        <v>31</v>
      </c>
      <c r="M5" s="31" t="s">
        <v>31</v>
      </c>
      <c r="N5" s="31" t="s">
        <v>32</v>
      </c>
      <c r="O5" s="31" t="s">
        <v>33</v>
      </c>
      <c r="P5" s="31" t="s">
        <v>35</v>
      </c>
      <c r="Q5" s="31" t="s">
        <v>36</v>
      </c>
      <c r="R5" s="31" t="s">
        <v>36</v>
      </c>
      <c r="S5" s="31" t="s">
        <v>34</v>
      </c>
      <c r="T5" s="31" t="s">
        <v>33</v>
      </c>
      <c r="U5" s="31" t="s">
        <v>34</v>
      </c>
      <c r="V5" s="31" t="s">
        <v>62</v>
      </c>
      <c r="W5" s="31" t="s">
        <v>34</v>
      </c>
      <c r="X5" s="31" t="s">
        <v>33</v>
      </c>
      <c r="Y5" s="31" t="s">
        <v>34</v>
      </c>
      <c r="Z5" s="31" t="s">
        <v>33</v>
      </c>
      <c r="AA5" s="31" t="s">
        <v>33</v>
      </c>
      <c r="AB5" s="31" t="s">
        <v>35</v>
      </c>
      <c r="AC5" s="31" t="s">
        <v>34</v>
      </c>
      <c r="AD5" s="31" t="s">
        <v>33</v>
      </c>
      <c r="AE5" s="31" t="s">
        <v>35</v>
      </c>
      <c r="AF5" s="31" t="s">
        <v>34</v>
      </c>
      <c r="AG5" s="31" t="s">
        <v>34</v>
      </c>
      <c r="AH5" s="31" t="s">
        <v>34</v>
      </c>
      <c r="AI5" s="31" t="s">
        <v>34</v>
      </c>
    </row>
    <row r="6" spans="1:35" x14ac:dyDescent="0.25">
      <c r="C6" s="7"/>
      <c r="F6" t="s">
        <v>67</v>
      </c>
      <c r="G6" s="11">
        <v>38.9</v>
      </c>
      <c r="H6" s="7" t="s">
        <v>28</v>
      </c>
      <c r="I6" t="s">
        <v>84</v>
      </c>
      <c r="J6" s="14">
        <v>1</v>
      </c>
      <c r="K6" s="14">
        <v>0</v>
      </c>
      <c r="L6" s="14" t="s">
        <v>64</v>
      </c>
      <c r="M6" s="14" t="str">
        <f>L6</f>
        <v>API sand</v>
      </c>
      <c r="N6" s="14">
        <v>9</v>
      </c>
      <c r="O6" s="21">
        <v>0</v>
      </c>
      <c r="P6" s="14">
        <v>0</v>
      </c>
      <c r="Q6" s="14">
        <v>30.250000000000004</v>
      </c>
      <c r="R6" s="29">
        <f>2/3*Q6</f>
        <v>20.166666666666668</v>
      </c>
      <c r="S6" s="14">
        <v>0.8</v>
      </c>
      <c r="T6" s="14">
        <v>0</v>
      </c>
      <c r="U6" s="14">
        <v>0</v>
      </c>
      <c r="V6" s="14">
        <v>0</v>
      </c>
      <c r="W6" s="14">
        <v>0</v>
      </c>
      <c r="X6" s="14">
        <v>10000</v>
      </c>
      <c r="Y6" s="14">
        <v>0</v>
      </c>
      <c r="Z6" s="14">
        <v>100000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8</v>
      </c>
      <c r="AI6" s="14">
        <v>1</v>
      </c>
    </row>
    <row r="7" spans="1:35" x14ac:dyDescent="0.25">
      <c r="A7" s="15" t="s">
        <v>23</v>
      </c>
      <c r="C7" s="7"/>
      <c r="F7" s="20" t="s">
        <v>48</v>
      </c>
      <c r="G7" s="1"/>
      <c r="H7" s="9"/>
      <c r="I7" s="1" t="s">
        <v>85</v>
      </c>
      <c r="J7" s="14">
        <v>2</v>
      </c>
      <c r="K7" s="14">
        <v>-1.1000000000000001</v>
      </c>
      <c r="L7" s="14" t="s">
        <v>64</v>
      </c>
      <c r="M7" s="14" t="str">
        <f>L7</f>
        <v>API sand</v>
      </c>
      <c r="N7" s="14">
        <v>10.5</v>
      </c>
      <c r="O7" s="21">
        <v>0</v>
      </c>
      <c r="P7" s="14">
        <v>0</v>
      </c>
      <c r="Q7" s="14">
        <v>38.5</v>
      </c>
      <c r="R7" s="29">
        <f>2/3*Q7</f>
        <v>25.666666666666664</v>
      </c>
      <c r="S7" s="14">
        <v>0.8</v>
      </c>
      <c r="T7" s="14">
        <v>0</v>
      </c>
      <c r="U7" s="14">
        <v>0</v>
      </c>
      <c r="V7" s="14">
        <v>0</v>
      </c>
      <c r="W7" s="14">
        <v>0</v>
      </c>
      <c r="X7" s="14">
        <v>25</v>
      </c>
      <c r="Y7" s="14">
        <v>0</v>
      </c>
      <c r="Z7" s="14">
        <v>100000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20</v>
      </c>
      <c r="AI7" s="14">
        <v>1</v>
      </c>
    </row>
    <row r="8" spans="1:35" x14ac:dyDescent="0.25">
      <c r="A8" t="s">
        <v>24</v>
      </c>
      <c r="B8" s="11">
        <v>0</v>
      </c>
      <c r="C8" s="7" t="s">
        <v>29</v>
      </c>
      <c r="F8" t="s">
        <v>49</v>
      </c>
      <c r="G8" s="12">
        <v>5570</v>
      </c>
      <c r="H8" s="7" t="s">
        <v>53</v>
      </c>
      <c r="I8" t="s">
        <v>85</v>
      </c>
      <c r="J8" s="14">
        <v>3</v>
      </c>
      <c r="K8" s="14">
        <v>-5</v>
      </c>
      <c r="L8" s="14" t="s">
        <v>64</v>
      </c>
      <c r="M8" s="14" t="str">
        <f t="shared" ref="M8:M17" si="0">L8</f>
        <v>API sand</v>
      </c>
      <c r="N8" s="14">
        <v>10.5</v>
      </c>
      <c r="O8" s="21">
        <v>0</v>
      </c>
      <c r="P8" s="14">
        <v>0</v>
      </c>
      <c r="Q8" s="14">
        <v>38.5</v>
      </c>
      <c r="R8" s="29">
        <f t="shared" ref="R8:R17" si="1">2/3*Q8</f>
        <v>25.666666666666664</v>
      </c>
      <c r="S8" s="14">
        <v>0.8</v>
      </c>
      <c r="T8" s="14">
        <v>0</v>
      </c>
      <c r="U8" s="14">
        <v>0</v>
      </c>
      <c r="V8" s="14">
        <v>0</v>
      </c>
      <c r="W8" s="14">
        <v>0</v>
      </c>
      <c r="X8" s="14">
        <v>35</v>
      </c>
      <c r="Y8" s="14">
        <v>0</v>
      </c>
      <c r="Z8" s="14">
        <v>100000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20</v>
      </c>
      <c r="AI8" s="14">
        <v>1</v>
      </c>
    </row>
    <row r="9" spans="1:35" x14ac:dyDescent="0.25">
      <c r="A9" t="s">
        <v>68</v>
      </c>
      <c r="B9" s="11">
        <v>40</v>
      </c>
      <c r="C9" s="7" t="s">
        <v>28</v>
      </c>
      <c r="F9" t="s">
        <v>50</v>
      </c>
      <c r="G9" s="12">
        <v>-425200</v>
      </c>
      <c r="H9" s="7" t="s">
        <v>54</v>
      </c>
      <c r="I9" t="s">
        <v>86</v>
      </c>
      <c r="J9" s="14">
        <v>4</v>
      </c>
      <c r="K9" s="14">
        <v>-7.6</v>
      </c>
      <c r="L9" s="14" t="s">
        <v>64</v>
      </c>
      <c r="M9" s="14" t="str">
        <f t="shared" si="0"/>
        <v>API sand</v>
      </c>
      <c r="N9" s="14">
        <v>11</v>
      </c>
      <c r="O9" s="21">
        <v>0</v>
      </c>
      <c r="P9" s="14">
        <v>0</v>
      </c>
      <c r="Q9" s="14">
        <v>46.750000000000007</v>
      </c>
      <c r="R9" s="29">
        <f t="shared" si="1"/>
        <v>31.166666666666671</v>
      </c>
      <c r="S9" s="14">
        <v>0.8</v>
      </c>
      <c r="T9" s="14">
        <v>0</v>
      </c>
      <c r="U9" s="14">
        <v>0</v>
      </c>
      <c r="V9" s="14">
        <v>0</v>
      </c>
      <c r="W9" s="14">
        <v>0</v>
      </c>
      <c r="X9" s="14">
        <v>85</v>
      </c>
      <c r="Y9" s="14">
        <v>0</v>
      </c>
      <c r="Z9" s="14">
        <v>100000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50</v>
      </c>
      <c r="AI9" s="14">
        <v>1</v>
      </c>
    </row>
    <row r="10" spans="1:35" s="1" customFormat="1" x14ac:dyDescent="0.25">
      <c r="A10" s="1" t="s">
        <v>69</v>
      </c>
      <c r="B10" s="24">
        <v>40</v>
      </c>
      <c r="C10" s="7" t="s">
        <v>28</v>
      </c>
      <c r="F10" t="s">
        <v>51</v>
      </c>
      <c r="G10" s="12">
        <v>0</v>
      </c>
      <c r="H10" s="7" t="s">
        <v>53</v>
      </c>
      <c r="I10" t="s">
        <v>86</v>
      </c>
      <c r="J10" s="14">
        <v>5</v>
      </c>
      <c r="K10" s="14">
        <v>-10</v>
      </c>
      <c r="L10" s="14" t="s">
        <v>64</v>
      </c>
      <c r="M10" s="14" t="str">
        <f t="shared" si="0"/>
        <v>API sand</v>
      </c>
      <c r="N10" s="14">
        <v>11</v>
      </c>
      <c r="O10" s="21">
        <v>0</v>
      </c>
      <c r="P10" s="14">
        <v>0</v>
      </c>
      <c r="Q10" s="14">
        <v>46.750000000000007</v>
      </c>
      <c r="R10" s="29">
        <f t="shared" si="1"/>
        <v>31.166666666666671</v>
      </c>
      <c r="S10" s="14">
        <v>0.8</v>
      </c>
      <c r="T10" s="14">
        <v>0</v>
      </c>
      <c r="U10" s="14">
        <v>0</v>
      </c>
      <c r="V10" s="14">
        <v>0</v>
      </c>
      <c r="W10" s="14">
        <v>0</v>
      </c>
      <c r="X10" s="14">
        <v>90</v>
      </c>
      <c r="Y10" s="14">
        <v>0</v>
      </c>
      <c r="Z10" s="14">
        <v>100000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50</v>
      </c>
      <c r="AI10" s="14">
        <v>1</v>
      </c>
    </row>
    <row r="11" spans="1:35" x14ac:dyDescent="0.25">
      <c r="A11" t="s">
        <v>70</v>
      </c>
      <c r="B11" s="11">
        <v>1</v>
      </c>
      <c r="C11" s="7" t="s">
        <v>28</v>
      </c>
      <c r="F11" t="s">
        <v>52</v>
      </c>
      <c r="G11" s="12">
        <v>0</v>
      </c>
      <c r="H11" s="7" t="s">
        <v>53</v>
      </c>
      <c r="I11" t="s">
        <v>87</v>
      </c>
      <c r="J11" s="14">
        <v>6</v>
      </c>
      <c r="K11" s="14">
        <v>-21.8</v>
      </c>
      <c r="L11" s="14" t="s">
        <v>65</v>
      </c>
      <c r="M11" s="14" t="str">
        <f t="shared" si="0"/>
        <v>API clay</v>
      </c>
      <c r="N11" s="14">
        <v>8</v>
      </c>
      <c r="O11" s="21">
        <v>165</v>
      </c>
      <c r="P11" s="14">
        <v>0</v>
      </c>
      <c r="Q11" s="14">
        <v>24.200000000000003</v>
      </c>
      <c r="R11" s="29">
        <f t="shared" si="1"/>
        <v>16.133333333333333</v>
      </c>
      <c r="S11" s="14">
        <v>0.8</v>
      </c>
      <c r="T11" s="14">
        <v>10</v>
      </c>
      <c r="U11" s="14">
        <v>5.0000000000000001E-3</v>
      </c>
      <c r="V11" s="14">
        <v>0</v>
      </c>
      <c r="W11" s="14">
        <v>0.5</v>
      </c>
      <c r="X11" s="14">
        <v>25</v>
      </c>
      <c r="Y11" s="14">
        <v>1</v>
      </c>
      <c r="Z11" s="14">
        <v>100000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1</v>
      </c>
    </row>
    <row r="12" spans="1:35" x14ac:dyDescent="0.25">
      <c r="A12" t="s">
        <v>74</v>
      </c>
      <c r="B12" s="11">
        <v>8</v>
      </c>
      <c r="C12" s="7" t="s">
        <v>28</v>
      </c>
      <c r="E12" s="12"/>
      <c r="F12" s="1"/>
      <c r="G12" s="1"/>
      <c r="H12" s="1"/>
      <c r="I12" s="1" t="s">
        <v>85</v>
      </c>
      <c r="J12" s="14">
        <v>7</v>
      </c>
      <c r="K12" s="14">
        <v>-26.8</v>
      </c>
      <c r="L12" s="14" t="s">
        <v>64</v>
      </c>
      <c r="M12" s="14" t="str">
        <f t="shared" si="0"/>
        <v>API sand</v>
      </c>
      <c r="N12" s="14">
        <v>10.5</v>
      </c>
      <c r="O12" s="21">
        <v>0</v>
      </c>
      <c r="P12" s="14">
        <v>0</v>
      </c>
      <c r="Q12" s="14">
        <v>38.5</v>
      </c>
      <c r="R12" s="29">
        <f t="shared" si="1"/>
        <v>25.666666666666664</v>
      </c>
      <c r="S12" s="14">
        <v>0.8</v>
      </c>
      <c r="T12" s="14">
        <v>0</v>
      </c>
      <c r="U12" s="14">
        <v>0</v>
      </c>
      <c r="V12" s="14">
        <v>0</v>
      </c>
      <c r="W12" s="14">
        <v>0</v>
      </c>
      <c r="X12" s="14">
        <v>50</v>
      </c>
      <c r="Y12" s="14">
        <v>0</v>
      </c>
      <c r="Z12" s="14">
        <v>100000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20</v>
      </c>
      <c r="AI12" s="14">
        <v>1</v>
      </c>
    </row>
    <row r="13" spans="1:35" x14ac:dyDescent="0.25">
      <c r="A13" t="s">
        <v>42</v>
      </c>
      <c r="B13" s="11">
        <v>78</v>
      </c>
      <c r="C13" s="7" t="s">
        <v>46</v>
      </c>
      <c r="E13" s="12"/>
      <c r="F13" s="15" t="s">
        <v>55</v>
      </c>
      <c r="I13" t="s">
        <v>86</v>
      </c>
      <c r="J13" s="14">
        <v>8</v>
      </c>
      <c r="K13" s="14">
        <v>-27.4</v>
      </c>
      <c r="L13" s="14" t="s">
        <v>64</v>
      </c>
      <c r="M13" s="14" t="str">
        <f t="shared" si="0"/>
        <v>API sand</v>
      </c>
      <c r="N13" s="14">
        <v>11</v>
      </c>
      <c r="O13" s="21">
        <v>0</v>
      </c>
      <c r="P13" s="14">
        <v>0</v>
      </c>
      <c r="Q13" s="14">
        <v>46.750000000000007</v>
      </c>
      <c r="R13" s="29">
        <f t="shared" si="1"/>
        <v>31.166666666666671</v>
      </c>
      <c r="S13" s="14">
        <v>0.8</v>
      </c>
      <c r="T13" s="14">
        <v>0</v>
      </c>
      <c r="U13" s="14">
        <v>0</v>
      </c>
      <c r="V13" s="14">
        <v>0</v>
      </c>
      <c r="W13" s="14">
        <v>0</v>
      </c>
      <c r="X13" s="14">
        <v>95</v>
      </c>
      <c r="Y13" s="14">
        <v>0</v>
      </c>
      <c r="Z13" s="14">
        <v>11000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50</v>
      </c>
      <c r="AI13" s="14">
        <v>1</v>
      </c>
    </row>
    <row r="14" spans="1:35" x14ac:dyDescent="0.25">
      <c r="A14" t="s">
        <v>43</v>
      </c>
      <c r="B14" s="12">
        <v>355000</v>
      </c>
      <c r="C14" s="7" t="s">
        <v>47</v>
      </c>
      <c r="F14" t="s">
        <v>56</v>
      </c>
      <c r="G14" s="17" t="s">
        <v>57</v>
      </c>
      <c r="H14" s="7" t="s">
        <v>63</v>
      </c>
      <c r="I14" t="s">
        <v>88</v>
      </c>
      <c r="J14" s="14">
        <v>9</v>
      </c>
      <c r="K14" s="14">
        <v>-32.4</v>
      </c>
      <c r="L14" s="14" t="s">
        <v>64</v>
      </c>
      <c r="M14" s="14" t="str">
        <f t="shared" si="0"/>
        <v>API sand</v>
      </c>
      <c r="N14" s="14">
        <v>11</v>
      </c>
      <c r="O14" s="21">
        <v>0</v>
      </c>
      <c r="P14" s="14">
        <v>0</v>
      </c>
      <c r="Q14" s="14">
        <v>41.25</v>
      </c>
      <c r="R14" s="29">
        <f t="shared" si="1"/>
        <v>27.5</v>
      </c>
      <c r="S14" s="14">
        <v>0.8</v>
      </c>
      <c r="T14" s="14">
        <v>0</v>
      </c>
      <c r="U14" s="14">
        <v>0</v>
      </c>
      <c r="V14" s="14">
        <v>0</v>
      </c>
      <c r="W14" s="14">
        <v>0</v>
      </c>
      <c r="X14" s="14">
        <v>65</v>
      </c>
      <c r="Y14" s="14">
        <v>0</v>
      </c>
      <c r="Z14" s="14">
        <v>6000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40</v>
      </c>
      <c r="AI14" s="14">
        <v>1</v>
      </c>
    </row>
    <row r="15" spans="1:35" s="1" customFormat="1" x14ac:dyDescent="0.25">
      <c r="A15" t="s">
        <v>44</v>
      </c>
      <c r="B15" s="25">
        <v>207000000</v>
      </c>
      <c r="C15" s="7" t="s">
        <v>47</v>
      </c>
      <c r="D15"/>
      <c r="E15"/>
      <c r="I15" s="1" t="s">
        <v>86</v>
      </c>
      <c r="J15" s="14">
        <v>10</v>
      </c>
      <c r="K15" s="14">
        <v>-36.5</v>
      </c>
      <c r="L15" s="14" t="s">
        <v>64</v>
      </c>
      <c r="M15" s="14" t="str">
        <f t="shared" si="0"/>
        <v>API sand</v>
      </c>
      <c r="N15" s="14">
        <v>11</v>
      </c>
      <c r="O15" s="21">
        <v>0</v>
      </c>
      <c r="P15" s="14">
        <v>0</v>
      </c>
      <c r="Q15" s="14">
        <v>46.750000000000007</v>
      </c>
      <c r="R15" s="29">
        <f t="shared" si="1"/>
        <v>31.166666666666671</v>
      </c>
      <c r="S15" s="14">
        <v>0.8</v>
      </c>
      <c r="T15" s="14">
        <v>0</v>
      </c>
      <c r="U15" s="14">
        <v>0</v>
      </c>
      <c r="V15" s="14">
        <v>0</v>
      </c>
      <c r="W15" s="14">
        <v>0</v>
      </c>
      <c r="X15" s="14">
        <v>95</v>
      </c>
      <c r="Y15" s="14">
        <v>0</v>
      </c>
      <c r="Z15" s="14">
        <v>11000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50</v>
      </c>
      <c r="AI15" s="14">
        <v>1</v>
      </c>
    </row>
    <row r="16" spans="1:35" x14ac:dyDescent="0.25">
      <c r="A16" t="s">
        <v>45</v>
      </c>
      <c r="B16" s="25">
        <v>79000000</v>
      </c>
      <c r="C16" s="7" t="s">
        <v>47</v>
      </c>
      <c r="I16" t="s">
        <v>86</v>
      </c>
      <c r="J16" s="14">
        <v>11</v>
      </c>
      <c r="K16" s="14">
        <v>-40</v>
      </c>
      <c r="L16" s="14" t="s">
        <v>64</v>
      </c>
      <c r="M16" s="14" t="str">
        <f t="shared" si="0"/>
        <v>API sand</v>
      </c>
      <c r="N16" s="14">
        <v>11</v>
      </c>
      <c r="O16" s="21">
        <v>0</v>
      </c>
      <c r="P16" s="14">
        <v>0</v>
      </c>
      <c r="Q16" s="14">
        <v>46.750000000000007</v>
      </c>
      <c r="R16" s="29">
        <f t="shared" si="1"/>
        <v>31.166666666666671</v>
      </c>
      <c r="S16" s="14">
        <v>0.8</v>
      </c>
      <c r="T16" s="14">
        <v>0</v>
      </c>
      <c r="U16" s="14">
        <v>0</v>
      </c>
      <c r="V16" s="14">
        <v>0</v>
      </c>
      <c r="W16" s="14">
        <v>0</v>
      </c>
      <c r="X16" s="14">
        <v>100</v>
      </c>
      <c r="Y16" s="14">
        <v>0</v>
      </c>
      <c r="Z16" s="14">
        <v>12000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50</v>
      </c>
      <c r="AI16" s="14">
        <v>1</v>
      </c>
    </row>
    <row r="17" spans="1:35" ht="30" x14ac:dyDescent="0.25">
      <c r="A17" s="2" t="s">
        <v>25</v>
      </c>
      <c r="B17" s="5" t="s">
        <v>26</v>
      </c>
      <c r="C17" s="5" t="s">
        <v>27</v>
      </c>
      <c r="D17" s="19"/>
      <c r="E17" s="19"/>
      <c r="I17" s="1" t="s">
        <v>86</v>
      </c>
      <c r="J17" s="14">
        <v>12</v>
      </c>
      <c r="K17" s="14">
        <v>-50</v>
      </c>
      <c r="L17" s="14" t="s">
        <v>64</v>
      </c>
      <c r="M17" s="14" t="str">
        <f t="shared" si="0"/>
        <v>API sand</v>
      </c>
      <c r="N17" s="14">
        <v>11</v>
      </c>
      <c r="O17" s="21">
        <v>0</v>
      </c>
      <c r="P17" s="14">
        <v>0</v>
      </c>
      <c r="Q17" s="14">
        <v>46.750000000000007</v>
      </c>
      <c r="R17" s="29">
        <f t="shared" si="1"/>
        <v>31.166666666666671</v>
      </c>
      <c r="S17" s="14">
        <v>0.8</v>
      </c>
      <c r="T17" s="14">
        <v>0</v>
      </c>
      <c r="U17" s="14">
        <v>0</v>
      </c>
      <c r="V17" s="14">
        <v>0</v>
      </c>
      <c r="W17" s="14">
        <v>0</v>
      </c>
      <c r="X17" s="14">
        <v>120</v>
      </c>
      <c r="Y17" s="14">
        <v>0</v>
      </c>
      <c r="Z17" s="14">
        <v>18000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50</v>
      </c>
      <c r="AI17" s="14">
        <v>1</v>
      </c>
    </row>
    <row r="18" spans="1:35" s="1" customFormat="1" x14ac:dyDescent="0.25">
      <c r="A18" s="31" t="s">
        <v>38</v>
      </c>
      <c r="B18" s="31" t="s">
        <v>30</v>
      </c>
      <c r="C18" s="31" t="s">
        <v>59</v>
      </c>
      <c r="D18" s="31"/>
      <c r="E18" s="31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</row>
    <row r="19" spans="1:35" x14ac:dyDescent="0.25">
      <c r="A19" s="13">
        <v>1</v>
      </c>
      <c r="B19" s="13">
        <f>B8</f>
        <v>0</v>
      </c>
      <c r="C19" s="13">
        <v>8.2000000000000003E-2</v>
      </c>
      <c r="D19" s="13"/>
      <c r="E19" s="13"/>
      <c r="J19" s="14"/>
      <c r="K19" s="14"/>
      <c r="L19" s="14"/>
      <c r="M19" s="14"/>
      <c r="N19" s="14"/>
      <c r="O19" s="21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21"/>
      <c r="AH19" s="14"/>
      <c r="AI19" s="14"/>
    </row>
    <row r="20" spans="1:35" x14ac:dyDescent="0.25">
      <c r="A20" s="4">
        <v>2</v>
      </c>
      <c r="B20" s="4">
        <v>-2.2000000000000002</v>
      </c>
      <c r="C20" s="4">
        <v>8.5000000000000006E-2</v>
      </c>
      <c r="D20" s="4"/>
      <c r="E20" s="2"/>
      <c r="O20" s="18"/>
      <c r="P20" s="13"/>
      <c r="Q20" s="13"/>
      <c r="R20" s="13"/>
      <c r="S20" s="13"/>
      <c r="T20" s="13"/>
      <c r="U20" s="13"/>
      <c r="V20" s="13"/>
      <c r="W20" s="13"/>
      <c r="Y20" s="13"/>
      <c r="AA20" s="13"/>
      <c r="AB20" s="13"/>
      <c r="AC20" s="13"/>
      <c r="AD20" s="13"/>
    </row>
    <row r="21" spans="1:35" x14ac:dyDescent="0.25">
      <c r="A21" s="4">
        <v>3</v>
      </c>
      <c r="B21" s="4">
        <v>-8.1999999999999993</v>
      </c>
      <c r="C21" s="4">
        <v>8.2000000000000003E-2</v>
      </c>
      <c r="D21" s="4"/>
    </row>
    <row r="22" spans="1:35" x14ac:dyDescent="0.25">
      <c r="A22" s="4">
        <v>4</v>
      </c>
      <c r="B22" s="4">
        <v>-11.2</v>
      </c>
      <c r="C22" s="4">
        <v>7.4999999999999997E-2</v>
      </c>
      <c r="D22" s="4"/>
    </row>
    <row r="23" spans="1:35" x14ac:dyDescent="0.25">
      <c r="A23" s="2">
        <v>5</v>
      </c>
      <c r="B23" s="2">
        <v>-14.2</v>
      </c>
      <c r="C23" s="2">
        <v>6.7000000000000004E-2</v>
      </c>
      <c r="D23" s="2"/>
    </row>
    <row r="24" spans="1:35" x14ac:dyDescent="0.25">
      <c r="A24" s="2"/>
      <c r="B24" s="2"/>
      <c r="C24" s="2"/>
      <c r="D24" s="2"/>
    </row>
    <row r="25" spans="1:35" x14ac:dyDescent="0.25">
      <c r="A25" s="4"/>
      <c r="B25" s="4"/>
      <c r="C25" s="4"/>
      <c r="D25" s="4"/>
    </row>
    <row r="26" spans="1:35" x14ac:dyDescent="0.25">
      <c r="A26" s="4"/>
      <c r="B26" s="4"/>
      <c r="C26" s="4"/>
      <c r="D26" s="4"/>
    </row>
    <row r="27" spans="1:35" x14ac:dyDescent="0.25">
      <c r="A27" s="4"/>
      <c r="B27" s="4"/>
      <c r="C27" s="4"/>
      <c r="D27" s="4"/>
    </row>
    <row r="28" spans="1:35" x14ac:dyDescent="0.25">
      <c r="A28" s="4"/>
      <c r="B28" s="4"/>
      <c r="C28" s="4"/>
      <c r="D28" s="4"/>
    </row>
    <row r="29" spans="1:35" x14ac:dyDescent="0.25">
      <c r="A29" s="4"/>
      <c r="B29" s="4"/>
      <c r="C29" s="4"/>
      <c r="D29" s="4"/>
    </row>
    <row r="30" spans="1:35" x14ac:dyDescent="0.25">
      <c r="A30" s="4"/>
      <c r="B30" s="4"/>
      <c r="C30" s="4"/>
      <c r="D30" s="4"/>
    </row>
    <row r="31" spans="1:35" x14ac:dyDescent="0.25">
      <c r="A31" s="4"/>
      <c r="B31" s="4"/>
      <c r="C31" s="4"/>
      <c r="D31" s="4"/>
    </row>
    <row r="32" spans="1:35" x14ac:dyDescent="0.25">
      <c r="A32" s="4"/>
      <c r="B32" s="4"/>
      <c r="C32" s="4"/>
      <c r="D32" s="4"/>
    </row>
  </sheetData>
  <mergeCells count="3">
    <mergeCell ref="R3:S3"/>
    <mergeCell ref="U3:V3"/>
    <mergeCell ref="AA3:AG3"/>
  </mergeCells>
  <pageMargins left="0.7" right="0.7" top="0.75" bottom="0.75" header="0.3" footer="0.3"/>
  <pageSetup paperSize="9" orientation="portrait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I32"/>
  <sheetViews>
    <sheetView zoomScale="70" zoomScaleNormal="70" workbookViewId="0">
      <selection activeCell="B9" sqref="B9"/>
    </sheetView>
  </sheetViews>
  <sheetFormatPr defaultRowHeight="15" x14ac:dyDescent="0.25"/>
  <cols>
    <col min="1" max="1" width="19.5703125" bestFit="1" customWidth="1"/>
    <col min="2" max="3" width="14.5703125" customWidth="1"/>
    <col min="4" max="5" width="14" customWidth="1"/>
    <col min="6" max="6" width="13" bestFit="1" customWidth="1"/>
    <col min="7" max="7" width="9.5703125" bestFit="1" customWidth="1"/>
    <col min="8" max="8" width="11" bestFit="1" customWidth="1"/>
    <col min="9" max="9" width="15.7109375" bestFit="1" customWidth="1"/>
    <col min="10" max="10" width="10.140625" customWidth="1"/>
    <col min="11" max="11" width="9.5703125" customWidth="1"/>
    <col min="12" max="12" width="10.7109375" bestFit="1" customWidth="1"/>
    <col min="13" max="13" width="13.42578125" bestFit="1" customWidth="1"/>
    <col min="14" max="14" width="12.140625" bestFit="1" customWidth="1"/>
    <col min="15" max="15" width="7.140625" bestFit="1" customWidth="1"/>
    <col min="16" max="16" width="9.5703125" bestFit="1" customWidth="1"/>
    <col min="17" max="17" width="12.28515625" customWidth="1"/>
    <col min="18" max="18" width="10.5703125" bestFit="1" customWidth="1"/>
    <col min="19" max="19" width="6" bestFit="1" customWidth="1"/>
    <col min="20" max="20" width="14.5703125" customWidth="1"/>
    <col min="21" max="21" width="10.85546875" bestFit="1" customWidth="1"/>
    <col min="22" max="22" width="17.28515625" bestFit="1" customWidth="1"/>
    <col min="23" max="23" width="18.140625" customWidth="1"/>
    <col min="24" max="24" width="19.28515625" customWidth="1"/>
    <col min="25" max="25" width="14.7109375" customWidth="1"/>
    <col min="26" max="26" width="14.28515625" customWidth="1"/>
    <col min="27" max="27" width="8.7109375" bestFit="1" customWidth="1"/>
    <col min="28" max="28" width="10" bestFit="1" customWidth="1"/>
    <col min="29" max="29" width="9.140625" bestFit="1" customWidth="1"/>
    <col min="30" max="30" width="6.5703125" bestFit="1" customWidth="1"/>
    <col min="31" max="31" width="11" bestFit="1" customWidth="1"/>
    <col min="32" max="32" width="7.7109375" bestFit="1" customWidth="1"/>
    <col min="33" max="33" width="4.85546875" bestFit="1" customWidth="1"/>
    <col min="34" max="34" width="13.42578125" bestFit="1" customWidth="1"/>
    <col min="35" max="35" width="14.85546875" bestFit="1" customWidth="1"/>
  </cols>
  <sheetData>
    <row r="1" spans="1:35" x14ac:dyDescent="0.25">
      <c r="A1" s="23" t="str">
        <f ca="1">TRIM(MID(CELL("filename",A1),FIND("]",CELL("filename",A1),1)+1,255))</f>
        <v>HS_E6_obsolete</v>
      </c>
      <c r="D1" s="23"/>
    </row>
    <row r="2" spans="1:35" x14ac:dyDescent="0.25"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5" s="2" customFormat="1" ht="45" customHeight="1" x14ac:dyDescent="0.25">
      <c r="F3" s="16" t="s">
        <v>39</v>
      </c>
      <c r="J3" s="26" t="s">
        <v>22</v>
      </c>
      <c r="Q3" s="27" t="s">
        <v>75</v>
      </c>
      <c r="R3" s="157" t="s">
        <v>78</v>
      </c>
      <c r="S3" s="157"/>
      <c r="T3" s="27" t="s">
        <v>81</v>
      </c>
      <c r="U3" s="157" t="s">
        <v>79</v>
      </c>
      <c r="V3" s="157"/>
      <c r="W3" s="27" t="s">
        <v>80</v>
      </c>
      <c r="X3" s="27" t="s">
        <v>78</v>
      </c>
      <c r="Y3" s="27" t="s">
        <v>82</v>
      </c>
      <c r="Z3" s="27" t="s">
        <v>83</v>
      </c>
      <c r="AA3" s="158" t="s">
        <v>76</v>
      </c>
      <c r="AB3" s="158"/>
      <c r="AC3" s="158"/>
      <c r="AD3" s="158"/>
      <c r="AE3" s="158"/>
      <c r="AF3" s="158"/>
      <c r="AG3" s="158"/>
      <c r="AH3" s="27" t="s">
        <v>77</v>
      </c>
      <c r="AI3" s="22" t="s">
        <v>71</v>
      </c>
    </row>
    <row r="4" spans="1:35" s="3" customFormat="1" x14ac:dyDescent="0.25">
      <c r="A4" s="6" t="s">
        <v>60</v>
      </c>
      <c r="B4" s="3">
        <f>COUNTIF(J:J,"&gt;0")</f>
        <v>11</v>
      </c>
      <c r="C4" s="8" t="s">
        <v>58</v>
      </c>
      <c r="D4" s="4"/>
      <c r="F4" s="3" t="s">
        <v>40</v>
      </c>
      <c r="G4" s="10">
        <v>0</v>
      </c>
      <c r="H4" s="8" t="s">
        <v>28</v>
      </c>
      <c r="J4" s="4" t="s">
        <v>0</v>
      </c>
      <c r="K4" s="4" t="s">
        <v>3</v>
      </c>
      <c r="L4" s="4" t="s">
        <v>1</v>
      </c>
      <c r="M4" s="4" t="s">
        <v>2</v>
      </c>
      <c r="N4" s="4" t="s">
        <v>6</v>
      </c>
      <c r="O4" s="4" t="s">
        <v>4</v>
      </c>
      <c r="P4" s="4" t="s">
        <v>5</v>
      </c>
      <c r="Q4" s="4" t="s">
        <v>7</v>
      </c>
      <c r="R4" s="4" t="s">
        <v>13</v>
      </c>
      <c r="S4" s="4" t="s">
        <v>73</v>
      </c>
      <c r="T4" s="4" t="s">
        <v>14</v>
      </c>
      <c r="U4" s="4" t="s">
        <v>8</v>
      </c>
      <c r="V4" s="4" t="s">
        <v>9</v>
      </c>
      <c r="W4" s="4" t="s">
        <v>10</v>
      </c>
      <c r="X4" s="4" t="s">
        <v>15</v>
      </c>
      <c r="Y4" s="4" t="s">
        <v>16</v>
      </c>
      <c r="Z4" s="4" t="s">
        <v>17</v>
      </c>
      <c r="AA4" s="4" t="s">
        <v>11</v>
      </c>
      <c r="AB4" s="4" t="s">
        <v>12</v>
      </c>
      <c r="AC4" s="4" t="s">
        <v>18</v>
      </c>
      <c r="AD4" s="4" t="s">
        <v>19</v>
      </c>
      <c r="AE4" s="4" t="s">
        <v>37</v>
      </c>
      <c r="AF4" s="4" t="s">
        <v>20</v>
      </c>
      <c r="AG4" s="4" t="s">
        <v>21</v>
      </c>
      <c r="AH4" s="4" t="s">
        <v>66</v>
      </c>
      <c r="AI4" s="4" t="s">
        <v>72</v>
      </c>
    </row>
    <row r="5" spans="1:35" ht="17.25" x14ac:dyDescent="0.25">
      <c r="A5" t="s">
        <v>61</v>
      </c>
      <c r="B5">
        <f ca="1">COUNTIF(A:A,"&gt;0")</f>
        <v>5</v>
      </c>
      <c r="C5" s="7" t="s">
        <v>58</v>
      </c>
      <c r="F5" t="s">
        <v>41</v>
      </c>
      <c r="G5" s="11">
        <v>0</v>
      </c>
      <c r="H5" s="7" t="s">
        <v>28</v>
      </c>
      <c r="J5" s="28" t="s">
        <v>38</v>
      </c>
      <c r="K5" s="28" t="s">
        <v>30</v>
      </c>
      <c r="L5" s="28" t="s">
        <v>31</v>
      </c>
      <c r="M5" s="28" t="s">
        <v>31</v>
      </c>
      <c r="N5" s="28" t="s">
        <v>32</v>
      </c>
      <c r="O5" s="28" t="s">
        <v>33</v>
      </c>
      <c r="P5" s="28" t="s">
        <v>35</v>
      </c>
      <c r="Q5" s="28" t="s">
        <v>36</v>
      </c>
      <c r="R5" s="28" t="s">
        <v>36</v>
      </c>
      <c r="S5" s="28" t="s">
        <v>34</v>
      </c>
      <c r="T5" s="28" t="s">
        <v>33</v>
      </c>
      <c r="U5" s="28" t="s">
        <v>34</v>
      </c>
      <c r="V5" s="28" t="s">
        <v>62</v>
      </c>
      <c r="W5" s="28" t="s">
        <v>34</v>
      </c>
      <c r="X5" s="28" t="s">
        <v>33</v>
      </c>
      <c r="Y5" s="28" t="s">
        <v>34</v>
      </c>
      <c r="Z5" s="28" t="s">
        <v>33</v>
      </c>
      <c r="AA5" s="28" t="s">
        <v>33</v>
      </c>
      <c r="AB5" s="28" t="s">
        <v>35</v>
      </c>
      <c r="AC5" s="28" t="s">
        <v>34</v>
      </c>
      <c r="AD5" s="28" t="s">
        <v>33</v>
      </c>
      <c r="AE5" s="28" t="s">
        <v>35</v>
      </c>
      <c r="AF5" s="28" t="s">
        <v>34</v>
      </c>
      <c r="AG5" s="28" t="s">
        <v>34</v>
      </c>
      <c r="AH5" s="28" t="s">
        <v>34</v>
      </c>
      <c r="AI5" s="28" t="s">
        <v>34</v>
      </c>
    </row>
    <row r="6" spans="1:35" x14ac:dyDescent="0.25">
      <c r="C6" s="7"/>
      <c r="F6" t="s">
        <v>67</v>
      </c>
      <c r="G6" s="11">
        <v>36</v>
      </c>
      <c r="H6" s="7" t="s">
        <v>28</v>
      </c>
      <c r="I6" t="s">
        <v>84</v>
      </c>
      <c r="J6" s="14">
        <v>1</v>
      </c>
      <c r="K6" s="14">
        <v>0</v>
      </c>
      <c r="L6" s="14" t="s">
        <v>64</v>
      </c>
      <c r="M6" s="14" t="str">
        <f>L6</f>
        <v>API sand</v>
      </c>
      <c r="N6" s="14">
        <v>9</v>
      </c>
      <c r="O6" s="21">
        <v>0</v>
      </c>
      <c r="P6" s="14">
        <v>0</v>
      </c>
      <c r="Q6" s="14">
        <v>27.5</v>
      </c>
      <c r="R6" s="29">
        <f>2/3*Q6</f>
        <v>18.333333333333332</v>
      </c>
      <c r="S6" s="14">
        <v>0.8</v>
      </c>
      <c r="T6" s="14">
        <v>0</v>
      </c>
      <c r="U6" s="14">
        <v>0</v>
      </c>
      <c r="V6" s="14">
        <v>0</v>
      </c>
      <c r="W6" s="14">
        <v>0</v>
      </c>
      <c r="X6" s="14">
        <v>10000</v>
      </c>
      <c r="Y6" s="14">
        <v>0</v>
      </c>
      <c r="Z6" s="14">
        <v>100000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8</v>
      </c>
      <c r="AI6" s="14">
        <v>1</v>
      </c>
    </row>
    <row r="7" spans="1:35" x14ac:dyDescent="0.25">
      <c r="A7" s="15" t="s">
        <v>23</v>
      </c>
      <c r="C7" s="7"/>
      <c r="F7" s="20" t="s">
        <v>48</v>
      </c>
      <c r="G7" s="1"/>
      <c r="H7" s="9"/>
      <c r="I7" s="1" t="s">
        <v>89</v>
      </c>
      <c r="J7" s="14">
        <v>2</v>
      </c>
      <c r="K7" s="14">
        <v>-1.2</v>
      </c>
      <c r="L7" s="14" t="s">
        <v>64</v>
      </c>
      <c r="M7" s="14" t="str">
        <f>L7</f>
        <v>API sand</v>
      </c>
      <c r="N7" s="14">
        <v>10</v>
      </c>
      <c r="O7" s="21">
        <v>0</v>
      </c>
      <c r="P7" s="14">
        <v>0</v>
      </c>
      <c r="Q7" s="14">
        <v>32.5</v>
      </c>
      <c r="R7" s="29">
        <f>2/3*Q7</f>
        <v>21.666666666666664</v>
      </c>
      <c r="S7" s="14">
        <v>0.8</v>
      </c>
      <c r="T7" s="14">
        <v>0</v>
      </c>
      <c r="U7" s="14">
        <v>0</v>
      </c>
      <c r="V7" s="14">
        <v>0</v>
      </c>
      <c r="W7" s="14">
        <v>0</v>
      </c>
      <c r="X7" s="14">
        <v>20</v>
      </c>
      <c r="Y7" s="14">
        <v>0</v>
      </c>
      <c r="Z7" s="14">
        <v>100000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12</v>
      </c>
      <c r="AI7" s="14">
        <v>1</v>
      </c>
    </row>
    <row r="8" spans="1:35" x14ac:dyDescent="0.25">
      <c r="A8" t="s">
        <v>24</v>
      </c>
      <c r="B8" s="11">
        <v>0</v>
      </c>
      <c r="C8" s="7" t="s">
        <v>29</v>
      </c>
      <c r="F8" t="s">
        <v>49</v>
      </c>
      <c r="G8" s="12">
        <v>5580</v>
      </c>
      <c r="H8" s="7" t="s">
        <v>53</v>
      </c>
      <c r="I8" t="s">
        <v>88</v>
      </c>
      <c r="J8" s="14">
        <v>3</v>
      </c>
      <c r="K8" s="14">
        <v>-3.8</v>
      </c>
      <c r="L8" s="14" t="s">
        <v>64</v>
      </c>
      <c r="M8" s="14" t="str">
        <f t="shared" ref="M8:M16" si="0">L8</f>
        <v>API sand</v>
      </c>
      <c r="N8" s="14">
        <v>11</v>
      </c>
      <c r="O8" s="21">
        <v>0</v>
      </c>
      <c r="P8" s="14">
        <v>0</v>
      </c>
      <c r="Q8" s="14">
        <v>37.5</v>
      </c>
      <c r="R8" s="29">
        <f t="shared" ref="R8:R16" si="1">2/3*Q8</f>
        <v>25</v>
      </c>
      <c r="S8" s="14">
        <v>0.8</v>
      </c>
      <c r="T8" s="14">
        <v>0</v>
      </c>
      <c r="U8" s="14">
        <v>0</v>
      </c>
      <c r="V8" s="14">
        <v>0</v>
      </c>
      <c r="W8" s="14">
        <v>0</v>
      </c>
      <c r="X8" s="14">
        <v>35</v>
      </c>
      <c r="Y8" s="14">
        <v>0</v>
      </c>
      <c r="Z8" s="14">
        <v>100000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40</v>
      </c>
      <c r="AI8" s="14">
        <v>1</v>
      </c>
    </row>
    <row r="9" spans="1:35" x14ac:dyDescent="0.25">
      <c r="A9" t="s">
        <v>68</v>
      </c>
      <c r="B9" s="11">
        <v>29.2</v>
      </c>
      <c r="C9" s="7" t="s">
        <v>28</v>
      </c>
      <c r="F9" t="s">
        <v>50</v>
      </c>
      <c r="G9" s="12">
        <v>-426700</v>
      </c>
      <c r="H9" s="7" t="s">
        <v>54</v>
      </c>
      <c r="I9" t="s">
        <v>86</v>
      </c>
      <c r="J9" s="14">
        <v>4</v>
      </c>
      <c r="K9" s="14">
        <v>-4.4000000000000004</v>
      </c>
      <c r="L9" s="14" t="s">
        <v>64</v>
      </c>
      <c r="M9" s="14" t="str">
        <f t="shared" si="0"/>
        <v>API sand</v>
      </c>
      <c r="N9" s="14">
        <v>11</v>
      </c>
      <c r="O9" s="21">
        <v>0</v>
      </c>
      <c r="P9" s="14">
        <v>0</v>
      </c>
      <c r="Q9" s="14">
        <v>42.5</v>
      </c>
      <c r="R9" s="29">
        <f t="shared" si="1"/>
        <v>28.333333333333332</v>
      </c>
      <c r="S9" s="14">
        <v>0.8</v>
      </c>
      <c r="T9" s="14">
        <v>0</v>
      </c>
      <c r="U9" s="14">
        <v>0</v>
      </c>
      <c r="V9" s="14">
        <v>0</v>
      </c>
      <c r="W9" s="14">
        <v>0</v>
      </c>
      <c r="X9" s="14">
        <v>50</v>
      </c>
      <c r="Y9" s="14">
        <v>0</v>
      </c>
      <c r="Z9" s="14">
        <v>100000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50</v>
      </c>
      <c r="AI9" s="14">
        <v>1</v>
      </c>
    </row>
    <row r="10" spans="1:35" s="1" customFormat="1" x14ac:dyDescent="0.25">
      <c r="A10" s="1" t="s">
        <v>69</v>
      </c>
      <c r="B10" s="24">
        <v>29.2</v>
      </c>
      <c r="C10" s="7" t="s">
        <v>28</v>
      </c>
      <c r="F10" t="s">
        <v>51</v>
      </c>
      <c r="G10" s="12">
        <v>0</v>
      </c>
      <c r="H10" s="7" t="s">
        <v>53</v>
      </c>
      <c r="I10" t="s">
        <v>86</v>
      </c>
      <c r="J10" s="14">
        <v>5</v>
      </c>
      <c r="K10" s="14">
        <v>-5</v>
      </c>
      <c r="L10" s="14" t="s">
        <v>64</v>
      </c>
      <c r="M10" s="14" t="str">
        <f t="shared" si="0"/>
        <v>API sand</v>
      </c>
      <c r="N10" s="14">
        <v>11</v>
      </c>
      <c r="O10" s="21">
        <v>0</v>
      </c>
      <c r="P10" s="14">
        <v>0</v>
      </c>
      <c r="Q10" s="14">
        <v>42.5</v>
      </c>
      <c r="R10" s="29">
        <f t="shared" si="1"/>
        <v>28.333333333333332</v>
      </c>
      <c r="S10" s="14">
        <v>0.8</v>
      </c>
      <c r="T10" s="14">
        <v>0</v>
      </c>
      <c r="U10" s="14">
        <v>0</v>
      </c>
      <c r="V10" s="14">
        <v>0</v>
      </c>
      <c r="W10" s="14">
        <v>0</v>
      </c>
      <c r="X10" s="14">
        <v>85</v>
      </c>
      <c r="Y10" s="14">
        <v>0</v>
      </c>
      <c r="Z10" s="14">
        <v>8000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50</v>
      </c>
      <c r="AI10" s="14">
        <v>1</v>
      </c>
    </row>
    <row r="11" spans="1:35" x14ac:dyDescent="0.25">
      <c r="A11" t="s">
        <v>70</v>
      </c>
      <c r="B11" s="11">
        <v>1</v>
      </c>
      <c r="C11" s="7" t="s">
        <v>28</v>
      </c>
      <c r="F11" t="s">
        <v>52</v>
      </c>
      <c r="G11" s="12">
        <v>0</v>
      </c>
      <c r="H11" s="7" t="s">
        <v>53</v>
      </c>
      <c r="I11" t="s">
        <v>86</v>
      </c>
      <c r="J11" s="14">
        <v>6</v>
      </c>
      <c r="K11" s="14">
        <v>-10</v>
      </c>
      <c r="L11" s="14" t="s">
        <v>64</v>
      </c>
      <c r="M11" s="14" t="str">
        <f t="shared" si="0"/>
        <v>API sand</v>
      </c>
      <c r="N11" s="14">
        <v>11</v>
      </c>
      <c r="O11" s="21">
        <v>0</v>
      </c>
      <c r="P11" s="14">
        <v>0</v>
      </c>
      <c r="Q11" s="14">
        <v>42.5</v>
      </c>
      <c r="R11" s="29">
        <f t="shared" si="1"/>
        <v>28.333333333333332</v>
      </c>
      <c r="S11" s="14">
        <v>0.8</v>
      </c>
      <c r="T11" s="14">
        <v>0</v>
      </c>
      <c r="U11" s="14">
        <v>0</v>
      </c>
      <c r="V11" s="14">
        <v>0</v>
      </c>
      <c r="W11" s="14">
        <v>0</v>
      </c>
      <c r="X11" s="14">
        <v>90</v>
      </c>
      <c r="Y11" s="14">
        <v>0</v>
      </c>
      <c r="Z11" s="14">
        <v>10000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50</v>
      </c>
      <c r="AI11" s="14">
        <v>1</v>
      </c>
    </row>
    <row r="12" spans="1:35" x14ac:dyDescent="0.25">
      <c r="A12" t="s">
        <v>74</v>
      </c>
      <c r="B12" s="11">
        <v>8</v>
      </c>
      <c r="C12" s="7" t="s">
        <v>28</v>
      </c>
      <c r="E12" s="12"/>
      <c r="F12" s="1"/>
      <c r="G12" s="1"/>
      <c r="H12" s="1"/>
      <c r="I12" t="s">
        <v>86</v>
      </c>
      <c r="J12" s="14">
        <v>7</v>
      </c>
      <c r="K12" s="14">
        <v>-20</v>
      </c>
      <c r="L12" s="14" t="s">
        <v>64</v>
      </c>
      <c r="M12" s="14" t="str">
        <f t="shared" si="0"/>
        <v>API sand</v>
      </c>
      <c r="N12" s="14">
        <v>11</v>
      </c>
      <c r="O12" s="21">
        <v>0</v>
      </c>
      <c r="P12" s="14">
        <v>0</v>
      </c>
      <c r="Q12" s="14">
        <v>42.5</v>
      </c>
      <c r="R12" s="29">
        <f t="shared" si="1"/>
        <v>28.333333333333332</v>
      </c>
      <c r="S12" s="14">
        <v>0.8</v>
      </c>
      <c r="T12" s="14">
        <v>0</v>
      </c>
      <c r="U12" s="14">
        <v>0</v>
      </c>
      <c r="V12" s="14">
        <v>0</v>
      </c>
      <c r="W12" s="14">
        <v>0</v>
      </c>
      <c r="X12" s="14">
        <v>95</v>
      </c>
      <c r="Y12" s="14">
        <v>0</v>
      </c>
      <c r="Z12" s="14">
        <v>11000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50</v>
      </c>
      <c r="AI12" s="14">
        <v>1</v>
      </c>
    </row>
    <row r="13" spans="1:35" x14ac:dyDescent="0.25">
      <c r="A13" t="s">
        <v>42</v>
      </c>
      <c r="B13" s="11">
        <v>78</v>
      </c>
      <c r="C13" s="7" t="s">
        <v>46</v>
      </c>
      <c r="E13" s="12"/>
      <c r="F13" s="15" t="s">
        <v>55</v>
      </c>
      <c r="I13" t="s">
        <v>86</v>
      </c>
      <c r="J13" s="14">
        <v>8</v>
      </c>
      <c r="K13" s="14">
        <v>-30</v>
      </c>
      <c r="L13" s="14" t="s">
        <v>64</v>
      </c>
      <c r="M13" s="14" t="str">
        <f t="shared" si="0"/>
        <v>API sand</v>
      </c>
      <c r="N13" s="14">
        <v>11</v>
      </c>
      <c r="O13" s="21">
        <v>0</v>
      </c>
      <c r="P13" s="14">
        <v>0</v>
      </c>
      <c r="Q13" s="14">
        <v>42.5</v>
      </c>
      <c r="R13" s="29">
        <f t="shared" si="1"/>
        <v>28.333333333333332</v>
      </c>
      <c r="S13" s="14">
        <v>0.8</v>
      </c>
      <c r="T13" s="14">
        <v>0</v>
      </c>
      <c r="U13" s="14">
        <v>0</v>
      </c>
      <c r="V13" s="14">
        <v>0</v>
      </c>
      <c r="W13" s="14">
        <v>0</v>
      </c>
      <c r="X13" s="14">
        <v>95</v>
      </c>
      <c r="Y13" s="14">
        <v>0</v>
      </c>
      <c r="Z13" s="14">
        <v>11000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50</v>
      </c>
      <c r="AI13" s="14">
        <v>1</v>
      </c>
    </row>
    <row r="14" spans="1:35" x14ac:dyDescent="0.25">
      <c r="A14" t="s">
        <v>43</v>
      </c>
      <c r="B14" s="12">
        <v>355000</v>
      </c>
      <c r="C14" s="7" t="s">
        <v>47</v>
      </c>
      <c r="F14" t="s">
        <v>56</v>
      </c>
      <c r="G14" s="17" t="s">
        <v>57</v>
      </c>
      <c r="H14" s="7" t="s">
        <v>63</v>
      </c>
      <c r="I14" t="s">
        <v>86</v>
      </c>
      <c r="J14" s="14">
        <v>9</v>
      </c>
      <c r="K14" s="14">
        <v>-40</v>
      </c>
      <c r="L14" s="14" t="s">
        <v>64</v>
      </c>
      <c r="M14" s="14" t="str">
        <f t="shared" si="0"/>
        <v>API sand</v>
      </c>
      <c r="N14" s="14">
        <v>11</v>
      </c>
      <c r="O14" s="21">
        <v>0</v>
      </c>
      <c r="P14" s="14">
        <v>0</v>
      </c>
      <c r="Q14" s="14">
        <v>42.5</v>
      </c>
      <c r="R14" s="29">
        <f t="shared" si="1"/>
        <v>28.333333333333332</v>
      </c>
      <c r="S14" s="14">
        <v>0.8</v>
      </c>
      <c r="T14" s="14">
        <v>0</v>
      </c>
      <c r="U14" s="14">
        <v>0</v>
      </c>
      <c r="V14" s="14">
        <v>0</v>
      </c>
      <c r="W14" s="14">
        <v>0</v>
      </c>
      <c r="X14" s="14">
        <v>100</v>
      </c>
      <c r="Y14" s="14">
        <v>0</v>
      </c>
      <c r="Z14" s="14">
        <v>12000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50</v>
      </c>
      <c r="AI14" s="14">
        <v>1</v>
      </c>
    </row>
    <row r="15" spans="1:35" s="1" customFormat="1" x14ac:dyDescent="0.25">
      <c r="A15" t="s">
        <v>44</v>
      </c>
      <c r="B15" s="25">
        <v>207000000</v>
      </c>
      <c r="C15" s="7" t="s">
        <v>47</v>
      </c>
      <c r="D15"/>
      <c r="E15"/>
      <c r="I15" t="s">
        <v>86</v>
      </c>
      <c r="J15" s="14">
        <v>10</v>
      </c>
      <c r="K15" s="14">
        <v>-46.5</v>
      </c>
      <c r="L15" s="14" t="s">
        <v>64</v>
      </c>
      <c r="M15" s="14" t="str">
        <f t="shared" si="0"/>
        <v>API sand</v>
      </c>
      <c r="N15" s="14">
        <v>11</v>
      </c>
      <c r="O15" s="21">
        <v>0</v>
      </c>
      <c r="P15" s="14">
        <v>0</v>
      </c>
      <c r="Q15" s="14">
        <v>42.5</v>
      </c>
      <c r="R15" s="29">
        <f t="shared" si="1"/>
        <v>28.333333333333332</v>
      </c>
      <c r="S15" s="14">
        <v>0.8</v>
      </c>
      <c r="T15" s="14">
        <v>0</v>
      </c>
      <c r="U15" s="14">
        <v>0</v>
      </c>
      <c r="V15" s="14">
        <v>0</v>
      </c>
      <c r="W15" s="14">
        <v>0</v>
      </c>
      <c r="X15" s="14">
        <v>110</v>
      </c>
      <c r="Y15" s="14">
        <v>0</v>
      </c>
      <c r="Z15" s="14">
        <v>15000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50</v>
      </c>
      <c r="AI15" s="14">
        <v>1</v>
      </c>
    </row>
    <row r="16" spans="1:35" x14ac:dyDescent="0.25">
      <c r="A16" t="s">
        <v>45</v>
      </c>
      <c r="B16" s="25">
        <v>79000000</v>
      </c>
      <c r="C16" s="7" t="s">
        <v>47</v>
      </c>
      <c r="I16" t="s">
        <v>86</v>
      </c>
      <c r="J16" s="14">
        <v>11</v>
      </c>
      <c r="K16" s="14">
        <v>-50</v>
      </c>
      <c r="L16" s="14" t="s">
        <v>64</v>
      </c>
      <c r="M16" s="14" t="str">
        <f t="shared" si="0"/>
        <v>API sand</v>
      </c>
      <c r="N16" s="14">
        <v>11</v>
      </c>
      <c r="O16" s="21">
        <v>0</v>
      </c>
      <c r="P16" s="14">
        <v>0</v>
      </c>
      <c r="Q16" s="14">
        <v>42.5</v>
      </c>
      <c r="R16" s="29">
        <f t="shared" si="1"/>
        <v>28.333333333333332</v>
      </c>
      <c r="S16" s="14">
        <v>0.8</v>
      </c>
      <c r="T16" s="14">
        <v>0</v>
      </c>
      <c r="U16" s="14">
        <v>0</v>
      </c>
      <c r="V16" s="14">
        <v>0</v>
      </c>
      <c r="W16" s="14">
        <v>0</v>
      </c>
      <c r="X16" s="14">
        <v>120</v>
      </c>
      <c r="Y16" s="14">
        <v>0</v>
      </c>
      <c r="Z16" s="14">
        <v>18000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50</v>
      </c>
      <c r="AI16" s="14">
        <v>1</v>
      </c>
    </row>
    <row r="17" spans="1:35" ht="30" x14ac:dyDescent="0.25">
      <c r="A17" s="2" t="s">
        <v>25</v>
      </c>
      <c r="B17" s="5" t="s">
        <v>26</v>
      </c>
      <c r="C17" s="5" t="s">
        <v>27</v>
      </c>
      <c r="D17" s="19"/>
      <c r="E17" s="19"/>
      <c r="I17" s="1"/>
      <c r="J17" s="14"/>
      <c r="K17" s="14"/>
      <c r="L17" s="14"/>
      <c r="M17" s="14"/>
      <c r="N17" s="14"/>
      <c r="O17" s="21"/>
      <c r="P17" s="14"/>
      <c r="Q17" s="14"/>
      <c r="R17" s="29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</row>
    <row r="18" spans="1:35" s="1" customFormat="1" x14ac:dyDescent="0.25">
      <c r="A18" s="28" t="s">
        <v>38</v>
      </c>
      <c r="B18" s="28" t="s">
        <v>30</v>
      </c>
      <c r="C18" s="28" t="s">
        <v>59</v>
      </c>
      <c r="D18" s="28"/>
      <c r="E18" s="28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</row>
    <row r="19" spans="1:35" x14ac:dyDescent="0.25">
      <c r="A19" s="13">
        <v>1</v>
      </c>
      <c r="B19" s="13">
        <f>B8</f>
        <v>0</v>
      </c>
      <c r="C19" s="13">
        <v>8.2000000000000003E-2</v>
      </c>
      <c r="D19" s="13"/>
      <c r="E19" s="13"/>
      <c r="J19" s="14"/>
      <c r="K19" s="14"/>
      <c r="L19" s="14"/>
      <c r="M19" s="14"/>
      <c r="N19" s="14"/>
      <c r="O19" s="21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21"/>
      <c r="AH19" s="14"/>
      <c r="AI19" s="14"/>
    </row>
    <row r="20" spans="1:35" x14ac:dyDescent="0.25">
      <c r="A20" s="4">
        <v>2</v>
      </c>
      <c r="B20" s="4">
        <v>1.4</v>
      </c>
      <c r="C20" s="4">
        <v>8.5000000000000006E-2</v>
      </c>
      <c r="D20" s="4"/>
      <c r="E20" s="2"/>
      <c r="O20" s="18"/>
      <c r="P20" s="13"/>
      <c r="Q20" s="13"/>
      <c r="R20" s="13"/>
      <c r="S20" s="13"/>
      <c r="T20" s="13"/>
      <c r="U20" s="13"/>
      <c r="V20" s="13"/>
      <c r="W20" s="13"/>
      <c r="Y20" s="13"/>
      <c r="AA20" s="13"/>
      <c r="AB20" s="13"/>
      <c r="AC20" s="13"/>
      <c r="AD20" s="13"/>
    </row>
    <row r="21" spans="1:35" x14ac:dyDescent="0.25">
      <c r="A21" s="4">
        <v>3</v>
      </c>
      <c r="B21" s="4">
        <v>7.4</v>
      </c>
      <c r="C21" s="4">
        <v>8.2000000000000003E-2</v>
      </c>
      <c r="D21" s="4"/>
    </row>
    <row r="22" spans="1:35" x14ac:dyDescent="0.25">
      <c r="A22" s="4">
        <v>4</v>
      </c>
      <c r="B22" s="4">
        <v>10.4</v>
      </c>
      <c r="C22" s="4">
        <v>7.4999999999999997E-2</v>
      </c>
      <c r="D22" s="4"/>
    </row>
    <row r="23" spans="1:35" x14ac:dyDescent="0.25">
      <c r="A23" s="2">
        <v>5</v>
      </c>
      <c r="B23" s="2">
        <v>13.4</v>
      </c>
      <c r="C23" s="2">
        <v>6.7000000000000004E-2</v>
      </c>
      <c r="D23" s="2"/>
    </row>
    <row r="24" spans="1:35" x14ac:dyDescent="0.25">
      <c r="A24" s="2"/>
      <c r="B24" s="2"/>
      <c r="C24" s="2"/>
      <c r="D24" s="2"/>
    </row>
    <row r="25" spans="1:35" x14ac:dyDescent="0.25">
      <c r="A25" s="4"/>
      <c r="B25" s="4"/>
      <c r="C25" s="4"/>
      <c r="D25" s="4"/>
    </row>
    <row r="26" spans="1:35" x14ac:dyDescent="0.25">
      <c r="A26" s="4"/>
      <c r="B26" s="4"/>
      <c r="C26" s="4"/>
      <c r="D26" s="4"/>
    </row>
    <row r="27" spans="1:35" x14ac:dyDescent="0.25">
      <c r="A27" s="4"/>
      <c r="B27" s="4"/>
      <c r="C27" s="4"/>
      <c r="D27" s="4"/>
    </row>
    <row r="28" spans="1:35" x14ac:dyDescent="0.25">
      <c r="A28" s="4"/>
      <c r="B28" s="4"/>
      <c r="C28" s="4"/>
      <c r="D28" s="4"/>
    </row>
    <row r="29" spans="1:35" x14ac:dyDescent="0.25">
      <c r="A29" s="4"/>
      <c r="B29" s="4"/>
      <c r="C29" s="4"/>
      <c r="D29" s="4"/>
    </row>
    <row r="30" spans="1:35" x14ac:dyDescent="0.25">
      <c r="A30" s="4"/>
      <c r="B30" s="4"/>
      <c r="C30" s="4"/>
      <c r="D30" s="4"/>
    </row>
    <row r="31" spans="1:35" x14ac:dyDescent="0.25">
      <c r="A31" s="4"/>
      <c r="B31" s="4"/>
      <c r="C31" s="4"/>
      <c r="D31" s="4"/>
    </row>
    <row r="32" spans="1:35" x14ac:dyDescent="0.25">
      <c r="A32" s="4"/>
      <c r="B32" s="4"/>
      <c r="C32" s="4"/>
      <c r="D32" s="4"/>
    </row>
  </sheetData>
  <mergeCells count="3">
    <mergeCell ref="R3:S3"/>
    <mergeCell ref="U3:V3"/>
    <mergeCell ref="AA3:AG3"/>
  </mergeCells>
  <pageMargins left="0.7" right="0.7" top="0.75" bottom="0.75" header="0.3" footer="0.3"/>
  <pageSetup paperSize="9" orientation="portrait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AI32"/>
  <sheetViews>
    <sheetView zoomScale="70" zoomScaleNormal="70" workbookViewId="0">
      <selection activeCell="Q6" sqref="Q6:Q16"/>
    </sheetView>
  </sheetViews>
  <sheetFormatPr defaultRowHeight="15" x14ac:dyDescent="0.25"/>
  <cols>
    <col min="1" max="1" width="19.5703125" bestFit="1" customWidth="1"/>
    <col min="2" max="3" width="14.5703125" customWidth="1"/>
    <col min="4" max="5" width="14" customWidth="1"/>
    <col min="6" max="6" width="13" bestFit="1" customWidth="1"/>
    <col min="7" max="7" width="9.5703125" bestFit="1" customWidth="1"/>
    <col min="8" max="8" width="11" bestFit="1" customWidth="1"/>
    <col min="9" max="9" width="15.7109375" bestFit="1" customWidth="1"/>
    <col min="10" max="10" width="10.140625" customWidth="1"/>
    <col min="11" max="11" width="9.5703125" customWidth="1"/>
    <col min="12" max="12" width="10.7109375" bestFit="1" customWidth="1"/>
    <col min="13" max="13" width="13.42578125" bestFit="1" customWidth="1"/>
    <col min="14" max="14" width="12.140625" bestFit="1" customWidth="1"/>
    <col min="15" max="15" width="7.140625" bestFit="1" customWidth="1"/>
    <col min="16" max="16" width="9.5703125" bestFit="1" customWidth="1"/>
    <col min="17" max="17" width="12.28515625" customWidth="1"/>
    <col min="18" max="18" width="10.5703125" bestFit="1" customWidth="1"/>
    <col min="19" max="19" width="6.5703125" customWidth="1"/>
    <col min="20" max="20" width="14.5703125" customWidth="1"/>
    <col min="21" max="21" width="10.85546875" bestFit="1" customWidth="1"/>
    <col min="22" max="22" width="17.28515625" bestFit="1" customWidth="1"/>
    <col min="23" max="23" width="18.140625" customWidth="1"/>
    <col min="24" max="24" width="19.28515625" customWidth="1"/>
    <col min="25" max="25" width="14.7109375" customWidth="1"/>
    <col min="26" max="26" width="14.28515625" customWidth="1"/>
    <col min="27" max="27" width="8.7109375" bestFit="1" customWidth="1"/>
    <col min="28" max="28" width="10" bestFit="1" customWidth="1"/>
    <col min="29" max="29" width="9.140625" bestFit="1" customWidth="1"/>
    <col min="30" max="30" width="6.5703125" bestFit="1" customWidth="1"/>
    <col min="31" max="31" width="11" bestFit="1" customWidth="1"/>
    <col min="32" max="32" width="7.7109375" bestFit="1" customWidth="1"/>
    <col min="33" max="33" width="4.85546875" bestFit="1" customWidth="1"/>
    <col min="34" max="34" width="13.42578125" bestFit="1" customWidth="1"/>
    <col min="35" max="35" width="14.85546875" bestFit="1" customWidth="1"/>
  </cols>
  <sheetData>
    <row r="1" spans="1:35" x14ac:dyDescent="0.25">
      <c r="A1" s="23" t="str">
        <f ca="1">TRIM(MID(CELL("filename",A1),FIND("]",CELL("filename",A1),1)+1,255))</f>
        <v>HS_E6_UB</v>
      </c>
      <c r="D1" s="23"/>
    </row>
    <row r="2" spans="1:35" x14ac:dyDescent="0.25"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5" s="2" customFormat="1" ht="45" customHeight="1" x14ac:dyDescent="0.25">
      <c r="F3" s="16" t="s">
        <v>39</v>
      </c>
      <c r="J3" s="26" t="s">
        <v>22</v>
      </c>
      <c r="Q3" s="30" t="s">
        <v>75</v>
      </c>
      <c r="R3" s="157" t="s">
        <v>78</v>
      </c>
      <c r="S3" s="157"/>
      <c r="T3" s="30" t="s">
        <v>81</v>
      </c>
      <c r="U3" s="157" t="s">
        <v>79</v>
      </c>
      <c r="V3" s="157"/>
      <c r="W3" s="30" t="s">
        <v>80</v>
      </c>
      <c r="X3" s="30" t="s">
        <v>78</v>
      </c>
      <c r="Y3" s="30" t="s">
        <v>82</v>
      </c>
      <c r="Z3" s="30" t="s">
        <v>83</v>
      </c>
      <c r="AA3" s="158" t="s">
        <v>76</v>
      </c>
      <c r="AB3" s="158"/>
      <c r="AC3" s="158"/>
      <c r="AD3" s="158"/>
      <c r="AE3" s="158"/>
      <c r="AF3" s="158"/>
      <c r="AG3" s="158"/>
      <c r="AH3" s="30" t="s">
        <v>77</v>
      </c>
      <c r="AI3" s="22" t="s">
        <v>71</v>
      </c>
    </row>
    <row r="4" spans="1:35" s="3" customFormat="1" x14ac:dyDescent="0.25">
      <c r="A4" s="6" t="s">
        <v>60</v>
      </c>
      <c r="B4" s="3">
        <f>COUNTIF(J:J,"&gt;0")</f>
        <v>11</v>
      </c>
      <c r="C4" s="8" t="s">
        <v>58</v>
      </c>
      <c r="D4" s="4"/>
      <c r="F4" s="3" t="s">
        <v>40</v>
      </c>
      <c r="G4" s="10">
        <v>0</v>
      </c>
      <c r="H4" s="8" t="s">
        <v>28</v>
      </c>
      <c r="J4" s="4" t="s">
        <v>0</v>
      </c>
      <c r="K4" s="4" t="s">
        <v>3</v>
      </c>
      <c r="L4" s="4" t="s">
        <v>1</v>
      </c>
      <c r="M4" s="4" t="s">
        <v>2</v>
      </c>
      <c r="N4" s="4" t="s">
        <v>6</v>
      </c>
      <c r="O4" s="4" t="s">
        <v>4</v>
      </c>
      <c r="P4" s="4" t="s">
        <v>5</v>
      </c>
      <c r="Q4" s="4" t="s">
        <v>7</v>
      </c>
      <c r="R4" s="4" t="s">
        <v>13</v>
      </c>
      <c r="S4" s="4" t="s">
        <v>73</v>
      </c>
      <c r="T4" s="4" t="s">
        <v>14</v>
      </c>
      <c r="U4" s="4" t="s">
        <v>8</v>
      </c>
      <c r="V4" s="4" t="s">
        <v>9</v>
      </c>
      <c r="W4" s="4" t="s">
        <v>10</v>
      </c>
      <c r="X4" s="4" t="s">
        <v>15</v>
      </c>
      <c r="Y4" s="4" t="s">
        <v>16</v>
      </c>
      <c r="Z4" s="4" t="s">
        <v>17</v>
      </c>
      <c r="AA4" s="4" t="s">
        <v>11</v>
      </c>
      <c r="AB4" s="4" t="s">
        <v>12</v>
      </c>
      <c r="AC4" s="4" t="s">
        <v>18</v>
      </c>
      <c r="AD4" s="4" t="s">
        <v>19</v>
      </c>
      <c r="AE4" s="4" t="s">
        <v>37</v>
      </c>
      <c r="AF4" s="4" t="s">
        <v>20</v>
      </c>
      <c r="AG4" s="4" t="s">
        <v>21</v>
      </c>
      <c r="AH4" s="4" t="s">
        <v>66</v>
      </c>
      <c r="AI4" s="4" t="s">
        <v>72</v>
      </c>
    </row>
    <row r="5" spans="1:35" ht="17.25" x14ac:dyDescent="0.25">
      <c r="A5" t="s">
        <v>61</v>
      </c>
      <c r="B5">
        <f ca="1">COUNTIF(A:A,"&gt;0")</f>
        <v>5</v>
      </c>
      <c r="C5" s="7" t="s">
        <v>58</v>
      </c>
      <c r="F5" t="s">
        <v>41</v>
      </c>
      <c r="G5" s="11">
        <v>0</v>
      </c>
      <c r="H5" s="7" t="s">
        <v>28</v>
      </c>
      <c r="J5" s="31" t="s">
        <v>38</v>
      </c>
      <c r="K5" s="31" t="s">
        <v>30</v>
      </c>
      <c r="L5" s="31" t="s">
        <v>31</v>
      </c>
      <c r="M5" s="31" t="s">
        <v>31</v>
      </c>
      <c r="N5" s="31" t="s">
        <v>32</v>
      </c>
      <c r="O5" s="31" t="s">
        <v>33</v>
      </c>
      <c r="P5" s="31" t="s">
        <v>35</v>
      </c>
      <c r="Q5" s="31" t="s">
        <v>36</v>
      </c>
      <c r="R5" s="31" t="s">
        <v>36</v>
      </c>
      <c r="S5" s="31" t="s">
        <v>34</v>
      </c>
      <c r="T5" s="31" t="s">
        <v>33</v>
      </c>
      <c r="U5" s="31" t="s">
        <v>34</v>
      </c>
      <c r="V5" s="31" t="s">
        <v>62</v>
      </c>
      <c r="W5" s="31" t="s">
        <v>34</v>
      </c>
      <c r="X5" s="31" t="s">
        <v>33</v>
      </c>
      <c r="Y5" s="31" t="s">
        <v>34</v>
      </c>
      <c r="Z5" s="31" t="s">
        <v>33</v>
      </c>
      <c r="AA5" s="31" t="s">
        <v>33</v>
      </c>
      <c r="AB5" s="31" t="s">
        <v>35</v>
      </c>
      <c r="AC5" s="31" t="s">
        <v>34</v>
      </c>
      <c r="AD5" s="31" t="s">
        <v>33</v>
      </c>
      <c r="AE5" s="31" t="s">
        <v>35</v>
      </c>
      <c r="AF5" s="31" t="s">
        <v>34</v>
      </c>
      <c r="AG5" s="31" t="s">
        <v>34</v>
      </c>
      <c r="AH5" s="31" t="s">
        <v>34</v>
      </c>
      <c r="AI5" s="31" t="s">
        <v>34</v>
      </c>
    </row>
    <row r="6" spans="1:35" x14ac:dyDescent="0.25">
      <c r="C6" s="7"/>
      <c r="F6" t="s">
        <v>67</v>
      </c>
      <c r="G6" s="11">
        <v>36</v>
      </c>
      <c r="H6" s="7" t="s">
        <v>28</v>
      </c>
      <c r="I6" t="s">
        <v>84</v>
      </c>
      <c r="J6" s="14">
        <v>1</v>
      </c>
      <c r="K6" s="14">
        <v>0</v>
      </c>
      <c r="L6" s="14" t="s">
        <v>64</v>
      </c>
      <c r="M6" s="14" t="str">
        <f>L6</f>
        <v>API sand</v>
      </c>
      <c r="N6" s="14">
        <v>9</v>
      </c>
      <c r="O6" s="21">
        <v>0</v>
      </c>
      <c r="P6" s="14">
        <v>0</v>
      </c>
      <c r="Q6" s="14">
        <v>30.250000000000004</v>
      </c>
      <c r="R6" s="29">
        <f>2/3*Q6</f>
        <v>20.166666666666668</v>
      </c>
      <c r="S6" s="14">
        <v>0.8</v>
      </c>
      <c r="T6" s="14">
        <v>0</v>
      </c>
      <c r="U6" s="14">
        <v>0</v>
      </c>
      <c r="V6" s="14">
        <v>0</v>
      </c>
      <c r="W6" s="14">
        <v>0</v>
      </c>
      <c r="X6" s="14">
        <v>10000</v>
      </c>
      <c r="Y6" s="14">
        <v>0</v>
      </c>
      <c r="Z6" s="14">
        <v>100000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8</v>
      </c>
      <c r="AI6" s="14">
        <v>1</v>
      </c>
    </row>
    <row r="7" spans="1:35" x14ac:dyDescent="0.25">
      <c r="A7" s="15" t="s">
        <v>23</v>
      </c>
      <c r="C7" s="7"/>
      <c r="F7" s="20" t="s">
        <v>48</v>
      </c>
      <c r="G7" s="1"/>
      <c r="H7" s="9"/>
      <c r="I7" s="1" t="s">
        <v>89</v>
      </c>
      <c r="J7" s="14">
        <v>2</v>
      </c>
      <c r="K7" s="14">
        <v>-1.2</v>
      </c>
      <c r="L7" s="14" t="s">
        <v>64</v>
      </c>
      <c r="M7" s="14" t="str">
        <f>L7</f>
        <v>API sand</v>
      </c>
      <c r="N7" s="14">
        <v>10</v>
      </c>
      <c r="O7" s="21">
        <v>0</v>
      </c>
      <c r="P7" s="14">
        <v>0</v>
      </c>
      <c r="Q7" s="14">
        <v>35.75</v>
      </c>
      <c r="R7" s="29">
        <f>2/3*Q7</f>
        <v>23.833333333333332</v>
      </c>
      <c r="S7" s="14">
        <v>0.8</v>
      </c>
      <c r="T7" s="14">
        <v>0</v>
      </c>
      <c r="U7" s="14">
        <v>0</v>
      </c>
      <c r="V7" s="14">
        <v>0</v>
      </c>
      <c r="W7" s="14">
        <v>0</v>
      </c>
      <c r="X7" s="14">
        <v>20</v>
      </c>
      <c r="Y7" s="14">
        <v>0</v>
      </c>
      <c r="Z7" s="14">
        <v>100000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12</v>
      </c>
      <c r="AI7" s="14">
        <v>1</v>
      </c>
    </row>
    <row r="8" spans="1:35" x14ac:dyDescent="0.25">
      <c r="A8" t="s">
        <v>24</v>
      </c>
      <c r="B8" s="11">
        <v>0</v>
      </c>
      <c r="C8" s="7" t="s">
        <v>29</v>
      </c>
      <c r="F8" t="s">
        <v>49</v>
      </c>
      <c r="G8" s="12">
        <v>5580</v>
      </c>
      <c r="H8" s="7" t="s">
        <v>53</v>
      </c>
      <c r="I8" t="s">
        <v>88</v>
      </c>
      <c r="J8" s="14">
        <v>3</v>
      </c>
      <c r="K8" s="14">
        <v>-3.8</v>
      </c>
      <c r="L8" s="14" t="s">
        <v>64</v>
      </c>
      <c r="M8" s="14" t="str">
        <f t="shared" ref="M8:M16" si="0">L8</f>
        <v>API sand</v>
      </c>
      <c r="N8" s="14">
        <v>11</v>
      </c>
      <c r="O8" s="21">
        <v>0</v>
      </c>
      <c r="P8" s="14">
        <v>0</v>
      </c>
      <c r="Q8" s="14">
        <v>41.25</v>
      </c>
      <c r="R8" s="29">
        <f t="shared" ref="R8:R16" si="1">2/3*Q8</f>
        <v>27.5</v>
      </c>
      <c r="S8" s="14">
        <v>0.8</v>
      </c>
      <c r="T8" s="14">
        <v>0</v>
      </c>
      <c r="U8" s="14">
        <v>0</v>
      </c>
      <c r="V8" s="14">
        <v>0</v>
      </c>
      <c r="W8" s="14">
        <v>0</v>
      </c>
      <c r="X8" s="14">
        <v>35</v>
      </c>
      <c r="Y8" s="14">
        <v>0</v>
      </c>
      <c r="Z8" s="14">
        <v>100000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40</v>
      </c>
      <c r="AI8" s="14">
        <v>1</v>
      </c>
    </row>
    <row r="9" spans="1:35" x14ac:dyDescent="0.25">
      <c r="A9" t="s">
        <v>68</v>
      </c>
      <c r="B9" s="11">
        <v>40</v>
      </c>
      <c r="C9" s="7" t="s">
        <v>28</v>
      </c>
      <c r="F9" t="s">
        <v>50</v>
      </c>
      <c r="G9" s="12">
        <v>-426700</v>
      </c>
      <c r="H9" s="7" t="s">
        <v>54</v>
      </c>
      <c r="I9" t="s">
        <v>86</v>
      </c>
      <c r="J9" s="14">
        <v>4</v>
      </c>
      <c r="K9" s="14">
        <v>-4.4000000000000004</v>
      </c>
      <c r="L9" s="14" t="s">
        <v>64</v>
      </c>
      <c r="M9" s="14" t="str">
        <f t="shared" si="0"/>
        <v>API sand</v>
      </c>
      <c r="N9" s="14">
        <v>11</v>
      </c>
      <c r="O9" s="21">
        <v>0</v>
      </c>
      <c r="P9" s="14">
        <v>0</v>
      </c>
      <c r="Q9" s="14">
        <v>46.750000000000007</v>
      </c>
      <c r="R9" s="29">
        <f t="shared" si="1"/>
        <v>31.166666666666671</v>
      </c>
      <c r="S9" s="14">
        <v>0.8</v>
      </c>
      <c r="T9" s="14">
        <v>0</v>
      </c>
      <c r="U9" s="14">
        <v>0</v>
      </c>
      <c r="V9" s="14">
        <v>0</v>
      </c>
      <c r="W9" s="14">
        <v>0</v>
      </c>
      <c r="X9" s="14">
        <v>50</v>
      </c>
      <c r="Y9" s="14">
        <v>0</v>
      </c>
      <c r="Z9" s="14">
        <v>100000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50</v>
      </c>
      <c r="AI9" s="14">
        <v>1</v>
      </c>
    </row>
    <row r="10" spans="1:35" s="1" customFormat="1" x14ac:dyDescent="0.25">
      <c r="A10" s="1" t="s">
        <v>69</v>
      </c>
      <c r="B10" s="24">
        <v>40</v>
      </c>
      <c r="C10" s="7" t="s">
        <v>28</v>
      </c>
      <c r="F10" t="s">
        <v>51</v>
      </c>
      <c r="G10" s="12">
        <v>0</v>
      </c>
      <c r="H10" s="7" t="s">
        <v>53</v>
      </c>
      <c r="I10" t="s">
        <v>86</v>
      </c>
      <c r="J10" s="14">
        <v>5</v>
      </c>
      <c r="K10" s="14">
        <v>-5</v>
      </c>
      <c r="L10" s="14" t="s">
        <v>64</v>
      </c>
      <c r="M10" s="14" t="str">
        <f t="shared" si="0"/>
        <v>API sand</v>
      </c>
      <c r="N10" s="14">
        <v>11</v>
      </c>
      <c r="O10" s="21">
        <v>0</v>
      </c>
      <c r="P10" s="14">
        <v>0</v>
      </c>
      <c r="Q10" s="14">
        <v>46.750000000000007</v>
      </c>
      <c r="R10" s="29">
        <f t="shared" si="1"/>
        <v>31.166666666666671</v>
      </c>
      <c r="S10" s="14">
        <v>0.8</v>
      </c>
      <c r="T10" s="14">
        <v>0</v>
      </c>
      <c r="U10" s="14">
        <v>0</v>
      </c>
      <c r="V10" s="14">
        <v>0</v>
      </c>
      <c r="W10" s="14">
        <v>0</v>
      </c>
      <c r="X10" s="14">
        <v>85</v>
      </c>
      <c r="Y10" s="14">
        <v>0</v>
      </c>
      <c r="Z10" s="14">
        <v>8000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50</v>
      </c>
      <c r="AI10" s="14">
        <v>1</v>
      </c>
    </row>
    <row r="11" spans="1:35" x14ac:dyDescent="0.25">
      <c r="A11" t="s">
        <v>70</v>
      </c>
      <c r="B11" s="11">
        <v>1</v>
      </c>
      <c r="C11" s="7" t="s">
        <v>28</v>
      </c>
      <c r="F11" t="s">
        <v>52</v>
      </c>
      <c r="G11" s="12">
        <v>0</v>
      </c>
      <c r="H11" s="7" t="s">
        <v>53</v>
      </c>
      <c r="I11" t="s">
        <v>86</v>
      </c>
      <c r="J11" s="14">
        <v>6</v>
      </c>
      <c r="K11" s="14">
        <v>-10</v>
      </c>
      <c r="L11" s="14" t="s">
        <v>64</v>
      </c>
      <c r="M11" s="14" t="str">
        <f t="shared" si="0"/>
        <v>API sand</v>
      </c>
      <c r="N11" s="14">
        <v>11</v>
      </c>
      <c r="O11" s="21">
        <v>0</v>
      </c>
      <c r="P11" s="14">
        <v>0</v>
      </c>
      <c r="Q11" s="14">
        <v>46.750000000000007</v>
      </c>
      <c r="R11" s="29">
        <f t="shared" si="1"/>
        <v>31.166666666666671</v>
      </c>
      <c r="S11" s="14">
        <v>0.8</v>
      </c>
      <c r="T11" s="14">
        <v>0</v>
      </c>
      <c r="U11" s="14">
        <v>0</v>
      </c>
      <c r="V11" s="14">
        <v>0</v>
      </c>
      <c r="W11" s="14">
        <v>0</v>
      </c>
      <c r="X11" s="14">
        <v>90</v>
      </c>
      <c r="Y11" s="14">
        <v>0</v>
      </c>
      <c r="Z11" s="14">
        <v>10000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50</v>
      </c>
      <c r="AI11" s="14">
        <v>1</v>
      </c>
    </row>
    <row r="12" spans="1:35" x14ac:dyDescent="0.25">
      <c r="A12" t="s">
        <v>74</v>
      </c>
      <c r="B12" s="11">
        <v>8</v>
      </c>
      <c r="C12" s="7" t="s">
        <v>28</v>
      </c>
      <c r="E12" s="12"/>
      <c r="F12" s="1"/>
      <c r="G12" s="1"/>
      <c r="H12" s="1"/>
      <c r="I12" t="s">
        <v>86</v>
      </c>
      <c r="J12" s="14">
        <v>7</v>
      </c>
      <c r="K12" s="14">
        <v>-20</v>
      </c>
      <c r="L12" s="14" t="s">
        <v>64</v>
      </c>
      <c r="M12" s="14" t="str">
        <f t="shared" si="0"/>
        <v>API sand</v>
      </c>
      <c r="N12" s="14">
        <v>11</v>
      </c>
      <c r="O12" s="21">
        <v>0</v>
      </c>
      <c r="P12" s="14">
        <v>0</v>
      </c>
      <c r="Q12" s="14">
        <v>46.750000000000007</v>
      </c>
      <c r="R12" s="29">
        <f t="shared" si="1"/>
        <v>31.166666666666671</v>
      </c>
      <c r="S12" s="14">
        <v>0.8</v>
      </c>
      <c r="T12" s="14">
        <v>0</v>
      </c>
      <c r="U12" s="14">
        <v>0</v>
      </c>
      <c r="V12" s="14">
        <v>0</v>
      </c>
      <c r="W12" s="14">
        <v>0</v>
      </c>
      <c r="X12" s="14">
        <v>95</v>
      </c>
      <c r="Y12" s="14">
        <v>0</v>
      </c>
      <c r="Z12" s="14">
        <v>11000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50</v>
      </c>
      <c r="AI12" s="14">
        <v>1</v>
      </c>
    </row>
    <row r="13" spans="1:35" x14ac:dyDescent="0.25">
      <c r="A13" t="s">
        <v>42</v>
      </c>
      <c r="B13" s="11">
        <v>78</v>
      </c>
      <c r="C13" s="7" t="s">
        <v>46</v>
      </c>
      <c r="E13" s="12"/>
      <c r="F13" s="15" t="s">
        <v>55</v>
      </c>
      <c r="I13" t="s">
        <v>86</v>
      </c>
      <c r="J13" s="14">
        <v>8</v>
      </c>
      <c r="K13" s="14">
        <v>-30</v>
      </c>
      <c r="L13" s="14" t="s">
        <v>64</v>
      </c>
      <c r="M13" s="14" t="str">
        <f t="shared" si="0"/>
        <v>API sand</v>
      </c>
      <c r="N13" s="14">
        <v>11</v>
      </c>
      <c r="O13" s="21">
        <v>0</v>
      </c>
      <c r="P13" s="14">
        <v>0</v>
      </c>
      <c r="Q13" s="14">
        <v>46.750000000000007</v>
      </c>
      <c r="R13" s="29">
        <f t="shared" si="1"/>
        <v>31.166666666666671</v>
      </c>
      <c r="S13" s="14">
        <v>0.8</v>
      </c>
      <c r="T13" s="14">
        <v>0</v>
      </c>
      <c r="U13" s="14">
        <v>0</v>
      </c>
      <c r="V13" s="14">
        <v>0</v>
      </c>
      <c r="W13" s="14">
        <v>0</v>
      </c>
      <c r="X13" s="14">
        <v>95</v>
      </c>
      <c r="Y13" s="14">
        <v>0</v>
      </c>
      <c r="Z13" s="14">
        <v>11000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50</v>
      </c>
      <c r="AI13" s="14">
        <v>1</v>
      </c>
    </row>
    <row r="14" spans="1:35" x14ac:dyDescent="0.25">
      <c r="A14" t="s">
        <v>43</v>
      </c>
      <c r="B14" s="12">
        <v>355000</v>
      </c>
      <c r="C14" s="7" t="s">
        <v>47</v>
      </c>
      <c r="F14" t="s">
        <v>56</v>
      </c>
      <c r="G14" s="17" t="s">
        <v>57</v>
      </c>
      <c r="H14" s="7" t="s">
        <v>63</v>
      </c>
      <c r="I14" t="s">
        <v>86</v>
      </c>
      <c r="J14" s="14">
        <v>9</v>
      </c>
      <c r="K14" s="14">
        <v>-40</v>
      </c>
      <c r="L14" s="14" t="s">
        <v>64</v>
      </c>
      <c r="M14" s="14" t="str">
        <f t="shared" si="0"/>
        <v>API sand</v>
      </c>
      <c r="N14" s="14">
        <v>11</v>
      </c>
      <c r="O14" s="21">
        <v>0</v>
      </c>
      <c r="P14" s="14">
        <v>0</v>
      </c>
      <c r="Q14" s="14">
        <v>46.750000000000007</v>
      </c>
      <c r="R14" s="29">
        <f t="shared" si="1"/>
        <v>31.166666666666671</v>
      </c>
      <c r="S14" s="14">
        <v>0.8</v>
      </c>
      <c r="T14" s="14">
        <v>0</v>
      </c>
      <c r="U14" s="14">
        <v>0</v>
      </c>
      <c r="V14" s="14">
        <v>0</v>
      </c>
      <c r="W14" s="14">
        <v>0</v>
      </c>
      <c r="X14" s="14">
        <v>100</v>
      </c>
      <c r="Y14" s="14">
        <v>0</v>
      </c>
      <c r="Z14" s="14">
        <v>12000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50</v>
      </c>
      <c r="AI14" s="14">
        <v>1</v>
      </c>
    </row>
    <row r="15" spans="1:35" s="1" customFormat="1" x14ac:dyDescent="0.25">
      <c r="A15" t="s">
        <v>44</v>
      </c>
      <c r="B15" s="25">
        <v>207000000</v>
      </c>
      <c r="C15" s="7" t="s">
        <v>47</v>
      </c>
      <c r="D15"/>
      <c r="E15"/>
      <c r="I15" t="s">
        <v>86</v>
      </c>
      <c r="J15" s="14">
        <v>10</v>
      </c>
      <c r="K15" s="14">
        <v>-46.5</v>
      </c>
      <c r="L15" s="14" t="s">
        <v>64</v>
      </c>
      <c r="M15" s="14" t="str">
        <f t="shared" si="0"/>
        <v>API sand</v>
      </c>
      <c r="N15" s="14">
        <v>11</v>
      </c>
      <c r="O15" s="21">
        <v>0</v>
      </c>
      <c r="P15" s="14">
        <v>0</v>
      </c>
      <c r="Q15" s="14">
        <v>46.750000000000007</v>
      </c>
      <c r="R15" s="29">
        <f t="shared" si="1"/>
        <v>31.166666666666671</v>
      </c>
      <c r="S15" s="14">
        <v>0.8</v>
      </c>
      <c r="T15" s="14">
        <v>0</v>
      </c>
      <c r="U15" s="14">
        <v>0</v>
      </c>
      <c r="V15" s="14">
        <v>0</v>
      </c>
      <c r="W15" s="14">
        <v>0</v>
      </c>
      <c r="X15" s="14">
        <v>110</v>
      </c>
      <c r="Y15" s="14">
        <v>0</v>
      </c>
      <c r="Z15" s="14">
        <v>15000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50</v>
      </c>
      <c r="AI15" s="14">
        <v>1</v>
      </c>
    </row>
    <row r="16" spans="1:35" x14ac:dyDescent="0.25">
      <c r="A16" t="s">
        <v>45</v>
      </c>
      <c r="B16" s="25">
        <v>79000000</v>
      </c>
      <c r="C16" s="7" t="s">
        <v>47</v>
      </c>
      <c r="I16" t="s">
        <v>86</v>
      </c>
      <c r="J16" s="14">
        <v>11</v>
      </c>
      <c r="K16" s="14">
        <v>-50</v>
      </c>
      <c r="L16" s="14" t="s">
        <v>64</v>
      </c>
      <c r="M16" s="14" t="str">
        <f t="shared" si="0"/>
        <v>API sand</v>
      </c>
      <c r="N16" s="14">
        <v>11</v>
      </c>
      <c r="O16" s="21">
        <v>0</v>
      </c>
      <c r="P16" s="14">
        <v>0</v>
      </c>
      <c r="Q16" s="14">
        <v>46.750000000000007</v>
      </c>
      <c r="R16" s="29">
        <f t="shared" si="1"/>
        <v>31.166666666666671</v>
      </c>
      <c r="S16" s="14">
        <v>0.8</v>
      </c>
      <c r="T16" s="14">
        <v>0</v>
      </c>
      <c r="U16" s="14">
        <v>0</v>
      </c>
      <c r="V16" s="14">
        <v>0</v>
      </c>
      <c r="W16" s="14">
        <v>0</v>
      </c>
      <c r="X16" s="14">
        <v>120</v>
      </c>
      <c r="Y16" s="14">
        <v>0</v>
      </c>
      <c r="Z16" s="14">
        <v>18000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50</v>
      </c>
      <c r="AI16" s="14">
        <v>1</v>
      </c>
    </row>
    <row r="17" spans="1:35" ht="30" x14ac:dyDescent="0.25">
      <c r="A17" s="2" t="s">
        <v>25</v>
      </c>
      <c r="B17" s="5" t="s">
        <v>26</v>
      </c>
      <c r="C17" s="5" t="s">
        <v>27</v>
      </c>
      <c r="D17" s="19"/>
      <c r="E17" s="19"/>
      <c r="I17" s="1"/>
      <c r="J17" s="14"/>
      <c r="K17" s="14"/>
      <c r="L17" s="14"/>
      <c r="M17" s="14"/>
      <c r="N17" s="14"/>
      <c r="O17" s="21"/>
      <c r="P17" s="14"/>
      <c r="Q17" s="14"/>
      <c r="R17" s="29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</row>
    <row r="18" spans="1:35" s="1" customFormat="1" x14ac:dyDescent="0.25">
      <c r="A18" s="31" t="s">
        <v>38</v>
      </c>
      <c r="B18" s="31" t="s">
        <v>30</v>
      </c>
      <c r="C18" s="31" t="s">
        <v>59</v>
      </c>
      <c r="D18" s="31"/>
      <c r="E18" s="31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</row>
    <row r="19" spans="1:35" x14ac:dyDescent="0.25">
      <c r="A19" s="13">
        <v>1</v>
      </c>
      <c r="B19" s="13">
        <f>B8</f>
        <v>0</v>
      </c>
      <c r="C19" s="13">
        <v>8.2000000000000003E-2</v>
      </c>
      <c r="D19" s="13"/>
      <c r="E19" s="13"/>
      <c r="J19" s="14"/>
      <c r="K19" s="14"/>
      <c r="L19" s="14"/>
      <c r="M19" s="14"/>
      <c r="N19" s="14"/>
      <c r="O19" s="21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21"/>
      <c r="AH19" s="14"/>
      <c r="AI19" s="14"/>
    </row>
    <row r="20" spans="1:35" x14ac:dyDescent="0.25">
      <c r="A20" s="4">
        <v>2</v>
      </c>
      <c r="B20" s="4">
        <v>1.4</v>
      </c>
      <c r="C20" s="4">
        <v>8.5000000000000006E-2</v>
      </c>
      <c r="D20" s="4"/>
      <c r="E20" s="2"/>
      <c r="O20" s="18"/>
      <c r="P20" s="13"/>
      <c r="Q20" s="13"/>
      <c r="R20" s="13"/>
      <c r="S20" s="13"/>
      <c r="T20" s="13"/>
      <c r="U20" s="13"/>
      <c r="V20" s="13"/>
      <c r="W20" s="13"/>
      <c r="Y20" s="13"/>
      <c r="AA20" s="13"/>
      <c r="AB20" s="13"/>
      <c r="AC20" s="13"/>
      <c r="AD20" s="13"/>
    </row>
    <row r="21" spans="1:35" x14ac:dyDescent="0.25">
      <c r="A21" s="4">
        <v>3</v>
      </c>
      <c r="B21" s="4">
        <v>7.4</v>
      </c>
      <c r="C21" s="4">
        <v>8.2000000000000003E-2</v>
      </c>
      <c r="D21" s="4"/>
    </row>
    <row r="22" spans="1:35" x14ac:dyDescent="0.25">
      <c r="A22" s="4">
        <v>4</v>
      </c>
      <c r="B22" s="4">
        <v>10.4</v>
      </c>
      <c r="C22" s="4">
        <v>7.4999999999999997E-2</v>
      </c>
      <c r="D22" s="4"/>
    </row>
    <row r="23" spans="1:35" x14ac:dyDescent="0.25">
      <c r="A23" s="2">
        <v>5</v>
      </c>
      <c r="B23" s="2">
        <v>13.4</v>
      </c>
      <c r="C23" s="2">
        <v>6.7000000000000004E-2</v>
      </c>
      <c r="D23" s="2"/>
    </row>
    <row r="24" spans="1:35" x14ac:dyDescent="0.25">
      <c r="A24" s="2"/>
      <c r="B24" s="2"/>
      <c r="C24" s="2"/>
      <c r="D24" s="2"/>
    </row>
    <row r="25" spans="1:35" x14ac:dyDescent="0.25">
      <c r="A25" s="4"/>
      <c r="B25" s="4"/>
      <c r="C25" s="4"/>
      <c r="D25" s="4"/>
    </row>
    <row r="26" spans="1:35" x14ac:dyDescent="0.25">
      <c r="A26" s="4"/>
      <c r="B26" s="4"/>
      <c r="C26" s="4"/>
      <c r="D26" s="4"/>
    </row>
    <row r="27" spans="1:35" x14ac:dyDescent="0.25">
      <c r="A27" s="4"/>
      <c r="B27" s="4"/>
      <c r="C27" s="4"/>
      <c r="D27" s="4"/>
    </row>
    <row r="28" spans="1:35" x14ac:dyDescent="0.25">
      <c r="A28" s="4"/>
      <c r="B28" s="4"/>
      <c r="C28" s="4"/>
      <c r="D28" s="4"/>
    </row>
    <row r="29" spans="1:35" x14ac:dyDescent="0.25">
      <c r="A29" s="4"/>
      <c r="B29" s="4"/>
      <c r="C29" s="4"/>
      <c r="D29" s="4"/>
    </row>
    <row r="30" spans="1:35" x14ac:dyDescent="0.25">
      <c r="A30" s="4"/>
      <c r="B30" s="4"/>
      <c r="C30" s="4"/>
      <c r="D30" s="4"/>
      <c r="R30" s="32"/>
      <c r="S30" s="32"/>
    </row>
    <row r="31" spans="1:35" x14ac:dyDescent="0.25">
      <c r="A31" s="4"/>
      <c r="B31" s="4"/>
      <c r="C31" s="4"/>
      <c r="D31" s="4"/>
    </row>
    <row r="32" spans="1:35" x14ac:dyDescent="0.25">
      <c r="A32" s="4"/>
      <c r="B32" s="4"/>
      <c r="C32" s="4"/>
      <c r="D32" s="4"/>
    </row>
  </sheetData>
  <mergeCells count="3">
    <mergeCell ref="R3:S3"/>
    <mergeCell ref="U3:V3"/>
    <mergeCell ref="AA3:AG3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138</vt:i4>
      </vt:variant>
    </vt:vector>
  </HeadingPairs>
  <TitlesOfParts>
    <vt:vector size="138" baseType="lpstr">
      <vt:lpstr>Zone_2_LE</vt:lpstr>
      <vt:lpstr>EW69_Ak_Pisa</vt:lpstr>
      <vt:lpstr>EW69_Ak_kirsch</vt:lpstr>
      <vt:lpstr>EW69_Ak_kirsch (2015)</vt:lpstr>
      <vt:lpstr>Ak_Pisa_BH-46</vt:lpstr>
      <vt:lpstr>Ak_kirsch_BH-46</vt:lpstr>
      <vt:lpstr>Ak_Pisa_BH-48</vt:lpstr>
      <vt:lpstr>Ak_kirsch_BH-48</vt:lpstr>
      <vt:lpstr>Ak_Pisa_BH-53 (RBB)</vt:lpstr>
      <vt:lpstr>Ak_Pisa_BH-53</vt:lpstr>
      <vt:lpstr>Ak_kirsch_BH-53</vt:lpstr>
      <vt:lpstr>Ak_Pisa_BH-55</vt:lpstr>
      <vt:lpstr>Ak_kirsch_BH-55</vt:lpstr>
      <vt:lpstr>Ak_Pisa_WTG8_ULSF</vt:lpstr>
      <vt:lpstr>Ak_Pisa_WTG8_RBB</vt:lpstr>
      <vt:lpstr>Ak_Pisa_WTG8</vt:lpstr>
      <vt:lpstr>Ak_kirsch_WTG8</vt:lpstr>
      <vt:lpstr>Ak_Pisa_WTG11_ULSF</vt:lpstr>
      <vt:lpstr>Ak_Pisa_WTG11_RBB</vt:lpstr>
      <vt:lpstr>Ak_Pisa_WTG11</vt:lpstr>
      <vt:lpstr>Ak_kirsch_WTG11</vt:lpstr>
      <vt:lpstr>Ak_Pisa_WTG12</vt:lpstr>
      <vt:lpstr>Ak_kirsch_WTG12</vt:lpstr>
      <vt:lpstr>Ak_Pisa_WTG30_ULSF</vt:lpstr>
      <vt:lpstr>Ak_Pisa_WTG30_RBB</vt:lpstr>
      <vt:lpstr>Ak_Pisa_WTG30</vt:lpstr>
      <vt:lpstr>Ak_kirsch_WTG30</vt:lpstr>
      <vt:lpstr>Ak_Pisa_WTG32</vt:lpstr>
      <vt:lpstr>Ak_kirsch_WTG32</vt:lpstr>
      <vt:lpstr>Ak_Pisa_WTG33_ULSF</vt:lpstr>
      <vt:lpstr>Ak_Pisa_WTG33_RBB</vt:lpstr>
      <vt:lpstr>Ak_Pisa_WTG33</vt:lpstr>
      <vt:lpstr>Ak_kirsch_WTG33</vt:lpstr>
      <vt:lpstr>Ak_Pisa_WTG34</vt:lpstr>
      <vt:lpstr>Ak_kirsch_WTG34</vt:lpstr>
      <vt:lpstr>Ak_Pisa_WTG50</vt:lpstr>
      <vt:lpstr>Ak_kirsch_WTG50</vt:lpstr>
      <vt:lpstr>Ak_Pisa_WTG57_ULSF</vt:lpstr>
      <vt:lpstr>Ak_Pisa_WTG57_RBB</vt:lpstr>
      <vt:lpstr>Ak_Pisa_WTG57</vt:lpstr>
      <vt:lpstr>Ak_kirsch_WTG57</vt:lpstr>
      <vt:lpstr>Ak_Pisa_WTG61_ULSF</vt:lpstr>
      <vt:lpstr>Ak_Pisa_WTG61_RBB</vt:lpstr>
      <vt:lpstr>Ak_Pisa_WTG61</vt:lpstr>
      <vt:lpstr>Ak_kirsch_WTG61</vt:lpstr>
      <vt:lpstr>Ak_Pisa_WTG66</vt:lpstr>
      <vt:lpstr>Ak_kirsch_WTG66</vt:lpstr>
      <vt:lpstr>Ak_Pisa_WTG1</vt:lpstr>
      <vt:lpstr>Ak_Pisa_WTG2</vt:lpstr>
      <vt:lpstr>Ak_Pisa_WTG3</vt:lpstr>
      <vt:lpstr>Ak_Pisa_WTG4</vt:lpstr>
      <vt:lpstr>Ak_Pisa_WTG5</vt:lpstr>
      <vt:lpstr>Ak_Pisa_WTG6</vt:lpstr>
      <vt:lpstr>Ak_Pisa_WTG7</vt:lpstr>
      <vt:lpstr>Ak_Pisa_WTG9</vt:lpstr>
      <vt:lpstr>Ak_Pisa_WTG10</vt:lpstr>
      <vt:lpstr>Ak_Pisa_WTG13</vt:lpstr>
      <vt:lpstr>Ak_Pisa_WTG14</vt:lpstr>
      <vt:lpstr>Ak_Pisa_WTG15</vt:lpstr>
      <vt:lpstr>Ak_Pisa_WTG16</vt:lpstr>
      <vt:lpstr>Ak_Pisa_WTG17</vt:lpstr>
      <vt:lpstr>Ak_Pisa_WTG18</vt:lpstr>
      <vt:lpstr>Ak_Pisa_WTG19</vt:lpstr>
      <vt:lpstr>Ak_Pisa_WTG20</vt:lpstr>
      <vt:lpstr>Ak_Pisa_WTG21</vt:lpstr>
      <vt:lpstr>Ak_Pisa_WTG22</vt:lpstr>
      <vt:lpstr>Ak_Pisa_WTG23</vt:lpstr>
      <vt:lpstr>Ak_Pisa_WTG24</vt:lpstr>
      <vt:lpstr>Ak_Pisa_WTG25</vt:lpstr>
      <vt:lpstr>Ak_Pisa_WTG26</vt:lpstr>
      <vt:lpstr>Ak_Pisa_WTG27</vt:lpstr>
      <vt:lpstr>Ak_Pisa_WTG28</vt:lpstr>
      <vt:lpstr>Ak_Pisa_WTG29</vt:lpstr>
      <vt:lpstr>Ak_Pisa_WTG31</vt:lpstr>
      <vt:lpstr>Ak_Pisa_WTG35</vt:lpstr>
      <vt:lpstr>Ak_Pisa_WTG36</vt:lpstr>
      <vt:lpstr>Ak_Pisa_WTG37</vt:lpstr>
      <vt:lpstr>Ak_Pisa_WTG38</vt:lpstr>
      <vt:lpstr>Ak_Pisa_WTG39</vt:lpstr>
      <vt:lpstr>Ak_Pisa_WTG40</vt:lpstr>
      <vt:lpstr>Ak_Pisa_WTG41</vt:lpstr>
      <vt:lpstr>Ak_Pisa_WTG42</vt:lpstr>
      <vt:lpstr>Ak_Pisa_WTG43</vt:lpstr>
      <vt:lpstr>Ak_Pisa_WTG44</vt:lpstr>
      <vt:lpstr>Ak_Pisa_WTG45</vt:lpstr>
      <vt:lpstr>Ak_Pisa_WTG46</vt:lpstr>
      <vt:lpstr>Ak_Pisa_WTG47</vt:lpstr>
      <vt:lpstr>Ak_Pisa_WTG48</vt:lpstr>
      <vt:lpstr>Ak_Pisa_WTG49</vt:lpstr>
      <vt:lpstr>Ak_Pisa_WTG51</vt:lpstr>
      <vt:lpstr>Ak_Pisa_WTG52</vt:lpstr>
      <vt:lpstr>Ak_Pisa_WTG53</vt:lpstr>
      <vt:lpstr>Ak_Pisa_WTG54</vt:lpstr>
      <vt:lpstr>Ak_Pisa_WTG55</vt:lpstr>
      <vt:lpstr>Ak_Pisa_WTG56</vt:lpstr>
      <vt:lpstr>Ak_Pisa_WTG58</vt:lpstr>
      <vt:lpstr>Ak_Pisa_WTG59</vt:lpstr>
      <vt:lpstr>Ak_Pisa_WTG60</vt:lpstr>
      <vt:lpstr>Ak_Pisa_WTG62</vt:lpstr>
      <vt:lpstr>Ak_Pisa_WTG63</vt:lpstr>
      <vt:lpstr>Ak_Pisa_WTG64</vt:lpstr>
      <vt:lpstr>Ak_Pisa_WTG65</vt:lpstr>
      <vt:lpstr>Ak_Pisa_WTG67</vt:lpstr>
      <vt:lpstr>Ak_Pisa_WTG68</vt:lpstr>
      <vt:lpstr>Ak_Pisa_WTG69_ULSF</vt:lpstr>
      <vt:lpstr>Ak_Pisa_WTG69_RBB</vt:lpstr>
      <vt:lpstr>Ak_Pisa_WTG69</vt:lpstr>
      <vt:lpstr>Ak_Pisa_WTG70</vt:lpstr>
      <vt:lpstr>Ak_Pisa_WTG71</vt:lpstr>
      <vt:lpstr>MODEL_EW1_Pisa</vt:lpstr>
      <vt:lpstr>MODEL_EW1_Kirsch</vt:lpstr>
      <vt:lpstr>Location_23</vt:lpstr>
      <vt:lpstr>Location_69_profile </vt:lpstr>
      <vt:lpstr>Location_BH-55 BE</vt:lpstr>
      <vt:lpstr>Location_BH-55 LB</vt:lpstr>
      <vt:lpstr>Location_BH-55 UB</vt:lpstr>
      <vt:lpstr>EW2 zone 4 BE</vt:lpstr>
      <vt:lpstr>EW2 zone 4 LB</vt:lpstr>
      <vt:lpstr>EW2 zone 4 UB</vt:lpstr>
      <vt:lpstr>Z1_L08_BE_PISA</vt:lpstr>
      <vt:lpstr>Z2_L12_BE_PISA</vt:lpstr>
      <vt:lpstr>Z3_L32_BE_PISA</vt:lpstr>
      <vt:lpstr>Z4_L11_BE_PISA</vt:lpstr>
      <vt:lpstr>Z5_L57_BE_PISA</vt:lpstr>
      <vt:lpstr>z2</vt:lpstr>
      <vt:lpstr>z3</vt:lpstr>
      <vt:lpstr>z4</vt:lpstr>
      <vt:lpstr>z5</vt:lpstr>
      <vt:lpstr>Dr list</vt:lpstr>
      <vt:lpstr>zone overview</vt:lpstr>
      <vt:lpstr>Zone_2_HE</vt:lpstr>
      <vt:lpstr>Zone_4_LE</vt:lpstr>
      <vt:lpstr>Zone_4_HE</vt:lpstr>
      <vt:lpstr>Zone_7_LE</vt:lpstr>
      <vt:lpstr>Zone_7_HE</vt:lpstr>
      <vt:lpstr>HS_B4_UB</vt:lpstr>
      <vt:lpstr>HS_E6_obsolete</vt:lpstr>
      <vt:lpstr>HS_E6_UB</vt:lpstr>
    </vt:vector>
  </TitlesOfParts>
  <Company>COWI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Underlin Østergaard</dc:creator>
  <cp:lastModifiedBy>Pooyan Ghasemi</cp:lastModifiedBy>
  <dcterms:created xsi:type="dcterms:W3CDTF">2013-10-28T09:40:54Z</dcterms:created>
  <dcterms:modified xsi:type="dcterms:W3CDTF">2021-07-02T14:37:48Z</dcterms:modified>
</cp:coreProperties>
</file>